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aveExternalLinkValues="0" codeName="ThisWorkbook"/>
  <mc:AlternateContent xmlns:mc="http://schemas.openxmlformats.org/markup-compatibility/2006">
    <mc:Choice Requires="x15">
      <x15ac:absPath xmlns:x15ac="http://schemas.microsoft.com/office/spreadsheetml/2010/11/ac" url="https://coloradohousin.sharepoint.com/teams/CHFATeamCenter/TC - Templates/Preapplication Documents/Application Documents/(ADMIN) Application in Progress/"/>
    </mc:Choice>
  </mc:AlternateContent>
  <xr:revisionPtr revIDLastSave="2082" documentId="13_ncr:1_{3178F77E-1AC4-4D9C-98E0-666FA5CDAEB9}" xr6:coauthVersionLast="47" xr6:coauthVersionMax="47" xr10:uidLastSave="{A8ED2765-1BC7-4E71-8A36-DA72E884DC53}"/>
  <workbookProtection workbookAlgorithmName="SHA-512" workbookHashValue="ubK7/CukUPC84lrhNc9BvyVzxcSvKXuKMltmfzQ3NM+gJknTAp7xP1E7ynza4hCC5JA/+GMNqcxvHXeHdtaVVA==" workbookSaltValue="FfDt+H/1rMmLYXrfqctjJg==" workbookSpinCount="100000" lockStructure="1"/>
  <bookViews>
    <workbookView xWindow="28680" yWindow="-1290" windowWidth="29040" windowHeight="1644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Scoring" sheetId="14" r:id="rId9"/>
    <sheet name="Proforma, Income &amp; Expense" sheetId="12" r:id="rId10"/>
    <sheet name="Amenities" sheetId="20" r:id="rId11"/>
    <sheet name="Cost Summary" sheetId="9" r:id="rId12"/>
    <sheet name="Final Building Profile" sheetId="16" r:id="rId13"/>
    <sheet name="Contact Summary" sheetId="7" r:id="rId14"/>
    <sheet name="Tax Credit Details" sheetId="25" r:id="rId15"/>
    <sheet name="Tax Credit Summary" sheetId="24" r:id="rId16"/>
    <sheet name="Budget Output" sheetId="30" r:id="rId17"/>
    <sheet name="Development_Budget" sheetId="41" r:id="rId18"/>
    <sheet name="Income+Expense" sheetId="42" r:id="rId19"/>
    <sheet name="Financing DOH" sheetId="43" r:id="rId20"/>
    <sheet name="Rent &amp; Income Limits" sheetId="15" r:id="rId21"/>
    <sheet name="Final Totals" sheetId="34" r:id="rId22"/>
    <sheet name=" Stress Test &amp; Attachments" sheetId="32" r:id="rId23"/>
    <sheet name="Prolink" sheetId="5" state="hidden" r:id="rId24"/>
    <sheet name="Calculations" sheetId="3" r:id="rId25"/>
    <sheet name="Admin" sheetId="19" state="hidden" r:id="rId26"/>
    <sheet name="Validation" sheetId="44" state="hidden" r:id="rId27"/>
    <sheet name="Lookup" sheetId="8" state="hidden" r:id="rId28"/>
    <sheet name="SD_Dropdowns" sheetId="48" state="veryHidden" r:id="rId29"/>
  </sheets>
  <externalReferences>
    <externalReference r:id="rId30"/>
    <externalReference r:id="rId31"/>
    <externalReference r:id="rId32"/>
  </externalReferences>
  <definedNames>
    <definedName name="_xlnm._FilterDatabase" localSheetId="24" hidden="1">Calculations!$I$4193:$AB$4348</definedName>
    <definedName name="_xlnm._FilterDatabase" localSheetId="27" hidden="1">Lookup!$A$210:$A$210</definedName>
    <definedName name="Application_Stage_List" localSheetId="17">[1]!Application_Stage_Table[Application Stage]</definedName>
    <definedName name="Application_Stage_List">Application_Stage_Table[Application Stage]</definedName>
    <definedName name="Approval_List" localSheetId="17">[1]!Approval_Table[Approval]</definedName>
    <definedName name="Approval_List">Approval_Table[Approval]</definedName>
    <definedName name="Bond_Placement_List" localSheetId="17">[1]!Bond_Placement_Table[Bond Placement]</definedName>
    <definedName name="Bond_Placement_List">Bond_Placement_Table[Bond Placement]</definedName>
    <definedName name="Building_Construction_List" localSheetId="17">[1]!Building_Construction_Table[Building Construction]</definedName>
    <definedName name="Building_Construction_List">Building_Construction_Table[Building Construction]</definedName>
    <definedName name="Building_Type_List" localSheetId="17">[1]!Building_Type_Table[Building Type]</definedName>
    <definedName name="Building_Type_List">Building_Type_Table[Building Type]</definedName>
    <definedName name="Cable_List" localSheetId="17">[1]!Cable_Table[Cable]</definedName>
    <definedName name="Cable_List">Cable_Table[Cable]</definedName>
    <definedName name="City_List" localSheetId="17">[1]!City_Table[City]</definedName>
    <definedName name="City_List">City_Table[City]</definedName>
    <definedName name="Determination_TC_Range">'Tax Credit Details'!$A$57</definedName>
    <definedName name="Developer_Additional_Question_List" localSheetId="17">[1]!Developer_Additional_Question_Table[Developer Additional Question]</definedName>
    <definedName name="Developer_Additional_Question_List">Developer_Additional_Question_Table[Developer Additional Question]</definedName>
    <definedName name="Drawings_Complete">Lookup!$E$45:$E$48</definedName>
    <definedName name="Drawings_Complete_List">Drawings_Complete</definedName>
    <definedName name="Entity_Type_List" localSheetId="17">[1]!Entity_Type_Table[Entity Type]</definedName>
    <definedName name="Entity_Type_List">Entity_Type_Table[Entity Type]</definedName>
    <definedName name="Extended_Low_Income_Use_List" localSheetId="17">[1]!Extended_Low_Income_Use_Table[Extended Low-Income Use]</definedName>
    <definedName name="Extended_Low_Income_Use_List">Extended_Low_Income_Use_Table[Extended Low-Income Use]</definedName>
    <definedName name="Historic_Rehabilitation_Tax_Credits_List" localSheetId="17">[1]!Historic_Rehabilitation_Tax_Credits_Table[Historic Rehabilitation Tax Credits]</definedName>
    <definedName name="Historic_Rehabilitation_Tax_Credits_List">Historic_Rehabilitation_Tax_Credits_Table[Historic Rehabilitation Tax Credits]</definedName>
    <definedName name="Income_Level_List" localSheetId="17">[1]!Income_Level_Table[Income Level]</definedName>
    <definedName name="Income_Level_List">Income_Level_Table[Income Level]</definedName>
    <definedName name="Jurisdiction_Title_List">Jurisdiction_Title_Table[Jurisdiction Title]</definedName>
    <definedName name="Legal_Status_List" localSheetId="17">[1]!Legal_Status_Table[Legal Status]</definedName>
    <definedName name="Legal_Status_List">Legal_Status_Table[Legal Status]</definedName>
    <definedName name="Number_of_beds_per_room_List" localSheetId="17">[1]!Number_of_beds_per_room_Table[Number of beds per room]</definedName>
    <definedName name="Number_of_beds_per_room_List">Number_of_beds_per_room_Table[Number of beds per room]</definedName>
    <definedName name="_xlnm.Print_Area" localSheetId="22">' Stress Test &amp; Attachments'!$A$1:$L$210</definedName>
    <definedName name="_xlnm.Print_Area" localSheetId="16">'Budget Output'!$A$1:$I$226</definedName>
    <definedName name="_xlnm.Print_Area" localSheetId="17">Development_Budget!$A$1:$I$92</definedName>
    <definedName name="_xlnm.Print_Area" localSheetId="19">'Financing DOH'!$A$1:$J$67</definedName>
    <definedName name="_xlnm.Print_Area" localSheetId="18">'Income+Expense'!$A$1:$M$65</definedName>
    <definedName name="_xlnm.Print_Area" localSheetId="14">'Tax Credit Details'!$A$1:$L$117</definedName>
    <definedName name="_xlnm.Print_Area" localSheetId="15">'Tax Credit Summary'!$A$1:$K$334</definedName>
    <definedName name="_xlnm.Print_Titles" localSheetId="22">' Stress Test &amp; Attachments'!$1:$7</definedName>
    <definedName name="_xlnm.Print_Titles" localSheetId="16">'Budget Output'!$3:$5</definedName>
    <definedName name="_xlnm.Print_Titles" localSheetId="14">'Tax Credit Details'!$1:$7</definedName>
    <definedName name="_xlnm.Print_Titles" localSheetId="15">'Tax Credit Summary'!$1:$12</definedName>
    <definedName name="Project_Type_List" localSheetId="17">[1]!Project_Type_Table[Project  Type]</definedName>
    <definedName name="Project_Type_List">Project_Type_Table[Project  Type]</definedName>
    <definedName name="Residential_Loan_Type_List" localSheetId="17">[1]!Residential_Loan_Type_Table[Residential Loan Type]</definedName>
    <definedName name="Residential_Loan_Type_List">Residential_Loan_Type_Table[Residential Loan Type]</definedName>
    <definedName name="Scoring_Details_Range">'Tax Credit Details'!$A$13</definedName>
    <definedName name="Scoring_Development_Location_List" localSheetId="17">[1]!Scoring_Development_Location_Table[Scoring Development Location]</definedName>
    <definedName name="Scoring_Development_Location_List">Scoring_Development_Location_Table[Scoring Development Location]</definedName>
    <definedName name="Scoring_Threshold_List" localSheetId="17">[1]!Scoring_Threshold_Table[Scoring Threshold]</definedName>
    <definedName name="Scoring_Threshold_List">Scoring_Threshold_Table[Scoring Threshold]</definedName>
    <definedName name="Scoring_VeryLowIncome">Calculations!$K$44:$M$46</definedName>
    <definedName name="SD_2558x1_11_B_0" localSheetId="23" hidden="1">Prolink!$D$899</definedName>
    <definedName name="SD_2558x1_24_B_1" localSheetId="23" hidden="1">Prolink!$C$899</definedName>
    <definedName name="SD_2558x2_11_B_0" localSheetId="23" hidden="1">Prolink!$D$900</definedName>
    <definedName name="SD_2558x2_24_B_1" localSheetId="23" hidden="1">Prolink!$C$900</definedName>
    <definedName name="SD_2558x3_11_B_0" localSheetId="23" hidden="1">Prolink!$D$901</definedName>
    <definedName name="SD_2558x3_24_B_1" localSheetId="23" hidden="1">Prolink!$C$901</definedName>
    <definedName name="SD_2558x4_11_B_0" localSheetId="23" hidden="1">Prolink!$D$902</definedName>
    <definedName name="SD_2558x4_24_B_1" localSheetId="23" hidden="1">Prolink!$C$902</definedName>
    <definedName name="SD_2558x5_11_B_0" localSheetId="23" hidden="1">Prolink!$D$903</definedName>
    <definedName name="SD_2558x5_24_B_1" localSheetId="23" hidden="1">Prolink!$C$903</definedName>
    <definedName name="SD_2558x6_11_B_0" localSheetId="23" hidden="1">Prolink!$D$904</definedName>
    <definedName name="SD_2558x6_24_B_1" localSheetId="23" hidden="1">Prolink!$C$904</definedName>
    <definedName name="SD_2558x7_11_B_0" localSheetId="23" hidden="1">Prolink!$D$905</definedName>
    <definedName name="SD_2558x7_24_B_1" localSheetId="23" hidden="1">Prolink!$C$905</definedName>
    <definedName name="SD_2558x8_11_B_0" localSheetId="23" hidden="1">Prolink!$D$906</definedName>
    <definedName name="SD_2558x8_24_B_1" localSheetId="23" hidden="1">Prolink!$C$906</definedName>
    <definedName name="SD_34x1_106_B_0" localSheetId="23" hidden="1">Prolink!$C$2</definedName>
    <definedName name="SD_34x1_109_B_0" localSheetId="23" hidden="1">Prolink!$C$3</definedName>
    <definedName name="SD_34x1_111_B_0" localSheetId="23" hidden="1">Prolink!$C$4</definedName>
    <definedName name="SD_34x1_112_B_0" localSheetId="23" hidden="1">Prolink!$C$5</definedName>
    <definedName name="SD_34x1_113_B_0" localSheetId="23" hidden="1">Prolink!$C$6</definedName>
    <definedName name="SD_34x1_114_B_0" localSheetId="23" hidden="1">Prolink!$C$148</definedName>
    <definedName name="SD_34x1_115_B_0" localSheetId="23" hidden="1">Prolink!$C$155</definedName>
    <definedName name="SD_34x1_117_B_0" localSheetId="23" hidden="1">Prolink!$C$154</definedName>
    <definedName name="SD_34x1_118_B_0" localSheetId="23" hidden="1">Prolink!$C$151</definedName>
    <definedName name="SD_34x1_119_B_0" localSheetId="23" hidden="1">Prolink!$C$152</definedName>
    <definedName name="SD_34x1_121_B_0" localSheetId="23" hidden="1">Prolink!$C$149</definedName>
    <definedName name="SD_34x1_123_B_0" localSheetId="23" hidden="1">Prolink!$C$147</definedName>
    <definedName name="SD_34x1_124_B_0" localSheetId="23" hidden="1">Prolink!$C$156</definedName>
    <definedName name="SD_34x1_127_B_0" localSheetId="23" hidden="1">Prolink!$C$160</definedName>
    <definedName name="SD_34x1_128_B_0" localSheetId="23" hidden="1">Prolink!$C$161</definedName>
    <definedName name="SD_34x1_129_B_0" localSheetId="23" hidden="1">Prolink!$C$162</definedName>
    <definedName name="SD_34x1_130_B_0" localSheetId="23" hidden="1">Prolink!$C$164</definedName>
    <definedName name="SD_34x1_131_B_0" localSheetId="23" hidden="1">Prolink!$C$163</definedName>
    <definedName name="SD_34x1_135_B_0" localSheetId="23" hidden="1">Prolink!$C$173</definedName>
    <definedName name="SD_34x1_136_B_0" localSheetId="23" hidden="1">Prolink!$C$165</definedName>
    <definedName name="SD_34x1_137_B_0" localSheetId="23" hidden="1">Prolink!$C$166</definedName>
    <definedName name="SD_34x1_140_B_0" localSheetId="23" hidden="1">Prolink!$C$174</definedName>
    <definedName name="SD_34x1_141_B_0" localSheetId="23" hidden="1">Prolink!$C$176</definedName>
    <definedName name="SD_34x1_142_B_0" localSheetId="23" hidden="1">Prolink!$C$177</definedName>
    <definedName name="SD_34x1_143_B_0" localSheetId="23" hidden="1">Prolink!$C$175</definedName>
    <definedName name="SD_34x1_144_B_0" localSheetId="23" hidden="1">Prolink!$C$172</definedName>
    <definedName name="SD_34x1_147_B_0" localSheetId="23" hidden="1">Prolink!$C$180</definedName>
    <definedName name="SD_34x1_148_B_0" localSheetId="23" hidden="1">Prolink!$C$179</definedName>
    <definedName name="SD_34x1_151_B_0" localSheetId="23" hidden="1">Prolink!$C$184</definedName>
    <definedName name="SD_34x1_152_B_0" localSheetId="23" hidden="1">Prolink!$C$188</definedName>
    <definedName name="SD_34x1_153_B_0" localSheetId="23" hidden="1">Prolink!$C$186</definedName>
    <definedName name="SD_34x1_154_B_0" localSheetId="23" hidden="1">Prolink!$C$187</definedName>
    <definedName name="SD_34x1_159_B_0" localSheetId="23" hidden="1">Prolink!$C$441</definedName>
    <definedName name="SD_34x1_165_B_0" localSheetId="23" hidden="1">Prolink!$C$267</definedName>
    <definedName name="SD_34x1_166_B_0" localSheetId="23" hidden="1">Prolink!$C$265</definedName>
    <definedName name="SD_34x1_171_B_0" localSheetId="23" hidden="1">Prolink!$C$266</definedName>
    <definedName name="SD_34x1_174_B_0" localSheetId="23" hidden="1">Prolink!$C$268</definedName>
    <definedName name="SD_34x1_176_B_0" localSheetId="23" hidden="1">Prolink!$C$203</definedName>
    <definedName name="SD_34x1_178_B_0" localSheetId="23" hidden="1">Prolink!$C$204</definedName>
    <definedName name="SD_34x1_179_B_0" localSheetId="23" hidden="1">Prolink!$C$580</definedName>
    <definedName name="SD_34x1_181_B_0" localSheetId="23" hidden="1">Prolink!$C$206</definedName>
    <definedName name="SD_34x1_186_B_0" localSheetId="23" hidden="1">Prolink!$C$207</definedName>
    <definedName name="SD_34x1_188_B_0" localSheetId="23" hidden="1">Prolink!$C$232</definedName>
    <definedName name="SD_34x1_200_B_0" localSheetId="23" hidden="1">Prolink!$C$247</definedName>
    <definedName name="SD_34x1_208_B_0" localSheetId="23" hidden="1">Prolink!$C$248</definedName>
    <definedName name="SD_34x1_21_B_0" localSheetId="23" hidden="1">Prolink!$C$234</definedName>
    <definedName name="SD_34x1_214_B_0" localSheetId="23" hidden="1">Prolink!$C$245</definedName>
    <definedName name="SD_34x1_218_B_0" localSheetId="23" hidden="1">Prolink!$C$246</definedName>
    <definedName name="SD_34x1_223_B_0" localSheetId="23" hidden="1">Prolink!$C$249</definedName>
    <definedName name="SD_34x1_23_B_0" localSheetId="23" hidden="1">Prolink!$C$235</definedName>
    <definedName name="SD_34x1_24_B_0" localSheetId="23" hidden="1">Prolink!$C$237</definedName>
    <definedName name="SD_34x1_26_B_0" localSheetId="23" hidden="1">Prolink!$C$238</definedName>
    <definedName name="SD_34x1_27_B_0" localSheetId="23" hidden="1">Prolink!$C$294</definedName>
    <definedName name="SD_34x1_28_B_0" localSheetId="23" hidden="1">Prolink!$C$295</definedName>
    <definedName name="SD_34x1_32_B_0" localSheetId="23" hidden="1">Prolink!$C$239</definedName>
    <definedName name="SD_34x1_337_B_1" localSheetId="23" hidden="1">Prolink!$C$236</definedName>
    <definedName name="SD_34x1_339_B_1" localSheetId="23" hidden="1">Prolink!$C$242</definedName>
    <definedName name="SD_34x1_34_B_0" localSheetId="23" hidden="1">Prolink!$C$240</definedName>
    <definedName name="SD_34x1_343_B_1" localSheetId="23" hidden="1">Prolink!$C$298</definedName>
    <definedName name="SD_34x1_347_B_1" localSheetId="23" hidden="1">Prolink!$C$304</definedName>
    <definedName name="SD_34x1_349_B_1" localSheetId="23" hidden="1">Prolink!$C$511</definedName>
    <definedName name="SD_34x1_35_B_0" localSheetId="23" hidden="1">Prolink!$C$241</definedName>
    <definedName name="SD_34x1_350_B_1" localSheetId="23" hidden="1">Prolink!$C$300</definedName>
    <definedName name="SD_34x1_363_B_1" localSheetId="23" hidden="1">Prolink!$C$301</definedName>
    <definedName name="SD_34x1_38_B_0" localSheetId="23" hidden="1">Prolink!$C$208</definedName>
    <definedName name="SD_34x1_39_B_0" localSheetId="23" hidden="1">Prolink!$C$209</definedName>
    <definedName name="SD_34x1_40_B_0" localSheetId="23" hidden="1">Prolink!$C$250</definedName>
    <definedName name="SD_34x1_42x1_10_B_0" localSheetId="23" hidden="1">Prolink!$C$351</definedName>
    <definedName name="SD_34x1_42x1_12_B_0" localSheetId="23" hidden="1">Prolink!$C$346</definedName>
    <definedName name="SD_34x1_42x1_15_B_0" localSheetId="23" hidden="1">Prolink!$C$353</definedName>
    <definedName name="SD_34x1_42x1_16_B_0" localSheetId="23" hidden="1">Prolink!$C$354</definedName>
    <definedName name="SD_34x1_42x1_17_B_0" localSheetId="23" hidden="1">Prolink!$C$355</definedName>
    <definedName name="SD_34x1_42x1_18_B_0" localSheetId="23" hidden="1">Prolink!$C$379</definedName>
    <definedName name="SD_34x1_42x1_21_B_0" localSheetId="23" hidden="1">Prolink!$C$359</definedName>
    <definedName name="SD_34x1_42x1_22_B_0" localSheetId="23" hidden="1">Prolink!$C$363</definedName>
    <definedName name="SD_34x1_42x1_23_B_0" localSheetId="23" hidden="1">Prolink!$C$364</definedName>
    <definedName name="SD_34x1_42x1_24_B_0" localSheetId="23" hidden="1">Prolink!$C$382</definedName>
    <definedName name="SD_34x1_42x1_25_B_0" localSheetId="23" hidden="1">Prolink!$C$411</definedName>
    <definedName name="SD_34x1_42x1_26_B_0" localSheetId="23" hidden="1">Prolink!$C$381</definedName>
    <definedName name="SD_34x1_42x1_27_B_0" localSheetId="23" hidden="1">Prolink!$C$380</definedName>
    <definedName name="SD_34x1_42x1_28_B_0" localSheetId="23" hidden="1">Prolink!$C$389</definedName>
    <definedName name="SD_34x1_42x1_29_B_0" localSheetId="23" hidden="1">Prolink!$C$377</definedName>
    <definedName name="SD_34x1_42x1_30_B_0" localSheetId="23" hidden="1">Prolink!$C$418</definedName>
    <definedName name="SD_34x1_42x1_31_B_0" localSheetId="23" hidden="1">Prolink!$C$401</definedName>
    <definedName name="SD_34x1_42x1_32_B_0" localSheetId="23" hidden="1">Prolink!$C$370</definedName>
    <definedName name="SD_34x1_42x1_33_B_0" localSheetId="23" hidden="1">Prolink!$C$399</definedName>
    <definedName name="SD_34x1_42x1_34_B_0" localSheetId="23" hidden="1">Prolink!$C$388</definedName>
    <definedName name="SD_34x1_42x1_35_B_0" localSheetId="23" hidden="1">Prolink!$C$400</definedName>
    <definedName name="SD_34x1_42x1_37_B_0" localSheetId="23" hidden="1">Prolink!$C$414</definedName>
    <definedName name="SD_34x1_42x1_38_B_0" localSheetId="23" hidden="1">Prolink!$C$366</definedName>
    <definedName name="SD_34x1_42x1_39_B_0" localSheetId="23" hidden="1">Prolink!$C$412</definedName>
    <definedName name="SD_34x1_42x1_40_B_0" localSheetId="23" hidden="1">Prolink!$C$413</definedName>
    <definedName name="SD_34x1_42x1_41_B_0" localSheetId="23" hidden="1">Prolink!$C$440</definedName>
    <definedName name="SD_34x1_42x1_42_B_0" localSheetId="23" hidden="1">Prolink!$C$416</definedName>
    <definedName name="SD_34x1_42x1_43_B_0" localSheetId="23" hidden="1">Prolink!$C$356</definedName>
    <definedName name="SD_34x1_42x1_44_B_0" localSheetId="23" hidden="1">Prolink!$C$432</definedName>
    <definedName name="SD_34x1_42x1_45_B_0" localSheetId="23" hidden="1">Prolink!$C$344</definedName>
    <definedName name="SD_34x1_42x1_46_B_0" localSheetId="23" hidden="1">Prolink!$C$345</definedName>
    <definedName name="SD_34x1_42x1_5_B_0" localSheetId="23" hidden="1">Prolink!$C$348</definedName>
    <definedName name="SD_34x1_42x1_6_B_0" localSheetId="23" hidden="1">Prolink!$C$347</definedName>
    <definedName name="SD_34x1_42x1_8_B_0" localSheetId="23" hidden="1">Prolink!$C$349</definedName>
    <definedName name="SD_34x1_42x1_82_B_0" localSheetId="23" hidden="1">Prolink!$C$352</definedName>
    <definedName name="SD_34x1_42x1_88_B_0" localSheetId="23" hidden="1">Prolink!$C$365</definedName>
    <definedName name="SD_34x1_42x1_89_B_0" localSheetId="23" hidden="1">Prolink!$C$367</definedName>
    <definedName name="SD_34x1_42x1_9_B_0" localSheetId="23" hidden="1">Prolink!$C$350</definedName>
    <definedName name="SD_34x1_42x1_92_B_0" localSheetId="23" hidden="1">Prolink!$C$358</definedName>
    <definedName name="SD_34x1_42x1_93_B_0" localSheetId="23" hidden="1">Prolink!$C$384</definedName>
    <definedName name="SD_34x1_42x1_94_B_0" localSheetId="23" hidden="1">Prolink!$C$385</definedName>
    <definedName name="SD_34x1_42x1_95_B_0" localSheetId="23" hidden="1">Prolink!$C$392</definedName>
    <definedName name="SD_34x1_4467x1_17_B_1" localSheetId="23" hidden="1">Prolink!$D$917</definedName>
    <definedName name="SD_34x1_4467x1_19_B_0" localSheetId="23" hidden="1">Prolink!$C$917</definedName>
    <definedName name="SD_34x1_4467x2_17_B_1" localSheetId="23" hidden="1">Prolink!$D$918</definedName>
    <definedName name="SD_34x1_4467x2_19_B_0" localSheetId="23" hidden="1">Prolink!$C$918</definedName>
    <definedName name="SD_34x1_4467x3_17_B_1" localSheetId="23" hidden="1">Prolink!$D$919</definedName>
    <definedName name="SD_34x1_4467x3_19_B_0" localSheetId="23" hidden="1">Prolink!$C$919</definedName>
    <definedName name="SD_34x1_4467x4_17_B_1" localSheetId="23" hidden="1">Prolink!$D$920</definedName>
    <definedName name="SD_34x1_4467x4_19_B_0" localSheetId="23" hidden="1">Prolink!$C$920</definedName>
    <definedName name="SD_34x1_4467x5_17_B_1" localSheetId="23" hidden="1">Prolink!$D$921</definedName>
    <definedName name="SD_34x1_4467x5_19_B_0" localSheetId="23" hidden="1">Prolink!$C$921</definedName>
    <definedName name="SD_34x1_4467x6_17_B_1" localSheetId="23" hidden="1">Prolink!$D$922</definedName>
    <definedName name="SD_34x1_4467x6_19_B_0" localSheetId="23" hidden="1">Prolink!$C$922</definedName>
    <definedName name="SD_34x1_45_B_0" localSheetId="23" hidden="1">Prolink!$C$463</definedName>
    <definedName name="SD_34x1_46_B_0" localSheetId="23" hidden="1">Prolink!$C$464</definedName>
    <definedName name="SD_34x1_464_B_0" localSheetId="23" hidden="1">Prolink!$C$492</definedName>
    <definedName name="SD_34x1_467_B_0" localSheetId="23" hidden="1">Prolink!$C$552</definedName>
    <definedName name="SD_34x1_468_B_0" localSheetId="23" hidden="1">Prolink!$C$553</definedName>
    <definedName name="SD_34x1_47_B_0" localSheetId="23" hidden="1">Prolink!$C$566</definedName>
    <definedName name="SD_34x1_470_B_0" localSheetId="23" hidden="1">Prolink!$C$554</definedName>
    <definedName name="SD_34x1_471_B_0" localSheetId="23" hidden="1">Prolink!$C$555</definedName>
    <definedName name="SD_34x1_472_B_0" localSheetId="23" hidden="1">Prolink!$C$556</definedName>
    <definedName name="SD_34x1_474_B_0" localSheetId="23" hidden="1">Prolink!$C$558</definedName>
    <definedName name="SD_34x1_475_B_0" localSheetId="23" hidden="1">Prolink!$C$559</definedName>
    <definedName name="SD_34x1_476_B_0" localSheetId="23" hidden="1">Prolink!$C$560</definedName>
    <definedName name="SD_34x1_478_B_0" localSheetId="23" hidden="1">Prolink!$C$561</definedName>
    <definedName name="SD_34x1_479_B_0" localSheetId="23" hidden="1">Prolink!$C$575</definedName>
    <definedName name="SD_34x1_480_B_0" localSheetId="23" hidden="1">Prolink!$C$576</definedName>
    <definedName name="SD_34x1_482_B_0" localSheetId="23" hidden="1">Prolink!$C$573</definedName>
    <definedName name="SD_34x1_483_B_0" localSheetId="23" hidden="1">Prolink!$C$574</definedName>
    <definedName name="SD_34x1_485_B_0" localSheetId="23" hidden="1">Prolink!$C$569</definedName>
    <definedName name="SD_34x1_486_B_0" localSheetId="23" hidden="1">Prolink!$C$570</definedName>
    <definedName name="SD_34x1_488_B_0" localSheetId="23" hidden="1">Prolink!$C$567</definedName>
    <definedName name="SD_34x1_489_B_0" localSheetId="23" hidden="1">Prolink!$C$568</definedName>
    <definedName name="SD_34x1_491_B_0" localSheetId="23" hidden="1">Prolink!$C$577</definedName>
    <definedName name="SD_34x1_492_B_0" localSheetId="23" hidden="1">Prolink!$C$578</definedName>
    <definedName name="SD_34x1_494_B_0" localSheetId="23" hidden="1">Prolink!$C$579</definedName>
    <definedName name="SD_34x1_50_B_0" localSheetId="23" hidden="1">Prolink!$C$493</definedName>
    <definedName name="SD_34x1_507_B_0" localSheetId="23" hidden="1">Prolink!$C$495</definedName>
    <definedName name="SD_34x1_508_B_0" localSheetId="23" hidden="1">Prolink!$C$496</definedName>
    <definedName name="SD_34x1_509_B_0" localSheetId="23" hidden="1">Prolink!$C$497</definedName>
    <definedName name="SD_34x1_51_B_0" localSheetId="23" hidden="1">Prolink!$C$509</definedName>
    <definedName name="SD_34x1_510_B_0" localSheetId="23" hidden="1">Prolink!$C$498</definedName>
    <definedName name="SD_34x1_5103x1_1042_B_0" localSheetId="23" hidden="1">Prolink!$C$741</definedName>
    <definedName name="SD_34x1_5103x1_1043_B_0" localSheetId="23" hidden="1">Prolink!$C$742</definedName>
    <definedName name="SD_34x1_5103x1_1044_B_0" localSheetId="23" hidden="1">Prolink!$C$749</definedName>
    <definedName name="SD_34x1_5103x1_1045_B_0" localSheetId="23" hidden="1">Prolink!$C$750</definedName>
    <definedName name="SD_34x1_5103x1_1046_B_0" localSheetId="23" hidden="1">Prolink!$C$752</definedName>
    <definedName name="SD_34x1_5103x1_1048_B_0" localSheetId="23" hidden="1">Prolink!$C$759</definedName>
    <definedName name="SD_34x1_5103x1_1106_B_0" localSheetId="23" hidden="1">Prolink!$C$270</definedName>
    <definedName name="SD_34x1_5103x1_1107_B_0" localSheetId="23" hidden="1">Prolink!$C$271</definedName>
    <definedName name="SD_34x1_5103x1_1108_B_0" localSheetId="23" hidden="1">Prolink!$C$272</definedName>
    <definedName name="SD_34x1_5103x1_1109_B_0" localSheetId="23" hidden="1">Prolink!$C$273</definedName>
    <definedName name="SD_34x1_5103x1_111_B_0" localSheetId="23" hidden="1">Prolink!$C$214</definedName>
    <definedName name="SD_34x1_5103x1_1110_B_0" localSheetId="23" hidden="1">Prolink!$C$286</definedName>
    <definedName name="SD_34x1_5103x1_1111_B_0" localSheetId="23" hidden="1">Prolink!$C$287</definedName>
    <definedName name="SD_34x1_5103x1_1112_B_0" localSheetId="23" hidden="1">Prolink!$C$288</definedName>
    <definedName name="SD_34x1_5103x1_1113_B_0" localSheetId="23" hidden="1">Prolink!$C$289</definedName>
    <definedName name="SD_34x1_5103x1_1114_B_0" localSheetId="23" hidden="1">Prolink!$C$563</definedName>
    <definedName name="SD_34x1_5103x1_1115_B_0" localSheetId="23" hidden="1">Prolink!$C$588</definedName>
    <definedName name="SD_34x1_5103x1_1116_B_0" localSheetId="23" hidden="1">Prolink!$C$596</definedName>
    <definedName name="SD_34x1_5103x1_1118_B_0" localSheetId="23" hidden="1">Prolink!$C$619</definedName>
    <definedName name="SD_34x1_5103x1_1119_B_0" localSheetId="23" hidden="1">Prolink!$C$688</definedName>
    <definedName name="SD_34x1_5103x1_112_B_0" localSheetId="23" hidden="1">Prolink!$C$215</definedName>
    <definedName name="SD_34x1_5103x1_1120_B_0" localSheetId="23" hidden="1">Prolink!$D$1381</definedName>
    <definedName name="SD_34x1_5103x1_1121_B_0" localSheetId="23" hidden="1">Prolink!$D$1382</definedName>
    <definedName name="SD_34x1_5103x1_1122_B_0" localSheetId="23" hidden="1">Prolink!$D$1383</definedName>
    <definedName name="SD_34x1_5103x1_1123_B_0" localSheetId="23" hidden="1">Prolink!$D$1395</definedName>
    <definedName name="SD_34x1_5103x1_1124_B_0" localSheetId="23" hidden="1">Prolink!$D$1396</definedName>
    <definedName name="SD_34x1_5103x1_1125_B_0" localSheetId="23" hidden="1">Prolink!$D$1397</definedName>
    <definedName name="SD_34x1_5103x1_1126_B_0" localSheetId="23" hidden="1">Prolink!$D$1398</definedName>
    <definedName name="SD_34x1_5103x1_1127_B_0" localSheetId="23" hidden="1">Prolink!$D$1399</definedName>
    <definedName name="SD_34x1_5103x1_1128_B_0" localSheetId="23" hidden="1">Prolink!$D$1423</definedName>
    <definedName name="SD_34x1_5103x1_1129_B_0" localSheetId="23" hidden="1">Prolink!$D$1424</definedName>
    <definedName name="SD_34x1_5103x1_1130_B_0" localSheetId="23" hidden="1">Prolink!$D$1425</definedName>
    <definedName name="SD_34x1_5103x1_1131_B_0" localSheetId="23" hidden="1">Prolink!$D$1444</definedName>
    <definedName name="SD_34x1_5103x1_1132_B_0" localSheetId="23" hidden="1">Prolink!$D$1443</definedName>
    <definedName name="SD_34x1_5103x1_1133_B_0" localSheetId="23" hidden="1">Prolink!$D$1451</definedName>
    <definedName name="SD_34x1_5103x1_1134_B_0" localSheetId="23" hidden="1">Prolink!$D$1452</definedName>
    <definedName name="SD_34x1_5103x1_1135_B_0" localSheetId="23" hidden="1">Prolink!$D$1426</definedName>
    <definedName name="SD_34x1_5103x1_114_B_0" localSheetId="23" hidden="1">Prolink!$C$218</definedName>
    <definedName name="SD_34x1_5103x1_115_B_0" localSheetId="23" hidden="1">Prolink!$C$219</definedName>
    <definedName name="SD_34x1_5103x1_1156_B_0" localSheetId="23" hidden="1">Prolink!$C$312</definedName>
    <definedName name="SD_34x1_5103x1_1157_B_0" localSheetId="23" hidden="1">Prolink!$C$313</definedName>
    <definedName name="SD_34x1_5103x1_1158_B_0" localSheetId="23" hidden="1">Prolink!$C$391</definedName>
    <definedName name="SD_34x1_5103x1_1159_B_0" localSheetId="23" hidden="1">Prolink!$D$1432</definedName>
    <definedName name="SD_34x1_5103x1_116_B_0" localSheetId="23" hidden="1">Prolink!$C$251</definedName>
    <definedName name="SD_34x1_5103x1_1160_B_0" localSheetId="23" hidden="1">Prolink!$D$1433</definedName>
    <definedName name="SD_34x1_5103x1_1161_B_1" localSheetId="23" hidden="1">Prolink!$C$755</definedName>
    <definedName name="SD_34x1_5103x1_117_B_0" localSheetId="23" hidden="1">Prolink!$C$252</definedName>
    <definedName name="SD_34x1_5103x1_118_B_0" localSheetId="23" hidden="1">Prolink!$C$269</definedName>
    <definedName name="SD_34x1_5103x1_119_B_0" localSheetId="23" hidden="1">Prolink!$C$279</definedName>
    <definedName name="SD_34x1_5103x1_120_B_0" localSheetId="23" hidden="1">Prolink!$C$274</definedName>
    <definedName name="SD_34x1_5103x1_121_B_0" localSheetId="23" hidden="1">Prolink!$C$280</definedName>
    <definedName name="SD_34x1_5103x1_123_B_0" localSheetId="23" hidden="1">Prolink!$C$283</definedName>
    <definedName name="SD_34x1_5103x1_124_B_0" localSheetId="23" hidden="1">Prolink!$C$284</definedName>
    <definedName name="SD_34x1_5103x1_125_B_0" localSheetId="23" hidden="1">Prolink!$C$305</definedName>
    <definedName name="SD_34x1_5103x1_127_B_0" localSheetId="23" hidden="1">Prolink!$C$306</definedName>
    <definedName name="SD_34x1_5103x1_128_B_0" localSheetId="23" hidden="1">Prolink!$C$307</definedName>
    <definedName name="SD_34x1_5103x1_129_B_0" localSheetId="23" hidden="1">Prolink!$C$308</definedName>
    <definedName name="SD_34x1_5103x1_130_B_0" localSheetId="23" hidden="1">Prolink!$C$309</definedName>
    <definedName name="SD_34x1_5103x1_131_B_0" localSheetId="23" hidden="1">Prolink!$C$357</definedName>
    <definedName name="SD_34x1_5103x1_132_B_0" localSheetId="23" hidden="1">Prolink!$C$360</definedName>
    <definedName name="SD_34x1_5103x1_133_B_0" localSheetId="23" hidden="1">Prolink!$C$361</definedName>
    <definedName name="SD_34x1_5103x1_134_B_0" localSheetId="23" hidden="1">Prolink!$C$362</definedName>
    <definedName name="SD_34x1_5103x1_135_B_0" localSheetId="23" hidden="1">Prolink!$C$368</definedName>
    <definedName name="SD_34x1_5103x1_136_B_0" localSheetId="23" hidden="1">Prolink!$C$369</definedName>
    <definedName name="SD_34x1_5103x1_137_B_0" localSheetId="23" hidden="1">Prolink!$C$371</definedName>
    <definedName name="SD_34x1_5103x1_138_B_0" localSheetId="23" hidden="1">Prolink!$C$372</definedName>
    <definedName name="SD_34x1_5103x1_139_B_0" localSheetId="23" hidden="1">Prolink!$C$373</definedName>
    <definedName name="SD_34x1_5103x1_140_B_0" localSheetId="23" hidden="1">Prolink!$C$374</definedName>
    <definedName name="SD_34x1_5103x1_141_B_0" localSheetId="23" hidden="1">Prolink!$C$375</definedName>
    <definedName name="SD_34x1_5103x1_142_B_0" localSheetId="23" hidden="1">Prolink!$C$376</definedName>
    <definedName name="SD_34x1_5103x1_143_B_0" localSheetId="23" hidden="1">Prolink!$C$378</definedName>
    <definedName name="SD_34x1_5103x1_144_B_0" localSheetId="23" hidden="1">Prolink!$C$383</definedName>
    <definedName name="SD_34x1_5103x1_145_B_0" localSheetId="23" hidden="1">Prolink!$C$386</definedName>
    <definedName name="SD_34x1_5103x1_146_B_0" localSheetId="23" hidden="1">Prolink!$C$387</definedName>
    <definedName name="SD_34x1_5103x1_148_B_0" localSheetId="23" hidden="1">Prolink!$C$390</definedName>
    <definedName name="SD_34x1_5103x1_150_B_0" localSheetId="23" hidden="1">Prolink!$C$393</definedName>
    <definedName name="SD_34x1_5103x1_151_B_0" localSheetId="23" hidden="1">Prolink!$C$394</definedName>
    <definedName name="SD_34x1_5103x1_152_B_0" localSheetId="23" hidden="1">Prolink!$C$395</definedName>
    <definedName name="SD_34x1_5103x1_153_B_0" localSheetId="23" hidden="1">Prolink!$C$396</definedName>
    <definedName name="SD_34x1_5103x1_154_B_0" localSheetId="23" hidden="1">Prolink!$C$397</definedName>
    <definedName name="SD_34x1_5103x1_155_B_0" localSheetId="23" hidden="1">Prolink!$C$398</definedName>
    <definedName name="SD_34x1_5103x1_156_B_0" localSheetId="23" hidden="1">Prolink!$C$402</definedName>
    <definedName name="SD_34x1_5103x1_157_B_0" localSheetId="23" hidden="1">Prolink!$C$403</definedName>
    <definedName name="SD_34x1_5103x1_158_B_0" localSheetId="23" hidden="1">Prolink!$C$404</definedName>
    <definedName name="SD_34x1_5103x1_159_B_0" localSheetId="23" hidden="1">Prolink!$C$405</definedName>
    <definedName name="SD_34x1_5103x1_160_B_0" localSheetId="23" hidden="1">Prolink!$C$406</definedName>
    <definedName name="SD_34x1_5103x1_161_B_0" localSheetId="23" hidden="1">Prolink!$C$407</definedName>
    <definedName name="SD_34x1_5103x1_162_B_0" localSheetId="23" hidden="1">Prolink!$C$408</definedName>
    <definedName name="SD_34x1_5103x1_163_B_0" localSheetId="23" hidden="1">Prolink!$C$409</definedName>
    <definedName name="SD_34x1_5103x1_164_B_0" localSheetId="23" hidden="1">Prolink!$C$410</definedName>
    <definedName name="SD_34x1_5103x1_165_B_0" localSheetId="23" hidden="1">Prolink!$C$415</definedName>
    <definedName name="SD_34x1_5103x1_166_B_0" localSheetId="23" hidden="1">Prolink!$C$417</definedName>
    <definedName name="SD_34x1_5103x1_167_B_0" localSheetId="23" hidden="1">Prolink!$C$419</definedName>
    <definedName name="SD_34x1_5103x1_168_B_0" localSheetId="23" hidden="1">Prolink!$C$420</definedName>
    <definedName name="SD_34x1_5103x1_169_B_0" localSheetId="23" hidden="1">Prolink!$C$422</definedName>
    <definedName name="SD_34x1_5103x1_170_B_0" localSheetId="23" hidden="1">Prolink!$C$423</definedName>
    <definedName name="SD_34x1_5103x1_171_B_0" localSheetId="23" hidden="1">Prolink!$C$424</definedName>
    <definedName name="SD_34x1_5103x1_172_B_0" localSheetId="23" hidden="1">Prolink!$C$425</definedName>
    <definedName name="SD_34x1_5103x1_173_B_0" localSheetId="23" hidden="1">Prolink!$C$426</definedName>
    <definedName name="SD_34x1_5103x1_174_B_0" localSheetId="23" hidden="1">Prolink!$C$427</definedName>
    <definedName name="SD_34x1_5103x1_175_B_0" localSheetId="23" hidden="1">Prolink!$C$428</definedName>
    <definedName name="SD_34x1_5103x1_176_B_0" localSheetId="23" hidden="1">Prolink!$C$429</definedName>
    <definedName name="SD_34x1_5103x1_177_B_0" localSheetId="23" hidden="1">Prolink!$C$430</definedName>
    <definedName name="SD_34x1_5103x1_178_B_0" localSheetId="23" hidden="1">Prolink!$C$431</definedName>
    <definedName name="SD_34x1_5103x1_179_B_0" localSheetId="23" hidden="1">Prolink!$C$433</definedName>
    <definedName name="SD_34x1_5103x1_180_B_0" localSheetId="23" hidden="1">Prolink!$C$434</definedName>
    <definedName name="SD_34x1_5103x1_181_B_0" localSheetId="23" hidden="1">Prolink!$C$436</definedName>
    <definedName name="SD_34x1_5103x1_182_B_0" localSheetId="23" hidden="1">Prolink!$C$437</definedName>
    <definedName name="SD_34x1_5103x1_183_B_0" localSheetId="23" hidden="1">Prolink!$C$438</definedName>
    <definedName name="SD_34x1_5103x1_184_B_0" localSheetId="23" hidden="1">Prolink!$C$439</definedName>
    <definedName name="SD_34x1_5103x1_185_B_0" localSheetId="23" hidden="1">Prolink!$C$443</definedName>
    <definedName name="SD_34x1_5103x1_186_B_0" localSheetId="23" hidden="1">Prolink!$C$444</definedName>
    <definedName name="SD_34x1_5103x1_187_B_0" localSheetId="23" hidden="1">Prolink!$C$445</definedName>
    <definedName name="SD_34x1_5103x1_188_B_0" localSheetId="23" hidden="1">Prolink!$C$446</definedName>
    <definedName name="SD_34x1_5103x1_189_B_0" localSheetId="23" hidden="1">Prolink!$C$447</definedName>
    <definedName name="SD_34x1_5103x1_190_B_0" localSheetId="23" hidden="1">Prolink!$C$448</definedName>
    <definedName name="SD_34x1_5103x1_191_B_0" localSheetId="23" hidden="1">Prolink!$C$449</definedName>
    <definedName name="SD_34x1_5103x1_192_B_0" localSheetId="23" hidden="1">Prolink!$C$451</definedName>
    <definedName name="SD_34x1_5103x1_193_B_0" localSheetId="23" hidden="1">Prolink!$C$452</definedName>
    <definedName name="SD_34x1_5103x1_194_B_0" localSheetId="23" hidden="1">Prolink!$C$455</definedName>
    <definedName name="SD_34x1_5103x1_195_B_0" localSheetId="23" hidden="1">Prolink!$C$456</definedName>
    <definedName name="SD_34x1_5103x1_196_B_0" localSheetId="23" hidden="1">Prolink!$C$457</definedName>
    <definedName name="SD_34x1_5103x1_197_B_0" localSheetId="23" hidden="1">Prolink!$C$458</definedName>
    <definedName name="SD_34x1_5103x1_198_B_0" localSheetId="23" hidden="1">Prolink!$C$459</definedName>
    <definedName name="SD_34x1_5103x1_199_B_0" localSheetId="23" hidden="1">Prolink!$C$460</definedName>
    <definedName name="SD_34x1_5103x1_202_B_0" localSheetId="23" hidden="1">Prolink!$C$753</definedName>
    <definedName name="SD_34x1_5103x1_203_B_0" localSheetId="23" hidden="1">Prolink!$C$754</definedName>
    <definedName name="SD_34x1_5103x1_207_B_0" localSheetId="23" hidden="1">Prolink!$C$757</definedName>
    <definedName name="SD_34x1_5103x1_210_B_0" localSheetId="23" hidden="1">Prolink!$C$500</definedName>
    <definedName name="SD_34x1_5103x1_212_B_0" localSheetId="23" hidden="1">Prolink!$C$491</definedName>
    <definedName name="SD_34x1_5103x1_213_B_0" localSheetId="23" hidden="1">Prolink!$C$501</definedName>
    <definedName name="SD_34x1_5103x1_215_B_0" localSheetId="23" hidden="1">Prolink!$C$502</definedName>
    <definedName name="SD_34x1_5103x1_219_B_0" localSheetId="23" hidden="1">Prolink!$C$503</definedName>
    <definedName name="SD_34x1_5103x1_222_B_0" localSheetId="23" hidden="1">Prolink!$C$760</definedName>
    <definedName name="SD_34x1_5103x1_223_B_0" localSheetId="23" hidden="1">Prolink!$C$761</definedName>
    <definedName name="SD_34x1_5103x1_224_B_0" localSheetId="23" hidden="1">Prolink!$C$762</definedName>
    <definedName name="SD_34x1_5103x1_225_B_0" localSheetId="23" hidden="1">Prolink!$C$763</definedName>
    <definedName name="SD_34x1_5103x1_226_B_0" localSheetId="23" hidden="1">Prolink!$C$150</definedName>
    <definedName name="SD_34x1_5103x1_227_B_0" localSheetId="23" hidden="1">Prolink!$C$153</definedName>
    <definedName name="SD_34x1_5103x1_228_B_0" localSheetId="23" hidden="1">Prolink!$C$157</definedName>
    <definedName name="SD_34x1_5103x1_229_B_0" localSheetId="23" hidden="1">Prolink!$C$158</definedName>
    <definedName name="SD_34x1_5103x1_230_B_0" localSheetId="23" hidden="1">Prolink!$C$159</definedName>
    <definedName name="SD_34x1_5103x1_231_B_0" localSheetId="23" hidden="1">Prolink!$C$178</definedName>
    <definedName name="SD_34x1_5103x1_232_B_0" localSheetId="23" hidden="1">Prolink!$C$181</definedName>
    <definedName name="SD_34x1_5103x1_233_B_0" localSheetId="23" hidden="1">Prolink!$C$182</definedName>
    <definedName name="SD_34x1_5103x1_234_B_0" localSheetId="23" hidden="1">Prolink!$C$183</definedName>
    <definedName name="SD_34x1_5103x1_235_B_0" localSheetId="23" hidden="1">Prolink!$C$167</definedName>
    <definedName name="SD_34x1_5103x1_236_B_0" localSheetId="23" hidden="1">Prolink!$C$168</definedName>
    <definedName name="SD_34x1_5103x1_237_B_0" localSheetId="23" hidden="1">Prolink!$C$169</definedName>
    <definedName name="SD_34x1_5103x1_238_B_0" localSheetId="23" hidden="1">Prolink!$C$170</definedName>
    <definedName name="SD_34x1_5103x1_239_B_0" localSheetId="23" hidden="1">Prolink!$C$171</definedName>
    <definedName name="SD_34x1_5103x1_241_B_0" localSheetId="23" hidden="1">Prolink!$C$185</definedName>
    <definedName name="SD_34x1_5103x1_242_B_0" localSheetId="23" hidden="1">Prolink!$C$189</definedName>
    <definedName name="SD_34x1_5103x1_243_B_0" localSheetId="23" hidden="1">Prolink!$C$190</definedName>
    <definedName name="SD_34x1_5103x1_244_B_0" localSheetId="23" hidden="1">Prolink!$C$193</definedName>
    <definedName name="SD_34x1_5103x1_245_B_0" localSheetId="23" hidden="1">Prolink!$C$194</definedName>
    <definedName name="SD_34x1_5103x1_246_B_0" localSheetId="23" hidden="1">Prolink!$C$192</definedName>
    <definedName name="SD_34x1_5103x1_247_B_0" localSheetId="23" hidden="1">Prolink!$C$195</definedName>
    <definedName name="SD_34x1_5103x1_248_B_0" localSheetId="23" hidden="1">Prolink!$C$766</definedName>
    <definedName name="SD_34x1_5103x1_250_B_0" localSheetId="23" hidden="1">Prolink!$C$768</definedName>
    <definedName name="SD_34x1_5103x1_260_B_0" localSheetId="23" hidden="1">Prolink!$C$731</definedName>
    <definedName name="SD_34x1_5103x1_261_B_0" localSheetId="23" hidden="1">Prolink!$C$732</definedName>
    <definedName name="SD_34x1_5103x1_262_B_0" localSheetId="23" hidden="1">Prolink!$C$733</definedName>
    <definedName name="SD_34x1_5103x1_263_B_0" localSheetId="23" hidden="1">Prolink!$C$734</definedName>
    <definedName name="SD_34x1_5103x1_264_B_0" localSheetId="23" hidden="1">Prolink!$C$735</definedName>
    <definedName name="SD_34x1_5103x1_265_B_0" localSheetId="23" hidden="1">Prolink!$C$736</definedName>
    <definedName name="SD_34x1_5103x1_266_B_0" localSheetId="23" hidden="1">Prolink!$C$737</definedName>
    <definedName name="SD_34x1_5103x1_267_B_0" localSheetId="23" hidden="1">Prolink!$C$738</definedName>
    <definedName name="SD_34x1_5103x1_268_B_0" localSheetId="23" hidden="1">Prolink!$C$739</definedName>
    <definedName name="SD_34x1_5103x1_270_B_0" localSheetId="23" hidden="1">Prolink!$C$743</definedName>
    <definedName name="SD_34x1_5103x1_271_B_0" localSheetId="23" hidden="1">Prolink!$C$744</definedName>
    <definedName name="SD_34x1_5103x1_272_B_0" localSheetId="23" hidden="1">Prolink!$C$745</definedName>
    <definedName name="SD_34x1_5103x1_273_B_0" localSheetId="23" hidden="1">Prolink!$C$746</definedName>
    <definedName name="SD_34x1_5103x1_274_B_0" localSheetId="23" hidden="1">Prolink!$C$747</definedName>
    <definedName name="SD_34x1_5103x1_287_B_0" localSheetId="23" hidden="1">Prolink!$C$1067</definedName>
    <definedName name="SD_34x1_5103x1_288_B_0" localSheetId="23" hidden="1">Prolink!$C$1068</definedName>
    <definedName name="SD_34x1_5103x1_289_B_0" localSheetId="23" hidden="1">Prolink!$C$1069</definedName>
    <definedName name="SD_34x1_5103x1_290_B_0" localSheetId="23" hidden="1">Prolink!$C$1070</definedName>
    <definedName name="SD_34x1_5103x1_296_B_0" localSheetId="23" hidden="1">Prolink!$C$774</definedName>
    <definedName name="SD_34x1_5103x1_297_B_0" localSheetId="23" hidden="1">Prolink!$C$775</definedName>
    <definedName name="SD_34x1_5103x1_298_B_0" localSheetId="23" hidden="1">Prolink!$C$776</definedName>
    <definedName name="SD_34x1_5103x1_299_B_0" localSheetId="23" hidden="1">Prolink!$C$777</definedName>
    <definedName name="SD_34x1_5103x1_300_B_0" localSheetId="23" hidden="1">Prolink!$C$778</definedName>
    <definedName name="SD_34x1_5103x1_301_B_0" localSheetId="23" hidden="1">Prolink!$C$779</definedName>
    <definedName name="SD_34x1_5103x1_302_B_0" localSheetId="23" hidden="1">Prolink!$C$780</definedName>
    <definedName name="SD_34x1_5103x1_303_B_0" localSheetId="23" hidden="1">Prolink!$C$781</definedName>
    <definedName name="SD_34x1_5103x1_304_B_0" localSheetId="23" hidden="1">Prolink!$C$782</definedName>
    <definedName name="SD_34x1_5103x1_305_B_0" localSheetId="23" hidden="1">Prolink!$C$783</definedName>
    <definedName name="SD_34x1_5103x1_306_B_0" localSheetId="23" hidden="1">Prolink!$C$784</definedName>
    <definedName name="SD_34x1_5103x1_307_B_0" localSheetId="23" hidden="1">Prolink!$C$785</definedName>
    <definedName name="SD_34x1_5103x1_308_B_0" localSheetId="23" hidden="1">Prolink!$C$786</definedName>
    <definedName name="SD_34x1_5103x1_309_B_0" localSheetId="23" hidden="1">Prolink!$C$787</definedName>
    <definedName name="SD_34x1_5103x1_310_B_0" localSheetId="23" hidden="1">Prolink!$C$788</definedName>
    <definedName name="SD_34x1_5103x1_311_B_0" localSheetId="23" hidden="1">Prolink!$C$789</definedName>
    <definedName name="SD_34x1_5103x1_312_B_0" localSheetId="23" hidden="1">Prolink!$C$790</definedName>
    <definedName name="SD_34x1_5103x1_313_B_0" localSheetId="23" hidden="1">Prolink!$C$791</definedName>
    <definedName name="SD_34x1_5103x1_314_B_0" localSheetId="23" hidden="1">Prolink!$C$792</definedName>
    <definedName name="SD_34x1_5103x1_315_B_0" localSheetId="23" hidden="1">Prolink!$C$793</definedName>
    <definedName name="SD_34x1_5103x1_316_B_0" localSheetId="23" hidden="1">Prolink!$C$794</definedName>
    <definedName name="SD_34x1_5103x1_317_B_0" localSheetId="23" hidden="1">Prolink!$C$795</definedName>
    <definedName name="SD_34x1_5103x1_318_B_0" localSheetId="23" hidden="1">Prolink!$C$796</definedName>
    <definedName name="SD_34x1_5103x1_319_B_0" localSheetId="23" hidden="1">Prolink!$C$797</definedName>
    <definedName name="SD_34x1_5103x1_320_B_0" localSheetId="23" hidden="1">Prolink!$C$798</definedName>
    <definedName name="SD_34x1_5103x1_321_B_0" localSheetId="23" hidden="1">Prolink!$C$800</definedName>
    <definedName name="SD_34x1_5103x1_322_B_0" localSheetId="23" hidden="1">Prolink!$C$801</definedName>
    <definedName name="SD_34x1_5103x1_323_B_0" localSheetId="23" hidden="1">Prolink!$C$802</definedName>
    <definedName name="SD_34x1_5103x1_324_B_0" localSheetId="23" hidden="1">Prolink!$C$803</definedName>
    <definedName name="SD_34x1_5103x1_325_B_0" localSheetId="23" hidden="1">Prolink!$C$804</definedName>
    <definedName name="SD_34x1_5103x1_326_B_0" localSheetId="23" hidden="1">Prolink!$C$805</definedName>
    <definedName name="SD_34x1_5103x1_327_B_0" localSheetId="23" hidden="1">Prolink!$C$806</definedName>
    <definedName name="SD_34x1_5103x1_328_B_0" localSheetId="23" hidden="1">Prolink!$C$807</definedName>
    <definedName name="SD_34x1_5103x1_329_B_0" localSheetId="23" hidden="1">Prolink!$C$808</definedName>
    <definedName name="SD_34x1_5103x1_330_B_0" localSheetId="23" hidden="1">Prolink!$C$809</definedName>
    <definedName name="SD_34x1_5103x1_331_B_0" localSheetId="23" hidden="1">Prolink!$C$810</definedName>
    <definedName name="SD_34x1_5103x1_332_B_0" localSheetId="23" hidden="1">Prolink!$C$811</definedName>
    <definedName name="SD_34x1_5103x1_333_B_0" localSheetId="23" hidden="1">Prolink!$C$812</definedName>
    <definedName name="SD_34x1_5103x1_334_B_0" localSheetId="23" hidden="1">Prolink!$C$813</definedName>
    <definedName name="SD_34x1_5103x1_335_B_0" localSheetId="23" hidden="1">Prolink!$C$814</definedName>
    <definedName name="SD_34x1_5103x1_336_B_0" localSheetId="23" hidden="1">Prolink!$C$815</definedName>
    <definedName name="SD_34x1_5103x1_337_B_0" localSheetId="23" hidden="1">Prolink!$C$816</definedName>
    <definedName name="SD_34x1_5103x1_343_B_0" localSheetId="23" hidden="1">Prolink!$C$253</definedName>
    <definedName name="SD_34x1_5103x1_345_B_0" localSheetId="23" hidden="1">Prolink!$C$281</definedName>
    <definedName name="SD_34x1_5103x1_346_B_0" localSheetId="23" hidden="1">Prolink!$C$290</definedName>
    <definedName name="SD_34x1_5103x1_348_B_0" localSheetId="23" hidden="1">Prolink!$C$421</definedName>
    <definedName name="SD_34x1_5103x1_349_B_0" localSheetId="23" hidden="1">Prolink!$C$310</definedName>
    <definedName name="SD_34x1_5103x1_350_B_0" localSheetId="23" hidden="1">Prolink!$C$442</definedName>
    <definedName name="SD_34x1_5103x1_351_B_0" localSheetId="23" hidden="1">Prolink!$C$499</definedName>
    <definedName name="SD_34x1_5103x1_352_B_0" localSheetId="23" hidden="1">Prolink!$C$319</definedName>
    <definedName name="SD_34x1_5103x1_353_B_0" localSheetId="23" hidden="1">Prolink!$C$320</definedName>
    <definedName name="SD_34x1_5103x1_354_B_0" localSheetId="23" hidden="1">Prolink!$C$321</definedName>
    <definedName name="SD_34x1_5103x1_355_B_0" localSheetId="23" hidden="1">Prolink!$C$773</definedName>
    <definedName name="SD_34x1_5103x1_356_B_0" localSheetId="23" hidden="1">Prolink!$C$581</definedName>
    <definedName name="SD_34x1_5103x1_357_B_0" localSheetId="23" hidden="1">Prolink!$C$817</definedName>
    <definedName name="SD_34x1_5103x1_358_B_0" localSheetId="23" hidden="1">Prolink!$C$818</definedName>
    <definedName name="SD_34x1_5103x1_359_B_0" localSheetId="23" hidden="1">Prolink!$C$819</definedName>
    <definedName name="SD_34x1_5103x1_360_B_0" localSheetId="23" hidden="1">Prolink!$C$820</definedName>
    <definedName name="SD_34x1_5103x1_361_B_0" localSheetId="23" hidden="1">Prolink!$C$821</definedName>
    <definedName name="SD_34x1_5103x1_362_B_0" localSheetId="23" hidden="1">Prolink!$C$822</definedName>
    <definedName name="SD_34x1_5103x1_363_B_0" localSheetId="23" hidden="1">Prolink!$C$296</definedName>
    <definedName name="SD_34x1_5103x1_366_B_0" localSheetId="23" hidden="1">Prolink!$C$513</definedName>
    <definedName name="SD_34x1_5103x1_367_B_0" localSheetId="23" hidden="1">Prolink!$C$514</definedName>
    <definedName name="SD_34x1_5103x1_368_B_0" localSheetId="23" hidden="1">Prolink!$C$220</definedName>
    <definedName name="SD_34x1_5103x1_369_B_0" localSheetId="23" hidden="1">Prolink!$C$226</definedName>
    <definedName name="SD_34x1_5103x1_370_B_0" localSheetId="23" hidden="1">Prolink!$C$210</definedName>
    <definedName name="SD_34x1_5103x1_374_B_0" localSheetId="23" hidden="1">Prolink!$D$1354</definedName>
    <definedName name="SD_34x1_5103x1_375_B_0" localSheetId="23" hidden="1">Prolink!$D$1355</definedName>
    <definedName name="SD_34x1_5103x1_376_B_0" localSheetId="23" hidden="1">Prolink!$D$1356</definedName>
    <definedName name="SD_34x1_5103x1_377_B_0" localSheetId="23" hidden="1">Prolink!$D$1357</definedName>
    <definedName name="SD_34x1_5103x1_378_B_0" localSheetId="23" hidden="1">Prolink!$D$1358</definedName>
    <definedName name="SD_34x1_5103x1_379_B_0" localSheetId="23" hidden="1">Prolink!$D$1359</definedName>
    <definedName name="SD_34x1_5103x1_380_B_0" localSheetId="23" hidden="1">Prolink!$D$1360</definedName>
    <definedName name="SD_34x1_5103x1_381_B_0" localSheetId="23" hidden="1">Prolink!$D$1361</definedName>
    <definedName name="SD_34x1_5103x1_383_B_0" localSheetId="23" hidden="1">Prolink!$D$1366</definedName>
    <definedName name="SD_34x1_5103x1_384_B_0" localSheetId="23" hidden="1">Prolink!$D$1367</definedName>
    <definedName name="SD_34x1_5103x1_385_B_0" localSheetId="23" hidden="1">Prolink!$D$1368</definedName>
    <definedName name="SD_34x1_5103x1_386_B_0" localSheetId="23" hidden="1">Prolink!$D$1369</definedName>
    <definedName name="SD_34x1_5103x1_387_B_0" localSheetId="23" hidden="1">Prolink!$D$1370</definedName>
    <definedName name="SD_34x1_5103x1_390_B_0" localSheetId="23" hidden="1">Prolink!$D$1373</definedName>
    <definedName name="SD_34x1_5103x1_391_B_0" localSheetId="23" hidden="1">Prolink!$D$1375</definedName>
    <definedName name="SD_34x1_5103x1_392_B_0" localSheetId="23" hidden="1">Prolink!$D$1376</definedName>
    <definedName name="SD_34x1_5103x1_393_B_0" localSheetId="23" hidden="1">Prolink!$D$1377</definedName>
    <definedName name="SD_34x1_5103x1_394_B_0" localSheetId="23" hidden="1">Prolink!$D$1378</definedName>
    <definedName name="SD_34x1_5103x1_395_B_0" localSheetId="23" hidden="1">Prolink!$D$1379</definedName>
    <definedName name="SD_34x1_5103x1_396_B_0" localSheetId="23" hidden="1">Prolink!$D$1380</definedName>
    <definedName name="SD_34x1_5103x1_397_B_0" localSheetId="23" hidden="1">Prolink!$D$1384</definedName>
    <definedName name="SD_34x1_5103x1_398_B_0" localSheetId="23" hidden="1">Prolink!$D$1385</definedName>
    <definedName name="SD_34x1_5103x1_399_B_0" localSheetId="23" hidden="1">Prolink!$D$1386</definedName>
    <definedName name="SD_34x1_5103x1_400_B_0" localSheetId="23" hidden="1">Prolink!$D$1388</definedName>
    <definedName name="SD_34x1_5103x1_401_B_0" localSheetId="23" hidden="1">Prolink!$D$1389</definedName>
    <definedName name="SD_34x1_5103x1_402_B_0" localSheetId="23" hidden="1">Prolink!$D$1390</definedName>
    <definedName name="SD_34x1_5103x1_403_B_0" localSheetId="23" hidden="1">Prolink!$D$1391</definedName>
    <definedName name="SD_34x1_5103x1_404_B_0" localSheetId="23" hidden="1">Prolink!$D$1393</definedName>
    <definedName name="SD_34x1_5103x1_405_B_0" localSheetId="23" hidden="1">Prolink!$D$1394</definedName>
    <definedName name="SD_34x1_5103x1_406_B_0" localSheetId="23" hidden="1">Prolink!$D$1400</definedName>
    <definedName name="SD_34x1_5103x1_407_B_0" localSheetId="23" hidden="1">Prolink!$D$1402</definedName>
    <definedName name="SD_34x1_5103x1_408_B_0" localSheetId="23" hidden="1">Prolink!$D$1403</definedName>
    <definedName name="SD_34x1_5103x1_409_B_0" localSheetId="23" hidden="1">Prolink!$D$1404</definedName>
    <definedName name="SD_34x1_5103x1_410_B_0" localSheetId="23" hidden="1">Prolink!$D$1405</definedName>
    <definedName name="SD_34x1_5103x1_411_B_0" localSheetId="23" hidden="1">Prolink!$D$1406</definedName>
    <definedName name="SD_34x1_5103x1_412_B_0" localSheetId="23" hidden="1">Prolink!$D$1408</definedName>
    <definedName name="SD_34x1_5103x1_414_B_0" localSheetId="23" hidden="1">Prolink!$D$1411</definedName>
    <definedName name="SD_34x1_5103x1_419_B_0" localSheetId="23" hidden="1">Prolink!$D$1418</definedName>
    <definedName name="SD_34x1_5103x1_420_B_0" localSheetId="23" hidden="1">Prolink!$D$1362</definedName>
    <definedName name="SD_34x1_5103x1_421_B_0" localSheetId="23" hidden="1">Prolink!$D$1363</definedName>
    <definedName name="SD_34x1_5103x1_422_B_0" localSheetId="23" hidden="1">Prolink!$D$1364</definedName>
    <definedName name="SD_34x1_5103x1_426_B_0" localSheetId="23" hidden="1">Prolink!$D$1415</definedName>
    <definedName name="SD_34x1_5103x1_429_B_0" localSheetId="23" hidden="1">Prolink!$D$1419</definedName>
    <definedName name="SD_34x1_5103x1_430_B_0" localSheetId="23" hidden="1">Prolink!$D$1420</definedName>
    <definedName name="SD_34x1_5103x1_431_B_0" localSheetId="23" hidden="1">Prolink!$D$1427</definedName>
    <definedName name="SD_34x1_5103x1_432_B_0" localSheetId="23" hidden="1">Prolink!$D$1428</definedName>
    <definedName name="SD_34x1_5103x1_433_B_0" localSheetId="23" hidden="1">Prolink!$D$1429</definedName>
    <definedName name="SD_34x1_5103x1_434_B_0" localSheetId="23" hidden="1">Prolink!$D$1430</definedName>
    <definedName name="SD_34x1_5103x1_435_B_0" localSheetId="23" hidden="1">Prolink!$D$1435</definedName>
    <definedName name="SD_34x1_5103x1_436_B_0" localSheetId="23" hidden="1">Prolink!$D$1436</definedName>
    <definedName name="SD_34x1_5103x1_437_B_0" localSheetId="23" hidden="1">Prolink!$D$1438</definedName>
    <definedName name="SD_34x1_5103x1_438_B_0" localSheetId="23" hidden="1">Prolink!$D$1439</definedName>
    <definedName name="SD_34x1_5103x1_439_B_0" localSheetId="23" hidden="1">Prolink!$D$1440</definedName>
    <definedName name="SD_34x1_5103x1_440_B_0" localSheetId="23" hidden="1">Prolink!$D$1441</definedName>
    <definedName name="SD_34x1_5103x1_441_B_0" localSheetId="23" hidden="1">Prolink!$D$1442</definedName>
    <definedName name="SD_34x1_5103x1_443_B_0" localSheetId="23" hidden="1">Prolink!$D$1446</definedName>
    <definedName name="SD_34x1_5103x1_444_B_0" localSheetId="23" hidden="1">Prolink!$D$1447</definedName>
    <definedName name="SD_34x1_5103x1_445_B_0" localSheetId="23" hidden="1">Prolink!$D$1448</definedName>
    <definedName name="SD_34x1_5103x1_446_B_0" localSheetId="23" hidden="1">Prolink!$D$1449</definedName>
    <definedName name="SD_34x1_5103x1_447_B_0" localSheetId="23" hidden="1">Prolink!$D$1450</definedName>
    <definedName name="SD_34x1_5103x1_449_B_0" localSheetId="23" hidden="1">Prolink!$D$1371</definedName>
    <definedName name="SD_34x1_5103x1_450_B_0" localSheetId="23" hidden="1">Prolink!$D$1372</definedName>
    <definedName name="SD_34x1_5103x1_451_B_0" localSheetId="23" hidden="1">Prolink!$D$1387</definedName>
    <definedName name="SD_34x1_5103x1_452_B_0" localSheetId="23" hidden="1">Prolink!$D$1392</definedName>
    <definedName name="SD_34x1_5103x1_453_B_0" localSheetId="23" hidden="1">Prolink!$D$1410</definedName>
    <definedName name="SD_34x1_5103x1_454_B_0" localSheetId="23" hidden="1">Prolink!$D$1412</definedName>
    <definedName name="SD_34x1_5103x1_455_B_0" localSheetId="23" hidden="1">Prolink!$D$1413</definedName>
    <definedName name="SD_34x1_5103x1_456_B_0" localSheetId="23" hidden="1">Prolink!$D$1414</definedName>
    <definedName name="SD_34x1_5103x1_457_B_0" localSheetId="23" hidden="1">Prolink!$D$1417</definedName>
    <definedName name="SD_34x1_5103x1_458_B_0" localSheetId="23" hidden="1">Prolink!$D$1416</definedName>
    <definedName name="SD_34x1_5103x1_460_B_0" localSheetId="23" hidden="1">Prolink!$C$229</definedName>
    <definedName name="SD_34x1_5103x1_461_B_0" localSheetId="23" hidden="1">Prolink!$C$230</definedName>
    <definedName name="SD_34x1_5103x1_462_B_0" localSheetId="23" hidden="1">Prolink!$C$515</definedName>
    <definedName name="SD_34x1_5103x1_463_B_0" localSheetId="23" hidden="1">Prolink!$C$740</definedName>
    <definedName name="SD_34x1_5103x1_464_B_0" localSheetId="23" hidden="1">Prolink!$C$748</definedName>
    <definedName name="SD_34x1_5103x1_465_B_0" localSheetId="23" hidden="1">Prolink!$C$311</definedName>
    <definedName name="SD_34x1_5103x1_466_B_0" localSheetId="23" hidden="1">Prolink!$C$435</definedName>
    <definedName name="SD_34x1_5103x1_469_B_0" localSheetId="23" hidden="1">Prolink!$C$453</definedName>
    <definedName name="SD_34x1_5103x1_470_B_0" localSheetId="23" hidden="1">Prolink!$C$454</definedName>
    <definedName name="SD_34x1_5103x1_471_B_0" localSheetId="23" hidden="1">Prolink!$C$562</definedName>
    <definedName name="SD_34x1_5103x1_472_B_0" localSheetId="23" hidden="1">Prolink!$C$756</definedName>
    <definedName name="SD_34x1_5103x1_473_B_0" localSheetId="23" hidden="1">Prolink!$C$767</definedName>
    <definedName name="SD_34x1_5103x1_474_B_0" localSheetId="23" hidden="1">Prolink!$C$769</definedName>
    <definedName name="SD_34x1_5103x1_475_B_0" localSheetId="23" hidden="1">Prolink!$C$1071</definedName>
    <definedName name="SD_34x1_5103x1_476_B_0" localSheetId="23" hidden="1">Prolink!$C$1072</definedName>
    <definedName name="SD_34x1_5103x1_477_B_0" localSheetId="23" hidden="1">Prolink!$C$1073</definedName>
    <definedName name="SD_34x1_5103x1_478_B_0" localSheetId="23" hidden="1">Prolink!$C$450</definedName>
    <definedName name="SD_34x1_5103x1_479_B_0" localSheetId="23" hidden="1">Prolink!$C$516</definedName>
    <definedName name="SD_34x1_5103x1_519_B_0" localSheetId="23" hidden="1">Prolink!$A$157</definedName>
    <definedName name="SD_34x1_5103x1_520_B_0" localSheetId="23" hidden="1">Prolink!$A$158</definedName>
    <definedName name="SD_34x1_5103x1_521_B_0" localSheetId="23" hidden="1">Prolink!$A$159</definedName>
    <definedName name="SD_34x1_5103x1_522_B_0" localSheetId="23" hidden="1">Prolink!$A$168</definedName>
    <definedName name="SD_34x1_5103x1_523_B_0" localSheetId="23" hidden="1">Prolink!$A$169</definedName>
    <definedName name="SD_34x1_5103x1_524_B_0" localSheetId="23" hidden="1">Prolink!$A$170</definedName>
    <definedName name="SD_34x1_5103x1_525_B_0" localSheetId="23" hidden="1">Prolink!$A$171</definedName>
    <definedName name="SD_34x1_5103x1_526_B_0" localSheetId="23" hidden="1">Prolink!$A$181</definedName>
    <definedName name="SD_34x1_5103x1_527_B_0" localSheetId="23" hidden="1">Prolink!$A$182</definedName>
    <definedName name="SD_34x1_5103x1_528_B_0" localSheetId="23" hidden="1">Prolink!$A$183</definedName>
    <definedName name="SD_34x1_5103x1_529_B_0" localSheetId="23" hidden="1">Prolink!$A$189</definedName>
    <definedName name="SD_34x1_5103x1_530_B_0" localSheetId="23" hidden="1">Prolink!$A$190</definedName>
    <definedName name="SD_34x1_5103x1_531_B_0" localSheetId="23" hidden="1">Prolink!$A$360</definedName>
    <definedName name="SD_34x1_5103x1_532_B_0" localSheetId="23" hidden="1">Prolink!$A$361</definedName>
    <definedName name="SD_34x1_5103x1_533_B_0" localSheetId="23" hidden="1">Prolink!$A$362</definedName>
    <definedName name="SD_34x1_5103x1_534_B_0" localSheetId="23" hidden="1">Prolink!$A$374</definedName>
    <definedName name="SD_34x1_5103x1_535_B_0" localSheetId="23" hidden="1">Prolink!$A$375</definedName>
    <definedName name="SD_34x1_5103x1_536_B_0" localSheetId="23" hidden="1">Prolink!$A$376</definedName>
    <definedName name="SD_34x1_5103x1_537_B_0" localSheetId="23" hidden="1">Prolink!$A$393</definedName>
    <definedName name="SD_34x1_5103x1_538_B_0" localSheetId="23" hidden="1">Prolink!$A$394</definedName>
    <definedName name="SD_34x1_5103x1_539_B_0" localSheetId="23" hidden="1">Prolink!$A$406</definedName>
    <definedName name="SD_34x1_5103x1_540_B_0" localSheetId="23" hidden="1">Prolink!$A$407</definedName>
    <definedName name="SD_34x1_5103x1_541_B_0" localSheetId="23" hidden="1">Prolink!$A$408</definedName>
    <definedName name="SD_34x1_5103x1_542_B_0" localSheetId="23" hidden="1">Prolink!$A$423</definedName>
    <definedName name="SD_34x1_5103x1_543_B_0" localSheetId="23" hidden="1">Prolink!$A$424</definedName>
    <definedName name="SD_34x1_5103x1_544_B_0" localSheetId="23" hidden="1">Prolink!$A$425</definedName>
    <definedName name="SD_34x1_5103x1_545_B_0" localSheetId="23" hidden="1">Prolink!$A$429</definedName>
    <definedName name="SD_34x1_5103x1_546_B_0" localSheetId="23" hidden="1">Prolink!$A$430</definedName>
    <definedName name="SD_34x1_5103x1_547_B_0" localSheetId="23" hidden="1">Prolink!$A$431</definedName>
    <definedName name="SD_34x1_5103x1_548_B_0" localSheetId="23" hidden="1">Prolink!$C$541</definedName>
    <definedName name="SD_34x1_5103x1_549_B_0" localSheetId="23" hidden="1">Prolink!$C$544</definedName>
    <definedName name="SD_34x1_5103x1_550_B_0" localSheetId="23" hidden="1">Prolink!$C$545</definedName>
    <definedName name="SD_34x1_5103x1_551_B_0" localSheetId="23" hidden="1">Prolink!$C$548</definedName>
    <definedName name="SD_34x1_5103x1_552_B_0" localSheetId="23" hidden="1">Prolink!$C$549</definedName>
    <definedName name="SD_34x1_5103x1_553_B_0" localSheetId="23" hidden="1">Prolink!$C$542</definedName>
    <definedName name="SD_34x1_5103x1_554_B_0" localSheetId="23" hidden="1">Prolink!$C$543</definedName>
    <definedName name="SD_34x1_5103x1_555_B_0" localSheetId="23" hidden="1">Prolink!$C$546</definedName>
    <definedName name="SD_34x1_5103x1_556_B_0" localSheetId="23" hidden="1">Prolink!$C$547</definedName>
    <definedName name="SD_34x1_5103x1_558_B_0" localSheetId="23" hidden="1">Prolink!$C$571</definedName>
    <definedName name="SD_34x1_5103x1_559_B_0" localSheetId="23" hidden="1">Prolink!$C$572</definedName>
    <definedName name="SD_34x1_5103x1_560_B_0" localSheetId="23" hidden="1">Prolink!$C$299</definedName>
    <definedName name="SD_34x1_5103x1_565_B_0" localSheetId="23" hidden="1">Prolink!$C$7</definedName>
    <definedName name="SD_34x1_5103x1_567_B_0" localSheetId="23" hidden="1">Prolink!$C$13</definedName>
    <definedName name="SD_34x1_5103x1_568_B_0" localSheetId="23" hidden="1">Prolink!$C$197</definedName>
    <definedName name="SD_34x1_5103x1_569_B_0" localSheetId="23" hidden="1">Prolink!$C$198</definedName>
    <definedName name="SD_34x1_5103x1_570_B_0" localSheetId="23" hidden="1">Prolink!$C$199</definedName>
    <definedName name="SD_34x1_5103x1_571_B_0" localSheetId="23" hidden="1">Prolink!$C$200</definedName>
    <definedName name="SD_34x1_5103x1_572_B_0" localSheetId="23" hidden="1">Prolink!$C$201</definedName>
    <definedName name="SD_34x1_5103x1_573_B_0" localSheetId="23" hidden="1">Prolink!$C$202</definedName>
    <definedName name="SD_34x1_5103x1_574_B_0" localSheetId="23" hidden="1">Prolink!$C$212</definedName>
    <definedName name="SD_34x1_5103x1_575_B_0" localSheetId="23" hidden="1">Prolink!$C$213</definedName>
    <definedName name="SD_34x1_5103x1_576_B_0" localSheetId="23" hidden="1">Prolink!$C$205</definedName>
    <definedName name="SD_34x1_5103x1_577_B_0" localSheetId="23" hidden="1">Prolink!$C$12</definedName>
    <definedName name="SD_34x1_5103x1_578_B_0" localSheetId="23" hidden="1">Prolink!$C$322</definedName>
    <definedName name="SD_34x1_5103x1_579_B_0" localSheetId="23" hidden="1">Prolink!$C$323</definedName>
    <definedName name="SD_34x1_5103x1_580_B_0" localSheetId="23" hidden="1">Prolink!$C$324</definedName>
    <definedName name="SD_34x1_5103x1_581_B_0" localSheetId="23" hidden="1">Prolink!$C$14</definedName>
    <definedName name="SD_34x1_5103x1_583_B_0" localSheetId="23" hidden="1">Prolink!$C$19</definedName>
    <definedName name="SD_34x1_5103x1_584_B_0" localSheetId="23" hidden="1">Prolink!$C$20</definedName>
    <definedName name="SD_34x1_5103x1_585_B_0" localSheetId="23" hidden="1">Prolink!$C$21</definedName>
    <definedName name="SD_34x1_5103x1_587_B_0" localSheetId="23" hidden="1">Prolink!$C$26</definedName>
    <definedName name="SD_34x1_5103x1_588_B_0" localSheetId="23" hidden="1">Prolink!$C$27</definedName>
    <definedName name="SD_34x1_5103x1_589_B_0" localSheetId="23" hidden="1">Prolink!$C$28</definedName>
    <definedName name="SD_34x1_5103x1_591_B_0" localSheetId="23" hidden="1">Prolink!$C$33</definedName>
    <definedName name="SD_34x1_5103x1_592_B_0" localSheetId="23" hidden="1">Prolink!$C$34</definedName>
    <definedName name="SD_34x1_5103x1_593_B_0" localSheetId="23" hidden="1">Prolink!$C$35</definedName>
    <definedName name="SD_34x1_5103x1_595_B_0" localSheetId="23" hidden="1">Prolink!$C$40</definedName>
    <definedName name="SD_34x1_5103x1_596_B_0" localSheetId="23" hidden="1">Prolink!$C$41</definedName>
    <definedName name="SD_34x1_5103x1_597_B_0" localSheetId="23" hidden="1">Prolink!$C$42</definedName>
    <definedName name="SD_34x1_5103x1_599_B_0" localSheetId="23" hidden="1">Prolink!$C$47</definedName>
    <definedName name="SD_34x1_5103x1_600_B_0" localSheetId="23" hidden="1">Prolink!$C$48</definedName>
    <definedName name="SD_34x1_5103x1_601_B_0" localSheetId="23" hidden="1">Prolink!$C$49</definedName>
    <definedName name="SD_34x1_5103x1_603_B_0" localSheetId="23" hidden="1">Prolink!$C$54</definedName>
    <definedName name="SD_34x1_5103x1_604_B_0" localSheetId="23" hidden="1">Prolink!$C$55</definedName>
    <definedName name="SD_34x1_5103x1_605_B_0" localSheetId="23" hidden="1">Prolink!$C$56</definedName>
    <definedName name="SD_34x1_5103x1_607_B_0" localSheetId="23" hidden="1">Prolink!$C$61</definedName>
    <definedName name="SD_34x1_5103x1_608_B_0" localSheetId="23" hidden="1">Prolink!$C$62</definedName>
    <definedName name="SD_34x1_5103x1_609_B_0" localSheetId="23" hidden="1">Prolink!$C$63</definedName>
    <definedName name="SD_34x1_5103x1_611_B_0" localSheetId="23" hidden="1">Prolink!$C$68</definedName>
    <definedName name="SD_34x1_5103x1_612_B_0" localSheetId="23" hidden="1">Prolink!$C$69</definedName>
    <definedName name="SD_34x1_5103x1_613_B_0" localSheetId="23" hidden="1">Prolink!$C$70</definedName>
    <definedName name="SD_34x1_5103x1_615_B_0" localSheetId="23" hidden="1">Prolink!$C$75</definedName>
    <definedName name="SD_34x1_5103x1_616_B_0" localSheetId="23" hidden="1">Prolink!$C$76</definedName>
    <definedName name="SD_34x1_5103x1_617_B_0" localSheetId="23" hidden="1">Prolink!$C$77</definedName>
    <definedName name="SD_34x1_5103x1_619_B_0" localSheetId="23" hidden="1">Prolink!$C$82</definedName>
    <definedName name="SD_34x1_5103x1_620_B_0" localSheetId="23" hidden="1">Prolink!$C$83</definedName>
    <definedName name="SD_34x1_5103x1_621_B_0" localSheetId="23" hidden="1">Prolink!$C$84</definedName>
    <definedName name="SD_34x1_5103x1_623_B_0" localSheetId="23" hidden="1">Prolink!$C$89</definedName>
    <definedName name="SD_34x1_5103x1_624_B_0" localSheetId="23" hidden="1">Prolink!$C$90</definedName>
    <definedName name="SD_34x1_5103x1_625_B_0" localSheetId="23" hidden="1">Prolink!$C$91</definedName>
    <definedName name="SD_34x1_5103x1_627_B_0" localSheetId="23" hidden="1">Prolink!$C$96</definedName>
    <definedName name="SD_34x1_5103x1_628_B_0" localSheetId="23" hidden="1">Prolink!$C$97</definedName>
    <definedName name="SD_34x1_5103x1_629_B_0" localSheetId="23" hidden="1">Prolink!$C$98</definedName>
    <definedName name="SD_34x1_5103x1_631_B_0" localSheetId="23" hidden="1">Prolink!$C$103</definedName>
    <definedName name="SD_34x1_5103x1_632_B_0" localSheetId="23" hidden="1">Prolink!$C$104</definedName>
    <definedName name="SD_34x1_5103x1_633_B_0" localSheetId="23" hidden="1">Prolink!$C$105</definedName>
    <definedName name="SD_34x1_5103x1_635_B_0" localSheetId="23" hidden="1">Prolink!$C$110</definedName>
    <definedName name="SD_34x1_5103x1_636_B_0" localSheetId="23" hidden="1">Prolink!$C$111</definedName>
    <definedName name="SD_34x1_5103x1_637_B_0" localSheetId="23" hidden="1">Prolink!$C$217</definedName>
    <definedName name="SD_34x1_5103x1_638_B_0" localSheetId="23" hidden="1">Prolink!$D$1409</definedName>
    <definedName name="SD_34x1_5103x1_639_B_0" localSheetId="23" hidden="1">Prolink!$C$228</definedName>
    <definedName name="SD_34x1_5103x1_640_B_0" localSheetId="23" hidden="1">Prolink!$C$227</definedName>
    <definedName name="SD_34x1_5103x1_641_B_0" localSheetId="23" hidden="1">Prolink!$C$196</definedName>
    <definedName name="SD_34x1_5103x1_642_B_0" localSheetId="23" hidden="1">Prolink!$C$211</definedName>
    <definedName name="SD_34x1_5103x1_643_B_0" localSheetId="23" hidden="1">Prolink!$C$231</definedName>
    <definedName name="SD_34x1_5103x1_644_B_0" localSheetId="23" hidden="1">Prolink!$C$582</definedName>
    <definedName name="SD_34x1_5103x1_649_B_0" localSheetId="23" hidden="1">Prolink!$C$751</definedName>
    <definedName name="SD_34x1_5103x1_650_B_0" localSheetId="23" hidden="1">Prolink!$C$758</definedName>
    <definedName name="SD_34x1_5103x1_651_B_1" localSheetId="23" hidden="1">Prolink!$C$292</definedName>
    <definedName name="SD_34x1_5103x1_652_B_0" localSheetId="23" hidden="1">Prolink!$B$326</definedName>
    <definedName name="SD_34x1_5103x1_653_B_0" localSheetId="23" hidden="1">Prolink!$B$327</definedName>
    <definedName name="SD_34x1_5103x1_654_B_0" localSheetId="23" hidden="1">Prolink!$B$328</definedName>
    <definedName name="SD_34x1_5103x1_655_B_0" localSheetId="23" hidden="1">Prolink!$B$329</definedName>
    <definedName name="SD_34x1_5103x1_656_B_0" localSheetId="23" hidden="1">Prolink!$B$330</definedName>
    <definedName name="SD_34x1_5103x1_657_B_0" localSheetId="23" hidden="1">Prolink!$B$331</definedName>
    <definedName name="SD_34x1_5103x1_658_B_0" localSheetId="23" hidden="1">Prolink!$B$332</definedName>
    <definedName name="SD_34x1_5103x1_659_B_0" localSheetId="23" hidden="1">Prolink!$B$335</definedName>
    <definedName name="SD_34x1_5103x1_662_B_0" localSheetId="23" hidden="1">Prolink!$B$339</definedName>
    <definedName name="SD_34x1_5103x1_663_B_0" localSheetId="23" hidden="1">Prolink!$B$341</definedName>
    <definedName name="SD_34x1_5103x1_665_B_0" localSheetId="23" hidden="1">Prolink!$B$334</definedName>
    <definedName name="SD_34x1_5103x1_666_B_0" localSheetId="23" hidden="1">Prolink!$B$336</definedName>
    <definedName name="SD_34x1_5103x1_668_B_0" localSheetId="23" hidden="1">Prolink!$B$340</definedName>
    <definedName name="SD_34x1_5103x1_669_B_0" localSheetId="23" hidden="1">Prolink!$B$333</definedName>
    <definedName name="SD_34x1_5103x1_670_B_0" localSheetId="23" hidden="1">Prolink!$B$337</definedName>
    <definedName name="SD_34x1_5103x1_672_B_0" localSheetId="23" hidden="1">Prolink!$B$342</definedName>
    <definedName name="SD_34x1_5103x1_697_B_0" localSheetId="23" hidden="1">Prolink!$B$338</definedName>
    <definedName name="SD_34x1_5103x1_699_B_1" localSheetId="23" hidden="1">Prolink!$C$254</definedName>
    <definedName name="SD_34x1_5103x1_700_B_1" localSheetId="23" hidden="1">Prolink!$C$256</definedName>
    <definedName name="SD_34x1_5103x1_701_B_1" localSheetId="23" hidden="1">Prolink!$C$263</definedName>
    <definedName name="SD_34x1_5103x1_703_B_1" localSheetId="23" hidden="1">Prolink!$C$264</definedName>
    <definedName name="SD_34x1_5103x1_704_B_0" localSheetId="23" hidden="1">Prolink!$B$343</definedName>
    <definedName name="SD_34x1_5103x1_706_B_0" localSheetId="23" hidden="1">Prolink!$C$261</definedName>
    <definedName name="SD_34x1_5103x1_709_B_0" localSheetId="23" hidden="1">Prolink!$C$262</definedName>
    <definedName name="SD_34x1_5103x1_710_B_0" localSheetId="23" hidden="1">Prolink!$C$276</definedName>
    <definedName name="SD_34x1_5103x1_711_B_0" localSheetId="23" hidden="1">Prolink!$C$277</definedName>
    <definedName name="SD_34x1_5103x1_712_B_0" localSheetId="23" hidden="1">Prolink!$C$278</definedName>
    <definedName name="SD_34x1_5103x1_713_B_0" localSheetId="23" hidden="1">Prolink!$C$275</definedName>
    <definedName name="SD_34x1_5103x1_714_B_0" localSheetId="23" hidden="1">Prolink!$D$1421</definedName>
    <definedName name="SD_34x1_5103x1_715_B_0" localSheetId="23" hidden="1">Prolink!$D$1422</definedName>
    <definedName name="SD_34x1_5103x1_716_B_0" localSheetId="23" hidden="1">Prolink!$C$112</definedName>
    <definedName name="SD_34x1_5103x1_717_B_0" localSheetId="23" hidden="1">Prolink!$C$113</definedName>
    <definedName name="SD_34x1_5103x1_718_B_0" localSheetId="23" hidden="1">Prolink!$C$114</definedName>
    <definedName name="SD_34x1_5103x1_719_B_0" localSheetId="23" hidden="1">Prolink!$C$115</definedName>
    <definedName name="SD_34x1_5103x1_720_B_0" localSheetId="23" hidden="1">Prolink!$C$116</definedName>
    <definedName name="SD_34x1_5103x1_721_B_0" localSheetId="23" hidden="1">Prolink!$C$117</definedName>
    <definedName name="SD_34x1_5103x1_722_B_0" localSheetId="23" hidden="1">Prolink!$C$118</definedName>
    <definedName name="SD_34x1_5103x1_723_B_0" localSheetId="23" hidden="1">Prolink!$C$119</definedName>
    <definedName name="SD_34x1_5103x1_724_B_0" localSheetId="23" hidden="1">Prolink!$C$120</definedName>
    <definedName name="SD_34x1_5103x1_725_B_0" localSheetId="23" hidden="1">Prolink!$C$121</definedName>
    <definedName name="SD_34x1_5103x1_726_B_0" localSheetId="23" hidden="1">Prolink!$C$122</definedName>
    <definedName name="SD_34x1_5103x1_727_B_0" localSheetId="23" hidden="1">Prolink!$C$123</definedName>
    <definedName name="SD_34x1_5103x1_728_B_0" localSheetId="23" hidden="1">Prolink!$C$124</definedName>
    <definedName name="SD_34x1_5103x1_729_B_0" localSheetId="23" hidden="1">Prolink!$C$125</definedName>
    <definedName name="SD_34x1_5103x1_730_B_0" localSheetId="23" hidden="1">Prolink!$C$126</definedName>
    <definedName name="SD_34x1_5103x1_731_B_0" localSheetId="23" hidden="1">Prolink!$C$127</definedName>
    <definedName name="SD_34x1_5103x1_732_B_0" localSheetId="23" hidden="1">Prolink!$C$128</definedName>
    <definedName name="SD_34x1_5103x1_733_B_0" localSheetId="23" hidden="1">Prolink!$C$129</definedName>
    <definedName name="SD_34x1_5103x1_734_B_0" localSheetId="23" hidden="1">Prolink!$C$130</definedName>
    <definedName name="SD_34x1_5103x1_735_B_0" localSheetId="23" hidden="1">Prolink!$C$131</definedName>
    <definedName name="SD_34x1_5103x1_736_B_0" localSheetId="23" hidden="1">Prolink!$C$132</definedName>
    <definedName name="SD_34x1_5103x1_737_B_0" localSheetId="23" hidden="1">Prolink!$C$133</definedName>
    <definedName name="SD_34x1_5103x1_738_B_0" localSheetId="23" hidden="1">Prolink!$C$134</definedName>
    <definedName name="SD_34x1_5103x1_739_B_0" localSheetId="23" hidden="1">Prolink!$C$135</definedName>
    <definedName name="SD_34x1_5103x1_740_B_0" localSheetId="23" hidden="1">Prolink!$C$136</definedName>
    <definedName name="SD_34x1_5103x1_741_B_0" localSheetId="23" hidden="1">Prolink!$C$137</definedName>
    <definedName name="SD_34x1_5103x1_742_B_0" localSheetId="23" hidden="1">Prolink!$C$138</definedName>
    <definedName name="SD_34x1_5103x1_743_B_0" localSheetId="23" hidden="1">Prolink!$C$139</definedName>
    <definedName name="SD_34x1_5103x1_744_B_0" localSheetId="23" hidden="1">Prolink!$C$140</definedName>
    <definedName name="SD_34x1_5103x1_745_B_0" localSheetId="23" hidden="1">Prolink!$C$141</definedName>
    <definedName name="SD_34x1_5103x1_746_B_0" localSheetId="23" hidden="1">Prolink!$C$142</definedName>
    <definedName name="SD_34x1_5103x1_747_B_0" localSheetId="23" hidden="1">Prolink!$C$143</definedName>
    <definedName name="SD_34x1_5103x1_748_B_0" localSheetId="23" hidden="1">Prolink!$C$144</definedName>
    <definedName name="SD_34x1_5103x1_749_B_0" localSheetId="23" hidden="1">Prolink!$C$145</definedName>
    <definedName name="SD_34x1_5103x1_750_B_0" localSheetId="23" hidden="1">Prolink!$C$146</definedName>
    <definedName name="SD_34x1_5103x1_752_B_0" localSheetId="23" hidden="1">Prolink!$C$599</definedName>
    <definedName name="SD_34x1_5103x1_753_B_0" localSheetId="23" hidden="1">Prolink!$C$600</definedName>
    <definedName name="SD_34x1_5103x1_754_B_0" localSheetId="23" hidden="1">Prolink!$C$601</definedName>
    <definedName name="SD_34x1_5103x1_755_B_0" localSheetId="23" hidden="1">Prolink!$C$602</definedName>
    <definedName name="SD_34x1_5103x1_756_B_0" localSheetId="23" hidden="1">Prolink!$C$603</definedName>
    <definedName name="SD_34x1_5103x1_759_B_0" localSheetId="23" hidden="1">Prolink!$C$604</definedName>
    <definedName name="SD_34x1_5103x1_760_B_0" localSheetId="23" hidden="1">Prolink!$C$605</definedName>
    <definedName name="SD_34x1_5103x1_761_B_0" localSheetId="23" hidden="1">Prolink!$C$606</definedName>
    <definedName name="SD_34x1_5103x1_762_B_0" localSheetId="23" hidden="1">Prolink!$C$607</definedName>
    <definedName name="SD_34x1_5103x1_763_B_0" localSheetId="23" hidden="1">Prolink!$C$608</definedName>
    <definedName name="SD_34x1_5103x1_766_B_0" localSheetId="23" hidden="1">Prolink!$C$609</definedName>
    <definedName name="SD_34x1_5103x1_767_B_0" localSheetId="23" hidden="1">Prolink!$C$610</definedName>
    <definedName name="SD_34x1_5103x1_768_B_0" localSheetId="23" hidden="1">Prolink!$C$611</definedName>
    <definedName name="SD_34x1_5103x1_769_B_0" localSheetId="23" hidden="1">Prolink!$C$612</definedName>
    <definedName name="SD_34x1_5103x1_770_B_0" localSheetId="23" hidden="1">Prolink!$C$613</definedName>
    <definedName name="SD_34x1_5103x1_773_B_0" localSheetId="23" hidden="1">Prolink!$C$614</definedName>
    <definedName name="SD_34x1_5103x1_774_B_0" localSheetId="23" hidden="1">Prolink!$C$615</definedName>
    <definedName name="SD_34x1_5103x1_775_B_0" localSheetId="23" hidden="1">Prolink!$C$616</definedName>
    <definedName name="SD_34x1_5103x1_776_B_0" localSheetId="23" hidden="1">Prolink!$C$617</definedName>
    <definedName name="SD_34x1_5103x1_777_B_0" localSheetId="23" hidden="1">Prolink!$C$618</definedName>
    <definedName name="SD_34x1_5103x1_780_B_0" localSheetId="23" hidden="1">Prolink!$C$622</definedName>
    <definedName name="SD_34x1_5103x1_781_B_0" localSheetId="23" hidden="1">Prolink!$C$623</definedName>
    <definedName name="SD_34x1_5103x1_782_B_0" localSheetId="23" hidden="1">Prolink!$C$624</definedName>
    <definedName name="SD_34x1_5103x1_783_B_0" localSheetId="23" hidden="1">Prolink!$C$625</definedName>
    <definedName name="SD_34x1_5103x1_784_B_0" localSheetId="23" hidden="1">Prolink!$C$626</definedName>
    <definedName name="SD_34x1_5103x1_787_B_0" localSheetId="23" hidden="1">Prolink!$C$627</definedName>
    <definedName name="SD_34x1_5103x1_788_B_0" localSheetId="23" hidden="1">Prolink!$C$628</definedName>
    <definedName name="SD_34x1_5103x1_789_B_0" localSheetId="23" hidden="1">Prolink!$C$629</definedName>
    <definedName name="SD_34x1_5103x1_790_B_0" localSheetId="23" hidden="1">Prolink!$C$630</definedName>
    <definedName name="SD_34x1_5103x1_791_B_0" localSheetId="23" hidden="1">Prolink!$C$631</definedName>
    <definedName name="SD_34x1_5103x1_794_B_0" localSheetId="23" hidden="1">Prolink!$C$643</definedName>
    <definedName name="SD_34x1_5103x1_795_B_0" localSheetId="23" hidden="1">Prolink!$C$644</definedName>
    <definedName name="SD_34x1_5103x1_796_B_0" localSheetId="23" hidden="1">Prolink!$C$645</definedName>
    <definedName name="SD_34x1_5103x1_797_B_0" localSheetId="23" hidden="1">Prolink!$C$646</definedName>
    <definedName name="SD_34x1_5103x1_798_B_0" localSheetId="23" hidden="1">Prolink!$C$647</definedName>
    <definedName name="SD_34x1_5103x1_801_B_0" localSheetId="23" hidden="1">Prolink!$C$648</definedName>
    <definedName name="SD_34x1_5103x1_802_B_0" localSheetId="23" hidden="1">Prolink!$C$649</definedName>
    <definedName name="SD_34x1_5103x1_803_B_0" localSheetId="23" hidden="1">Prolink!$C$650</definedName>
    <definedName name="SD_34x1_5103x1_804_B_0" localSheetId="23" hidden="1">Prolink!$C$651</definedName>
    <definedName name="SD_34x1_5103x1_805_B_0" localSheetId="23" hidden="1">Prolink!$C$652</definedName>
    <definedName name="SD_34x1_5103x1_808_B_0" localSheetId="23" hidden="1">Prolink!$C$653</definedName>
    <definedName name="SD_34x1_5103x1_809_B_0" localSheetId="23" hidden="1">Prolink!$C$654</definedName>
    <definedName name="SD_34x1_5103x1_810_B_0" localSheetId="23" hidden="1">Prolink!$C$655</definedName>
    <definedName name="SD_34x1_5103x1_811_B_0" localSheetId="23" hidden="1">Prolink!$C$656</definedName>
    <definedName name="SD_34x1_5103x1_812_B_0" localSheetId="23" hidden="1">Prolink!$C$657</definedName>
    <definedName name="SD_34x1_5103x1_815_B_0" localSheetId="23" hidden="1">Prolink!$C$658</definedName>
    <definedName name="SD_34x1_5103x1_816_B_0" localSheetId="23" hidden="1">Prolink!$C$659</definedName>
    <definedName name="SD_34x1_5103x1_817_B_0" localSheetId="23" hidden="1">Prolink!$C$660</definedName>
    <definedName name="SD_34x1_5103x1_818_B_0" localSheetId="23" hidden="1">Prolink!$C$661</definedName>
    <definedName name="SD_34x1_5103x1_819_B_0" localSheetId="23" hidden="1">Prolink!$C$662</definedName>
    <definedName name="SD_34x1_5103x1_822_B_0" localSheetId="23" hidden="1">Prolink!$C$663</definedName>
    <definedName name="SD_34x1_5103x1_823_B_0" localSheetId="23" hidden="1">Prolink!$C$664</definedName>
    <definedName name="SD_34x1_5103x1_824_B_0" localSheetId="23" hidden="1">Prolink!$C$665</definedName>
    <definedName name="SD_34x1_5103x1_825_B_0" localSheetId="23" hidden="1">Prolink!$C$666</definedName>
    <definedName name="SD_34x1_5103x1_826_B_0" localSheetId="23" hidden="1">Prolink!$C$667</definedName>
    <definedName name="SD_34x1_5103x1_829_B_0" localSheetId="23" hidden="1">Prolink!$C$668</definedName>
    <definedName name="SD_34x1_5103x1_830_B_0" localSheetId="23" hidden="1">Prolink!$C$669</definedName>
    <definedName name="SD_34x1_5103x1_831_B_0" localSheetId="23" hidden="1">Prolink!$C$670</definedName>
    <definedName name="SD_34x1_5103x1_832_B_0" localSheetId="23" hidden="1">Prolink!$C$671</definedName>
    <definedName name="SD_34x1_5103x1_833_B_0" localSheetId="23" hidden="1">Prolink!$C$672</definedName>
    <definedName name="SD_34x1_5103x1_836_B_0" localSheetId="23" hidden="1">Prolink!$C$673</definedName>
    <definedName name="SD_34x1_5103x1_837_B_0" localSheetId="23" hidden="1">Prolink!$C$674</definedName>
    <definedName name="SD_34x1_5103x1_838_B_0" localSheetId="23" hidden="1">Prolink!$C$675</definedName>
    <definedName name="SD_34x1_5103x1_839_B_0" localSheetId="23" hidden="1">Prolink!$C$676</definedName>
    <definedName name="SD_34x1_5103x1_840_B_0" localSheetId="23" hidden="1">Prolink!$C$677</definedName>
    <definedName name="SD_34x1_5103x1_843_B_0" localSheetId="23" hidden="1">Prolink!$C$678</definedName>
    <definedName name="SD_34x1_5103x1_844_B_0" localSheetId="23" hidden="1">Prolink!$C$679</definedName>
    <definedName name="SD_34x1_5103x1_845_B_0" localSheetId="23" hidden="1">Prolink!$C$680</definedName>
    <definedName name="SD_34x1_5103x1_846_B_0" localSheetId="23" hidden="1">Prolink!$C$681</definedName>
    <definedName name="SD_34x1_5103x1_847_B_0" localSheetId="23" hidden="1">Prolink!$C$682</definedName>
    <definedName name="SD_34x1_5103x1_850_B_0" localSheetId="23" hidden="1">Prolink!$C$222</definedName>
    <definedName name="SD_34x1_5103x1_851_B_0" localSheetId="23" hidden="1">Prolink!$C$224</definedName>
    <definedName name="SD_34x1_5103x1_852_B_0" localSheetId="23" hidden="1">Prolink!$C$223</definedName>
    <definedName name="SD_34x1_5103x1_853_B_0" localSheetId="23" hidden="1">Prolink!$C$225</definedName>
    <definedName name="SD_34x1_5103x1_854_B_0" localSheetId="23" hidden="1">Prolink!$C$583</definedName>
    <definedName name="SD_34x1_5103x1_855_B_0" localSheetId="23" hidden="1">Prolink!$C$584</definedName>
    <definedName name="SD_34x1_5103x1_856_B_0" localSheetId="23" hidden="1">Prolink!$C$585</definedName>
    <definedName name="SD_34x1_5103x1_857_B_0" localSheetId="23" hidden="1">Prolink!$C$586</definedName>
    <definedName name="SD_34x1_5103x1_858_B_0" localSheetId="23" hidden="1">Prolink!$C$587</definedName>
    <definedName name="SD_34x1_5103x1_861_B_0" localSheetId="23" hidden="1">Prolink!$C$591</definedName>
    <definedName name="SD_34x1_5103x1_862_B_0" localSheetId="23" hidden="1">Prolink!$C$592</definedName>
    <definedName name="SD_34x1_5103x1_863_B_0" localSheetId="23" hidden="1">Prolink!$C$593</definedName>
    <definedName name="SD_34x1_5103x1_864_B_0" localSheetId="23" hidden="1">Prolink!$C$594</definedName>
    <definedName name="SD_34x1_5103x1_865_B_0" localSheetId="23" hidden="1">Prolink!$C$595</definedName>
    <definedName name="SD_34x1_5103x1_870_B_0" localSheetId="23" hidden="1">Prolink!$C$221</definedName>
    <definedName name="SD_34x1_5103x1_874_B_0" localSheetId="23" hidden="1">Prolink!$C$282</definedName>
    <definedName name="SD_34x1_5103x1_875_B_0" localSheetId="23" hidden="1">Prolink!$C$683</definedName>
    <definedName name="SD_34x1_5103x1_876_B_0" localSheetId="23" hidden="1">Prolink!$C$684</definedName>
    <definedName name="SD_34x1_5103x1_877_B_0" localSheetId="23" hidden="1">Prolink!$C$685</definedName>
    <definedName name="SD_34x1_5103x1_878_B_0" localSheetId="23" hidden="1">Prolink!$C$687</definedName>
    <definedName name="SD_34x1_5103x1_879_B_0" localSheetId="23" hidden="1">Prolink!$C$686</definedName>
    <definedName name="SD_34x1_5103x1_880_B_1" localSheetId="23" hidden="1">Prolink!$C$255</definedName>
    <definedName name="SD_34x1_5103x1_882_B_1" localSheetId="23" hidden="1">Prolink!$C$257</definedName>
    <definedName name="SD_34x1_5103x1_883_B_1" localSheetId="23" hidden="1">Prolink!$C$259</definedName>
    <definedName name="SD_34x1_5103x1_884_B_1" localSheetId="23" hidden="1">Prolink!$C$260</definedName>
    <definedName name="SD_34x1_5103x1_886_B_0" localSheetId="23" hidden="1">Prolink!$C$550</definedName>
    <definedName name="SD_34x1_5103x1_887_B_0" localSheetId="23" hidden="1">Prolink!$C$551</definedName>
    <definedName name="SD_34x1_5103x1_888_B_0" localSheetId="23" hidden="1">Prolink!$C$564</definedName>
    <definedName name="SD_34x1_5103x1_889_B_0" localSheetId="23" hidden="1">Prolink!$C$565</definedName>
    <definedName name="SD_34x1_5103x1_890_B_0" localSheetId="23" hidden="1">Prolink!$C$589</definedName>
    <definedName name="SD_34x1_5103x1_891_B_0" localSheetId="23" hidden="1">Prolink!$C$590</definedName>
    <definedName name="SD_34x1_5103x1_892_B_0" localSheetId="23" hidden="1">Prolink!$C$597</definedName>
    <definedName name="SD_34x1_5103x1_893_B_0" localSheetId="23" hidden="1">Prolink!$C$598</definedName>
    <definedName name="SD_34x1_5103x1_894_B_0" localSheetId="23" hidden="1">Prolink!$C$620</definedName>
    <definedName name="SD_34x1_5103x1_895_B_0" localSheetId="23" hidden="1">Prolink!$C$621</definedName>
    <definedName name="SD_34x1_5103x1_896_B_0" localSheetId="23" hidden="1">Prolink!$C$632</definedName>
    <definedName name="SD_34x1_5103x1_897_B_0" localSheetId="23" hidden="1">Prolink!$C$633</definedName>
    <definedName name="SD_34x1_5103x1_898_B_0" localSheetId="23" hidden="1">Prolink!$C$634</definedName>
    <definedName name="SD_34x1_5103x1_899_B_0" localSheetId="23" hidden="1">Prolink!$C$635</definedName>
    <definedName name="SD_34x1_5103x1_900_B_0" localSheetId="23" hidden="1">Prolink!$C$636</definedName>
    <definedName name="SD_34x1_5103x1_901_B_0" localSheetId="23" hidden="1">Prolink!$C$638</definedName>
    <definedName name="SD_34x1_5103x1_902_B_0" localSheetId="23" hidden="1">Prolink!$C$639</definedName>
    <definedName name="SD_34x1_5103x1_903_B_0" localSheetId="23" hidden="1">Prolink!$C$640</definedName>
    <definedName name="SD_34x1_5103x1_904_B_0" localSheetId="23" hidden="1">Prolink!$C$641</definedName>
    <definedName name="SD_34x1_5103x1_905_B_0" localSheetId="23" hidden="1">Prolink!$C$642</definedName>
    <definedName name="SD_34x1_5103x1_906_B_0" localSheetId="23" hidden="1">Prolink!$C$689</definedName>
    <definedName name="SD_34x1_5103x1_907_B_0" localSheetId="23" hidden="1">Prolink!$C$690</definedName>
    <definedName name="SD_34x1_5103x1_908_B_0" localSheetId="23" hidden="1">Prolink!$C$8</definedName>
    <definedName name="SD_34x1_5103x1_909_B_0" localSheetId="23" hidden="1">Prolink!$C$16</definedName>
    <definedName name="SD_34x1_5103x1_910_B_1" localSheetId="23" hidden="1">Prolink!$C$258</definedName>
    <definedName name="SD_34x1_5103x1_911_B_0" localSheetId="23" hidden="1">Prolink!$C$293</definedName>
    <definedName name="SD_34x1_5103x1_912_B_0" localSheetId="23" hidden="1">Prolink!$C$15</definedName>
    <definedName name="SD_34x1_5103x1_913_B_0" localSheetId="23" hidden="1">Prolink!$C$22</definedName>
    <definedName name="SD_34x1_5103x1_914_B_0" localSheetId="23" hidden="1">Prolink!$C$29</definedName>
    <definedName name="SD_34x1_5103x1_915_B_0" localSheetId="23" hidden="1">Prolink!$C$36</definedName>
    <definedName name="SD_34x1_5103x1_916_B_0" localSheetId="23" hidden="1">Prolink!$C$43</definedName>
    <definedName name="SD_34x1_5103x1_917_B_0" localSheetId="23" hidden="1">Prolink!$C$50</definedName>
    <definedName name="SD_34x1_5103x1_918_B_0" localSheetId="23" hidden="1">Prolink!$C$57</definedName>
    <definedName name="SD_34x1_5103x1_919_B_0" localSheetId="23" hidden="1">Prolink!$C$64</definedName>
    <definedName name="SD_34x1_5103x1_920_B_0" localSheetId="23" hidden="1">Prolink!$C$71</definedName>
    <definedName name="SD_34x1_5103x1_921_B_0" localSheetId="23" hidden="1">Prolink!$C$78</definedName>
    <definedName name="SD_34x1_5103x1_922_B_0" localSheetId="23" hidden="1">Prolink!$C$85</definedName>
    <definedName name="SD_34x1_5103x1_923_B_0" localSheetId="23" hidden="1">Prolink!$C$92</definedName>
    <definedName name="SD_34x1_5103x1_924_B_0" localSheetId="23" hidden="1">Prolink!$C$99</definedName>
    <definedName name="SD_34x1_5103x1_925_B_0" localSheetId="23" hidden="1">Prolink!$C$9</definedName>
    <definedName name="SD_34x1_5103x1_926_B_0" localSheetId="23" hidden="1">Prolink!$C$23</definedName>
    <definedName name="SD_34x1_5103x1_927_B_0" localSheetId="23" hidden="1">Prolink!$C$30</definedName>
    <definedName name="SD_34x1_5103x1_928_B_0" localSheetId="23" hidden="1">Prolink!$C$37</definedName>
    <definedName name="SD_34x1_5103x1_929_B_0" localSheetId="23" hidden="1">Prolink!$C$44</definedName>
    <definedName name="SD_34x1_5103x1_930_B_0" localSheetId="23" hidden="1">Prolink!$C$51</definedName>
    <definedName name="SD_34x1_5103x1_931_B_0" localSheetId="23" hidden="1">Prolink!$C$58</definedName>
    <definedName name="SD_34x1_5103x1_932_B_0" localSheetId="23" hidden="1">Prolink!$C$65</definedName>
    <definedName name="SD_34x1_5103x1_933_B_0" localSheetId="23" hidden="1">Prolink!$C$72</definedName>
    <definedName name="SD_34x1_5103x1_934_B_0" localSheetId="23" hidden="1">Prolink!$C$79</definedName>
    <definedName name="SD_34x1_5103x1_935_B_0" localSheetId="23" hidden="1">Prolink!$C$86</definedName>
    <definedName name="SD_34x1_5103x1_936_B_0" localSheetId="23" hidden="1">Prolink!$C$93</definedName>
    <definedName name="SD_34x1_5103x1_937_B_0" localSheetId="23" hidden="1">Prolink!$C$100</definedName>
    <definedName name="SD_34x1_5103x1_938_B_0" localSheetId="23" hidden="1">Prolink!$C$10</definedName>
    <definedName name="SD_34x1_5103x1_939_B_0" localSheetId="23" hidden="1">Prolink!$C$17</definedName>
    <definedName name="SD_34x1_5103x1_940_B_0" localSheetId="23" hidden="1">Prolink!$C$24</definedName>
    <definedName name="SD_34x1_5103x1_941_B_0" localSheetId="23" hidden="1">Prolink!$C$31</definedName>
    <definedName name="SD_34x1_5103x1_942_B_0" localSheetId="23" hidden="1">Prolink!$C$38</definedName>
    <definedName name="SD_34x1_5103x1_943_B_0" localSheetId="23" hidden="1">Prolink!$C$45</definedName>
    <definedName name="SD_34x1_5103x1_944_B_0" localSheetId="23" hidden="1">Prolink!$C$52</definedName>
    <definedName name="SD_34x1_5103x1_945_B_0" localSheetId="23" hidden="1">Prolink!$C$59</definedName>
    <definedName name="SD_34x1_5103x1_946_B_0" localSheetId="23" hidden="1">Prolink!$C$66</definedName>
    <definedName name="SD_34x1_5103x1_947_B_0" localSheetId="23" hidden="1">Prolink!$C$73</definedName>
    <definedName name="SD_34x1_5103x1_948_B_0" localSheetId="23" hidden="1">Prolink!$C$80</definedName>
    <definedName name="SD_34x1_5103x1_949_B_0" localSheetId="23" hidden="1">Prolink!$C$87</definedName>
    <definedName name="SD_34x1_5103x1_950_B_0" localSheetId="23" hidden="1">Prolink!$C$94</definedName>
    <definedName name="SD_34x1_5103x1_951_B_0" localSheetId="23" hidden="1">Prolink!$C$101</definedName>
    <definedName name="SD_34x1_5103x1_952_B_0" localSheetId="23" hidden="1">Prolink!$C$11</definedName>
    <definedName name="SD_34x1_5103x1_953_B_0" localSheetId="23" hidden="1">Prolink!$C$18</definedName>
    <definedName name="SD_34x1_5103x1_954_B_0" localSheetId="23" hidden="1">Prolink!$C$25</definedName>
    <definedName name="SD_34x1_5103x1_955_B_0" localSheetId="23" hidden="1">Prolink!$C$32</definedName>
    <definedName name="SD_34x1_5103x1_956_B_0" localSheetId="23" hidden="1">Prolink!$C$39</definedName>
    <definedName name="SD_34x1_5103x1_957_B_0" localSheetId="23" hidden="1">Prolink!$C$46</definedName>
    <definedName name="SD_34x1_5103x1_958_B_0" localSheetId="23" hidden="1">Prolink!$C$53</definedName>
    <definedName name="SD_34x1_5103x1_959_B_0" localSheetId="23" hidden="1">Prolink!$C$60</definedName>
    <definedName name="SD_34x1_5103x1_960_B_0" localSheetId="23" hidden="1">Prolink!$C$67</definedName>
    <definedName name="SD_34x1_5103x1_961_B_0" localSheetId="23" hidden="1">Prolink!$C$74</definedName>
    <definedName name="SD_34x1_5103x1_962_B_0" localSheetId="23" hidden="1">Prolink!$C$81</definedName>
    <definedName name="SD_34x1_5103x1_963_B_0" localSheetId="23" hidden="1">Prolink!$C$88</definedName>
    <definedName name="SD_34x1_5103x1_964_B_0" localSheetId="23" hidden="1">Prolink!$C$95</definedName>
    <definedName name="SD_34x1_5103x1_965_B_0" localSheetId="23" hidden="1">Prolink!$C$102</definedName>
    <definedName name="SD_34x1_5103x1_966_B_0" localSheetId="23" hidden="1">Prolink!$C$106</definedName>
    <definedName name="SD_34x1_5103x1_967_B_0" localSheetId="23" hidden="1">Prolink!$C$107</definedName>
    <definedName name="SD_34x1_5103x1_968_B_0" localSheetId="23" hidden="1">Prolink!$C$108</definedName>
    <definedName name="SD_34x1_5103x1_969_B_0" localSheetId="23" hidden="1">Prolink!$C$109</definedName>
    <definedName name="SD_34x1_5103x1_972_B_0" localSheetId="23" hidden="1">Prolink!$C$799</definedName>
    <definedName name="SD_34x1_511_B_0" localSheetId="23" hidden="1">Prolink!$C$494</definedName>
    <definedName name="SD_34x1_512_B_1" localSheetId="23" hidden="1">Prolink!$C$557</definedName>
    <definedName name="SD_34x1_5155x1_10_B_0" localSheetId="23" hidden="1">Prolink!$D$869</definedName>
    <definedName name="SD_34x1_5155x1_21_B_1" localSheetId="23" hidden="1">Prolink!$E$869</definedName>
    <definedName name="SD_34x1_5155x1_7_B_0" localSheetId="23" hidden="1">Prolink!$C$869</definedName>
    <definedName name="SD_34x1_5155x2_10_B_0" localSheetId="23" hidden="1">Prolink!$D$870</definedName>
    <definedName name="SD_34x1_5155x2_21_B_1" localSheetId="23" hidden="1">Prolink!$E$870</definedName>
    <definedName name="SD_34x1_5155x2_7_B_0" localSheetId="23" hidden="1">Prolink!$C$870</definedName>
    <definedName name="SD_34x1_5155x3_10_B_0" localSheetId="23" hidden="1">Prolink!$D$871</definedName>
    <definedName name="SD_34x1_5155x3_21_B_1" localSheetId="23" hidden="1">Prolink!$E$871</definedName>
    <definedName name="SD_34x1_5155x3_7_B_0" localSheetId="23" hidden="1">Prolink!$C$871</definedName>
    <definedName name="SD_34x1_5155x4_10_B_0" localSheetId="23" hidden="1">Prolink!$D$872</definedName>
    <definedName name="SD_34x1_5155x4_21_B_1" localSheetId="23" hidden="1">Prolink!$E$872</definedName>
    <definedName name="SD_34x1_5155x4_7_B_0" localSheetId="23" hidden="1">Prolink!$C$872</definedName>
    <definedName name="SD_34x1_5155x5_10_B_0" localSheetId="23" hidden="1">Prolink!$D$873</definedName>
    <definedName name="SD_34x1_5155x5_21_B_1" localSheetId="23" hidden="1">Prolink!$E$873</definedName>
    <definedName name="SD_34x1_5155x5_7_B_0" localSheetId="23" hidden="1">Prolink!$C$873</definedName>
    <definedName name="SD_34x1_5155x6_10_B_0" localSheetId="23" hidden="1">Prolink!$D$874</definedName>
    <definedName name="SD_34x1_5155x6_21_B_1" localSheetId="23" hidden="1">Prolink!$E$874</definedName>
    <definedName name="SD_34x1_5155x6_7_B_0" localSheetId="23" hidden="1">Prolink!$C$874</definedName>
    <definedName name="SD_34x1_5155x7_10_B_0" localSheetId="23" hidden="1">Prolink!$D$875</definedName>
    <definedName name="SD_34x1_5155x7_21_B_1" localSheetId="23" hidden="1">Prolink!$E$875</definedName>
    <definedName name="SD_34x1_5155x7_7_B_0" localSheetId="23" hidden="1">Prolink!$C$875</definedName>
    <definedName name="SD_34x1_5155x8_10_B_0" localSheetId="23" hidden="1">Prolink!$D$876</definedName>
    <definedName name="SD_34x1_5155x8_21_B_1" localSheetId="23" hidden="1">Prolink!$E$876</definedName>
    <definedName name="SD_34x1_5155x8_7_B_0" localSheetId="23" hidden="1">Prolink!$C$876</definedName>
    <definedName name="SD_34x1_5158x1_10_B_0" localSheetId="23" hidden="1">Prolink!$D$845</definedName>
    <definedName name="SD_34x1_5158x1_11_B_0" localSheetId="23" hidden="1">Prolink!$H$845</definedName>
    <definedName name="SD_34x1_5158x1_12_B_0" localSheetId="23" hidden="1">Prolink!$E$845</definedName>
    <definedName name="SD_34x1_5158x1_13_B_0" localSheetId="23" hidden="1">Prolink!$G$845</definedName>
    <definedName name="SD_34x1_5158x1_14_B_0" localSheetId="23" hidden="1">Prolink!$F$845</definedName>
    <definedName name="SD_34x1_5158x1_21_B_1" localSheetId="23" hidden="1">Prolink!$I$845</definedName>
    <definedName name="SD_34x1_5158x1_7_B_0" localSheetId="23" hidden="1">Prolink!$C$845</definedName>
    <definedName name="SD_34x1_5158x2_10_B_0" localSheetId="23" hidden="1">Prolink!$D$846</definedName>
    <definedName name="SD_34x1_5158x2_11_B_0" localSheetId="23" hidden="1">Prolink!$H$846</definedName>
    <definedName name="SD_34x1_5158x2_12_B_0" localSheetId="23" hidden="1">Prolink!$E$846</definedName>
    <definedName name="SD_34x1_5158x2_13_B_0" localSheetId="23" hidden="1">Prolink!$G$846</definedName>
    <definedName name="SD_34x1_5158x2_14_B_0" localSheetId="23" hidden="1">Prolink!$F$846</definedName>
    <definedName name="SD_34x1_5158x2_21_B_1" localSheetId="23" hidden="1">Prolink!$I$846</definedName>
    <definedName name="SD_34x1_5158x2_7_B_0" localSheetId="23" hidden="1">Prolink!$C$846</definedName>
    <definedName name="SD_34x1_5158x3_10_B_0" localSheetId="23" hidden="1">Prolink!$D$847</definedName>
    <definedName name="SD_34x1_5158x3_11_B_0" localSheetId="23" hidden="1">Prolink!$H$847</definedName>
    <definedName name="SD_34x1_5158x3_12_B_0" localSheetId="23" hidden="1">Prolink!$E$847</definedName>
    <definedName name="SD_34x1_5158x3_13_B_0" localSheetId="23" hidden="1">Prolink!$G$847</definedName>
    <definedName name="SD_34x1_5158x3_14_B_0" localSheetId="23" hidden="1">Prolink!$F$847</definedName>
    <definedName name="SD_34x1_5158x3_21_B_1" localSheetId="23" hidden="1">Prolink!$I$847</definedName>
    <definedName name="SD_34x1_5158x3_7_B_0" localSheetId="23" hidden="1">Prolink!$C$847</definedName>
    <definedName name="SD_34x1_5158x4_10_B_0" localSheetId="23" hidden="1">Prolink!$D$848</definedName>
    <definedName name="SD_34x1_5158x4_11_B_0" localSheetId="23" hidden="1">Prolink!$H$848</definedName>
    <definedName name="SD_34x1_5158x4_12_B_0" localSheetId="23" hidden="1">Prolink!$E$848</definedName>
    <definedName name="SD_34x1_5158x4_13_B_0" localSheetId="23" hidden="1">Prolink!$G$848</definedName>
    <definedName name="SD_34x1_5158x4_14_B_0" localSheetId="23" hidden="1">Prolink!$F$848</definedName>
    <definedName name="SD_34x1_5158x4_21_B_1" localSheetId="23" hidden="1">Prolink!$I$848</definedName>
    <definedName name="SD_34x1_5158x4_7_B_0" localSheetId="23" hidden="1">Prolink!$C$848</definedName>
    <definedName name="SD_34x1_5158x5_10_B_0" localSheetId="23" hidden="1">Prolink!$D$849</definedName>
    <definedName name="SD_34x1_5158x5_11_B_0" localSheetId="23" hidden="1">Prolink!$H$849</definedName>
    <definedName name="SD_34x1_5158x5_12_B_0" localSheetId="23" hidden="1">Prolink!$E$849</definedName>
    <definedName name="SD_34x1_5158x5_13_B_0" localSheetId="23" hidden="1">Prolink!$G$849</definedName>
    <definedName name="SD_34x1_5158x5_14_B_0" localSheetId="23" hidden="1">Prolink!$F$849</definedName>
    <definedName name="SD_34x1_5158x5_21_B_1" localSheetId="23" hidden="1">Prolink!$I$849</definedName>
    <definedName name="SD_34x1_5158x5_7_B_0" localSheetId="23" hidden="1">Prolink!$C$849</definedName>
    <definedName name="SD_34x1_5158x6_10_B_0" localSheetId="23" hidden="1">Prolink!$D$850</definedName>
    <definedName name="SD_34x1_5158x6_11_B_0" localSheetId="23" hidden="1">Prolink!$H$850</definedName>
    <definedName name="SD_34x1_5158x6_12_B_0" localSheetId="23" hidden="1">Prolink!$E$850</definedName>
    <definedName name="SD_34x1_5158x6_13_B_0" localSheetId="23" hidden="1">Prolink!$G$850</definedName>
    <definedName name="SD_34x1_5158x6_14_B_0" localSheetId="23" hidden="1">Prolink!$F$850</definedName>
    <definedName name="SD_34x1_5158x6_21_B_1" localSheetId="23" hidden="1">Prolink!$I$850</definedName>
    <definedName name="SD_34x1_5158x6_7_B_0" localSheetId="23" hidden="1">Prolink!$C$850</definedName>
    <definedName name="SD_34x1_5158x7_10_B_0" localSheetId="23" hidden="1">Prolink!$D$851</definedName>
    <definedName name="SD_34x1_5158x7_11_B_0" localSheetId="23" hidden="1">Prolink!$H$851</definedName>
    <definedName name="SD_34x1_5158x7_12_B_0" localSheetId="23" hidden="1">Prolink!$E$851</definedName>
    <definedName name="SD_34x1_5158x7_13_B_0" localSheetId="23" hidden="1">Prolink!$G$851</definedName>
    <definedName name="SD_34x1_5158x7_14_B_0" localSheetId="23" hidden="1">Prolink!$F$851</definedName>
    <definedName name="SD_34x1_5158x7_21_B_1" localSheetId="23" hidden="1">Prolink!$I$851</definedName>
    <definedName name="SD_34x1_5158x7_7_B_0" localSheetId="23" hidden="1">Prolink!$C$851</definedName>
    <definedName name="SD_34x1_5158x8_10_B_0" localSheetId="23" hidden="1">Prolink!$D$852</definedName>
    <definedName name="SD_34x1_5158x8_11_B_0" localSheetId="23" hidden="1">Prolink!$H$852</definedName>
    <definedName name="SD_34x1_5158x8_12_B_0" localSheetId="23" hidden="1">Prolink!$E$852</definedName>
    <definedName name="SD_34x1_5158x8_13_B_0" localSheetId="23" hidden="1">Prolink!$G$852</definedName>
    <definedName name="SD_34x1_5158x8_14_B_0" localSheetId="23" hidden="1">Prolink!$F$852</definedName>
    <definedName name="SD_34x1_5158x8_21_B_1" localSheetId="23" hidden="1">Prolink!$I$852</definedName>
    <definedName name="SD_34x1_5158x8_7_B_0" localSheetId="23" hidden="1">Prolink!$C$852</definedName>
    <definedName name="SD_34x1_5158x9_10_B_0" localSheetId="23" hidden="1">Prolink!$D$853</definedName>
    <definedName name="SD_34x1_5158x9_11_B_0" localSheetId="23" hidden="1">Prolink!$H$853</definedName>
    <definedName name="SD_34x1_5158x9_12_B_0" localSheetId="23" hidden="1">Prolink!$E$853</definedName>
    <definedName name="SD_34x1_5158x9_13_B_0" localSheetId="23" hidden="1">Prolink!$G$853</definedName>
    <definedName name="SD_34x1_5158x9_14_B_0" localSheetId="23" hidden="1">Prolink!$F$853</definedName>
    <definedName name="SD_34x1_5158x9_21_B_1" localSheetId="23" hidden="1">Prolink!$I$853</definedName>
    <definedName name="SD_34x1_5158x9_7_B_0" localSheetId="23" hidden="1">Prolink!$C$853</definedName>
    <definedName name="SD_34x1_54_B_0" localSheetId="23" hidden="1">Prolink!$C$504</definedName>
    <definedName name="SD_34x1_56_B_0" localSheetId="23" hidden="1">Prolink!$C$512</definedName>
    <definedName name="SD_34x1_65_B_0" localSheetId="23" hidden="1">Prolink!$C$318</definedName>
    <definedName name="SD_34x1_66_B_0" localSheetId="23" hidden="1">Prolink!$C$315</definedName>
    <definedName name="SD_34x1_667_B_0" localSheetId="23" hidden="1">Prolink!$C$297</definedName>
    <definedName name="SD_34x1_67_B_0" localSheetId="23" hidden="1">Prolink!$C$316</definedName>
    <definedName name="SD_34x1_68_B_0" localSheetId="23" hidden="1">Prolink!$C$317</definedName>
    <definedName name="SD_34x1_7026x1_11_B_0" localSheetId="23" hidden="1">Prolink!$C$467</definedName>
    <definedName name="SD_34x1_7026x1_8_B_1" localSheetId="23" hidden="1">Prolink!$C$466</definedName>
    <definedName name="SD_34x1_7026x1_9_B_0" localSheetId="23" hidden="1">Prolink!$C$468</definedName>
    <definedName name="SD_34x1_7026x2_11_B_0" localSheetId="23" hidden="1">Prolink!$C$470</definedName>
    <definedName name="SD_34x1_7026x2_8_B_1" localSheetId="23" hidden="1">Prolink!$C$469</definedName>
    <definedName name="SD_34x1_7026x2_9_B_0" localSheetId="23" hidden="1">Prolink!$C$471</definedName>
    <definedName name="SD_34x1_7026x3_11_B_0" localSheetId="23" hidden="1">Prolink!$C$473</definedName>
    <definedName name="SD_34x1_7026x3_8_B_1" localSheetId="23" hidden="1">Prolink!$C$472</definedName>
    <definedName name="SD_34x1_7026x3_9_B_0" localSheetId="23" hidden="1">Prolink!$C$474</definedName>
    <definedName name="SD_34x1_7026x4_11_B_0" localSheetId="23" hidden="1">Prolink!$C$476</definedName>
    <definedName name="SD_34x1_7026x4_8_B_1" localSheetId="23" hidden="1">Prolink!$C$475</definedName>
    <definedName name="SD_34x1_7026x4_9_B_0" localSheetId="23" hidden="1">Prolink!$C$477</definedName>
    <definedName name="SD_34x1_7026x5_11_B_0" localSheetId="23" hidden="1">Prolink!$C$479</definedName>
    <definedName name="SD_34x1_7026x5_8_B_1" localSheetId="23" hidden="1">Prolink!$C$478</definedName>
    <definedName name="SD_34x1_7026x5_9_B_0" localSheetId="23" hidden="1">Prolink!$C$480</definedName>
    <definedName name="SD_34x1_7026x6_11_B_0" localSheetId="23" hidden="1">Prolink!$C$482</definedName>
    <definedName name="SD_34x1_7026x6_8_B_1" localSheetId="23" hidden="1">Prolink!$C$481</definedName>
    <definedName name="SD_34x1_7026x6_9_B_0" localSheetId="23" hidden="1">Prolink!$C$483</definedName>
    <definedName name="SD_34x1_7026x7_11_B_0" localSheetId="23" hidden="1">Prolink!$C$485</definedName>
    <definedName name="SD_34x1_7026x7_8_B_1" localSheetId="23" hidden="1">Prolink!$C$484</definedName>
    <definedName name="SD_34x1_7026x7_9_B_0" localSheetId="23" hidden="1">Prolink!$C$486</definedName>
    <definedName name="SD_34x1_7026x8_11_B_0" localSheetId="23" hidden="1">Prolink!$C$488</definedName>
    <definedName name="SD_34x1_7026x8_8_B_1" localSheetId="23" hidden="1">Prolink!$C$487</definedName>
    <definedName name="SD_34x1_7026x8_9_B_0" localSheetId="23" hidden="1">Prolink!$C$489</definedName>
    <definedName name="SD_34x1_77x1_107_B_0" localSheetId="23" hidden="1">Prolink!$C$540</definedName>
    <definedName name="SD_34x1_77x1_133_B_0" localSheetId="23" hidden="1">Prolink!$C$539</definedName>
    <definedName name="SD_34x1_77x1_185_B_0" localSheetId="23" hidden="1">Prolink!$C$517</definedName>
    <definedName name="SD_34x1_77x1_186_B_0" localSheetId="23" hidden="1">Prolink!$C$518</definedName>
    <definedName name="SD_34x1_77x1_187_B_0" localSheetId="23" hidden="1">Prolink!$C$519</definedName>
    <definedName name="SD_34x1_77x1_188_B_0" localSheetId="23" hidden="1">Prolink!$C$520</definedName>
    <definedName name="SD_34x1_77x1_189_B_0" localSheetId="23" hidden="1">Prolink!$C$521</definedName>
    <definedName name="SD_34x1_77x1_190_B_0" localSheetId="23" hidden="1">Prolink!$C$522</definedName>
    <definedName name="SD_34x1_77x1_191_B_0" localSheetId="23" hidden="1">Prolink!$C$523</definedName>
    <definedName name="SD_34x1_77x1_192_B_0" localSheetId="23" hidden="1">Prolink!$C$524</definedName>
    <definedName name="SD_34x1_77x1_195_B_0" localSheetId="23" hidden="1">Prolink!$C$525</definedName>
    <definedName name="SD_34x1_77x1_197_B_0" localSheetId="23" hidden="1">Prolink!$C$526</definedName>
    <definedName name="SD_34x1_77x1_55_B_0" localSheetId="23" hidden="1">Prolink!$C$527</definedName>
    <definedName name="SD_34x1_77x1_56_B_0" localSheetId="23" hidden="1">Prolink!$C$528</definedName>
    <definedName name="SD_34x1_77x1_57_B_0" localSheetId="23" hidden="1">Prolink!$C$529</definedName>
    <definedName name="SD_34x1_77x1_58_B_0" localSheetId="23" hidden="1">Prolink!$C$530</definedName>
    <definedName name="SD_34x1_77x1_81_B_0" localSheetId="23" hidden="1">Prolink!$C$531</definedName>
    <definedName name="SD_34x1_77x1_82_B_0" localSheetId="23" hidden="1">Prolink!$C$532</definedName>
    <definedName name="SD_34x1_77x1_83_B_0" localSheetId="23" hidden="1">Prolink!$C$533</definedName>
    <definedName name="SD_34x1_77x1_84_B_0" localSheetId="23" hidden="1">Prolink!$C$534</definedName>
    <definedName name="SD_34x1_77x1_85_B_0" localSheetId="23" hidden="1">Prolink!$C$535</definedName>
    <definedName name="SD_34x1_77x1_86_B_0" localSheetId="23" hidden="1">Prolink!$C$536</definedName>
    <definedName name="SD_34x1_77x1_87_B_0" localSheetId="23" hidden="1">Prolink!$C$537</definedName>
    <definedName name="SD_34x1_77x1_88_B_0" localSheetId="23" hidden="1">Prolink!$C$538</definedName>
    <definedName name="SD_34x1_78_B_0" localSheetId="23" hidden="1">Prolink!$C$505</definedName>
    <definedName name="SD_34x1_78x1_10_B_0" localSheetId="23" hidden="1">Prolink!$G$994</definedName>
    <definedName name="SD_34x1_78x1_17_B_1" localSheetId="23" hidden="1">Prolink!$C$994</definedName>
    <definedName name="SD_34x1_78x1_20_B_1" localSheetId="23" hidden="1">Prolink!$D$994</definedName>
    <definedName name="SD_34x1_78x1_8_B_0" localSheetId="23" hidden="1">Prolink!$E$994</definedName>
    <definedName name="SD_34x1_78x1_9_B_0" localSheetId="23" hidden="1">Prolink!$F$994</definedName>
    <definedName name="SD_34x1_78x10_10_B_0" localSheetId="23" hidden="1">Prolink!$G$1003</definedName>
    <definedName name="SD_34x1_78x10_17_B_1" localSheetId="23" hidden="1">Prolink!$C$1003</definedName>
    <definedName name="SD_34x1_78x10_20_B_1" localSheetId="23" hidden="1">Prolink!$D$1003</definedName>
    <definedName name="SD_34x1_78x10_8_B_0" localSheetId="23" hidden="1">Prolink!$E$1003</definedName>
    <definedName name="SD_34x1_78x10_9_B_0" localSheetId="23" hidden="1">Prolink!$F$1003</definedName>
    <definedName name="SD_34x1_78x11_10_B_0" localSheetId="23" hidden="1">Prolink!$G$1004</definedName>
    <definedName name="SD_34x1_78x11_17_B_1" localSheetId="23" hidden="1">Prolink!$C$1004</definedName>
    <definedName name="SD_34x1_78x11_20_B_1" localSheetId="23" hidden="1">Prolink!$D$1004</definedName>
    <definedName name="SD_34x1_78x11_8_B_0" localSheetId="23" hidden="1">Prolink!$E$1004</definedName>
    <definedName name="SD_34x1_78x11_9_B_0" localSheetId="23" hidden="1">Prolink!$F$1004</definedName>
    <definedName name="SD_34x1_78x12_10_B_0" localSheetId="23" hidden="1">Prolink!$G$1005</definedName>
    <definedName name="SD_34x1_78x12_17_B_1" localSheetId="23" hidden="1">Prolink!$C$1005</definedName>
    <definedName name="SD_34x1_78x12_20_B_1" localSheetId="23" hidden="1">Prolink!$D$1005</definedName>
    <definedName name="SD_34x1_78x12_8_B_0" localSheetId="23" hidden="1">Prolink!$E$1005</definedName>
    <definedName name="SD_34x1_78x12_9_B_0" localSheetId="23" hidden="1">Prolink!$F$1005</definedName>
    <definedName name="SD_34x1_78x13_10_B_0" localSheetId="23" hidden="1">Prolink!$G$1006</definedName>
    <definedName name="SD_34x1_78x13_17_B_1" localSheetId="23" hidden="1">Prolink!$C$1006</definedName>
    <definedName name="SD_34x1_78x13_20_B_1" localSheetId="23" hidden="1">Prolink!$D$1006</definedName>
    <definedName name="SD_34x1_78x13_8_B_0" localSheetId="23" hidden="1">Prolink!$E$1006</definedName>
    <definedName name="SD_34x1_78x13_9_B_0" localSheetId="23" hidden="1">Prolink!$F$1006</definedName>
    <definedName name="SD_34x1_78x14_10_B_0" localSheetId="23" hidden="1">Prolink!$G$1007</definedName>
    <definedName name="SD_34x1_78x14_17_B_1" localSheetId="23" hidden="1">Prolink!$C$1007</definedName>
    <definedName name="SD_34x1_78x14_20_B_1" localSheetId="23" hidden="1">Prolink!$D$1007</definedName>
    <definedName name="SD_34x1_78x14_8_B_0" localSheetId="23" hidden="1">Prolink!$E$1007</definedName>
    <definedName name="SD_34x1_78x14_9_B_0" localSheetId="23" hidden="1">Prolink!$F$1007</definedName>
    <definedName name="SD_34x1_78x15_10_B_0" localSheetId="23" hidden="1">Prolink!$G$1008</definedName>
    <definedName name="SD_34x1_78x15_17_B_1" localSheetId="23" hidden="1">Prolink!$C$1008</definedName>
    <definedName name="SD_34x1_78x15_20_B_1" localSheetId="23" hidden="1">Prolink!$D$1008</definedName>
    <definedName name="SD_34x1_78x15_8_B_0" localSheetId="23" hidden="1">Prolink!$E$1008</definedName>
    <definedName name="SD_34x1_78x15_9_B_0" localSheetId="23" hidden="1">Prolink!$F$1008</definedName>
    <definedName name="SD_34x1_78x16_10_B_0" localSheetId="23" hidden="1">Prolink!$G$1009</definedName>
    <definedName name="SD_34x1_78x16_17_B_1" localSheetId="23" hidden="1">Prolink!$C$1009</definedName>
    <definedName name="SD_34x1_78x16_20_B_1" localSheetId="23" hidden="1">Prolink!$D$1009</definedName>
    <definedName name="SD_34x1_78x16_8_B_0" localSheetId="23" hidden="1">Prolink!$E$1009</definedName>
    <definedName name="SD_34x1_78x16_9_B_0" localSheetId="23" hidden="1">Prolink!$F$1009</definedName>
    <definedName name="SD_34x1_78x17_10_B_0" localSheetId="23" hidden="1">Prolink!$G$1010</definedName>
    <definedName name="SD_34x1_78x17_17_B_1" localSheetId="23" hidden="1">Prolink!$C$1010</definedName>
    <definedName name="SD_34x1_78x17_20_B_1" localSheetId="23" hidden="1">Prolink!$D$1010</definedName>
    <definedName name="SD_34x1_78x17_8_B_0" localSheetId="23" hidden="1">Prolink!$E$1010</definedName>
    <definedName name="SD_34x1_78x17_9_B_0" localSheetId="23" hidden="1">Prolink!$F$1010</definedName>
    <definedName name="SD_34x1_78x18_10_B_0" localSheetId="23" hidden="1">Prolink!$G$1011</definedName>
    <definedName name="SD_34x1_78x18_17_B_1" localSheetId="23" hidden="1">Prolink!$C$1011</definedName>
    <definedName name="SD_34x1_78x18_20_B_1" localSheetId="23" hidden="1">Prolink!$D$1011</definedName>
    <definedName name="SD_34x1_78x18_8_B_0" localSheetId="23" hidden="1">Prolink!$E$1011</definedName>
    <definedName name="SD_34x1_78x18_9_B_0" localSheetId="23" hidden="1">Prolink!$F$1011</definedName>
    <definedName name="SD_34x1_78x19_10_B_0" localSheetId="23" hidden="1">Prolink!$G$1012</definedName>
    <definedName name="SD_34x1_78x19_17_B_1" localSheetId="23" hidden="1">Prolink!$C$1012</definedName>
    <definedName name="SD_34x1_78x19_20_B_1" localSheetId="23" hidden="1">Prolink!$D$1012</definedName>
    <definedName name="SD_34x1_78x19_8_B_0" localSheetId="23" hidden="1">Prolink!$E$1012</definedName>
    <definedName name="SD_34x1_78x19_9_B_0" localSheetId="23" hidden="1">Prolink!$F$1012</definedName>
    <definedName name="SD_34x1_78x2_10_B_0" localSheetId="23" hidden="1">Prolink!$G$995</definedName>
    <definedName name="SD_34x1_78x2_17_B_1" localSheetId="23" hidden="1">Prolink!$C$995</definedName>
    <definedName name="SD_34x1_78x2_20_B_1" localSheetId="23" hidden="1">Prolink!$D$995</definedName>
    <definedName name="SD_34x1_78x2_8_B_0" localSheetId="23" hidden="1">Prolink!$E$995</definedName>
    <definedName name="SD_34x1_78x2_9_B_0" localSheetId="23" hidden="1">Prolink!$F$995</definedName>
    <definedName name="SD_34x1_78x20_10_B_0" localSheetId="23" hidden="1">Prolink!$G$1013</definedName>
    <definedName name="SD_34x1_78x20_17_B_1" localSheetId="23" hidden="1">Prolink!$C$1013</definedName>
    <definedName name="SD_34x1_78x20_20_B_1" localSheetId="23" hidden="1">Prolink!$D$1013</definedName>
    <definedName name="SD_34x1_78x20_8_B_0" localSheetId="23" hidden="1">Prolink!$E$1013</definedName>
    <definedName name="SD_34x1_78x20_9_B_0" localSheetId="23" hidden="1">Prolink!$F$1013</definedName>
    <definedName name="SD_34x1_78x21_10_B_0" localSheetId="23" hidden="1">Prolink!$G$1014</definedName>
    <definedName name="SD_34x1_78x21_17_B_1" localSheetId="23" hidden="1">Prolink!$C$1014</definedName>
    <definedName name="SD_34x1_78x21_20_B_1" localSheetId="23" hidden="1">Prolink!$D$1014</definedName>
    <definedName name="SD_34x1_78x21_8_B_0" localSheetId="23" hidden="1">Prolink!$E$1014</definedName>
    <definedName name="SD_34x1_78x21_9_B_0" localSheetId="23" hidden="1">Prolink!$F$1014</definedName>
    <definedName name="SD_34x1_78x22_10_B_0" localSheetId="23" hidden="1">Prolink!$G$1015</definedName>
    <definedName name="SD_34x1_78x22_17_B_1" localSheetId="23" hidden="1">Prolink!$C$1015</definedName>
    <definedName name="SD_34x1_78x22_20_B_1" localSheetId="23" hidden="1">Prolink!$D$1015</definedName>
    <definedName name="SD_34x1_78x22_8_B_0" localSheetId="23" hidden="1">Prolink!$E$1015</definedName>
    <definedName name="SD_34x1_78x22_9_B_0" localSheetId="23" hidden="1">Prolink!$F$1015</definedName>
    <definedName name="SD_34x1_78x23_10_B_0" localSheetId="23" hidden="1">Prolink!$G$1016</definedName>
    <definedName name="SD_34x1_78x23_17_B_1" localSheetId="23" hidden="1">Prolink!$C$1016</definedName>
    <definedName name="SD_34x1_78x23_20_B_1" localSheetId="23" hidden="1">Prolink!$D$1016</definedName>
    <definedName name="SD_34x1_78x23_8_B_0" localSheetId="23" hidden="1">Prolink!$E$1016</definedName>
    <definedName name="SD_34x1_78x23_9_B_0" localSheetId="23" hidden="1">Prolink!$F$1016</definedName>
    <definedName name="SD_34x1_78x24_10_B_0" localSheetId="23" hidden="1">Prolink!$G$1017</definedName>
    <definedName name="SD_34x1_78x24_17_B_1" localSheetId="23" hidden="1">Prolink!$C$1017</definedName>
    <definedName name="SD_34x1_78x24_20_B_1" localSheetId="23" hidden="1">Prolink!$D$1017</definedName>
    <definedName name="SD_34x1_78x24_8_B_0" localSheetId="23" hidden="1">Prolink!$E$1017</definedName>
    <definedName name="SD_34x1_78x24_9_B_0" localSheetId="23" hidden="1">Prolink!$F$1017</definedName>
    <definedName name="SD_34x1_78x25_10_B_0" localSheetId="23" hidden="1">Prolink!$G$1018</definedName>
    <definedName name="SD_34x1_78x25_17_B_1" localSheetId="23" hidden="1">Prolink!$C$1018</definedName>
    <definedName name="SD_34x1_78x25_20_B_1" localSheetId="23" hidden="1">Prolink!$D$1018</definedName>
    <definedName name="SD_34x1_78x25_8_B_0" localSheetId="23" hidden="1">Prolink!$E$1018</definedName>
    <definedName name="SD_34x1_78x25_9_B_0" localSheetId="23" hidden="1">Prolink!$F$1018</definedName>
    <definedName name="SD_34x1_78x26_10_B_0" localSheetId="23" hidden="1">Prolink!$G$1019</definedName>
    <definedName name="SD_34x1_78x26_17_B_1" localSheetId="23" hidden="1">Prolink!$C$1019</definedName>
    <definedName name="SD_34x1_78x26_20_B_1" localSheetId="23" hidden="1">Prolink!$D$1019</definedName>
    <definedName name="SD_34x1_78x26_8_B_0" localSheetId="23" hidden="1">Prolink!$E$1019</definedName>
    <definedName name="SD_34x1_78x26_9_B_0" localSheetId="23" hidden="1">Prolink!$F$1019</definedName>
    <definedName name="SD_34x1_78x27_10_B_0" localSheetId="23" hidden="1">Prolink!$G$1020</definedName>
    <definedName name="SD_34x1_78x27_17_B_1" localSheetId="23" hidden="1">Prolink!$C$1020</definedName>
    <definedName name="SD_34x1_78x27_20_B_1" localSheetId="23" hidden="1">Prolink!$D$1020</definedName>
    <definedName name="SD_34x1_78x27_8_B_0" localSheetId="23" hidden="1">Prolink!$E$1020</definedName>
    <definedName name="SD_34x1_78x27_9_B_0" localSheetId="23" hidden="1">Prolink!$F$1020</definedName>
    <definedName name="SD_34x1_78x28_10_B_0" localSheetId="23" hidden="1">Prolink!$G$1021</definedName>
    <definedName name="SD_34x1_78x28_17_B_1" localSheetId="23" hidden="1">Prolink!$C$1021</definedName>
    <definedName name="SD_34x1_78x28_20_B_1" localSheetId="23" hidden="1">Prolink!$D$1021</definedName>
    <definedName name="SD_34x1_78x28_8_B_0" localSheetId="23" hidden="1">Prolink!$E$1021</definedName>
    <definedName name="SD_34x1_78x28_9_B_0" localSheetId="23" hidden="1">Prolink!$F$1021</definedName>
    <definedName name="SD_34x1_78x29_10_B_0" localSheetId="23" hidden="1">Prolink!$G$1022</definedName>
    <definedName name="SD_34x1_78x29_17_B_1" localSheetId="23" hidden="1">Prolink!$C$1022</definedName>
    <definedName name="SD_34x1_78x29_20_B_1" localSheetId="23" hidden="1">Prolink!$D$1022</definedName>
    <definedName name="SD_34x1_78x29_8_B_0" localSheetId="23" hidden="1">Prolink!$E$1022</definedName>
    <definedName name="SD_34x1_78x29_9_B_0" localSheetId="23" hidden="1">Prolink!$F$1022</definedName>
    <definedName name="SD_34x1_78x3_10_B_0" localSheetId="23" hidden="1">Prolink!$G$996</definedName>
    <definedName name="SD_34x1_78x3_17_B_1" localSheetId="23" hidden="1">Prolink!$C$996</definedName>
    <definedName name="SD_34x1_78x3_20_B_1" localSheetId="23" hidden="1">Prolink!$D$996</definedName>
    <definedName name="SD_34x1_78x3_8_B_0" localSheetId="23" hidden="1">Prolink!$E$996</definedName>
    <definedName name="SD_34x1_78x3_9_B_0" localSheetId="23" hidden="1">Prolink!$F$996</definedName>
    <definedName name="SD_34x1_78x30_10_B_0" localSheetId="23" hidden="1">Prolink!$G$1023</definedName>
    <definedName name="SD_34x1_78x30_17_B_1" localSheetId="23" hidden="1">Prolink!$C$1023</definedName>
    <definedName name="SD_34x1_78x30_20_B_1" localSheetId="23" hidden="1">Prolink!$D$1023</definedName>
    <definedName name="SD_34x1_78x30_8_B_0" localSheetId="23" hidden="1">Prolink!$E$1023</definedName>
    <definedName name="SD_34x1_78x30_9_B_0" localSheetId="23" hidden="1">Prolink!$F$1023</definedName>
    <definedName name="SD_34x1_78x31_10_B_0" localSheetId="23" hidden="1">Prolink!$G$1024</definedName>
    <definedName name="SD_34x1_78x31_17_B_1" localSheetId="23" hidden="1">Prolink!$C$1024</definedName>
    <definedName name="SD_34x1_78x31_20_B_1" localSheetId="23" hidden="1">Prolink!$D$1024</definedName>
    <definedName name="SD_34x1_78x31_8_B_0" localSheetId="23" hidden="1">Prolink!$E$1024</definedName>
    <definedName name="SD_34x1_78x31_9_B_0" localSheetId="23" hidden="1">Prolink!$F$1024</definedName>
    <definedName name="SD_34x1_78x32_10_B_0" localSheetId="23" hidden="1">Prolink!$G$1025</definedName>
    <definedName name="SD_34x1_78x32_17_B_1" localSheetId="23" hidden="1">Prolink!$C$1025</definedName>
    <definedName name="SD_34x1_78x32_20_B_1" localSheetId="23" hidden="1">Prolink!$D$1025</definedName>
    <definedName name="SD_34x1_78x32_8_B_0" localSheetId="23" hidden="1">Prolink!$E$1025</definedName>
    <definedName name="SD_34x1_78x32_9_B_0" localSheetId="23" hidden="1">Prolink!$F$1025</definedName>
    <definedName name="SD_34x1_78x33_10_B_0" localSheetId="23" hidden="1">Prolink!$G$1026</definedName>
    <definedName name="SD_34x1_78x33_17_B_1" localSheetId="23" hidden="1">Prolink!$C$1026</definedName>
    <definedName name="SD_34x1_78x33_20_B_1" localSheetId="23" hidden="1">Prolink!$D$1026</definedName>
    <definedName name="SD_34x1_78x33_8_B_0" localSheetId="23" hidden="1">Prolink!$E$1026</definedName>
    <definedName name="SD_34x1_78x33_9_B_0" localSheetId="23" hidden="1">Prolink!$F$1026</definedName>
    <definedName name="SD_34x1_78x34_10_B_0" localSheetId="23" hidden="1">Prolink!$G$1027</definedName>
    <definedName name="SD_34x1_78x34_17_B_1" localSheetId="23" hidden="1">Prolink!$C$1027</definedName>
    <definedName name="SD_34x1_78x34_20_B_1" localSheetId="23" hidden="1">Prolink!$D$1027</definedName>
    <definedName name="SD_34x1_78x34_8_B_0" localSheetId="23" hidden="1">Prolink!$E$1027</definedName>
    <definedName name="SD_34x1_78x34_9_B_0" localSheetId="23" hidden="1">Prolink!$F$1027</definedName>
    <definedName name="SD_34x1_78x35_10_B_0" localSheetId="23" hidden="1">Prolink!$G$1028</definedName>
    <definedName name="SD_34x1_78x35_17_B_1" localSheetId="23" hidden="1">Prolink!$C$1028</definedName>
    <definedName name="SD_34x1_78x35_20_B_1" localSheetId="23" hidden="1">Prolink!$D$1028</definedName>
    <definedName name="SD_34x1_78x35_8_B_0" localSheetId="23" hidden="1">Prolink!$E$1028</definedName>
    <definedName name="SD_34x1_78x35_9_B_0" localSheetId="23" hidden="1">Prolink!$F$1028</definedName>
    <definedName name="SD_34x1_78x36_10_B_0" localSheetId="23" hidden="1">Prolink!$G$1029</definedName>
    <definedName name="SD_34x1_78x36_17_B_1" localSheetId="23" hidden="1">Prolink!$C$1029</definedName>
    <definedName name="SD_34x1_78x36_20_B_1" localSheetId="23" hidden="1">Prolink!$D$1029</definedName>
    <definedName name="SD_34x1_78x36_8_B_0" localSheetId="23" hidden="1">Prolink!$E$1029</definedName>
    <definedName name="SD_34x1_78x36_9_B_0" localSheetId="23" hidden="1">Prolink!$F$1029</definedName>
    <definedName name="SD_34x1_78x37_10_B_0" localSheetId="23" hidden="1">Prolink!$G$1030</definedName>
    <definedName name="SD_34x1_78x37_17_B_1" localSheetId="23" hidden="1">Prolink!$C$1030</definedName>
    <definedName name="SD_34x1_78x37_20_B_1" localSheetId="23" hidden="1">Prolink!$D$1030</definedName>
    <definedName name="SD_34x1_78x37_8_B_0" localSheetId="23" hidden="1">Prolink!$E$1030</definedName>
    <definedName name="SD_34x1_78x37_9_B_0" localSheetId="23" hidden="1">Prolink!$F$1030</definedName>
    <definedName name="SD_34x1_78x38_10_B_0" localSheetId="23" hidden="1">Prolink!$G$1031</definedName>
    <definedName name="SD_34x1_78x38_17_B_1" localSheetId="23" hidden="1">Prolink!$C$1031</definedName>
    <definedName name="SD_34x1_78x38_20_B_1" localSheetId="23" hidden="1">Prolink!$D$1031</definedName>
    <definedName name="SD_34x1_78x38_8_B_0" localSheetId="23" hidden="1">Prolink!$E$1031</definedName>
    <definedName name="SD_34x1_78x38_9_B_0" localSheetId="23" hidden="1">Prolink!$F$1031</definedName>
    <definedName name="SD_34x1_78x39_10_B_0" localSheetId="23" hidden="1">Prolink!$G$1032</definedName>
    <definedName name="SD_34x1_78x39_17_B_1" localSheetId="23" hidden="1">Prolink!$C$1032</definedName>
    <definedName name="SD_34x1_78x39_20_B_1" localSheetId="23" hidden="1">Prolink!$D$1032</definedName>
    <definedName name="SD_34x1_78x39_8_B_0" localSheetId="23" hidden="1">Prolink!$E$1032</definedName>
    <definedName name="SD_34x1_78x39_9_B_0" localSheetId="23" hidden="1">Prolink!$F$1032</definedName>
    <definedName name="SD_34x1_78x4_10_B_0" localSheetId="23" hidden="1">Prolink!$G$997</definedName>
    <definedName name="SD_34x1_78x4_17_B_1" localSheetId="23" hidden="1">Prolink!$C$997</definedName>
    <definedName name="SD_34x1_78x4_20_B_1" localSheetId="23" hidden="1">Prolink!$D$997</definedName>
    <definedName name="SD_34x1_78x4_8_B_0" localSheetId="23" hidden="1">Prolink!$E$997</definedName>
    <definedName name="SD_34x1_78x4_9_B_0" localSheetId="23" hidden="1">Prolink!$F$997</definedName>
    <definedName name="SD_34x1_78x40_10_B_0" localSheetId="23" hidden="1">Prolink!$G$1033</definedName>
    <definedName name="SD_34x1_78x40_17_B_1" localSheetId="23" hidden="1">Prolink!$C$1033</definedName>
    <definedName name="SD_34x1_78x40_20_B_1" localSheetId="23" hidden="1">Prolink!$D$1033</definedName>
    <definedName name="SD_34x1_78x40_8_B_0" localSheetId="23" hidden="1">Prolink!$E$1033</definedName>
    <definedName name="SD_34x1_78x40_9_B_0" localSheetId="23" hidden="1">Prolink!$F$1033</definedName>
    <definedName name="SD_34x1_78x41_10_B_0" localSheetId="23" hidden="1">Prolink!$G$1034</definedName>
    <definedName name="SD_34x1_78x41_17_B_1" localSheetId="23" hidden="1">Prolink!$C$1034</definedName>
    <definedName name="SD_34x1_78x41_20_B_1" localSheetId="23" hidden="1">Prolink!$D$1034</definedName>
    <definedName name="SD_34x1_78x41_8_B_0" localSheetId="23" hidden="1">Prolink!$E$1034</definedName>
    <definedName name="SD_34x1_78x41_9_B_0" localSheetId="23" hidden="1">Prolink!$F$1034</definedName>
    <definedName name="SD_34x1_78x42_10_B_0" localSheetId="23" hidden="1">Prolink!$G$1035</definedName>
    <definedName name="SD_34x1_78x42_17_B_1" localSheetId="23" hidden="1">Prolink!$C$1035</definedName>
    <definedName name="SD_34x1_78x42_20_B_1" localSheetId="23" hidden="1">Prolink!$D$1035</definedName>
    <definedName name="SD_34x1_78x42_8_B_0" localSheetId="23" hidden="1">Prolink!$E$1035</definedName>
    <definedName name="SD_34x1_78x42_9_B_0" localSheetId="23" hidden="1">Prolink!$F$1035</definedName>
    <definedName name="SD_34x1_78x43_10_B_0" localSheetId="23" hidden="1">Prolink!$G$1036</definedName>
    <definedName name="SD_34x1_78x43_17_B_1" localSheetId="23" hidden="1">Prolink!$C$1036</definedName>
    <definedName name="SD_34x1_78x43_20_B_1" localSheetId="23" hidden="1">Prolink!$D$1036</definedName>
    <definedName name="SD_34x1_78x43_8_B_0" localSheetId="23" hidden="1">Prolink!$E$1036</definedName>
    <definedName name="SD_34x1_78x43_9_B_0" localSheetId="23" hidden="1">Prolink!$F$1036</definedName>
    <definedName name="SD_34x1_78x44_10_B_0" localSheetId="23" hidden="1">Prolink!$G$1037</definedName>
    <definedName name="SD_34x1_78x44_17_B_1" localSheetId="23" hidden="1">Prolink!$C$1037</definedName>
    <definedName name="SD_34x1_78x44_20_B_1" localSheetId="23" hidden="1">Prolink!$D$1037</definedName>
    <definedName name="SD_34x1_78x44_8_B_0" localSheetId="23" hidden="1">Prolink!$E$1037</definedName>
    <definedName name="SD_34x1_78x44_9_B_0" localSheetId="23" hidden="1">Prolink!$F$1037</definedName>
    <definedName name="SD_34x1_78x45_10_B_0" localSheetId="23" hidden="1">Prolink!$G$1038</definedName>
    <definedName name="SD_34x1_78x45_17_B_1" localSheetId="23" hidden="1">Prolink!$C$1038</definedName>
    <definedName name="SD_34x1_78x45_20_B_1" localSheetId="23" hidden="1">Prolink!$D$1038</definedName>
    <definedName name="SD_34x1_78x45_8_B_0" localSheetId="23" hidden="1">Prolink!$E$1038</definedName>
    <definedName name="SD_34x1_78x45_9_B_0" localSheetId="23" hidden="1">Prolink!$F$1038</definedName>
    <definedName name="SD_34x1_78x46_10_B_0" localSheetId="23" hidden="1">Prolink!$G$1039</definedName>
    <definedName name="SD_34x1_78x46_17_B_1" localSheetId="23" hidden="1">Prolink!$C$1039</definedName>
    <definedName name="SD_34x1_78x46_20_B_1" localSheetId="23" hidden="1">Prolink!$D$1039</definedName>
    <definedName name="SD_34x1_78x46_8_B_0" localSheetId="23" hidden="1">Prolink!$E$1039</definedName>
    <definedName name="SD_34x1_78x46_9_B_0" localSheetId="23" hidden="1">Prolink!$F$1039</definedName>
    <definedName name="SD_34x1_78x47_10_B_0" localSheetId="23" hidden="1">Prolink!$G$1040</definedName>
    <definedName name="SD_34x1_78x47_17_B_1" localSheetId="23" hidden="1">Prolink!$C$1040</definedName>
    <definedName name="SD_34x1_78x47_20_B_1" localSheetId="23" hidden="1">Prolink!$D$1040</definedName>
    <definedName name="SD_34x1_78x47_8_B_0" localSheetId="23" hidden="1">Prolink!$E$1040</definedName>
    <definedName name="SD_34x1_78x47_9_B_0" localSheetId="23" hidden="1">Prolink!$F$1040</definedName>
    <definedName name="SD_34x1_78x48_10_B_0" localSheetId="23" hidden="1">Prolink!$G$1041</definedName>
    <definedName name="SD_34x1_78x48_17_B_1" localSheetId="23" hidden="1">Prolink!$C$1041</definedName>
    <definedName name="SD_34x1_78x48_20_B_1" localSheetId="23" hidden="1">Prolink!$D$1041</definedName>
    <definedName name="SD_34x1_78x48_8_B_0" localSheetId="23" hidden="1">Prolink!$E$1041</definedName>
    <definedName name="SD_34x1_78x48_9_B_0" localSheetId="23" hidden="1">Prolink!$F$1041</definedName>
    <definedName name="SD_34x1_78x49_10_B_0" localSheetId="23" hidden="1">Prolink!$G$1042</definedName>
    <definedName name="SD_34x1_78x49_17_B_1" localSheetId="23" hidden="1">Prolink!$C$1042</definedName>
    <definedName name="SD_34x1_78x49_20_B_1" localSheetId="23" hidden="1">Prolink!$D$1042</definedName>
    <definedName name="SD_34x1_78x49_8_B_0" localSheetId="23" hidden="1">Prolink!$E$1042</definedName>
    <definedName name="SD_34x1_78x49_9_B_0" localSheetId="23" hidden="1">Prolink!$F$1042</definedName>
    <definedName name="SD_34x1_78x5_10_B_0" localSheetId="23" hidden="1">Prolink!$G$998</definedName>
    <definedName name="SD_34x1_78x5_17_B_1" localSheetId="23" hidden="1">Prolink!$C$998</definedName>
    <definedName name="SD_34x1_78x5_20_B_1" localSheetId="23" hidden="1">Prolink!$D$998</definedName>
    <definedName name="SD_34x1_78x5_8_B_0" localSheetId="23" hidden="1">Prolink!$E$998</definedName>
    <definedName name="SD_34x1_78x5_9_B_0" localSheetId="23" hidden="1">Prolink!$F$998</definedName>
    <definedName name="SD_34x1_78x50_10_B_0" localSheetId="23" hidden="1">Prolink!$G$1043</definedName>
    <definedName name="SD_34x1_78x50_17_B_1" localSheetId="23" hidden="1">Prolink!$C$1043</definedName>
    <definedName name="SD_34x1_78x50_20_B_1" localSheetId="23" hidden="1">Prolink!$D$1043</definedName>
    <definedName name="SD_34x1_78x50_8_B_0" localSheetId="23" hidden="1">Prolink!$E$1043</definedName>
    <definedName name="SD_34x1_78x50_9_B_0" localSheetId="23" hidden="1">Prolink!$F$1043</definedName>
    <definedName name="SD_34x1_78x51_10_B_0" localSheetId="23" hidden="1">Prolink!$G$1044</definedName>
    <definedName name="SD_34x1_78x51_17_B_1" localSheetId="23" hidden="1">Prolink!$C$1044</definedName>
    <definedName name="SD_34x1_78x51_20_B_1" localSheetId="23" hidden="1">Prolink!$D$1044</definedName>
    <definedName name="SD_34x1_78x51_8_B_0" localSheetId="23" hidden="1">Prolink!$E$1044</definedName>
    <definedName name="SD_34x1_78x51_9_B_0" localSheetId="23" hidden="1">Prolink!$F$1044</definedName>
    <definedName name="SD_34x1_78x52_10_B_0" localSheetId="23" hidden="1">Prolink!$G$1045</definedName>
    <definedName name="SD_34x1_78x52_17_B_1" localSheetId="23" hidden="1">Prolink!$C$1045</definedName>
    <definedName name="SD_34x1_78x52_20_B_1" localSheetId="23" hidden="1">Prolink!$D$1045</definedName>
    <definedName name="SD_34x1_78x52_8_B_0" localSheetId="23" hidden="1">Prolink!$E$1045</definedName>
    <definedName name="SD_34x1_78x52_9_B_0" localSheetId="23" hidden="1">Prolink!$F$1045</definedName>
    <definedName name="SD_34x1_78x53_10_B_0" localSheetId="23" hidden="1">Prolink!$G$1046</definedName>
    <definedName name="SD_34x1_78x53_17_B_1" localSheetId="23" hidden="1">Prolink!$C$1046</definedName>
    <definedName name="SD_34x1_78x53_20_B_1" localSheetId="23" hidden="1">Prolink!$D$1046</definedName>
    <definedName name="SD_34x1_78x53_8_B_0" localSheetId="23" hidden="1">Prolink!$E$1046</definedName>
    <definedName name="SD_34x1_78x53_9_B_0" localSheetId="23" hidden="1">Prolink!$F$1046</definedName>
    <definedName name="SD_34x1_78x54_10_B_0" localSheetId="23" hidden="1">Prolink!$G$1047</definedName>
    <definedName name="SD_34x1_78x54_17_B_1" localSheetId="23" hidden="1">Prolink!$C$1047</definedName>
    <definedName name="SD_34x1_78x54_20_B_1" localSheetId="23" hidden="1">Prolink!$D$1047</definedName>
    <definedName name="SD_34x1_78x54_8_B_0" localSheetId="23" hidden="1">Prolink!$E$1047</definedName>
    <definedName name="SD_34x1_78x54_9_B_0" localSheetId="23" hidden="1">Prolink!$F$1047</definedName>
    <definedName name="SD_34x1_78x55_10_B_0" localSheetId="23" hidden="1">Prolink!$G$1048</definedName>
    <definedName name="SD_34x1_78x55_17_B_1" localSheetId="23" hidden="1">Prolink!$C$1048</definedName>
    <definedName name="SD_34x1_78x55_20_B_1" localSheetId="23" hidden="1">Prolink!$D$1048</definedName>
    <definedName name="SD_34x1_78x55_8_B_0" localSheetId="23" hidden="1">Prolink!$E$1048</definedName>
    <definedName name="SD_34x1_78x55_9_B_0" localSheetId="23" hidden="1">Prolink!$F$1048</definedName>
    <definedName name="SD_34x1_78x56_10_B_0" localSheetId="23" hidden="1">Prolink!$G$1049</definedName>
    <definedName name="SD_34x1_78x56_17_B_1" localSheetId="23" hidden="1">Prolink!$C$1049</definedName>
    <definedName name="SD_34x1_78x56_20_B_1" localSheetId="23" hidden="1">Prolink!$D$1049</definedName>
    <definedName name="SD_34x1_78x56_8_B_0" localSheetId="23" hidden="1">Prolink!$E$1049</definedName>
    <definedName name="SD_34x1_78x56_9_B_0" localSheetId="23" hidden="1">Prolink!$F$1049</definedName>
    <definedName name="SD_34x1_78x57_10_B_0" localSheetId="23" hidden="1">Prolink!$G$1050</definedName>
    <definedName name="SD_34x1_78x57_17_B_1" localSheetId="23" hidden="1">Prolink!$C$1050</definedName>
    <definedName name="SD_34x1_78x57_20_B_1" localSheetId="23" hidden="1">Prolink!$D$1050</definedName>
    <definedName name="SD_34x1_78x57_8_B_0" localSheetId="23" hidden="1">Prolink!$E$1050</definedName>
    <definedName name="SD_34x1_78x57_9_B_0" localSheetId="23" hidden="1">Prolink!$F$1050</definedName>
    <definedName name="SD_34x1_78x58_10_B_0" localSheetId="23" hidden="1">Prolink!$G$1051</definedName>
    <definedName name="SD_34x1_78x58_17_B_1" localSheetId="23" hidden="1">Prolink!$C$1051</definedName>
    <definedName name="SD_34x1_78x58_20_B_1" localSheetId="23" hidden="1">Prolink!$D$1051</definedName>
    <definedName name="SD_34x1_78x58_8_B_0" localSheetId="23" hidden="1">Prolink!$E$1051</definedName>
    <definedName name="SD_34x1_78x58_9_B_0" localSheetId="23" hidden="1">Prolink!$F$1051</definedName>
    <definedName name="SD_34x1_78x59_10_B_0" localSheetId="23" hidden="1">Prolink!$G$1052</definedName>
    <definedName name="SD_34x1_78x59_17_B_1" localSheetId="23" hidden="1">Prolink!$C$1052</definedName>
    <definedName name="SD_34x1_78x59_20_B_1" localSheetId="23" hidden="1">Prolink!$D$1052</definedName>
    <definedName name="SD_34x1_78x59_8_B_0" localSheetId="23" hidden="1">Prolink!$E$1052</definedName>
    <definedName name="SD_34x1_78x59_9_B_0" localSheetId="23" hidden="1">Prolink!$F$1052</definedName>
    <definedName name="SD_34x1_78x6_10_B_0" localSheetId="23" hidden="1">Prolink!$G$999</definedName>
    <definedName name="SD_34x1_78x6_17_B_1" localSheetId="23" hidden="1">Prolink!$C$999</definedName>
    <definedName name="SD_34x1_78x6_20_B_1" localSheetId="23" hidden="1">Prolink!$D$999</definedName>
    <definedName name="SD_34x1_78x6_8_B_0" localSheetId="23" hidden="1">Prolink!$E$999</definedName>
    <definedName name="SD_34x1_78x6_9_B_0" localSheetId="23" hidden="1">Prolink!$F$999</definedName>
    <definedName name="SD_34x1_78x60_10_B_0" localSheetId="23" hidden="1">Prolink!$G$1053</definedName>
    <definedName name="SD_34x1_78x60_17_B_1" localSheetId="23" hidden="1">Prolink!$C$1053</definedName>
    <definedName name="SD_34x1_78x60_20_B_1" localSheetId="23" hidden="1">Prolink!$D$1053</definedName>
    <definedName name="SD_34x1_78x60_8_B_0" localSheetId="23" hidden="1">Prolink!$E$1053</definedName>
    <definedName name="SD_34x1_78x60_9_B_0" localSheetId="23" hidden="1">Prolink!$F$1053</definedName>
    <definedName name="SD_34x1_78x7_10_B_0" localSheetId="23" hidden="1">Prolink!$G$1000</definedName>
    <definedName name="SD_34x1_78x7_17_B_1" localSheetId="23" hidden="1">Prolink!$C$1000</definedName>
    <definedName name="SD_34x1_78x7_20_B_1" localSheetId="23" hidden="1">Prolink!$D$1000</definedName>
    <definedName name="SD_34x1_78x7_8_B_0" localSheetId="23" hidden="1">Prolink!$E$1000</definedName>
    <definedName name="SD_34x1_78x7_9_B_0" localSheetId="23" hidden="1">Prolink!$F$1000</definedName>
    <definedName name="SD_34x1_78x8_10_B_0" localSheetId="23" hidden="1">Prolink!$G$1001</definedName>
    <definedName name="SD_34x1_78x8_17_B_1" localSheetId="23" hidden="1">Prolink!$C$1001</definedName>
    <definedName name="SD_34x1_78x8_20_B_1" localSheetId="23" hidden="1">Prolink!$D$1001</definedName>
    <definedName name="SD_34x1_78x8_8_B_0" localSheetId="23" hidden="1">Prolink!$E$1001</definedName>
    <definedName name="SD_34x1_78x8_9_B_0" localSheetId="23" hidden="1">Prolink!$F$1001</definedName>
    <definedName name="SD_34x1_78x9_10_B_0" localSheetId="23" hidden="1">Prolink!$G$1002</definedName>
    <definedName name="SD_34x1_78x9_17_B_1" localSheetId="23" hidden="1">Prolink!$C$1002</definedName>
    <definedName name="SD_34x1_78x9_20_B_1" localSheetId="23" hidden="1">Prolink!$D$1002</definedName>
    <definedName name="SD_34x1_78x9_8_B_0" localSheetId="23" hidden="1">Prolink!$E$1002</definedName>
    <definedName name="SD_34x1_78x9_9_B_0" localSheetId="23" hidden="1">Prolink!$F$1002</definedName>
    <definedName name="SD_34x1_79_B_0" localSheetId="23" hidden="1">Prolink!$C$314</definedName>
    <definedName name="SD_34x1_82_B_0" localSheetId="23" hidden="1">Prolink!$C$506</definedName>
    <definedName name="SD_34x1_83_B_0" localSheetId="23" hidden="1">Prolink!$C$507</definedName>
    <definedName name="SD_34x1_84_B_0" localSheetId="23" hidden="1">Prolink!$C$508</definedName>
    <definedName name="SD_34x1_86_B_0" localSheetId="23" hidden="1">Prolink!$C$303</definedName>
    <definedName name="SD_34x1_91_B_0" localSheetId="23" hidden="1">Prolink!$C$244</definedName>
    <definedName name="SD_34x1_91x1_10_B_0" localSheetId="23" hidden="1">Prolink!$R$1182</definedName>
    <definedName name="SD_34x1_91x1_11_B_0" localSheetId="23" hidden="1">Prolink!$P$1182</definedName>
    <definedName name="SD_34x1_91x1_12_B_0" localSheetId="23" hidden="1">Prolink!$Q$1182</definedName>
    <definedName name="SD_34x1_91x1_14_B_0" localSheetId="23" hidden="1">Prolink!$M$1182</definedName>
    <definedName name="SD_34x1_91x1_15_B_0" localSheetId="23" hidden="1">Prolink!$K$1182</definedName>
    <definedName name="SD_34x1_91x1_16_B_0" localSheetId="23" hidden="1">Prolink!$L$1182</definedName>
    <definedName name="SD_34x1_91x1_18_B_0" localSheetId="23" hidden="1">Prolink!$H$1182</definedName>
    <definedName name="SD_34x1_91x1_19_B_0" localSheetId="23" hidden="1">Prolink!$F$1182</definedName>
    <definedName name="SD_34x1_91x1_20_B_0" localSheetId="23" hidden="1">Prolink!$G$1182</definedName>
    <definedName name="SD_34x1_91x1_22_B_0" localSheetId="23" hidden="1">Prolink!$C$1182</definedName>
    <definedName name="SD_34x1_91x1_23_B_0" localSheetId="23" hidden="1">Prolink!$S$1182</definedName>
    <definedName name="SD_34x1_91x1_24_B_0" localSheetId="23" hidden="1">Prolink!$T$1182</definedName>
    <definedName name="SD_34x1_91x1_25_B_0" localSheetId="23" hidden="1">Prolink!$N$1182</definedName>
    <definedName name="SD_34x1_91x1_26_B_0" localSheetId="23" hidden="1">Prolink!$O$1182</definedName>
    <definedName name="SD_34x1_91x1_27_B_0" localSheetId="23" hidden="1">Prolink!$I$1182</definedName>
    <definedName name="SD_34x1_91x1_28_B_0" localSheetId="23" hidden="1">Prolink!$J$1182</definedName>
    <definedName name="SD_34x1_91x1_4_B_0" localSheetId="23" hidden="1">Prolink!$D$1182</definedName>
    <definedName name="SD_34x1_91x1_8_B_0" localSheetId="23" hidden="1">Prolink!$E$1182</definedName>
    <definedName name="SD_34x1_91x10_10_B_0" localSheetId="23" hidden="1">Prolink!$R$1191</definedName>
    <definedName name="SD_34x1_91x10_11_B_0" localSheetId="23" hidden="1">Prolink!$P$1191</definedName>
    <definedName name="SD_34x1_91x10_12_B_0" localSheetId="23" hidden="1">Prolink!$Q$1191</definedName>
    <definedName name="SD_34x1_91x10_14_B_0" localSheetId="23" hidden="1">Prolink!$M$1191</definedName>
    <definedName name="SD_34x1_91x10_15_B_0" localSheetId="23" hidden="1">Prolink!$K$1191</definedName>
    <definedName name="SD_34x1_91x10_16_B_0" localSheetId="23" hidden="1">Prolink!$L$1191</definedName>
    <definedName name="SD_34x1_91x10_18_B_0" localSheetId="23" hidden="1">Prolink!$H$1191</definedName>
    <definedName name="SD_34x1_91x10_19_B_0" localSheetId="23" hidden="1">Prolink!$F$1191</definedName>
    <definedName name="SD_34x1_91x10_20_B_0" localSheetId="23" hidden="1">Prolink!$G$1191</definedName>
    <definedName name="SD_34x1_91x10_22_B_0" localSheetId="23" hidden="1">Prolink!$C$1191</definedName>
    <definedName name="SD_34x1_91x10_23_B_0" localSheetId="23" hidden="1">Prolink!$S$1191</definedName>
    <definedName name="SD_34x1_91x10_24_B_0" localSheetId="23" hidden="1">Prolink!$T$1191</definedName>
    <definedName name="SD_34x1_91x10_25_B_0" localSheetId="23" hidden="1">Prolink!$N$1191</definedName>
    <definedName name="SD_34x1_91x10_26_B_0" localSheetId="23" hidden="1">Prolink!$O$1191</definedName>
    <definedName name="SD_34x1_91x10_27_B_0" localSheetId="23" hidden="1">Prolink!$I$1191</definedName>
    <definedName name="SD_34x1_91x10_28_B_0" localSheetId="23" hidden="1">Prolink!$J$1191</definedName>
    <definedName name="SD_34x1_91x10_4_B_0" localSheetId="23" hidden="1">Prolink!$D$1191</definedName>
    <definedName name="SD_34x1_91x10_8_B_0" localSheetId="23" hidden="1">Prolink!$E$1191</definedName>
    <definedName name="SD_34x1_91x11_10_B_0" localSheetId="23" hidden="1">Prolink!$R$1192</definedName>
    <definedName name="SD_34x1_91x11_11_B_0" localSheetId="23" hidden="1">Prolink!$P$1192</definedName>
    <definedName name="SD_34x1_91x11_12_B_0" localSheetId="23" hidden="1">Prolink!$Q$1192</definedName>
    <definedName name="SD_34x1_91x11_14_B_0" localSheetId="23" hidden="1">Prolink!$M$1192</definedName>
    <definedName name="SD_34x1_91x11_15_B_0" localSheetId="23" hidden="1">Prolink!$K$1192</definedName>
    <definedName name="SD_34x1_91x11_16_B_0" localSheetId="23" hidden="1">Prolink!$L$1192</definedName>
    <definedName name="SD_34x1_91x11_18_B_0" localSheetId="23" hidden="1">Prolink!$H$1192</definedName>
    <definedName name="SD_34x1_91x11_19_B_0" localSheetId="23" hidden="1">Prolink!$F$1192</definedName>
    <definedName name="SD_34x1_91x11_20_B_0" localSheetId="23" hidden="1">Prolink!$G$1192</definedName>
    <definedName name="SD_34x1_91x11_22_B_0" localSheetId="23" hidden="1">Prolink!$C$1192</definedName>
    <definedName name="SD_34x1_91x11_23_B_0" localSheetId="23" hidden="1">Prolink!$S$1192</definedName>
    <definedName name="SD_34x1_91x11_24_B_0" localSheetId="23" hidden="1">Prolink!$T$1192</definedName>
    <definedName name="SD_34x1_91x11_25_B_0" localSheetId="23" hidden="1">Prolink!$N$1192</definedName>
    <definedName name="SD_34x1_91x11_26_B_0" localSheetId="23" hidden="1">Prolink!$O$1192</definedName>
    <definedName name="SD_34x1_91x11_27_B_0" localSheetId="23" hidden="1">Prolink!$I$1192</definedName>
    <definedName name="SD_34x1_91x11_28_B_0" localSheetId="23" hidden="1">Prolink!$J$1192</definedName>
    <definedName name="SD_34x1_91x11_4_B_0" localSheetId="23" hidden="1">Prolink!$D$1192</definedName>
    <definedName name="SD_34x1_91x11_8_B_0" localSheetId="23" hidden="1">Prolink!$E$1192</definedName>
    <definedName name="SD_34x1_91x12_10_B_0" localSheetId="23" hidden="1">Prolink!$R$1193</definedName>
    <definedName name="SD_34x1_91x12_11_B_0" localSheetId="23" hidden="1">Prolink!$P$1193</definedName>
    <definedName name="SD_34x1_91x12_12_B_0" localSheetId="23" hidden="1">Prolink!$Q$1193</definedName>
    <definedName name="SD_34x1_91x12_14_B_0" localSheetId="23" hidden="1">Prolink!$M$1193</definedName>
    <definedName name="SD_34x1_91x12_15_B_0" localSheetId="23" hidden="1">Prolink!$K$1193</definedName>
    <definedName name="SD_34x1_91x12_16_B_0" localSheetId="23" hidden="1">Prolink!$L$1193</definedName>
    <definedName name="SD_34x1_91x12_18_B_0" localSheetId="23" hidden="1">Prolink!$H$1193</definedName>
    <definedName name="SD_34x1_91x12_19_B_0" localSheetId="23" hidden="1">Prolink!$F$1193</definedName>
    <definedName name="SD_34x1_91x12_20_B_0" localSheetId="23" hidden="1">Prolink!$G$1193</definedName>
    <definedName name="SD_34x1_91x12_22_B_0" localSheetId="23" hidden="1">Prolink!$C$1193</definedName>
    <definedName name="SD_34x1_91x12_23_B_0" localSheetId="23" hidden="1">Prolink!$S$1193</definedName>
    <definedName name="SD_34x1_91x12_24_B_0" localSheetId="23" hidden="1">Prolink!$T$1193</definedName>
    <definedName name="SD_34x1_91x12_25_B_0" localSheetId="23" hidden="1">Prolink!$N$1193</definedName>
    <definedName name="SD_34x1_91x12_26_B_0" localSheetId="23" hidden="1">Prolink!$O$1193</definedName>
    <definedName name="SD_34x1_91x12_27_B_0" localSheetId="23" hidden="1">Prolink!$I$1193</definedName>
    <definedName name="SD_34x1_91x12_28_B_0" localSheetId="23" hidden="1">Prolink!$J$1193</definedName>
    <definedName name="SD_34x1_91x12_4_B_0" localSheetId="23" hidden="1">Prolink!$D$1193</definedName>
    <definedName name="SD_34x1_91x12_8_B_0" localSheetId="23" hidden="1">Prolink!$E$1193</definedName>
    <definedName name="SD_34x1_91x13_10_B_0" localSheetId="23" hidden="1">Prolink!$R$1194</definedName>
    <definedName name="SD_34x1_91x13_11_B_0" localSheetId="23" hidden="1">Prolink!$P$1194</definedName>
    <definedName name="SD_34x1_91x13_12_B_0" localSheetId="23" hidden="1">Prolink!$Q$1194</definedName>
    <definedName name="SD_34x1_91x13_14_B_0" localSheetId="23" hidden="1">Prolink!$M$1194</definedName>
    <definedName name="SD_34x1_91x13_15_B_0" localSheetId="23" hidden="1">Prolink!$K$1194</definedName>
    <definedName name="SD_34x1_91x13_16_B_0" localSheetId="23" hidden="1">Prolink!$L$1194</definedName>
    <definedName name="SD_34x1_91x13_18_B_0" localSheetId="23" hidden="1">Prolink!$H$1194</definedName>
    <definedName name="SD_34x1_91x13_19_B_0" localSheetId="23" hidden="1">Prolink!$F$1194</definedName>
    <definedName name="SD_34x1_91x13_20_B_0" localSheetId="23" hidden="1">Prolink!$G$1194</definedName>
    <definedName name="SD_34x1_91x13_22_B_0" localSheetId="23" hidden="1">Prolink!$C$1194</definedName>
    <definedName name="SD_34x1_91x13_23_B_0" localSheetId="23" hidden="1">Prolink!$S$1194</definedName>
    <definedName name="SD_34x1_91x13_24_B_0" localSheetId="23" hidden="1">Prolink!$T$1194</definedName>
    <definedName name="SD_34x1_91x13_25_B_0" localSheetId="23" hidden="1">Prolink!$N$1194</definedName>
    <definedName name="SD_34x1_91x13_26_B_0" localSheetId="23" hidden="1">Prolink!$O$1194</definedName>
    <definedName name="SD_34x1_91x13_27_B_0" localSheetId="23" hidden="1">Prolink!$I$1194</definedName>
    <definedName name="SD_34x1_91x13_28_B_0" localSheetId="23" hidden="1">Prolink!$J$1194</definedName>
    <definedName name="SD_34x1_91x13_4_B_0" localSheetId="23" hidden="1">Prolink!$D$1194</definedName>
    <definedName name="SD_34x1_91x13_8_B_0" localSheetId="23" hidden="1">Prolink!$E$1194</definedName>
    <definedName name="SD_34x1_91x14_10_B_0" localSheetId="23" hidden="1">Prolink!$R$1195</definedName>
    <definedName name="SD_34x1_91x14_11_B_0" localSheetId="23" hidden="1">Prolink!$P$1195</definedName>
    <definedName name="SD_34x1_91x14_12_B_0" localSheetId="23" hidden="1">Prolink!$Q$1195</definedName>
    <definedName name="SD_34x1_91x14_14_B_0" localSheetId="23" hidden="1">Prolink!$M$1195</definedName>
    <definedName name="SD_34x1_91x14_15_B_0" localSheetId="23" hidden="1">Prolink!$K$1195</definedName>
    <definedName name="SD_34x1_91x14_16_B_0" localSheetId="23" hidden="1">Prolink!$L$1195</definedName>
    <definedName name="SD_34x1_91x14_18_B_0" localSheetId="23" hidden="1">Prolink!$H$1195</definedName>
    <definedName name="SD_34x1_91x14_19_B_0" localSheetId="23" hidden="1">Prolink!$F$1195</definedName>
    <definedName name="SD_34x1_91x14_20_B_0" localSheetId="23" hidden="1">Prolink!$G$1195</definedName>
    <definedName name="SD_34x1_91x14_22_B_0" localSheetId="23" hidden="1">Prolink!$C$1195</definedName>
    <definedName name="SD_34x1_91x14_23_B_0" localSheetId="23" hidden="1">Prolink!$S$1195</definedName>
    <definedName name="SD_34x1_91x14_24_B_0" localSheetId="23" hidden="1">Prolink!$T$1195</definedName>
    <definedName name="SD_34x1_91x14_25_B_0" localSheetId="23" hidden="1">Prolink!$N$1195</definedName>
    <definedName name="SD_34x1_91x14_26_B_0" localSheetId="23" hidden="1">Prolink!$O$1195</definedName>
    <definedName name="SD_34x1_91x14_27_B_0" localSheetId="23" hidden="1">Prolink!$I$1195</definedName>
    <definedName name="SD_34x1_91x14_28_B_0" localSheetId="23" hidden="1">Prolink!$J$1195</definedName>
    <definedName name="SD_34x1_91x14_4_B_0" localSheetId="23" hidden="1">Prolink!$D$1195</definedName>
    <definedName name="SD_34x1_91x14_8_B_0" localSheetId="23" hidden="1">Prolink!$E$1195</definedName>
    <definedName name="SD_34x1_91x15_10_B_0" localSheetId="23" hidden="1">Prolink!$R$1196</definedName>
    <definedName name="SD_34x1_91x15_11_B_0" localSheetId="23" hidden="1">Prolink!$P$1196</definedName>
    <definedName name="SD_34x1_91x15_12_B_0" localSheetId="23" hidden="1">Prolink!$Q$1196</definedName>
    <definedName name="SD_34x1_91x15_14_B_0" localSheetId="23" hidden="1">Prolink!$M$1196</definedName>
    <definedName name="SD_34x1_91x15_15_B_0" localSheetId="23" hidden="1">Prolink!$K$1196</definedName>
    <definedName name="SD_34x1_91x15_16_B_0" localSheetId="23" hidden="1">Prolink!$L$1196</definedName>
    <definedName name="SD_34x1_91x15_18_B_0" localSheetId="23" hidden="1">Prolink!$H$1196</definedName>
    <definedName name="SD_34x1_91x15_19_B_0" localSheetId="23" hidden="1">Prolink!$F$1196</definedName>
    <definedName name="SD_34x1_91x15_20_B_0" localSheetId="23" hidden="1">Prolink!$G$1196</definedName>
    <definedName name="SD_34x1_91x15_22_B_0" localSheetId="23" hidden="1">Prolink!$C$1196</definedName>
    <definedName name="SD_34x1_91x15_23_B_0" localSheetId="23" hidden="1">Prolink!$S$1196</definedName>
    <definedName name="SD_34x1_91x15_24_B_0" localSheetId="23" hidden="1">Prolink!$T$1196</definedName>
    <definedName name="SD_34x1_91x15_25_B_0" localSheetId="23" hidden="1">Prolink!$N$1196</definedName>
    <definedName name="SD_34x1_91x15_26_B_0" localSheetId="23" hidden="1">Prolink!$O$1196</definedName>
    <definedName name="SD_34x1_91x15_27_B_0" localSheetId="23" hidden="1">Prolink!$I$1196</definedName>
    <definedName name="SD_34x1_91x15_28_B_0" localSheetId="23" hidden="1">Prolink!$J$1196</definedName>
    <definedName name="SD_34x1_91x15_4_B_0" localSheetId="23" hidden="1">Prolink!$D$1196</definedName>
    <definedName name="SD_34x1_91x15_8_B_0" localSheetId="23" hidden="1">Prolink!$E$1196</definedName>
    <definedName name="SD_34x1_91x16_10_B_0" localSheetId="23" hidden="1">Prolink!$R$1197</definedName>
    <definedName name="SD_34x1_91x16_11_B_0" localSheetId="23" hidden="1">Prolink!$P$1197</definedName>
    <definedName name="SD_34x1_91x16_12_B_0" localSheetId="23" hidden="1">Prolink!$Q$1197</definedName>
    <definedName name="SD_34x1_91x16_14_B_0" localSheetId="23" hidden="1">Prolink!$M$1197</definedName>
    <definedName name="SD_34x1_91x16_15_B_0" localSheetId="23" hidden="1">Prolink!$K$1197</definedName>
    <definedName name="SD_34x1_91x16_16_B_0" localSheetId="23" hidden="1">Prolink!$L$1197</definedName>
    <definedName name="SD_34x1_91x16_18_B_0" localSheetId="23" hidden="1">Prolink!$H$1197</definedName>
    <definedName name="SD_34x1_91x16_19_B_0" localSheetId="23" hidden="1">Prolink!$F$1197</definedName>
    <definedName name="SD_34x1_91x16_20_B_0" localSheetId="23" hidden="1">Prolink!$G$1197</definedName>
    <definedName name="SD_34x1_91x16_22_B_0" localSheetId="23" hidden="1">Prolink!$C$1197</definedName>
    <definedName name="SD_34x1_91x16_23_B_0" localSheetId="23" hidden="1">Prolink!$S$1197</definedName>
    <definedName name="SD_34x1_91x16_24_B_0" localSheetId="23" hidden="1">Prolink!$T$1197</definedName>
    <definedName name="SD_34x1_91x16_25_B_0" localSheetId="23" hidden="1">Prolink!$N$1197</definedName>
    <definedName name="SD_34x1_91x16_26_B_0" localSheetId="23" hidden="1">Prolink!$O$1197</definedName>
    <definedName name="SD_34x1_91x16_27_B_0" localSheetId="23" hidden="1">Prolink!$I$1197</definedName>
    <definedName name="SD_34x1_91x16_28_B_0" localSheetId="23" hidden="1">Prolink!$J$1197</definedName>
    <definedName name="SD_34x1_91x16_4_B_0" localSheetId="23" hidden="1">Prolink!$D$1197</definedName>
    <definedName name="SD_34x1_91x16_8_B_0" localSheetId="23" hidden="1">Prolink!$E$1197</definedName>
    <definedName name="SD_34x1_91x17_10_B_0" localSheetId="23" hidden="1">Prolink!$R$1198</definedName>
    <definedName name="SD_34x1_91x17_11_B_0" localSheetId="23" hidden="1">Prolink!$P$1198</definedName>
    <definedName name="SD_34x1_91x17_12_B_0" localSheetId="23" hidden="1">Prolink!$Q$1198</definedName>
    <definedName name="SD_34x1_91x17_14_B_0" localSheetId="23" hidden="1">Prolink!$M$1198</definedName>
    <definedName name="SD_34x1_91x17_15_B_0" localSheetId="23" hidden="1">Prolink!$K$1198</definedName>
    <definedName name="SD_34x1_91x17_16_B_0" localSheetId="23" hidden="1">Prolink!$L$1198</definedName>
    <definedName name="SD_34x1_91x17_18_B_0" localSheetId="23" hidden="1">Prolink!$H$1198</definedName>
    <definedName name="SD_34x1_91x17_19_B_0" localSheetId="23" hidden="1">Prolink!$F$1198</definedName>
    <definedName name="SD_34x1_91x17_20_B_0" localSheetId="23" hidden="1">Prolink!$G$1198</definedName>
    <definedName name="SD_34x1_91x17_22_B_0" localSheetId="23" hidden="1">Prolink!$C$1198</definedName>
    <definedName name="SD_34x1_91x17_23_B_0" localSheetId="23" hidden="1">Prolink!$S$1198</definedName>
    <definedName name="SD_34x1_91x17_24_B_0" localSheetId="23" hidden="1">Prolink!$T$1198</definedName>
    <definedName name="SD_34x1_91x17_25_B_0" localSheetId="23" hidden="1">Prolink!$N$1198</definedName>
    <definedName name="SD_34x1_91x17_26_B_0" localSheetId="23" hidden="1">Prolink!$O$1198</definedName>
    <definedName name="SD_34x1_91x17_27_B_0" localSheetId="23" hidden="1">Prolink!$I$1198</definedName>
    <definedName name="SD_34x1_91x17_28_B_0" localSheetId="23" hidden="1">Prolink!$J$1198</definedName>
    <definedName name="SD_34x1_91x17_4_B_0" localSheetId="23" hidden="1">Prolink!$D$1198</definedName>
    <definedName name="SD_34x1_91x17_8_B_0" localSheetId="23" hidden="1">Prolink!$E$1198</definedName>
    <definedName name="SD_34x1_91x18_10_B_0" localSheetId="23" hidden="1">Prolink!$R$1199</definedName>
    <definedName name="SD_34x1_91x18_11_B_0" localSheetId="23" hidden="1">Prolink!$P$1199</definedName>
    <definedName name="SD_34x1_91x18_12_B_0" localSheetId="23" hidden="1">Prolink!$Q$1199</definedName>
    <definedName name="SD_34x1_91x18_14_B_0" localSheetId="23" hidden="1">Prolink!$M$1199</definedName>
    <definedName name="SD_34x1_91x18_15_B_0" localSheetId="23" hidden="1">Prolink!$K$1199</definedName>
    <definedName name="SD_34x1_91x18_16_B_0" localSheetId="23" hidden="1">Prolink!$L$1199</definedName>
    <definedName name="SD_34x1_91x18_18_B_0" localSheetId="23" hidden="1">Prolink!$H$1199</definedName>
    <definedName name="SD_34x1_91x18_19_B_0" localSheetId="23" hidden="1">Prolink!$F$1199</definedName>
    <definedName name="SD_34x1_91x18_20_B_0" localSheetId="23" hidden="1">Prolink!$G$1199</definedName>
    <definedName name="SD_34x1_91x18_22_B_0" localSheetId="23" hidden="1">Prolink!$C$1199</definedName>
    <definedName name="SD_34x1_91x18_23_B_0" localSheetId="23" hidden="1">Prolink!$S$1199</definedName>
    <definedName name="SD_34x1_91x18_24_B_0" localSheetId="23" hidden="1">Prolink!$T$1199</definedName>
    <definedName name="SD_34x1_91x18_25_B_0" localSheetId="23" hidden="1">Prolink!$N$1199</definedName>
    <definedName name="SD_34x1_91x18_26_B_0" localSheetId="23" hidden="1">Prolink!$O$1199</definedName>
    <definedName name="SD_34x1_91x18_27_B_0" localSheetId="23" hidden="1">Prolink!$I$1199</definedName>
    <definedName name="SD_34x1_91x18_28_B_0" localSheetId="23" hidden="1">Prolink!$J$1199</definedName>
    <definedName name="SD_34x1_91x18_4_B_0" localSheetId="23" hidden="1">Prolink!$D$1199</definedName>
    <definedName name="SD_34x1_91x18_8_B_0" localSheetId="23" hidden="1">Prolink!$E$1199</definedName>
    <definedName name="SD_34x1_91x19_10_B_0" localSheetId="23" hidden="1">Prolink!$R$1200</definedName>
    <definedName name="SD_34x1_91x19_11_B_0" localSheetId="23" hidden="1">Prolink!$P$1200</definedName>
    <definedName name="SD_34x1_91x19_12_B_0" localSheetId="23" hidden="1">Prolink!$Q$1200</definedName>
    <definedName name="SD_34x1_91x19_14_B_0" localSheetId="23" hidden="1">Prolink!$M$1200</definedName>
    <definedName name="SD_34x1_91x19_15_B_0" localSheetId="23" hidden="1">Prolink!$K$1200</definedName>
    <definedName name="SD_34x1_91x19_16_B_0" localSheetId="23" hidden="1">Prolink!$L$1200</definedName>
    <definedName name="SD_34x1_91x19_18_B_0" localSheetId="23" hidden="1">Prolink!$H$1200</definedName>
    <definedName name="SD_34x1_91x19_19_B_0" localSheetId="23" hidden="1">Prolink!$F$1200</definedName>
    <definedName name="SD_34x1_91x19_20_B_0" localSheetId="23" hidden="1">Prolink!$G$1200</definedName>
    <definedName name="SD_34x1_91x19_22_B_0" localSheetId="23" hidden="1">Prolink!$C$1200</definedName>
    <definedName name="SD_34x1_91x19_23_B_0" localSheetId="23" hidden="1">Prolink!$S$1200</definedName>
    <definedName name="SD_34x1_91x19_24_B_0" localSheetId="23" hidden="1">Prolink!$T$1200</definedName>
    <definedName name="SD_34x1_91x19_25_B_0" localSheetId="23" hidden="1">Prolink!$N$1200</definedName>
    <definedName name="SD_34x1_91x19_26_B_0" localSheetId="23" hidden="1">Prolink!$O$1200</definedName>
    <definedName name="SD_34x1_91x19_27_B_0" localSheetId="23" hidden="1">Prolink!$I$1200</definedName>
    <definedName name="SD_34x1_91x19_28_B_0" localSheetId="23" hidden="1">Prolink!$J$1200</definedName>
    <definedName name="SD_34x1_91x19_4_B_0" localSheetId="23" hidden="1">Prolink!$D$1200</definedName>
    <definedName name="SD_34x1_91x19_8_B_0" localSheetId="23" hidden="1">Prolink!$E$1200</definedName>
    <definedName name="SD_34x1_91x2_10_B_0" localSheetId="23" hidden="1">Prolink!$R$1183</definedName>
    <definedName name="SD_34x1_91x2_11_B_0" localSheetId="23" hidden="1">Prolink!$P$1183</definedName>
    <definedName name="SD_34x1_91x2_12_B_0" localSheetId="23" hidden="1">Prolink!$Q$1183</definedName>
    <definedName name="SD_34x1_91x2_14_B_0" localSheetId="23" hidden="1">Prolink!$M$1183</definedName>
    <definedName name="SD_34x1_91x2_15_B_0" localSheetId="23" hidden="1">Prolink!$K$1183</definedName>
    <definedName name="SD_34x1_91x2_16_B_0" localSheetId="23" hidden="1">Prolink!$L$1183</definedName>
    <definedName name="SD_34x1_91x2_18_B_0" localSheetId="23" hidden="1">Prolink!$H$1183</definedName>
    <definedName name="SD_34x1_91x2_19_B_0" localSheetId="23" hidden="1">Prolink!$F$1183</definedName>
    <definedName name="SD_34x1_91x2_20_B_0" localSheetId="23" hidden="1">Prolink!$G$1183</definedName>
    <definedName name="SD_34x1_91x2_22_B_0" localSheetId="23" hidden="1">Prolink!$C$1183</definedName>
    <definedName name="SD_34x1_91x2_23_B_0" localSheetId="23" hidden="1">Prolink!$S$1183</definedName>
    <definedName name="SD_34x1_91x2_24_B_0" localSheetId="23" hidden="1">Prolink!$T$1183</definedName>
    <definedName name="SD_34x1_91x2_25_B_0" localSheetId="23" hidden="1">Prolink!$N$1183</definedName>
    <definedName name="SD_34x1_91x2_26_B_0" localSheetId="23" hidden="1">Prolink!$O$1183</definedName>
    <definedName name="SD_34x1_91x2_27_B_0" localSheetId="23" hidden="1">Prolink!$I$1183</definedName>
    <definedName name="SD_34x1_91x2_28_B_0" localSheetId="23" hidden="1">Prolink!$J$1183</definedName>
    <definedName name="SD_34x1_91x2_4_B_0" localSheetId="23" hidden="1">Prolink!$D$1183</definedName>
    <definedName name="SD_34x1_91x2_8_B_0" localSheetId="23" hidden="1">Prolink!$E$1183</definedName>
    <definedName name="SD_34x1_91x20_10_B_0" localSheetId="23" hidden="1">Prolink!$R$1201</definedName>
    <definedName name="SD_34x1_91x20_11_B_0" localSheetId="23" hidden="1">Prolink!$P$1201</definedName>
    <definedName name="SD_34x1_91x20_12_B_0" localSheetId="23" hidden="1">Prolink!$Q$1201</definedName>
    <definedName name="SD_34x1_91x20_14_B_0" localSheetId="23" hidden="1">Prolink!$M$1201</definedName>
    <definedName name="SD_34x1_91x20_15_B_0" localSheetId="23" hidden="1">Prolink!$K$1201</definedName>
    <definedName name="SD_34x1_91x20_16_B_0" localSheetId="23" hidden="1">Prolink!$L$1201</definedName>
    <definedName name="SD_34x1_91x20_18_B_0" localSheetId="23" hidden="1">Prolink!$H$1201</definedName>
    <definedName name="SD_34x1_91x20_19_B_0" localSheetId="23" hidden="1">Prolink!$F$1201</definedName>
    <definedName name="SD_34x1_91x20_20_B_0" localSheetId="23" hidden="1">Prolink!$G$1201</definedName>
    <definedName name="SD_34x1_91x20_22_B_0" localSheetId="23" hidden="1">Prolink!$C$1201</definedName>
    <definedName name="SD_34x1_91x20_23_B_0" localSheetId="23" hidden="1">Prolink!$S$1201</definedName>
    <definedName name="SD_34x1_91x20_24_B_0" localSheetId="23" hidden="1">Prolink!$T$1201</definedName>
    <definedName name="SD_34x1_91x20_25_B_0" localSheetId="23" hidden="1">Prolink!$N$1201</definedName>
    <definedName name="SD_34x1_91x20_26_B_0" localSheetId="23" hidden="1">Prolink!$O$1201</definedName>
    <definedName name="SD_34x1_91x20_27_B_0" localSheetId="23" hidden="1">Prolink!$I$1201</definedName>
    <definedName name="SD_34x1_91x20_28_B_0" localSheetId="23" hidden="1">Prolink!$J$1201</definedName>
    <definedName name="SD_34x1_91x20_4_B_0" localSheetId="23" hidden="1">Prolink!$D$1201</definedName>
    <definedName name="SD_34x1_91x20_8_B_0" localSheetId="23" hidden="1">Prolink!$E$1201</definedName>
    <definedName name="SD_34x1_91x21_10_B_0" localSheetId="23" hidden="1">Prolink!$R$1202</definedName>
    <definedName name="SD_34x1_91x21_11_B_0" localSheetId="23" hidden="1">Prolink!$P$1202</definedName>
    <definedName name="SD_34x1_91x21_12_B_0" localSheetId="23" hidden="1">Prolink!$Q$1202</definedName>
    <definedName name="SD_34x1_91x21_14_B_0" localSheetId="23" hidden="1">Prolink!$M$1202</definedName>
    <definedName name="SD_34x1_91x21_15_B_0" localSheetId="23" hidden="1">Prolink!$K$1202</definedName>
    <definedName name="SD_34x1_91x21_16_B_0" localSheetId="23" hidden="1">Prolink!$L$1202</definedName>
    <definedName name="SD_34x1_91x21_18_B_0" localSheetId="23" hidden="1">Prolink!$H$1202</definedName>
    <definedName name="SD_34x1_91x21_19_B_0" localSheetId="23" hidden="1">Prolink!$F$1202</definedName>
    <definedName name="SD_34x1_91x21_20_B_0" localSheetId="23" hidden="1">Prolink!$G$1202</definedName>
    <definedName name="SD_34x1_91x21_22_B_0" localSheetId="23" hidden="1">Prolink!$C$1202</definedName>
    <definedName name="SD_34x1_91x21_23_B_0" localSheetId="23" hidden="1">Prolink!$S$1202</definedName>
    <definedName name="SD_34x1_91x21_24_B_0" localSheetId="23" hidden="1">Prolink!$T$1202</definedName>
    <definedName name="SD_34x1_91x21_25_B_0" localSheetId="23" hidden="1">Prolink!$N$1202</definedName>
    <definedName name="SD_34x1_91x21_26_B_0" localSheetId="23" hidden="1">Prolink!$O$1202</definedName>
    <definedName name="SD_34x1_91x21_27_B_0" localSheetId="23" hidden="1">Prolink!$I$1202</definedName>
    <definedName name="SD_34x1_91x21_28_B_0" localSheetId="23" hidden="1">Prolink!$J$1202</definedName>
    <definedName name="SD_34x1_91x21_4_B_0" localSheetId="23" hidden="1">Prolink!$D$1202</definedName>
    <definedName name="SD_34x1_91x21_8_B_0" localSheetId="23" hidden="1">Prolink!$E$1202</definedName>
    <definedName name="SD_34x1_91x22_10_B_0" localSheetId="23" hidden="1">Prolink!$R$1203</definedName>
    <definedName name="SD_34x1_91x22_11_B_0" localSheetId="23" hidden="1">Prolink!$P$1203</definedName>
    <definedName name="SD_34x1_91x22_12_B_0" localSheetId="23" hidden="1">Prolink!$Q$1203</definedName>
    <definedName name="SD_34x1_91x22_14_B_0" localSheetId="23" hidden="1">Prolink!$M$1203</definedName>
    <definedName name="SD_34x1_91x22_15_B_0" localSheetId="23" hidden="1">Prolink!$K$1203</definedName>
    <definedName name="SD_34x1_91x22_16_B_0" localSheetId="23" hidden="1">Prolink!$L$1203</definedName>
    <definedName name="SD_34x1_91x22_18_B_0" localSheetId="23" hidden="1">Prolink!$H$1203</definedName>
    <definedName name="SD_34x1_91x22_19_B_0" localSheetId="23" hidden="1">Prolink!$F$1203</definedName>
    <definedName name="SD_34x1_91x22_20_B_0" localSheetId="23" hidden="1">Prolink!$G$1203</definedName>
    <definedName name="SD_34x1_91x22_22_B_0" localSheetId="23" hidden="1">Prolink!$C$1203</definedName>
    <definedName name="SD_34x1_91x22_23_B_0" localSheetId="23" hidden="1">Prolink!$S$1203</definedName>
    <definedName name="SD_34x1_91x22_24_B_0" localSheetId="23" hidden="1">Prolink!$T$1203</definedName>
    <definedName name="SD_34x1_91x22_25_B_0" localSheetId="23" hidden="1">Prolink!$N$1203</definedName>
    <definedName name="SD_34x1_91x22_26_B_0" localSheetId="23" hidden="1">Prolink!$O$1203</definedName>
    <definedName name="SD_34x1_91x22_27_B_0" localSheetId="23" hidden="1">Prolink!$I$1203</definedName>
    <definedName name="SD_34x1_91x22_28_B_0" localSheetId="23" hidden="1">Prolink!$J$1203</definedName>
    <definedName name="SD_34x1_91x22_4_B_0" localSheetId="23" hidden="1">Prolink!$D$1203</definedName>
    <definedName name="SD_34x1_91x22_8_B_0" localSheetId="23" hidden="1">Prolink!$E$1203</definedName>
    <definedName name="SD_34x1_91x23_10_B_0" localSheetId="23" hidden="1">Prolink!$R$1204</definedName>
    <definedName name="SD_34x1_91x23_11_B_0" localSheetId="23" hidden="1">Prolink!$P$1204</definedName>
    <definedName name="SD_34x1_91x23_12_B_0" localSheetId="23" hidden="1">Prolink!$Q$1204</definedName>
    <definedName name="SD_34x1_91x23_14_B_0" localSheetId="23" hidden="1">Prolink!$M$1204</definedName>
    <definedName name="SD_34x1_91x23_15_B_0" localSheetId="23" hidden="1">Prolink!$K$1204</definedName>
    <definedName name="SD_34x1_91x23_16_B_0" localSheetId="23" hidden="1">Prolink!$L$1204</definedName>
    <definedName name="SD_34x1_91x23_18_B_0" localSheetId="23" hidden="1">Prolink!$H$1204</definedName>
    <definedName name="SD_34x1_91x23_19_B_0" localSheetId="23" hidden="1">Prolink!$F$1204</definedName>
    <definedName name="SD_34x1_91x23_20_B_0" localSheetId="23" hidden="1">Prolink!$G$1204</definedName>
    <definedName name="SD_34x1_91x23_22_B_0" localSheetId="23" hidden="1">Prolink!$C$1204</definedName>
    <definedName name="SD_34x1_91x23_23_B_0" localSheetId="23" hidden="1">Prolink!$S$1204</definedName>
    <definedName name="SD_34x1_91x23_24_B_0" localSheetId="23" hidden="1">Prolink!$T$1204</definedName>
    <definedName name="SD_34x1_91x23_25_B_0" localSheetId="23" hidden="1">Prolink!$N$1204</definedName>
    <definedName name="SD_34x1_91x23_26_B_0" localSheetId="23" hidden="1">Prolink!$O$1204</definedName>
    <definedName name="SD_34x1_91x23_27_B_0" localSheetId="23" hidden="1">Prolink!$I$1204</definedName>
    <definedName name="SD_34x1_91x23_28_B_0" localSheetId="23" hidden="1">Prolink!$J$1204</definedName>
    <definedName name="SD_34x1_91x23_4_B_0" localSheetId="23" hidden="1">Prolink!$D$1204</definedName>
    <definedName name="SD_34x1_91x23_8_B_0" localSheetId="23" hidden="1">Prolink!$E$1204</definedName>
    <definedName name="SD_34x1_91x24_10_B_0" localSheetId="23" hidden="1">Prolink!$R$1205</definedName>
    <definedName name="SD_34x1_91x24_11_B_0" localSheetId="23" hidden="1">Prolink!$P$1205</definedName>
    <definedName name="SD_34x1_91x24_12_B_0" localSheetId="23" hidden="1">Prolink!$Q$1205</definedName>
    <definedName name="SD_34x1_91x24_14_B_0" localSheetId="23" hidden="1">Prolink!$M$1205</definedName>
    <definedName name="SD_34x1_91x24_15_B_0" localSheetId="23" hidden="1">Prolink!$K$1205</definedName>
    <definedName name="SD_34x1_91x24_16_B_0" localSheetId="23" hidden="1">Prolink!$L$1205</definedName>
    <definedName name="SD_34x1_91x24_18_B_0" localSheetId="23" hidden="1">Prolink!$H$1205</definedName>
    <definedName name="SD_34x1_91x24_19_B_0" localSheetId="23" hidden="1">Prolink!$F$1205</definedName>
    <definedName name="SD_34x1_91x24_20_B_0" localSheetId="23" hidden="1">Prolink!$G$1205</definedName>
    <definedName name="SD_34x1_91x24_22_B_0" localSheetId="23" hidden="1">Prolink!$C$1205</definedName>
    <definedName name="SD_34x1_91x24_23_B_0" localSheetId="23" hidden="1">Prolink!$S$1205</definedName>
    <definedName name="SD_34x1_91x24_24_B_0" localSheetId="23" hidden="1">Prolink!$T$1205</definedName>
    <definedName name="SD_34x1_91x24_25_B_0" localSheetId="23" hidden="1">Prolink!$N$1205</definedName>
    <definedName name="SD_34x1_91x24_26_B_0" localSheetId="23" hidden="1">Prolink!$O$1205</definedName>
    <definedName name="SD_34x1_91x24_27_B_0" localSheetId="23" hidden="1">Prolink!$I$1205</definedName>
    <definedName name="SD_34x1_91x24_28_B_0" localSheetId="23" hidden="1">Prolink!$J$1205</definedName>
    <definedName name="SD_34x1_91x24_4_B_0" localSheetId="23" hidden="1">Prolink!$D$1205</definedName>
    <definedName name="SD_34x1_91x24_8_B_0" localSheetId="23" hidden="1">Prolink!$E$1205</definedName>
    <definedName name="SD_34x1_91x25_10_B_0" localSheetId="23" hidden="1">Prolink!$R$1206</definedName>
    <definedName name="SD_34x1_91x25_11_B_0" localSheetId="23" hidden="1">Prolink!$P$1206</definedName>
    <definedName name="SD_34x1_91x25_12_B_0" localSheetId="23" hidden="1">Prolink!$Q$1206</definedName>
    <definedName name="SD_34x1_91x25_14_B_0" localSheetId="23" hidden="1">Prolink!$M$1206</definedName>
    <definedName name="SD_34x1_91x25_15_B_0" localSheetId="23" hidden="1">Prolink!$K$1206</definedName>
    <definedName name="SD_34x1_91x25_16_B_0" localSheetId="23" hidden="1">Prolink!$L$1206</definedName>
    <definedName name="SD_34x1_91x25_18_B_0" localSheetId="23" hidden="1">Prolink!$H$1206</definedName>
    <definedName name="SD_34x1_91x25_19_B_0" localSheetId="23" hidden="1">Prolink!$F$1206</definedName>
    <definedName name="SD_34x1_91x25_20_B_0" localSheetId="23" hidden="1">Prolink!$G$1206</definedName>
    <definedName name="SD_34x1_91x25_22_B_0" localSheetId="23" hidden="1">Prolink!$C$1206</definedName>
    <definedName name="SD_34x1_91x25_23_B_0" localSheetId="23" hidden="1">Prolink!$S$1206</definedName>
    <definedName name="SD_34x1_91x25_24_B_0" localSheetId="23" hidden="1">Prolink!$T$1206</definedName>
    <definedName name="SD_34x1_91x25_25_B_0" localSheetId="23" hidden="1">Prolink!$N$1206</definedName>
    <definedName name="SD_34x1_91x25_26_B_0" localSheetId="23" hidden="1">Prolink!$O$1206</definedName>
    <definedName name="SD_34x1_91x25_27_B_0" localSheetId="23" hidden="1">Prolink!$I$1206</definedName>
    <definedName name="SD_34x1_91x25_28_B_0" localSheetId="23" hidden="1">Prolink!$J$1206</definedName>
    <definedName name="SD_34x1_91x25_4_B_0" localSheetId="23" hidden="1">Prolink!$D$1206</definedName>
    <definedName name="SD_34x1_91x25_8_B_0" localSheetId="23" hidden="1">Prolink!$E$1206</definedName>
    <definedName name="SD_34x1_91x26_10_B_0" localSheetId="23" hidden="1">Prolink!$R$1207</definedName>
    <definedName name="SD_34x1_91x26_11_B_0" localSheetId="23" hidden="1">Prolink!$P$1207</definedName>
    <definedName name="SD_34x1_91x26_12_B_0" localSheetId="23" hidden="1">Prolink!$Q$1207</definedName>
    <definedName name="SD_34x1_91x26_14_B_0" localSheetId="23" hidden="1">Prolink!$M$1207</definedName>
    <definedName name="SD_34x1_91x26_15_B_0" localSheetId="23" hidden="1">Prolink!$K$1207</definedName>
    <definedName name="SD_34x1_91x26_16_B_0" localSheetId="23" hidden="1">Prolink!$L$1207</definedName>
    <definedName name="SD_34x1_91x26_18_B_0" localSheetId="23" hidden="1">Prolink!$H$1207</definedName>
    <definedName name="SD_34x1_91x26_19_B_0" localSheetId="23" hidden="1">Prolink!$F$1207</definedName>
    <definedName name="SD_34x1_91x26_20_B_0" localSheetId="23" hidden="1">Prolink!$G$1207</definedName>
    <definedName name="SD_34x1_91x26_22_B_0" localSheetId="23" hidden="1">Prolink!$C$1207</definedName>
    <definedName name="SD_34x1_91x26_23_B_0" localSheetId="23" hidden="1">Prolink!$S$1207</definedName>
    <definedName name="SD_34x1_91x26_24_B_0" localSheetId="23" hidden="1">Prolink!$T$1207</definedName>
    <definedName name="SD_34x1_91x26_25_B_0" localSheetId="23" hidden="1">Prolink!$N$1207</definedName>
    <definedName name="SD_34x1_91x26_26_B_0" localSheetId="23" hidden="1">Prolink!$O$1207</definedName>
    <definedName name="SD_34x1_91x26_27_B_0" localSheetId="23" hidden="1">Prolink!$I$1207</definedName>
    <definedName name="SD_34x1_91x26_28_B_0" localSheetId="23" hidden="1">Prolink!$J$1207</definedName>
    <definedName name="SD_34x1_91x26_4_B_0" localSheetId="23" hidden="1">Prolink!$D$1207</definedName>
    <definedName name="SD_34x1_91x26_8_B_0" localSheetId="23" hidden="1">Prolink!$E$1207</definedName>
    <definedName name="SD_34x1_91x27_10_B_0" localSheetId="23" hidden="1">Prolink!$R$1208</definedName>
    <definedName name="SD_34x1_91x27_11_B_0" localSheetId="23" hidden="1">Prolink!$P$1208</definedName>
    <definedName name="SD_34x1_91x27_12_B_0" localSheetId="23" hidden="1">Prolink!$Q$1208</definedName>
    <definedName name="SD_34x1_91x27_14_B_0" localSheetId="23" hidden="1">Prolink!$M$1208</definedName>
    <definedName name="SD_34x1_91x27_15_B_0" localSheetId="23" hidden="1">Prolink!$K$1208</definedName>
    <definedName name="SD_34x1_91x27_16_B_0" localSheetId="23" hidden="1">Prolink!$L$1208</definedName>
    <definedName name="SD_34x1_91x27_18_B_0" localSheetId="23" hidden="1">Prolink!$H$1208</definedName>
    <definedName name="SD_34x1_91x27_19_B_0" localSheetId="23" hidden="1">Prolink!$F$1208</definedName>
    <definedName name="SD_34x1_91x27_20_B_0" localSheetId="23" hidden="1">Prolink!$G$1208</definedName>
    <definedName name="SD_34x1_91x27_22_B_0" localSheetId="23" hidden="1">Prolink!$C$1208</definedName>
    <definedName name="SD_34x1_91x27_23_B_0" localSheetId="23" hidden="1">Prolink!$S$1208</definedName>
    <definedName name="SD_34x1_91x27_24_B_0" localSheetId="23" hidden="1">Prolink!$T$1208</definedName>
    <definedName name="SD_34x1_91x27_25_B_0" localSheetId="23" hidden="1">Prolink!$N$1208</definedName>
    <definedName name="SD_34x1_91x27_26_B_0" localSheetId="23" hidden="1">Prolink!$O$1208</definedName>
    <definedName name="SD_34x1_91x27_27_B_0" localSheetId="23" hidden="1">Prolink!$I$1208</definedName>
    <definedName name="SD_34x1_91x27_28_B_0" localSheetId="23" hidden="1">Prolink!$J$1208</definedName>
    <definedName name="SD_34x1_91x27_4_B_0" localSheetId="23" hidden="1">Prolink!$D$1208</definedName>
    <definedName name="SD_34x1_91x27_8_B_0" localSheetId="23" hidden="1">Prolink!$E$1208</definedName>
    <definedName name="SD_34x1_91x28_10_B_0" localSheetId="23" hidden="1">Prolink!$R$1209</definedName>
    <definedName name="SD_34x1_91x28_11_B_0" localSheetId="23" hidden="1">Prolink!$P$1209</definedName>
    <definedName name="SD_34x1_91x28_12_B_0" localSheetId="23" hidden="1">Prolink!$Q$1209</definedName>
    <definedName name="SD_34x1_91x28_14_B_0" localSheetId="23" hidden="1">Prolink!$M$1209</definedName>
    <definedName name="SD_34x1_91x28_15_B_0" localSheetId="23" hidden="1">Prolink!$K$1209</definedName>
    <definedName name="SD_34x1_91x28_16_B_0" localSheetId="23" hidden="1">Prolink!$L$1209</definedName>
    <definedName name="SD_34x1_91x28_18_B_0" localSheetId="23" hidden="1">Prolink!$H$1209</definedName>
    <definedName name="SD_34x1_91x28_19_B_0" localSheetId="23" hidden="1">Prolink!$F$1209</definedName>
    <definedName name="SD_34x1_91x28_20_B_0" localSheetId="23" hidden="1">Prolink!$G$1209</definedName>
    <definedName name="SD_34x1_91x28_22_B_0" localSheetId="23" hidden="1">Prolink!$C$1209</definedName>
    <definedName name="SD_34x1_91x28_23_B_0" localSheetId="23" hidden="1">Prolink!$S$1209</definedName>
    <definedName name="SD_34x1_91x28_24_B_0" localSheetId="23" hidden="1">Prolink!$T$1209</definedName>
    <definedName name="SD_34x1_91x28_25_B_0" localSheetId="23" hidden="1">Prolink!$N$1209</definedName>
    <definedName name="SD_34x1_91x28_26_B_0" localSheetId="23" hidden="1">Prolink!$O$1209</definedName>
    <definedName name="SD_34x1_91x28_27_B_0" localSheetId="23" hidden="1">Prolink!$I$1209</definedName>
    <definedName name="SD_34x1_91x28_28_B_0" localSheetId="23" hidden="1">Prolink!$J$1209</definedName>
    <definedName name="SD_34x1_91x28_4_B_0" localSheetId="23" hidden="1">Prolink!$D$1209</definedName>
    <definedName name="SD_34x1_91x28_8_B_0" localSheetId="23" hidden="1">Prolink!$E$1209</definedName>
    <definedName name="SD_34x1_91x29_10_B_0" localSheetId="23" hidden="1">Prolink!$R$1210</definedName>
    <definedName name="SD_34x1_91x29_11_B_0" localSheetId="23" hidden="1">Prolink!$P$1210</definedName>
    <definedName name="SD_34x1_91x29_12_B_0" localSheetId="23" hidden="1">Prolink!$Q$1210</definedName>
    <definedName name="SD_34x1_91x29_14_B_0" localSheetId="23" hidden="1">Prolink!$M$1210</definedName>
    <definedName name="SD_34x1_91x29_15_B_0" localSheetId="23" hidden="1">Prolink!$K$1210</definedName>
    <definedName name="SD_34x1_91x29_16_B_0" localSheetId="23" hidden="1">Prolink!$L$1210</definedName>
    <definedName name="SD_34x1_91x29_18_B_0" localSheetId="23" hidden="1">Prolink!$H$1210</definedName>
    <definedName name="SD_34x1_91x29_19_B_0" localSheetId="23" hidden="1">Prolink!$F$1210</definedName>
    <definedName name="SD_34x1_91x29_20_B_0" localSheetId="23" hidden="1">Prolink!$G$1210</definedName>
    <definedName name="SD_34x1_91x29_22_B_0" localSheetId="23" hidden="1">Prolink!$C$1210</definedName>
    <definedName name="SD_34x1_91x29_23_B_0" localSheetId="23" hidden="1">Prolink!$S$1210</definedName>
    <definedName name="SD_34x1_91x29_24_B_0" localSheetId="23" hidden="1">Prolink!$T$1210</definedName>
    <definedName name="SD_34x1_91x29_25_B_0" localSheetId="23" hidden="1">Prolink!$N$1210</definedName>
    <definedName name="SD_34x1_91x29_26_B_0" localSheetId="23" hidden="1">Prolink!$O$1210</definedName>
    <definedName name="SD_34x1_91x29_27_B_0" localSheetId="23" hidden="1">Prolink!$I$1210</definedName>
    <definedName name="SD_34x1_91x29_28_B_0" localSheetId="23" hidden="1">Prolink!$J$1210</definedName>
    <definedName name="SD_34x1_91x29_4_B_0" localSheetId="23" hidden="1">Prolink!$D$1210</definedName>
    <definedName name="SD_34x1_91x29_8_B_0" localSheetId="23" hidden="1">Prolink!$E$1210</definedName>
    <definedName name="SD_34x1_91x3_10_B_0" localSheetId="23" hidden="1">Prolink!$R$1184</definedName>
    <definedName name="SD_34x1_91x3_11_B_0" localSheetId="23" hidden="1">Prolink!$P$1184</definedName>
    <definedName name="SD_34x1_91x3_12_B_0" localSheetId="23" hidden="1">Prolink!$Q$1184</definedName>
    <definedName name="SD_34x1_91x3_14_B_0" localSheetId="23" hidden="1">Prolink!$M$1184</definedName>
    <definedName name="SD_34x1_91x3_15_B_0" localSheetId="23" hidden="1">Prolink!$K$1184</definedName>
    <definedName name="SD_34x1_91x3_16_B_0" localSheetId="23" hidden="1">Prolink!$L$1184</definedName>
    <definedName name="SD_34x1_91x3_18_B_0" localSheetId="23" hidden="1">Prolink!$H$1184</definedName>
    <definedName name="SD_34x1_91x3_19_B_0" localSheetId="23" hidden="1">Prolink!$F$1184</definedName>
    <definedName name="SD_34x1_91x3_20_B_0" localSheetId="23" hidden="1">Prolink!$G$1184</definedName>
    <definedName name="SD_34x1_91x3_22_B_0" localSheetId="23" hidden="1">Prolink!$C$1184</definedName>
    <definedName name="SD_34x1_91x3_23_B_0" localSheetId="23" hidden="1">Prolink!$S$1184</definedName>
    <definedName name="SD_34x1_91x3_24_B_0" localSheetId="23" hidden="1">Prolink!$T$1184</definedName>
    <definedName name="SD_34x1_91x3_25_B_0" localSheetId="23" hidden="1">Prolink!$N$1184</definedName>
    <definedName name="SD_34x1_91x3_26_B_0" localSheetId="23" hidden="1">Prolink!$O$1184</definedName>
    <definedName name="SD_34x1_91x3_27_B_0" localSheetId="23" hidden="1">Prolink!$I$1184</definedName>
    <definedName name="SD_34x1_91x3_28_B_0" localSheetId="23" hidden="1">Prolink!$J$1184</definedName>
    <definedName name="SD_34x1_91x3_4_B_0" localSheetId="23" hidden="1">Prolink!$D$1184</definedName>
    <definedName name="SD_34x1_91x3_8_B_0" localSheetId="23" hidden="1">Prolink!$E$1184</definedName>
    <definedName name="SD_34x1_91x30_10_B_0" localSheetId="23" hidden="1">Prolink!$R$1211</definedName>
    <definedName name="SD_34x1_91x30_11_B_0" localSheetId="23" hidden="1">Prolink!$P$1211</definedName>
    <definedName name="SD_34x1_91x30_12_B_0" localSheetId="23" hidden="1">Prolink!$Q$1211</definedName>
    <definedName name="SD_34x1_91x30_14_B_0" localSheetId="23" hidden="1">Prolink!$M$1211</definedName>
    <definedName name="SD_34x1_91x30_15_B_0" localSheetId="23" hidden="1">Prolink!$K$1211</definedName>
    <definedName name="SD_34x1_91x30_16_B_0" localSheetId="23" hidden="1">Prolink!$L$1211</definedName>
    <definedName name="SD_34x1_91x30_18_B_0" localSheetId="23" hidden="1">Prolink!$H$1211</definedName>
    <definedName name="SD_34x1_91x30_19_B_0" localSheetId="23" hidden="1">Prolink!$F$1211</definedName>
    <definedName name="SD_34x1_91x30_20_B_0" localSheetId="23" hidden="1">Prolink!$G$1211</definedName>
    <definedName name="SD_34x1_91x30_22_B_0" localSheetId="23" hidden="1">Prolink!$C$1211</definedName>
    <definedName name="SD_34x1_91x30_23_B_0" localSheetId="23" hidden="1">Prolink!$S$1211</definedName>
    <definedName name="SD_34x1_91x30_24_B_0" localSheetId="23" hidden="1">Prolink!$T$1211</definedName>
    <definedName name="SD_34x1_91x30_25_B_0" localSheetId="23" hidden="1">Prolink!$N$1211</definedName>
    <definedName name="SD_34x1_91x30_26_B_0" localSheetId="23" hidden="1">Prolink!$O$1211</definedName>
    <definedName name="SD_34x1_91x30_27_B_0" localSheetId="23" hidden="1">Prolink!$I$1211</definedName>
    <definedName name="SD_34x1_91x30_28_B_0" localSheetId="23" hidden="1">Prolink!$J$1211</definedName>
    <definedName name="SD_34x1_91x30_4_B_0" localSheetId="23" hidden="1">Prolink!$D$1211</definedName>
    <definedName name="SD_34x1_91x30_8_B_0" localSheetId="23" hidden="1">Prolink!$E$1211</definedName>
    <definedName name="SD_34x1_91x31_10_B_0" localSheetId="23" hidden="1">Prolink!$R$1212</definedName>
    <definedName name="SD_34x1_91x31_11_B_0" localSheetId="23" hidden="1">Prolink!$P$1212</definedName>
    <definedName name="SD_34x1_91x31_12_B_0" localSheetId="23" hidden="1">Prolink!$Q$1212</definedName>
    <definedName name="SD_34x1_91x31_14_B_0" localSheetId="23" hidden="1">Prolink!$M$1212</definedName>
    <definedName name="SD_34x1_91x31_15_B_0" localSheetId="23" hidden="1">Prolink!$K$1212</definedName>
    <definedName name="SD_34x1_91x31_16_B_0" localSheetId="23" hidden="1">Prolink!$L$1212</definedName>
    <definedName name="SD_34x1_91x31_18_B_0" localSheetId="23" hidden="1">Prolink!$H$1212</definedName>
    <definedName name="SD_34x1_91x31_19_B_0" localSheetId="23" hidden="1">Prolink!$F$1212</definedName>
    <definedName name="SD_34x1_91x31_20_B_0" localSheetId="23" hidden="1">Prolink!$G$1212</definedName>
    <definedName name="SD_34x1_91x31_22_B_0" localSheetId="23" hidden="1">Prolink!$C$1212</definedName>
    <definedName name="SD_34x1_91x31_23_B_0" localSheetId="23" hidden="1">Prolink!$S$1212</definedName>
    <definedName name="SD_34x1_91x31_24_B_0" localSheetId="23" hidden="1">Prolink!$T$1212</definedName>
    <definedName name="SD_34x1_91x31_25_B_0" localSheetId="23" hidden="1">Prolink!$N$1212</definedName>
    <definedName name="SD_34x1_91x31_26_B_0" localSheetId="23" hidden="1">Prolink!$O$1212</definedName>
    <definedName name="SD_34x1_91x31_27_B_0" localSheetId="23" hidden="1">Prolink!$I$1212</definedName>
    <definedName name="SD_34x1_91x31_28_B_0" localSheetId="23" hidden="1">Prolink!$J$1212</definedName>
    <definedName name="SD_34x1_91x31_4_B_0" localSheetId="23" hidden="1">Prolink!$D$1212</definedName>
    <definedName name="SD_34x1_91x31_8_B_0" localSheetId="23" hidden="1">Prolink!$E$1212</definedName>
    <definedName name="SD_34x1_91x32_10_B_0" localSheetId="23" hidden="1">Prolink!$R$1213</definedName>
    <definedName name="SD_34x1_91x32_11_B_0" localSheetId="23" hidden="1">Prolink!$P$1213</definedName>
    <definedName name="SD_34x1_91x32_12_B_0" localSheetId="23" hidden="1">Prolink!$Q$1213</definedName>
    <definedName name="SD_34x1_91x32_14_B_0" localSheetId="23" hidden="1">Prolink!$M$1213</definedName>
    <definedName name="SD_34x1_91x32_15_B_0" localSheetId="23" hidden="1">Prolink!$K$1213</definedName>
    <definedName name="SD_34x1_91x32_16_B_0" localSheetId="23" hidden="1">Prolink!$L$1213</definedName>
    <definedName name="SD_34x1_91x32_18_B_0" localSheetId="23" hidden="1">Prolink!$H$1213</definedName>
    <definedName name="SD_34x1_91x32_19_B_0" localSheetId="23" hidden="1">Prolink!$F$1213</definedName>
    <definedName name="SD_34x1_91x32_20_B_0" localSheetId="23" hidden="1">Prolink!$G$1213</definedName>
    <definedName name="SD_34x1_91x32_22_B_0" localSheetId="23" hidden="1">Prolink!$C$1213</definedName>
    <definedName name="SD_34x1_91x32_23_B_0" localSheetId="23" hidden="1">Prolink!$S$1213</definedName>
    <definedName name="SD_34x1_91x32_24_B_0" localSheetId="23" hidden="1">Prolink!$T$1213</definedName>
    <definedName name="SD_34x1_91x32_25_B_0" localSheetId="23" hidden="1">Prolink!$N$1213</definedName>
    <definedName name="SD_34x1_91x32_26_B_0" localSheetId="23" hidden="1">Prolink!$O$1213</definedName>
    <definedName name="SD_34x1_91x32_27_B_0" localSheetId="23" hidden="1">Prolink!$I$1213</definedName>
    <definedName name="SD_34x1_91x32_28_B_0" localSheetId="23" hidden="1">Prolink!$J$1213</definedName>
    <definedName name="SD_34x1_91x32_4_B_0" localSheetId="23" hidden="1">Prolink!$D$1213</definedName>
    <definedName name="SD_34x1_91x32_8_B_0" localSheetId="23" hidden="1">Prolink!$E$1213</definedName>
    <definedName name="SD_34x1_91x33_10_B_0" localSheetId="23" hidden="1">Prolink!$R$1214</definedName>
    <definedName name="SD_34x1_91x33_11_B_0" localSheetId="23" hidden="1">Prolink!$P$1214</definedName>
    <definedName name="SD_34x1_91x33_12_B_0" localSheetId="23" hidden="1">Prolink!$Q$1214</definedName>
    <definedName name="SD_34x1_91x33_14_B_0" localSheetId="23" hidden="1">Prolink!$M$1214</definedName>
    <definedName name="SD_34x1_91x33_15_B_0" localSheetId="23" hidden="1">Prolink!$K$1214</definedName>
    <definedName name="SD_34x1_91x33_16_B_0" localSheetId="23" hidden="1">Prolink!$L$1214</definedName>
    <definedName name="SD_34x1_91x33_18_B_0" localSheetId="23" hidden="1">Prolink!$H$1214</definedName>
    <definedName name="SD_34x1_91x33_19_B_0" localSheetId="23" hidden="1">Prolink!$F$1214</definedName>
    <definedName name="SD_34x1_91x33_20_B_0" localSheetId="23" hidden="1">Prolink!$G$1214</definedName>
    <definedName name="SD_34x1_91x33_22_B_0" localSheetId="23" hidden="1">Prolink!$C$1214</definedName>
    <definedName name="SD_34x1_91x33_23_B_0" localSheetId="23" hidden="1">Prolink!$S$1214</definedName>
    <definedName name="SD_34x1_91x33_24_B_0" localSheetId="23" hidden="1">Prolink!$T$1214</definedName>
    <definedName name="SD_34x1_91x33_25_B_0" localSheetId="23" hidden="1">Prolink!$N$1214</definedName>
    <definedName name="SD_34x1_91x33_26_B_0" localSheetId="23" hidden="1">Prolink!$O$1214</definedName>
    <definedName name="SD_34x1_91x33_27_B_0" localSheetId="23" hidden="1">Prolink!$I$1214</definedName>
    <definedName name="SD_34x1_91x33_28_B_0" localSheetId="23" hidden="1">Prolink!$J$1214</definedName>
    <definedName name="SD_34x1_91x33_4_B_0" localSheetId="23" hidden="1">Prolink!$D$1214</definedName>
    <definedName name="SD_34x1_91x33_8_B_0" localSheetId="23" hidden="1">Prolink!$E$1214</definedName>
    <definedName name="SD_34x1_91x34_10_B_0" localSheetId="23" hidden="1">Prolink!$R$1215</definedName>
    <definedName name="SD_34x1_91x34_11_B_0" localSheetId="23" hidden="1">Prolink!$P$1215</definedName>
    <definedName name="SD_34x1_91x34_12_B_0" localSheetId="23" hidden="1">Prolink!$Q$1215</definedName>
    <definedName name="SD_34x1_91x34_14_B_0" localSheetId="23" hidden="1">Prolink!$M$1215</definedName>
    <definedName name="SD_34x1_91x34_15_B_0" localSheetId="23" hidden="1">Prolink!$K$1215</definedName>
    <definedName name="SD_34x1_91x34_16_B_0" localSheetId="23" hidden="1">Prolink!$L$1215</definedName>
    <definedName name="SD_34x1_91x34_18_B_0" localSheetId="23" hidden="1">Prolink!$H$1215</definedName>
    <definedName name="SD_34x1_91x34_19_B_0" localSheetId="23" hidden="1">Prolink!$F$1215</definedName>
    <definedName name="SD_34x1_91x34_20_B_0" localSheetId="23" hidden="1">Prolink!$G$1215</definedName>
    <definedName name="SD_34x1_91x34_22_B_0" localSheetId="23" hidden="1">Prolink!$C$1215</definedName>
    <definedName name="SD_34x1_91x34_23_B_0" localSheetId="23" hidden="1">Prolink!$S$1215</definedName>
    <definedName name="SD_34x1_91x34_24_B_0" localSheetId="23" hidden="1">Prolink!$T$1215</definedName>
    <definedName name="SD_34x1_91x34_25_B_0" localSheetId="23" hidden="1">Prolink!$N$1215</definedName>
    <definedName name="SD_34x1_91x34_26_B_0" localSheetId="23" hidden="1">Prolink!$O$1215</definedName>
    <definedName name="SD_34x1_91x34_27_B_0" localSheetId="23" hidden="1">Prolink!$I$1215</definedName>
    <definedName name="SD_34x1_91x34_28_B_0" localSheetId="23" hidden="1">Prolink!$J$1215</definedName>
    <definedName name="SD_34x1_91x34_4_B_0" localSheetId="23" hidden="1">Prolink!$D$1215</definedName>
    <definedName name="SD_34x1_91x34_8_B_0" localSheetId="23" hidden="1">Prolink!$E$1215</definedName>
    <definedName name="SD_34x1_91x35_10_B_0" localSheetId="23" hidden="1">Prolink!$R$1216</definedName>
    <definedName name="SD_34x1_91x35_11_B_0" localSheetId="23" hidden="1">Prolink!$P$1216</definedName>
    <definedName name="SD_34x1_91x35_12_B_0" localSheetId="23" hidden="1">Prolink!$Q$1216</definedName>
    <definedName name="SD_34x1_91x35_14_B_0" localSheetId="23" hidden="1">Prolink!$M$1216</definedName>
    <definedName name="SD_34x1_91x35_15_B_0" localSheetId="23" hidden="1">Prolink!$K$1216</definedName>
    <definedName name="SD_34x1_91x35_16_B_0" localSheetId="23" hidden="1">Prolink!$L$1216</definedName>
    <definedName name="SD_34x1_91x35_18_B_0" localSheetId="23" hidden="1">Prolink!$H$1216</definedName>
    <definedName name="SD_34x1_91x35_19_B_0" localSheetId="23" hidden="1">Prolink!$F$1216</definedName>
    <definedName name="SD_34x1_91x35_20_B_0" localSheetId="23" hidden="1">Prolink!$G$1216</definedName>
    <definedName name="SD_34x1_91x35_22_B_0" localSheetId="23" hidden="1">Prolink!$C$1216</definedName>
    <definedName name="SD_34x1_91x35_23_B_0" localSheetId="23" hidden="1">Prolink!$S$1216</definedName>
    <definedName name="SD_34x1_91x35_24_B_0" localSheetId="23" hidden="1">Prolink!$T$1216</definedName>
    <definedName name="SD_34x1_91x35_25_B_0" localSheetId="23" hidden="1">Prolink!$N$1216</definedName>
    <definedName name="SD_34x1_91x35_26_B_0" localSheetId="23" hidden="1">Prolink!$O$1216</definedName>
    <definedName name="SD_34x1_91x35_27_B_0" localSheetId="23" hidden="1">Prolink!$I$1216</definedName>
    <definedName name="SD_34x1_91x35_28_B_0" localSheetId="23" hidden="1">Prolink!$J$1216</definedName>
    <definedName name="SD_34x1_91x35_4_B_0" localSheetId="23" hidden="1">Prolink!$D$1216</definedName>
    <definedName name="SD_34x1_91x35_8_B_0" localSheetId="23" hidden="1">Prolink!$E$1216</definedName>
    <definedName name="SD_34x1_91x36_10_B_0" localSheetId="23" hidden="1">Prolink!$R$1217</definedName>
    <definedName name="SD_34x1_91x36_11_B_0" localSheetId="23" hidden="1">Prolink!$P$1217</definedName>
    <definedName name="SD_34x1_91x36_12_B_0" localSheetId="23" hidden="1">Prolink!$Q$1217</definedName>
    <definedName name="SD_34x1_91x36_14_B_0" localSheetId="23" hidden="1">Prolink!$M$1217</definedName>
    <definedName name="SD_34x1_91x36_15_B_0" localSheetId="23" hidden="1">Prolink!$K$1217</definedName>
    <definedName name="SD_34x1_91x36_16_B_0" localSheetId="23" hidden="1">Prolink!$L$1217</definedName>
    <definedName name="SD_34x1_91x36_18_B_0" localSheetId="23" hidden="1">Prolink!$H$1217</definedName>
    <definedName name="SD_34x1_91x36_19_B_0" localSheetId="23" hidden="1">Prolink!$F$1217</definedName>
    <definedName name="SD_34x1_91x36_20_B_0" localSheetId="23" hidden="1">Prolink!$G$1217</definedName>
    <definedName name="SD_34x1_91x36_22_B_0" localSheetId="23" hidden="1">Prolink!$C$1217</definedName>
    <definedName name="SD_34x1_91x36_23_B_0" localSheetId="23" hidden="1">Prolink!$S$1217</definedName>
    <definedName name="SD_34x1_91x36_24_B_0" localSheetId="23" hidden="1">Prolink!$T$1217</definedName>
    <definedName name="SD_34x1_91x36_25_B_0" localSheetId="23" hidden="1">Prolink!$N$1217</definedName>
    <definedName name="SD_34x1_91x36_26_B_0" localSheetId="23" hidden="1">Prolink!$O$1217</definedName>
    <definedName name="SD_34x1_91x36_27_B_0" localSheetId="23" hidden="1">Prolink!$I$1217</definedName>
    <definedName name="SD_34x1_91x36_28_B_0" localSheetId="23" hidden="1">Prolink!$J$1217</definedName>
    <definedName name="SD_34x1_91x36_4_B_0" localSheetId="23" hidden="1">Prolink!$D$1217</definedName>
    <definedName name="SD_34x1_91x36_8_B_0" localSheetId="23" hidden="1">Prolink!$E$1217</definedName>
    <definedName name="SD_34x1_91x37_10_B_0" localSheetId="23" hidden="1">Prolink!$R$1218</definedName>
    <definedName name="SD_34x1_91x37_11_B_0" localSheetId="23" hidden="1">Prolink!$P$1218</definedName>
    <definedName name="SD_34x1_91x37_12_B_0" localSheetId="23" hidden="1">Prolink!$Q$1218</definedName>
    <definedName name="SD_34x1_91x37_14_B_0" localSheetId="23" hidden="1">Prolink!$M$1218</definedName>
    <definedName name="SD_34x1_91x37_15_B_0" localSheetId="23" hidden="1">Prolink!$K$1218</definedName>
    <definedName name="SD_34x1_91x37_16_B_0" localSheetId="23" hidden="1">Prolink!$L$1218</definedName>
    <definedName name="SD_34x1_91x37_18_B_0" localSheetId="23" hidden="1">Prolink!$H$1218</definedName>
    <definedName name="SD_34x1_91x37_19_B_0" localSheetId="23" hidden="1">Prolink!$F$1218</definedName>
    <definedName name="SD_34x1_91x37_20_B_0" localSheetId="23" hidden="1">Prolink!$G$1218</definedName>
    <definedName name="SD_34x1_91x37_22_B_0" localSheetId="23" hidden="1">Prolink!$C$1218</definedName>
    <definedName name="SD_34x1_91x37_23_B_0" localSheetId="23" hidden="1">Prolink!$S$1218</definedName>
    <definedName name="SD_34x1_91x37_24_B_0" localSheetId="23" hidden="1">Prolink!$T$1218</definedName>
    <definedName name="SD_34x1_91x37_25_B_0" localSheetId="23" hidden="1">Prolink!$N$1218</definedName>
    <definedName name="SD_34x1_91x37_26_B_0" localSheetId="23" hidden="1">Prolink!$O$1218</definedName>
    <definedName name="SD_34x1_91x37_27_B_0" localSheetId="23" hidden="1">Prolink!$I$1218</definedName>
    <definedName name="SD_34x1_91x37_28_B_0" localSheetId="23" hidden="1">Prolink!$J$1218</definedName>
    <definedName name="SD_34x1_91x37_4_B_0" localSheetId="23" hidden="1">Prolink!$D$1218</definedName>
    <definedName name="SD_34x1_91x37_8_B_0" localSheetId="23" hidden="1">Prolink!$E$1218</definedName>
    <definedName name="SD_34x1_91x38_10_B_0" localSheetId="23" hidden="1">Prolink!$R$1219</definedName>
    <definedName name="SD_34x1_91x38_11_B_0" localSheetId="23" hidden="1">Prolink!$P$1219</definedName>
    <definedName name="SD_34x1_91x38_12_B_0" localSheetId="23" hidden="1">Prolink!$Q$1219</definedName>
    <definedName name="SD_34x1_91x38_14_B_0" localSheetId="23" hidden="1">Prolink!$M$1219</definedName>
    <definedName name="SD_34x1_91x38_15_B_0" localSheetId="23" hidden="1">Prolink!$K$1219</definedName>
    <definedName name="SD_34x1_91x38_16_B_0" localSheetId="23" hidden="1">Prolink!$L$1219</definedName>
    <definedName name="SD_34x1_91x38_18_B_0" localSheetId="23" hidden="1">Prolink!$H$1219</definedName>
    <definedName name="SD_34x1_91x38_19_B_0" localSheetId="23" hidden="1">Prolink!$F$1219</definedName>
    <definedName name="SD_34x1_91x38_20_B_0" localSheetId="23" hidden="1">Prolink!$G$1219</definedName>
    <definedName name="SD_34x1_91x38_22_B_0" localSheetId="23" hidden="1">Prolink!$C$1219</definedName>
    <definedName name="SD_34x1_91x38_23_B_0" localSheetId="23" hidden="1">Prolink!$S$1219</definedName>
    <definedName name="SD_34x1_91x38_24_B_0" localSheetId="23" hidden="1">Prolink!$T$1219</definedName>
    <definedName name="SD_34x1_91x38_25_B_0" localSheetId="23" hidden="1">Prolink!$N$1219</definedName>
    <definedName name="SD_34x1_91x38_26_B_0" localSheetId="23" hidden="1">Prolink!$O$1219</definedName>
    <definedName name="SD_34x1_91x38_27_B_0" localSheetId="23" hidden="1">Prolink!$I$1219</definedName>
    <definedName name="SD_34x1_91x38_28_B_0" localSheetId="23" hidden="1">Prolink!$J$1219</definedName>
    <definedName name="SD_34x1_91x38_4_B_0" localSheetId="23" hidden="1">Prolink!$D$1219</definedName>
    <definedName name="SD_34x1_91x38_8_B_0" localSheetId="23" hidden="1">Prolink!$E$1219</definedName>
    <definedName name="SD_34x1_91x39_10_B_0" localSheetId="23" hidden="1">Prolink!$R$1220</definedName>
    <definedName name="SD_34x1_91x39_11_B_0" localSheetId="23" hidden="1">Prolink!$P$1220</definedName>
    <definedName name="SD_34x1_91x39_12_B_0" localSheetId="23" hidden="1">Prolink!$Q$1220</definedName>
    <definedName name="SD_34x1_91x39_14_B_0" localSheetId="23" hidden="1">Prolink!$M$1220</definedName>
    <definedName name="SD_34x1_91x39_15_B_0" localSheetId="23" hidden="1">Prolink!$K$1220</definedName>
    <definedName name="SD_34x1_91x39_16_B_0" localSheetId="23" hidden="1">Prolink!$L$1220</definedName>
    <definedName name="SD_34x1_91x39_18_B_0" localSheetId="23" hidden="1">Prolink!$H$1220</definedName>
    <definedName name="SD_34x1_91x39_19_B_0" localSheetId="23" hidden="1">Prolink!$F$1220</definedName>
    <definedName name="SD_34x1_91x39_20_B_0" localSheetId="23" hidden="1">Prolink!$G$1220</definedName>
    <definedName name="SD_34x1_91x39_22_B_0" localSheetId="23" hidden="1">Prolink!$C$1220</definedName>
    <definedName name="SD_34x1_91x39_23_B_0" localSheetId="23" hidden="1">Prolink!$S$1220</definedName>
    <definedName name="SD_34x1_91x39_24_B_0" localSheetId="23" hidden="1">Prolink!$T$1220</definedName>
    <definedName name="SD_34x1_91x39_25_B_0" localSheetId="23" hidden="1">Prolink!$N$1220</definedName>
    <definedName name="SD_34x1_91x39_26_B_0" localSheetId="23" hidden="1">Prolink!$O$1220</definedName>
    <definedName name="SD_34x1_91x39_27_B_0" localSheetId="23" hidden="1">Prolink!$I$1220</definedName>
    <definedName name="SD_34x1_91x39_28_B_0" localSheetId="23" hidden="1">Prolink!$J$1220</definedName>
    <definedName name="SD_34x1_91x39_4_B_0" localSheetId="23" hidden="1">Prolink!$D$1220</definedName>
    <definedName name="SD_34x1_91x39_8_B_0" localSheetId="23" hidden="1">Prolink!$E$1220</definedName>
    <definedName name="SD_34x1_91x4_10_B_0" localSheetId="23" hidden="1">Prolink!$R$1185</definedName>
    <definedName name="SD_34x1_91x4_11_B_0" localSheetId="23" hidden="1">Prolink!$P$1185</definedName>
    <definedName name="SD_34x1_91x4_12_B_0" localSheetId="23" hidden="1">Prolink!$Q$1185</definedName>
    <definedName name="SD_34x1_91x4_14_B_0" localSheetId="23" hidden="1">Prolink!$M$1185</definedName>
    <definedName name="SD_34x1_91x4_15_B_0" localSheetId="23" hidden="1">Prolink!$K$1185</definedName>
    <definedName name="SD_34x1_91x4_16_B_0" localSheetId="23" hidden="1">Prolink!$L$1185</definedName>
    <definedName name="SD_34x1_91x4_18_B_0" localSheetId="23" hidden="1">Prolink!$H$1185</definedName>
    <definedName name="SD_34x1_91x4_19_B_0" localSheetId="23" hidden="1">Prolink!$F$1185</definedName>
    <definedName name="SD_34x1_91x4_20_B_0" localSheetId="23" hidden="1">Prolink!$G$1185</definedName>
    <definedName name="SD_34x1_91x4_22_B_0" localSheetId="23" hidden="1">Prolink!$C$1185</definedName>
    <definedName name="SD_34x1_91x4_23_B_0" localSheetId="23" hidden="1">Prolink!$S$1185</definedName>
    <definedName name="SD_34x1_91x4_24_B_0" localSheetId="23" hidden="1">Prolink!$T$1185</definedName>
    <definedName name="SD_34x1_91x4_25_B_0" localSheetId="23" hidden="1">Prolink!$N$1185</definedName>
    <definedName name="SD_34x1_91x4_26_B_0" localSheetId="23" hidden="1">Prolink!$O$1185</definedName>
    <definedName name="SD_34x1_91x4_27_B_0" localSheetId="23" hidden="1">Prolink!$I$1185</definedName>
    <definedName name="SD_34x1_91x4_28_B_0" localSheetId="23" hidden="1">Prolink!$J$1185</definedName>
    <definedName name="SD_34x1_91x4_4_B_0" localSheetId="23" hidden="1">Prolink!$D$1185</definedName>
    <definedName name="SD_34x1_91x4_8_B_0" localSheetId="23" hidden="1">Prolink!$E$1185</definedName>
    <definedName name="SD_34x1_91x40_10_B_0" localSheetId="23" hidden="1">Prolink!$R$1221</definedName>
    <definedName name="SD_34x1_91x40_11_B_0" localSheetId="23" hidden="1">Prolink!$P$1221</definedName>
    <definedName name="SD_34x1_91x40_12_B_0" localSheetId="23" hidden="1">Prolink!$Q$1221</definedName>
    <definedName name="SD_34x1_91x40_14_B_0" localSheetId="23" hidden="1">Prolink!$M$1221</definedName>
    <definedName name="SD_34x1_91x40_15_B_0" localSheetId="23" hidden="1">Prolink!$K$1221</definedName>
    <definedName name="SD_34x1_91x40_16_B_0" localSheetId="23" hidden="1">Prolink!$L$1221</definedName>
    <definedName name="SD_34x1_91x40_18_B_0" localSheetId="23" hidden="1">Prolink!$H$1221</definedName>
    <definedName name="SD_34x1_91x40_19_B_0" localSheetId="23" hidden="1">Prolink!$F$1221</definedName>
    <definedName name="SD_34x1_91x40_20_B_0" localSheetId="23" hidden="1">Prolink!$G$1221</definedName>
    <definedName name="SD_34x1_91x40_22_B_0" localSheetId="23" hidden="1">Prolink!$C$1221</definedName>
    <definedName name="SD_34x1_91x40_23_B_0" localSheetId="23" hidden="1">Prolink!$S$1221</definedName>
    <definedName name="SD_34x1_91x40_24_B_0" localSheetId="23" hidden="1">Prolink!$T$1221</definedName>
    <definedName name="SD_34x1_91x40_25_B_0" localSheetId="23" hidden="1">Prolink!$N$1221</definedName>
    <definedName name="SD_34x1_91x40_26_B_0" localSheetId="23" hidden="1">Prolink!$O$1221</definedName>
    <definedName name="SD_34x1_91x40_27_B_0" localSheetId="23" hidden="1">Prolink!$I$1221</definedName>
    <definedName name="SD_34x1_91x40_28_B_0" localSheetId="23" hidden="1">Prolink!$J$1221</definedName>
    <definedName name="SD_34x1_91x40_4_B_0" localSheetId="23" hidden="1">Prolink!$D$1221</definedName>
    <definedName name="SD_34x1_91x40_8_B_0" localSheetId="23" hidden="1">Prolink!$E$1221</definedName>
    <definedName name="SD_34x1_91x41_10_B_0" localSheetId="23" hidden="1">Prolink!$R$1222</definedName>
    <definedName name="SD_34x1_91x41_11_B_0" localSheetId="23" hidden="1">Prolink!$P$1222</definedName>
    <definedName name="SD_34x1_91x41_12_B_0" localSheetId="23" hidden="1">Prolink!$Q$1222</definedName>
    <definedName name="SD_34x1_91x41_14_B_0" localSheetId="23" hidden="1">Prolink!$M$1222</definedName>
    <definedName name="SD_34x1_91x41_15_B_0" localSheetId="23" hidden="1">Prolink!$K$1222</definedName>
    <definedName name="SD_34x1_91x41_16_B_0" localSheetId="23" hidden="1">Prolink!$L$1222</definedName>
    <definedName name="SD_34x1_91x41_18_B_0" localSheetId="23" hidden="1">Prolink!$H$1222</definedName>
    <definedName name="SD_34x1_91x41_19_B_0" localSheetId="23" hidden="1">Prolink!$F$1222</definedName>
    <definedName name="SD_34x1_91x41_20_B_0" localSheetId="23" hidden="1">Prolink!$G$1222</definedName>
    <definedName name="SD_34x1_91x41_22_B_0" localSheetId="23" hidden="1">Prolink!$C$1222</definedName>
    <definedName name="SD_34x1_91x41_23_B_0" localSheetId="23" hidden="1">Prolink!$S$1222</definedName>
    <definedName name="SD_34x1_91x41_24_B_0" localSheetId="23" hidden="1">Prolink!$T$1222</definedName>
    <definedName name="SD_34x1_91x41_25_B_0" localSheetId="23" hidden="1">Prolink!$N$1222</definedName>
    <definedName name="SD_34x1_91x41_26_B_0" localSheetId="23" hidden="1">Prolink!$O$1222</definedName>
    <definedName name="SD_34x1_91x41_27_B_0" localSheetId="23" hidden="1">Prolink!$I$1222</definedName>
    <definedName name="SD_34x1_91x41_28_B_0" localSheetId="23" hidden="1">Prolink!$J$1222</definedName>
    <definedName name="SD_34x1_91x41_4_B_0" localSheetId="23" hidden="1">Prolink!$D$1222</definedName>
    <definedName name="SD_34x1_91x41_8_B_0" localSheetId="23" hidden="1">Prolink!$E$1222</definedName>
    <definedName name="SD_34x1_91x42_10_B_0" localSheetId="23" hidden="1">Prolink!$R$1223</definedName>
    <definedName name="SD_34x1_91x42_11_B_0" localSheetId="23" hidden="1">Prolink!$P$1223</definedName>
    <definedName name="SD_34x1_91x42_12_B_0" localSheetId="23" hidden="1">Prolink!$Q$1223</definedName>
    <definedName name="SD_34x1_91x42_14_B_0" localSheetId="23" hidden="1">Prolink!$M$1223</definedName>
    <definedName name="SD_34x1_91x42_15_B_0" localSheetId="23" hidden="1">Prolink!$K$1223</definedName>
    <definedName name="SD_34x1_91x42_16_B_0" localSheetId="23" hidden="1">Prolink!$L$1223</definedName>
    <definedName name="SD_34x1_91x42_18_B_0" localSheetId="23" hidden="1">Prolink!$H$1223</definedName>
    <definedName name="SD_34x1_91x42_19_B_0" localSheetId="23" hidden="1">Prolink!$F$1223</definedName>
    <definedName name="SD_34x1_91x42_20_B_0" localSheetId="23" hidden="1">Prolink!$G$1223</definedName>
    <definedName name="SD_34x1_91x42_22_B_0" localSheetId="23" hidden="1">Prolink!$C$1223</definedName>
    <definedName name="SD_34x1_91x42_23_B_0" localSheetId="23" hidden="1">Prolink!$S$1223</definedName>
    <definedName name="SD_34x1_91x42_24_B_0" localSheetId="23" hidden="1">Prolink!$T$1223</definedName>
    <definedName name="SD_34x1_91x42_25_B_0" localSheetId="23" hidden="1">Prolink!$N$1223</definedName>
    <definedName name="SD_34x1_91x42_26_B_0" localSheetId="23" hidden="1">Prolink!$O$1223</definedName>
    <definedName name="SD_34x1_91x42_27_B_0" localSheetId="23" hidden="1">Prolink!$I$1223</definedName>
    <definedName name="SD_34x1_91x42_28_B_0" localSheetId="23" hidden="1">Prolink!$J$1223</definedName>
    <definedName name="SD_34x1_91x42_4_B_0" localSheetId="23" hidden="1">Prolink!$D$1223</definedName>
    <definedName name="SD_34x1_91x42_8_B_0" localSheetId="23" hidden="1">Prolink!$E$1223</definedName>
    <definedName name="SD_34x1_91x43_10_B_0" localSheetId="23" hidden="1">Prolink!$R$1224</definedName>
    <definedName name="SD_34x1_91x43_11_B_0" localSheetId="23" hidden="1">Prolink!$P$1224</definedName>
    <definedName name="SD_34x1_91x43_12_B_0" localSheetId="23" hidden="1">Prolink!$Q$1224</definedName>
    <definedName name="SD_34x1_91x43_14_B_0" localSheetId="23" hidden="1">Prolink!$M$1224</definedName>
    <definedName name="SD_34x1_91x43_15_B_0" localSheetId="23" hidden="1">Prolink!$K$1224</definedName>
    <definedName name="SD_34x1_91x43_16_B_0" localSheetId="23" hidden="1">Prolink!$L$1224</definedName>
    <definedName name="SD_34x1_91x43_18_B_0" localSheetId="23" hidden="1">Prolink!$H$1224</definedName>
    <definedName name="SD_34x1_91x43_19_B_0" localSheetId="23" hidden="1">Prolink!$F$1224</definedName>
    <definedName name="SD_34x1_91x43_20_B_0" localSheetId="23" hidden="1">Prolink!$G$1224</definedName>
    <definedName name="SD_34x1_91x43_22_B_0" localSheetId="23" hidden="1">Prolink!$C$1224</definedName>
    <definedName name="SD_34x1_91x43_23_B_0" localSheetId="23" hidden="1">Prolink!$S$1224</definedName>
    <definedName name="SD_34x1_91x43_24_B_0" localSheetId="23" hidden="1">Prolink!$T$1224</definedName>
    <definedName name="SD_34x1_91x43_25_B_0" localSheetId="23" hidden="1">Prolink!$N$1224</definedName>
    <definedName name="SD_34x1_91x43_26_B_0" localSheetId="23" hidden="1">Prolink!$O$1224</definedName>
    <definedName name="SD_34x1_91x43_27_B_0" localSheetId="23" hidden="1">Prolink!$I$1224</definedName>
    <definedName name="SD_34x1_91x43_28_B_0" localSheetId="23" hidden="1">Prolink!$J$1224</definedName>
    <definedName name="SD_34x1_91x43_4_B_0" localSheetId="23" hidden="1">Prolink!$D$1224</definedName>
    <definedName name="SD_34x1_91x43_8_B_0" localSheetId="23" hidden="1">Prolink!$E$1224</definedName>
    <definedName name="SD_34x1_91x44_10_B_0" localSheetId="23" hidden="1">Prolink!$R$1225</definedName>
    <definedName name="SD_34x1_91x44_11_B_0" localSheetId="23" hidden="1">Prolink!$P$1225</definedName>
    <definedName name="SD_34x1_91x44_12_B_0" localSheetId="23" hidden="1">Prolink!$Q$1225</definedName>
    <definedName name="SD_34x1_91x44_14_B_0" localSheetId="23" hidden="1">Prolink!$M$1225</definedName>
    <definedName name="SD_34x1_91x44_15_B_0" localSheetId="23" hidden="1">Prolink!$K$1225</definedName>
    <definedName name="SD_34x1_91x44_16_B_0" localSheetId="23" hidden="1">Prolink!$L$1225</definedName>
    <definedName name="SD_34x1_91x44_18_B_0" localSheetId="23" hidden="1">Prolink!$H$1225</definedName>
    <definedName name="SD_34x1_91x44_19_B_0" localSheetId="23" hidden="1">Prolink!$F$1225</definedName>
    <definedName name="SD_34x1_91x44_20_B_0" localSheetId="23" hidden="1">Prolink!$G$1225</definedName>
    <definedName name="SD_34x1_91x44_22_B_0" localSheetId="23" hidden="1">Prolink!$C$1225</definedName>
    <definedName name="SD_34x1_91x44_23_B_0" localSheetId="23" hidden="1">Prolink!$S$1225</definedName>
    <definedName name="SD_34x1_91x44_24_B_0" localSheetId="23" hidden="1">Prolink!$T$1225</definedName>
    <definedName name="SD_34x1_91x44_25_B_0" localSheetId="23" hidden="1">Prolink!$N$1225</definedName>
    <definedName name="SD_34x1_91x44_26_B_0" localSheetId="23" hidden="1">Prolink!$O$1225</definedName>
    <definedName name="SD_34x1_91x44_27_B_0" localSheetId="23" hidden="1">Prolink!$I$1225</definedName>
    <definedName name="SD_34x1_91x44_28_B_0" localSheetId="23" hidden="1">Prolink!$J$1225</definedName>
    <definedName name="SD_34x1_91x44_4_B_0" localSheetId="23" hidden="1">Prolink!$D$1225</definedName>
    <definedName name="SD_34x1_91x44_8_B_0" localSheetId="23" hidden="1">Prolink!$E$1225</definedName>
    <definedName name="SD_34x1_91x45_10_B_0" localSheetId="23" hidden="1">Prolink!$R$1226</definedName>
    <definedName name="SD_34x1_91x45_11_B_0" localSheetId="23" hidden="1">Prolink!$P$1226</definedName>
    <definedName name="SD_34x1_91x45_12_B_0" localSheetId="23" hidden="1">Prolink!$Q$1226</definedName>
    <definedName name="SD_34x1_91x45_14_B_0" localSheetId="23" hidden="1">Prolink!$M$1226</definedName>
    <definedName name="SD_34x1_91x45_15_B_0" localSheetId="23" hidden="1">Prolink!$K$1226</definedName>
    <definedName name="SD_34x1_91x45_16_B_0" localSheetId="23" hidden="1">Prolink!$L$1226</definedName>
    <definedName name="SD_34x1_91x45_18_B_0" localSheetId="23" hidden="1">Prolink!$H$1226</definedName>
    <definedName name="SD_34x1_91x45_19_B_0" localSheetId="23" hidden="1">Prolink!$F$1226</definedName>
    <definedName name="SD_34x1_91x45_20_B_0" localSheetId="23" hidden="1">Prolink!$G$1226</definedName>
    <definedName name="SD_34x1_91x45_22_B_0" localSheetId="23" hidden="1">Prolink!$C$1226</definedName>
    <definedName name="SD_34x1_91x45_23_B_0" localSheetId="23" hidden="1">Prolink!$S$1226</definedName>
    <definedName name="SD_34x1_91x45_24_B_0" localSheetId="23" hidden="1">Prolink!$T$1226</definedName>
    <definedName name="SD_34x1_91x45_25_B_0" localSheetId="23" hidden="1">Prolink!$N$1226</definedName>
    <definedName name="SD_34x1_91x45_26_B_0" localSheetId="23" hidden="1">Prolink!$O$1226</definedName>
    <definedName name="SD_34x1_91x45_27_B_0" localSheetId="23" hidden="1">Prolink!$I$1226</definedName>
    <definedName name="SD_34x1_91x45_28_B_0" localSheetId="23" hidden="1">Prolink!$J$1226</definedName>
    <definedName name="SD_34x1_91x45_4_B_0" localSheetId="23" hidden="1">Prolink!$D$1226</definedName>
    <definedName name="SD_34x1_91x45_8_B_0" localSheetId="23" hidden="1">Prolink!$E$1226</definedName>
    <definedName name="SD_34x1_91x46_10_B_0" localSheetId="23" hidden="1">Prolink!$R$1227</definedName>
    <definedName name="SD_34x1_91x46_11_B_0" localSheetId="23" hidden="1">Prolink!$P$1227</definedName>
    <definedName name="SD_34x1_91x46_12_B_0" localSheetId="23" hidden="1">Prolink!$Q$1227</definedName>
    <definedName name="SD_34x1_91x46_14_B_0" localSheetId="23" hidden="1">Prolink!$M$1227</definedName>
    <definedName name="SD_34x1_91x46_15_B_0" localSheetId="23" hidden="1">Prolink!$K$1227</definedName>
    <definedName name="SD_34x1_91x46_16_B_0" localSheetId="23" hidden="1">Prolink!$L$1227</definedName>
    <definedName name="SD_34x1_91x46_18_B_0" localSheetId="23" hidden="1">Prolink!$H$1227</definedName>
    <definedName name="SD_34x1_91x46_19_B_0" localSheetId="23" hidden="1">Prolink!$F$1227</definedName>
    <definedName name="SD_34x1_91x46_20_B_0" localSheetId="23" hidden="1">Prolink!$G$1227</definedName>
    <definedName name="SD_34x1_91x46_22_B_0" localSheetId="23" hidden="1">Prolink!$C$1227</definedName>
    <definedName name="SD_34x1_91x46_23_B_0" localSheetId="23" hidden="1">Prolink!$S$1227</definedName>
    <definedName name="SD_34x1_91x46_24_B_0" localSheetId="23" hidden="1">Prolink!$T$1227</definedName>
    <definedName name="SD_34x1_91x46_25_B_0" localSheetId="23" hidden="1">Prolink!$N$1227</definedName>
    <definedName name="SD_34x1_91x46_26_B_0" localSheetId="23" hidden="1">Prolink!$O$1227</definedName>
    <definedName name="SD_34x1_91x46_27_B_0" localSheetId="23" hidden="1">Prolink!$I$1227</definedName>
    <definedName name="SD_34x1_91x46_28_B_0" localSheetId="23" hidden="1">Prolink!$J$1227</definedName>
    <definedName name="SD_34x1_91x46_4_B_0" localSheetId="23" hidden="1">Prolink!$D$1227</definedName>
    <definedName name="SD_34x1_91x46_8_B_0" localSheetId="23" hidden="1">Prolink!$E$1227</definedName>
    <definedName name="SD_34x1_91x47_10_B_0" localSheetId="23" hidden="1">Prolink!$R$1228</definedName>
    <definedName name="SD_34x1_91x47_11_B_0" localSheetId="23" hidden="1">Prolink!$P$1228</definedName>
    <definedName name="SD_34x1_91x47_12_B_0" localSheetId="23" hidden="1">Prolink!$Q$1228</definedName>
    <definedName name="SD_34x1_91x47_14_B_0" localSheetId="23" hidden="1">Prolink!$M$1228</definedName>
    <definedName name="SD_34x1_91x47_15_B_0" localSheetId="23" hidden="1">Prolink!$K$1228</definedName>
    <definedName name="SD_34x1_91x47_16_B_0" localSheetId="23" hidden="1">Prolink!$L$1228</definedName>
    <definedName name="SD_34x1_91x47_18_B_0" localSheetId="23" hidden="1">Prolink!$H$1228</definedName>
    <definedName name="SD_34x1_91x47_19_B_0" localSheetId="23" hidden="1">Prolink!$F$1228</definedName>
    <definedName name="SD_34x1_91x47_20_B_0" localSheetId="23" hidden="1">Prolink!$G$1228</definedName>
    <definedName name="SD_34x1_91x47_22_B_0" localSheetId="23" hidden="1">Prolink!$C$1228</definedName>
    <definedName name="SD_34x1_91x47_23_B_0" localSheetId="23" hidden="1">Prolink!$S$1228</definedName>
    <definedName name="SD_34x1_91x47_24_B_0" localSheetId="23" hidden="1">Prolink!$T$1228</definedName>
    <definedName name="SD_34x1_91x47_25_B_0" localSheetId="23" hidden="1">Prolink!$N$1228</definedName>
    <definedName name="SD_34x1_91x47_26_B_0" localSheetId="23" hidden="1">Prolink!$O$1228</definedName>
    <definedName name="SD_34x1_91x47_27_B_0" localSheetId="23" hidden="1">Prolink!$I$1228</definedName>
    <definedName name="SD_34x1_91x47_28_B_0" localSheetId="23" hidden="1">Prolink!$J$1228</definedName>
    <definedName name="SD_34x1_91x47_4_B_0" localSheetId="23" hidden="1">Prolink!$D$1228</definedName>
    <definedName name="SD_34x1_91x47_8_B_0" localSheetId="23" hidden="1">Prolink!$E$1228</definedName>
    <definedName name="SD_34x1_91x48_10_B_0" localSheetId="23" hidden="1">Prolink!$R$1229</definedName>
    <definedName name="SD_34x1_91x48_11_B_0" localSheetId="23" hidden="1">Prolink!$P$1229</definedName>
    <definedName name="SD_34x1_91x48_12_B_0" localSheetId="23" hidden="1">Prolink!$Q$1229</definedName>
    <definedName name="SD_34x1_91x48_14_B_0" localSheetId="23" hidden="1">Prolink!$M$1229</definedName>
    <definedName name="SD_34x1_91x48_15_B_0" localSheetId="23" hidden="1">Prolink!$K$1229</definedName>
    <definedName name="SD_34x1_91x48_16_B_0" localSheetId="23" hidden="1">Prolink!$L$1229</definedName>
    <definedName name="SD_34x1_91x48_18_B_0" localSheetId="23" hidden="1">Prolink!$H$1229</definedName>
    <definedName name="SD_34x1_91x48_19_B_0" localSheetId="23" hidden="1">Prolink!$F$1229</definedName>
    <definedName name="SD_34x1_91x48_20_B_0" localSheetId="23" hidden="1">Prolink!$G$1229</definedName>
    <definedName name="SD_34x1_91x48_22_B_0" localSheetId="23" hidden="1">Prolink!$C$1229</definedName>
    <definedName name="SD_34x1_91x48_23_B_0" localSheetId="23" hidden="1">Prolink!$S$1229</definedName>
    <definedName name="SD_34x1_91x48_24_B_0" localSheetId="23" hidden="1">Prolink!$T$1229</definedName>
    <definedName name="SD_34x1_91x48_25_B_0" localSheetId="23" hidden="1">Prolink!$N$1229</definedName>
    <definedName name="SD_34x1_91x48_26_B_0" localSheetId="23" hidden="1">Prolink!$O$1229</definedName>
    <definedName name="SD_34x1_91x48_27_B_0" localSheetId="23" hidden="1">Prolink!$I$1229</definedName>
    <definedName name="SD_34x1_91x48_28_B_0" localSheetId="23" hidden="1">Prolink!$J$1229</definedName>
    <definedName name="SD_34x1_91x48_4_B_0" localSheetId="23" hidden="1">Prolink!$D$1229</definedName>
    <definedName name="SD_34x1_91x48_8_B_0" localSheetId="23" hidden="1">Prolink!$E$1229</definedName>
    <definedName name="SD_34x1_91x49_10_B_0" localSheetId="23" hidden="1">Prolink!$R$1230</definedName>
    <definedName name="SD_34x1_91x49_11_B_0" localSheetId="23" hidden="1">Prolink!$P$1230</definedName>
    <definedName name="SD_34x1_91x49_12_B_0" localSheetId="23" hidden="1">Prolink!$Q$1230</definedName>
    <definedName name="SD_34x1_91x49_14_B_0" localSheetId="23" hidden="1">Prolink!$M$1230</definedName>
    <definedName name="SD_34x1_91x49_15_B_0" localSheetId="23" hidden="1">Prolink!$K$1230</definedName>
    <definedName name="SD_34x1_91x49_16_B_0" localSheetId="23" hidden="1">Prolink!$L$1230</definedName>
    <definedName name="SD_34x1_91x49_18_B_0" localSheetId="23" hidden="1">Prolink!$H$1230</definedName>
    <definedName name="SD_34x1_91x49_19_B_0" localSheetId="23" hidden="1">Prolink!$F$1230</definedName>
    <definedName name="SD_34x1_91x49_20_B_0" localSheetId="23" hidden="1">Prolink!$G$1230</definedName>
    <definedName name="SD_34x1_91x49_22_B_0" localSheetId="23" hidden="1">Prolink!$C$1230</definedName>
    <definedName name="SD_34x1_91x49_23_B_0" localSheetId="23" hidden="1">Prolink!$S$1230</definedName>
    <definedName name="SD_34x1_91x49_24_B_0" localSheetId="23" hidden="1">Prolink!$T$1230</definedName>
    <definedName name="SD_34x1_91x49_25_B_0" localSheetId="23" hidden="1">Prolink!$N$1230</definedName>
    <definedName name="SD_34x1_91x49_26_B_0" localSheetId="23" hidden="1">Prolink!$O$1230</definedName>
    <definedName name="SD_34x1_91x49_27_B_0" localSheetId="23" hidden="1">Prolink!$I$1230</definedName>
    <definedName name="SD_34x1_91x49_28_B_0" localSheetId="23" hidden="1">Prolink!$J$1230</definedName>
    <definedName name="SD_34x1_91x49_4_B_0" localSheetId="23" hidden="1">Prolink!$D$1230</definedName>
    <definedName name="SD_34x1_91x49_8_B_0" localSheetId="23" hidden="1">Prolink!$E$1230</definedName>
    <definedName name="SD_34x1_91x5_10_B_0" localSheetId="23" hidden="1">Prolink!$R$1186</definedName>
    <definedName name="SD_34x1_91x5_11_B_0" localSheetId="23" hidden="1">Prolink!$P$1186</definedName>
    <definedName name="SD_34x1_91x5_12_B_0" localSheetId="23" hidden="1">Prolink!$Q$1186</definedName>
    <definedName name="SD_34x1_91x5_14_B_0" localSheetId="23" hidden="1">Prolink!$M$1186</definedName>
    <definedName name="SD_34x1_91x5_15_B_0" localSheetId="23" hidden="1">Prolink!$K$1186</definedName>
    <definedName name="SD_34x1_91x5_16_B_0" localSheetId="23" hidden="1">Prolink!$L$1186</definedName>
    <definedName name="SD_34x1_91x5_18_B_0" localSheetId="23" hidden="1">Prolink!$H$1186</definedName>
    <definedName name="SD_34x1_91x5_19_B_0" localSheetId="23" hidden="1">Prolink!$F$1186</definedName>
    <definedName name="SD_34x1_91x5_20_B_0" localSheetId="23" hidden="1">Prolink!$G$1186</definedName>
    <definedName name="SD_34x1_91x5_22_B_0" localSheetId="23" hidden="1">Prolink!$C$1186</definedName>
    <definedName name="SD_34x1_91x5_23_B_0" localSheetId="23" hidden="1">Prolink!$S$1186</definedName>
    <definedName name="SD_34x1_91x5_24_B_0" localSheetId="23" hidden="1">Prolink!$T$1186</definedName>
    <definedName name="SD_34x1_91x5_25_B_0" localSheetId="23" hidden="1">Prolink!$N$1186</definedName>
    <definedName name="SD_34x1_91x5_26_B_0" localSheetId="23" hidden="1">Prolink!$O$1186</definedName>
    <definedName name="SD_34x1_91x5_27_B_0" localSheetId="23" hidden="1">Prolink!$I$1186</definedName>
    <definedName name="SD_34x1_91x5_28_B_0" localSheetId="23" hidden="1">Prolink!$J$1186</definedName>
    <definedName name="SD_34x1_91x5_4_B_0" localSheetId="23" hidden="1">Prolink!$D$1186</definedName>
    <definedName name="SD_34x1_91x5_8_B_0" localSheetId="23" hidden="1">Prolink!$E$1186</definedName>
    <definedName name="SD_34x1_91x50_10_B_0" localSheetId="23" hidden="1">Prolink!$R$1231</definedName>
    <definedName name="SD_34x1_91x50_11_B_0" localSheetId="23" hidden="1">Prolink!$P$1231</definedName>
    <definedName name="SD_34x1_91x50_12_B_0" localSheetId="23" hidden="1">Prolink!$Q$1231</definedName>
    <definedName name="SD_34x1_91x50_14_B_0" localSheetId="23" hidden="1">Prolink!$M$1231</definedName>
    <definedName name="SD_34x1_91x50_15_B_0" localSheetId="23" hidden="1">Prolink!$K$1231</definedName>
    <definedName name="SD_34x1_91x50_16_B_0" localSheetId="23" hidden="1">Prolink!$L$1231</definedName>
    <definedName name="SD_34x1_91x50_18_B_0" localSheetId="23" hidden="1">Prolink!$H$1231</definedName>
    <definedName name="SD_34x1_91x50_19_B_0" localSheetId="23" hidden="1">Prolink!$F$1231</definedName>
    <definedName name="SD_34x1_91x50_20_B_0" localSheetId="23" hidden="1">Prolink!$G$1231</definedName>
    <definedName name="SD_34x1_91x50_22_B_0" localSheetId="23" hidden="1">Prolink!$C$1231</definedName>
    <definedName name="SD_34x1_91x50_23_B_0" localSheetId="23" hidden="1">Prolink!$S$1231</definedName>
    <definedName name="SD_34x1_91x50_24_B_0" localSheetId="23" hidden="1">Prolink!$T$1231</definedName>
    <definedName name="SD_34x1_91x50_25_B_0" localSheetId="23" hidden="1">Prolink!$N$1231</definedName>
    <definedName name="SD_34x1_91x50_26_B_0" localSheetId="23" hidden="1">Prolink!$O$1231</definedName>
    <definedName name="SD_34x1_91x50_27_B_0" localSheetId="23" hidden="1">Prolink!$I$1231</definedName>
    <definedName name="SD_34x1_91x50_28_B_0" localSheetId="23" hidden="1">Prolink!$J$1231</definedName>
    <definedName name="SD_34x1_91x50_4_B_0" localSheetId="23" hidden="1">Prolink!$D$1231</definedName>
    <definedName name="SD_34x1_91x50_8_B_0" localSheetId="23" hidden="1">Prolink!$E$1231</definedName>
    <definedName name="SD_34x1_91x51_10_B_0" localSheetId="23" hidden="1">Prolink!$R$1232</definedName>
    <definedName name="SD_34x1_91x51_11_B_0" localSheetId="23" hidden="1">Prolink!$P$1232</definedName>
    <definedName name="SD_34x1_91x51_12_B_0" localSheetId="23" hidden="1">Prolink!$Q$1232</definedName>
    <definedName name="SD_34x1_91x51_14_B_0" localSheetId="23" hidden="1">Prolink!$M$1232</definedName>
    <definedName name="SD_34x1_91x51_15_B_0" localSheetId="23" hidden="1">Prolink!$K$1232</definedName>
    <definedName name="SD_34x1_91x51_16_B_0" localSheetId="23" hidden="1">Prolink!$L$1232</definedName>
    <definedName name="SD_34x1_91x51_18_B_0" localSheetId="23" hidden="1">Prolink!$H$1232</definedName>
    <definedName name="SD_34x1_91x51_19_B_0" localSheetId="23" hidden="1">Prolink!$F$1232</definedName>
    <definedName name="SD_34x1_91x51_20_B_0" localSheetId="23" hidden="1">Prolink!$G$1232</definedName>
    <definedName name="SD_34x1_91x51_22_B_0" localSheetId="23" hidden="1">Prolink!$C$1232</definedName>
    <definedName name="SD_34x1_91x51_23_B_0" localSheetId="23" hidden="1">Prolink!$S$1232</definedName>
    <definedName name="SD_34x1_91x51_24_B_0" localSheetId="23" hidden="1">Prolink!$T$1232</definedName>
    <definedName name="SD_34x1_91x51_25_B_0" localSheetId="23" hidden="1">Prolink!$N$1232</definedName>
    <definedName name="SD_34x1_91x51_26_B_0" localSheetId="23" hidden="1">Prolink!$O$1232</definedName>
    <definedName name="SD_34x1_91x51_27_B_0" localSheetId="23" hidden="1">Prolink!$I$1232</definedName>
    <definedName name="SD_34x1_91x51_28_B_0" localSheetId="23" hidden="1">Prolink!$J$1232</definedName>
    <definedName name="SD_34x1_91x51_4_B_0" localSheetId="23" hidden="1">Prolink!$D$1232</definedName>
    <definedName name="SD_34x1_91x51_8_B_0" localSheetId="23" hidden="1">Prolink!$E$1232</definedName>
    <definedName name="SD_34x1_91x52_10_B_0" localSheetId="23" hidden="1">Prolink!$R$1233</definedName>
    <definedName name="SD_34x1_91x52_11_B_0" localSheetId="23" hidden="1">Prolink!$P$1233</definedName>
    <definedName name="SD_34x1_91x52_12_B_0" localSheetId="23" hidden="1">Prolink!$Q$1233</definedName>
    <definedName name="SD_34x1_91x52_14_B_0" localSheetId="23" hidden="1">Prolink!$M$1233</definedName>
    <definedName name="SD_34x1_91x52_15_B_0" localSheetId="23" hidden="1">Prolink!$K$1233</definedName>
    <definedName name="SD_34x1_91x52_16_B_0" localSheetId="23" hidden="1">Prolink!$L$1233</definedName>
    <definedName name="SD_34x1_91x52_18_B_0" localSheetId="23" hidden="1">Prolink!$H$1233</definedName>
    <definedName name="SD_34x1_91x52_19_B_0" localSheetId="23" hidden="1">Prolink!$F$1233</definedName>
    <definedName name="SD_34x1_91x52_20_B_0" localSheetId="23" hidden="1">Prolink!$G$1233</definedName>
    <definedName name="SD_34x1_91x52_22_B_0" localSheetId="23" hidden="1">Prolink!$C$1233</definedName>
    <definedName name="SD_34x1_91x52_23_B_0" localSheetId="23" hidden="1">Prolink!$S$1233</definedName>
    <definedName name="SD_34x1_91x52_24_B_0" localSheetId="23" hidden="1">Prolink!$T$1233</definedName>
    <definedName name="SD_34x1_91x52_25_B_0" localSheetId="23" hidden="1">Prolink!$N$1233</definedName>
    <definedName name="SD_34x1_91x52_26_B_0" localSheetId="23" hidden="1">Prolink!$O$1233</definedName>
    <definedName name="SD_34x1_91x52_27_B_0" localSheetId="23" hidden="1">Prolink!$I$1233</definedName>
    <definedName name="SD_34x1_91x52_28_B_0" localSheetId="23" hidden="1">Prolink!$J$1233</definedName>
    <definedName name="SD_34x1_91x52_4_B_0" localSheetId="23" hidden="1">Prolink!$D$1233</definedName>
    <definedName name="SD_34x1_91x52_8_B_0" localSheetId="23" hidden="1">Prolink!$E$1233</definedName>
    <definedName name="SD_34x1_91x53_10_B_0" localSheetId="23" hidden="1">Prolink!$R$1234</definedName>
    <definedName name="SD_34x1_91x53_11_B_0" localSheetId="23" hidden="1">Prolink!$P$1234</definedName>
    <definedName name="SD_34x1_91x53_12_B_0" localSheetId="23" hidden="1">Prolink!$Q$1234</definedName>
    <definedName name="SD_34x1_91x53_14_B_0" localSheetId="23" hidden="1">Prolink!$M$1234</definedName>
    <definedName name="SD_34x1_91x53_15_B_0" localSheetId="23" hidden="1">Prolink!$K$1234</definedName>
    <definedName name="SD_34x1_91x53_16_B_0" localSheetId="23" hidden="1">Prolink!$L$1234</definedName>
    <definedName name="SD_34x1_91x53_18_B_0" localSheetId="23" hidden="1">Prolink!$H$1234</definedName>
    <definedName name="SD_34x1_91x53_19_B_0" localSheetId="23" hidden="1">Prolink!$F$1234</definedName>
    <definedName name="SD_34x1_91x53_20_B_0" localSheetId="23" hidden="1">Prolink!$G$1234</definedName>
    <definedName name="SD_34x1_91x53_22_B_0" localSheetId="23" hidden="1">Prolink!$C$1234</definedName>
    <definedName name="SD_34x1_91x53_23_B_0" localSheetId="23" hidden="1">Prolink!$S$1234</definedName>
    <definedName name="SD_34x1_91x53_24_B_0" localSheetId="23" hidden="1">Prolink!$T$1234</definedName>
    <definedName name="SD_34x1_91x53_25_B_0" localSheetId="23" hidden="1">Prolink!$N$1234</definedName>
    <definedName name="SD_34x1_91x53_26_B_0" localSheetId="23" hidden="1">Prolink!$O$1234</definedName>
    <definedName name="SD_34x1_91x53_27_B_0" localSheetId="23" hidden="1">Prolink!$I$1234</definedName>
    <definedName name="SD_34x1_91x53_28_B_0" localSheetId="23" hidden="1">Prolink!$J$1234</definedName>
    <definedName name="SD_34x1_91x53_4_B_0" localSheetId="23" hidden="1">Prolink!$D$1234</definedName>
    <definedName name="SD_34x1_91x53_8_B_0" localSheetId="23" hidden="1">Prolink!$E$1234</definedName>
    <definedName name="SD_34x1_91x54_10_B_0" localSheetId="23" hidden="1">Prolink!$R$1235</definedName>
    <definedName name="SD_34x1_91x54_11_B_0" localSheetId="23" hidden="1">Prolink!$P$1235</definedName>
    <definedName name="SD_34x1_91x54_12_B_0" localSheetId="23" hidden="1">Prolink!$Q$1235</definedName>
    <definedName name="SD_34x1_91x54_14_B_0" localSheetId="23" hidden="1">Prolink!$M$1235</definedName>
    <definedName name="SD_34x1_91x54_15_B_0" localSheetId="23" hidden="1">Prolink!$K$1235</definedName>
    <definedName name="SD_34x1_91x54_16_B_0" localSheetId="23" hidden="1">Prolink!$L$1235</definedName>
    <definedName name="SD_34x1_91x54_18_B_0" localSheetId="23" hidden="1">Prolink!$H$1235</definedName>
    <definedName name="SD_34x1_91x54_19_B_0" localSheetId="23" hidden="1">Prolink!$F$1235</definedName>
    <definedName name="SD_34x1_91x54_20_B_0" localSheetId="23" hidden="1">Prolink!$G$1235</definedName>
    <definedName name="SD_34x1_91x54_22_B_0" localSheetId="23" hidden="1">Prolink!$C$1235</definedName>
    <definedName name="SD_34x1_91x54_23_B_0" localSheetId="23" hidden="1">Prolink!$S$1235</definedName>
    <definedName name="SD_34x1_91x54_24_B_0" localSheetId="23" hidden="1">Prolink!$T$1235</definedName>
    <definedName name="SD_34x1_91x54_25_B_0" localSheetId="23" hidden="1">Prolink!$N$1235</definedName>
    <definedName name="SD_34x1_91x54_26_B_0" localSheetId="23" hidden="1">Prolink!$O$1235</definedName>
    <definedName name="SD_34x1_91x54_27_B_0" localSheetId="23" hidden="1">Prolink!$I$1235</definedName>
    <definedName name="SD_34x1_91x54_28_B_0" localSheetId="23" hidden="1">Prolink!$J$1235</definedName>
    <definedName name="SD_34x1_91x54_4_B_0" localSheetId="23" hidden="1">Prolink!$D$1235</definedName>
    <definedName name="SD_34x1_91x54_8_B_0" localSheetId="23" hidden="1">Prolink!$E$1235</definedName>
    <definedName name="SD_34x1_91x55_10_B_0" localSheetId="23" hidden="1">Prolink!$R$1236</definedName>
    <definedName name="SD_34x1_91x55_11_B_0" localSheetId="23" hidden="1">Prolink!$P$1236</definedName>
    <definedName name="SD_34x1_91x55_12_B_0" localSheetId="23" hidden="1">Prolink!$Q$1236</definedName>
    <definedName name="SD_34x1_91x55_14_B_0" localSheetId="23" hidden="1">Prolink!$M$1236</definedName>
    <definedName name="SD_34x1_91x55_15_B_0" localSheetId="23" hidden="1">Prolink!$K$1236</definedName>
    <definedName name="SD_34x1_91x55_16_B_0" localSheetId="23" hidden="1">Prolink!$L$1236</definedName>
    <definedName name="SD_34x1_91x55_18_B_0" localSheetId="23" hidden="1">Prolink!$H$1236</definedName>
    <definedName name="SD_34x1_91x55_19_B_0" localSheetId="23" hidden="1">Prolink!$F$1236</definedName>
    <definedName name="SD_34x1_91x55_20_B_0" localSheetId="23" hidden="1">Prolink!$G$1236</definedName>
    <definedName name="SD_34x1_91x55_22_B_0" localSheetId="23" hidden="1">Prolink!$C$1236</definedName>
    <definedName name="SD_34x1_91x55_23_B_0" localSheetId="23" hidden="1">Prolink!$S$1236</definedName>
    <definedName name="SD_34x1_91x55_24_B_0" localSheetId="23" hidden="1">Prolink!$T$1236</definedName>
    <definedName name="SD_34x1_91x55_25_B_0" localSheetId="23" hidden="1">Prolink!$N$1236</definedName>
    <definedName name="SD_34x1_91x55_26_B_0" localSheetId="23" hidden="1">Prolink!$O$1236</definedName>
    <definedName name="SD_34x1_91x55_27_B_0" localSheetId="23" hidden="1">Prolink!$I$1236</definedName>
    <definedName name="SD_34x1_91x55_28_B_0" localSheetId="23" hidden="1">Prolink!$J$1236</definedName>
    <definedName name="SD_34x1_91x55_4_B_0" localSheetId="23" hidden="1">Prolink!$D$1236</definedName>
    <definedName name="SD_34x1_91x55_8_B_0" localSheetId="23" hidden="1">Prolink!$E$1236</definedName>
    <definedName name="SD_34x1_91x56_10_B_0" localSheetId="23" hidden="1">Prolink!$R$1237</definedName>
    <definedName name="SD_34x1_91x56_11_B_0" localSheetId="23" hidden="1">Prolink!$P$1237</definedName>
    <definedName name="SD_34x1_91x56_12_B_0" localSheetId="23" hidden="1">Prolink!$Q$1237</definedName>
    <definedName name="SD_34x1_91x56_14_B_0" localSheetId="23" hidden="1">Prolink!$M$1237</definedName>
    <definedName name="SD_34x1_91x56_15_B_0" localSheetId="23" hidden="1">Prolink!$K$1237</definedName>
    <definedName name="SD_34x1_91x56_16_B_0" localSheetId="23" hidden="1">Prolink!$L$1237</definedName>
    <definedName name="SD_34x1_91x56_18_B_0" localSheetId="23" hidden="1">Prolink!$H$1237</definedName>
    <definedName name="SD_34x1_91x56_19_B_0" localSheetId="23" hidden="1">Prolink!$F$1237</definedName>
    <definedName name="SD_34x1_91x56_20_B_0" localSheetId="23" hidden="1">Prolink!$G$1237</definedName>
    <definedName name="SD_34x1_91x56_22_B_0" localSheetId="23" hidden="1">Prolink!$C$1237</definedName>
    <definedName name="SD_34x1_91x56_23_B_0" localSheetId="23" hidden="1">Prolink!$S$1237</definedName>
    <definedName name="SD_34x1_91x56_24_B_0" localSheetId="23" hidden="1">Prolink!$T$1237</definedName>
    <definedName name="SD_34x1_91x56_25_B_0" localSheetId="23" hidden="1">Prolink!$N$1237</definedName>
    <definedName name="SD_34x1_91x56_26_B_0" localSheetId="23" hidden="1">Prolink!$O$1237</definedName>
    <definedName name="SD_34x1_91x56_27_B_0" localSheetId="23" hidden="1">Prolink!$I$1237</definedName>
    <definedName name="SD_34x1_91x56_28_B_0" localSheetId="23" hidden="1">Prolink!$J$1237</definedName>
    <definedName name="SD_34x1_91x56_4_B_0" localSheetId="23" hidden="1">Prolink!$D$1237</definedName>
    <definedName name="SD_34x1_91x56_8_B_0" localSheetId="23" hidden="1">Prolink!$E$1237</definedName>
    <definedName name="SD_34x1_91x57_10_B_0" localSheetId="23" hidden="1">Prolink!$R$1238</definedName>
    <definedName name="SD_34x1_91x57_11_B_0" localSheetId="23" hidden="1">Prolink!$P$1238</definedName>
    <definedName name="SD_34x1_91x57_12_B_0" localSheetId="23" hidden="1">Prolink!$Q$1238</definedName>
    <definedName name="SD_34x1_91x57_14_B_0" localSheetId="23" hidden="1">Prolink!$M$1238</definedName>
    <definedName name="SD_34x1_91x57_15_B_0" localSheetId="23" hidden="1">Prolink!$K$1238</definedName>
    <definedName name="SD_34x1_91x57_16_B_0" localSheetId="23" hidden="1">Prolink!$L$1238</definedName>
    <definedName name="SD_34x1_91x57_18_B_0" localSheetId="23" hidden="1">Prolink!$H$1238</definedName>
    <definedName name="SD_34x1_91x57_19_B_0" localSheetId="23" hidden="1">Prolink!$F$1238</definedName>
    <definedName name="SD_34x1_91x57_20_B_0" localSheetId="23" hidden="1">Prolink!$G$1238</definedName>
    <definedName name="SD_34x1_91x57_22_B_0" localSheetId="23" hidden="1">Prolink!$C$1238</definedName>
    <definedName name="SD_34x1_91x57_23_B_0" localSheetId="23" hidden="1">Prolink!$S$1238</definedName>
    <definedName name="SD_34x1_91x57_24_B_0" localSheetId="23" hidden="1">Prolink!$T$1238</definedName>
    <definedName name="SD_34x1_91x57_25_B_0" localSheetId="23" hidden="1">Prolink!$N$1238</definedName>
    <definedName name="SD_34x1_91x57_26_B_0" localSheetId="23" hidden="1">Prolink!$O$1238</definedName>
    <definedName name="SD_34x1_91x57_27_B_0" localSheetId="23" hidden="1">Prolink!$I$1238</definedName>
    <definedName name="SD_34x1_91x57_28_B_0" localSheetId="23" hidden="1">Prolink!$J$1238</definedName>
    <definedName name="SD_34x1_91x57_4_B_0" localSheetId="23" hidden="1">Prolink!$D$1238</definedName>
    <definedName name="SD_34x1_91x57_8_B_0" localSheetId="23" hidden="1">Prolink!$E$1238</definedName>
    <definedName name="SD_34x1_91x58_10_B_0" localSheetId="23" hidden="1">Prolink!$R$1239</definedName>
    <definedName name="SD_34x1_91x58_11_B_0" localSheetId="23" hidden="1">Prolink!$P$1239</definedName>
    <definedName name="SD_34x1_91x58_12_B_0" localSheetId="23" hidden="1">Prolink!$Q$1239</definedName>
    <definedName name="SD_34x1_91x58_14_B_0" localSheetId="23" hidden="1">Prolink!$M$1239</definedName>
    <definedName name="SD_34x1_91x58_15_B_0" localSheetId="23" hidden="1">Prolink!$K$1239</definedName>
    <definedName name="SD_34x1_91x58_16_B_0" localSheetId="23" hidden="1">Prolink!$L$1239</definedName>
    <definedName name="SD_34x1_91x58_18_B_0" localSheetId="23" hidden="1">Prolink!$H$1239</definedName>
    <definedName name="SD_34x1_91x58_19_B_0" localSheetId="23" hidden="1">Prolink!$F$1239</definedName>
    <definedName name="SD_34x1_91x58_20_B_0" localSheetId="23" hidden="1">Prolink!$G$1239</definedName>
    <definedName name="SD_34x1_91x58_22_B_0" localSheetId="23" hidden="1">Prolink!$C$1239</definedName>
    <definedName name="SD_34x1_91x58_23_B_0" localSheetId="23" hidden="1">Prolink!$S$1239</definedName>
    <definedName name="SD_34x1_91x58_24_B_0" localSheetId="23" hidden="1">Prolink!$T$1239</definedName>
    <definedName name="SD_34x1_91x58_25_B_0" localSheetId="23" hidden="1">Prolink!$N$1239</definedName>
    <definedName name="SD_34x1_91x58_26_B_0" localSheetId="23" hidden="1">Prolink!$O$1239</definedName>
    <definedName name="SD_34x1_91x58_27_B_0" localSheetId="23" hidden="1">Prolink!$I$1239</definedName>
    <definedName name="SD_34x1_91x58_28_B_0" localSheetId="23" hidden="1">Prolink!$J$1239</definedName>
    <definedName name="SD_34x1_91x58_4_B_0" localSheetId="23" hidden="1">Prolink!$D$1239</definedName>
    <definedName name="SD_34x1_91x58_8_B_0" localSheetId="23" hidden="1">Prolink!$E$1239</definedName>
    <definedName name="SD_34x1_91x59_10_B_0" localSheetId="23" hidden="1">Prolink!$R$1240</definedName>
    <definedName name="SD_34x1_91x59_11_B_0" localSheetId="23" hidden="1">Prolink!$P$1240</definedName>
    <definedName name="SD_34x1_91x59_12_B_0" localSheetId="23" hidden="1">Prolink!$Q$1240</definedName>
    <definedName name="SD_34x1_91x59_14_B_0" localSheetId="23" hidden="1">Prolink!$M$1240</definedName>
    <definedName name="SD_34x1_91x59_15_B_0" localSheetId="23" hidden="1">Prolink!$K$1240</definedName>
    <definedName name="SD_34x1_91x59_16_B_0" localSheetId="23" hidden="1">Prolink!$L$1240</definedName>
    <definedName name="SD_34x1_91x59_18_B_0" localSheetId="23" hidden="1">Prolink!$H$1240</definedName>
    <definedName name="SD_34x1_91x59_19_B_0" localSheetId="23" hidden="1">Prolink!$F$1240</definedName>
    <definedName name="SD_34x1_91x59_20_B_0" localSheetId="23" hidden="1">Prolink!$G$1240</definedName>
    <definedName name="SD_34x1_91x59_22_B_0" localSheetId="23" hidden="1">Prolink!$C$1240</definedName>
    <definedName name="SD_34x1_91x59_23_B_0" localSheetId="23" hidden="1">Prolink!$S$1240</definedName>
    <definedName name="SD_34x1_91x59_24_B_0" localSheetId="23" hidden="1">Prolink!$T$1240</definedName>
    <definedName name="SD_34x1_91x59_25_B_0" localSheetId="23" hidden="1">Prolink!$N$1240</definedName>
    <definedName name="SD_34x1_91x59_26_B_0" localSheetId="23" hidden="1">Prolink!$O$1240</definedName>
    <definedName name="SD_34x1_91x59_27_B_0" localSheetId="23" hidden="1">Prolink!$I$1240</definedName>
    <definedName name="SD_34x1_91x59_28_B_0" localSheetId="23" hidden="1">Prolink!$J$1240</definedName>
    <definedName name="SD_34x1_91x59_4_B_0" localSheetId="23" hidden="1">Prolink!$D$1240</definedName>
    <definedName name="SD_34x1_91x59_8_B_0" localSheetId="23" hidden="1">Prolink!$E$1240</definedName>
    <definedName name="SD_34x1_91x6_10_B_0" localSheetId="23" hidden="1">Prolink!$R$1187</definedName>
    <definedName name="SD_34x1_91x6_11_B_0" localSheetId="23" hidden="1">Prolink!$P$1187</definedName>
    <definedName name="SD_34x1_91x6_12_B_0" localSheetId="23" hidden="1">Prolink!$Q$1187</definedName>
    <definedName name="SD_34x1_91x6_14_B_0" localSheetId="23" hidden="1">Prolink!$M$1187</definedName>
    <definedName name="SD_34x1_91x6_15_B_0" localSheetId="23" hidden="1">Prolink!$K$1187</definedName>
    <definedName name="SD_34x1_91x6_16_B_0" localSheetId="23" hidden="1">Prolink!$L$1187</definedName>
    <definedName name="SD_34x1_91x6_18_B_0" localSheetId="23" hidden="1">Prolink!$H$1187</definedName>
    <definedName name="SD_34x1_91x6_19_B_0" localSheetId="23" hidden="1">Prolink!$F$1187</definedName>
    <definedName name="SD_34x1_91x6_20_B_0" localSheetId="23" hidden="1">Prolink!$G$1187</definedName>
    <definedName name="SD_34x1_91x6_22_B_0" localSheetId="23" hidden="1">Prolink!$C$1187</definedName>
    <definedName name="SD_34x1_91x6_23_B_0" localSheetId="23" hidden="1">Prolink!$S$1187</definedName>
    <definedName name="SD_34x1_91x6_24_B_0" localSheetId="23" hidden="1">Prolink!$T$1187</definedName>
    <definedName name="SD_34x1_91x6_25_B_0" localSheetId="23" hidden="1">Prolink!$N$1187</definedName>
    <definedName name="SD_34x1_91x6_26_B_0" localSheetId="23" hidden="1">Prolink!$O$1187</definedName>
    <definedName name="SD_34x1_91x6_27_B_0" localSheetId="23" hidden="1">Prolink!$I$1187</definedName>
    <definedName name="SD_34x1_91x6_28_B_0" localSheetId="23" hidden="1">Prolink!$J$1187</definedName>
    <definedName name="SD_34x1_91x6_4_B_0" localSheetId="23" hidden="1">Prolink!$D$1187</definedName>
    <definedName name="SD_34x1_91x6_8_B_0" localSheetId="23" hidden="1">Prolink!$E$1187</definedName>
    <definedName name="SD_34x1_91x60_10_B_0" localSheetId="23" hidden="1">Prolink!$R$1241</definedName>
    <definedName name="SD_34x1_91x60_11_B_0" localSheetId="23" hidden="1">Prolink!$P$1241</definedName>
    <definedName name="SD_34x1_91x60_12_B_0" localSheetId="23" hidden="1">Prolink!$Q$1241</definedName>
    <definedName name="SD_34x1_91x60_14_B_0" localSheetId="23" hidden="1">Prolink!$M$1241</definedName>
    <definedName name="SD_34x1_91x60_15_B_0" localSheetId="23" hidden="1">Prolink!$K$1241</definedName>
    <definedName name="SD_34x1_91x60_16_B_0" localSheetId="23" hidden="1">Prolink!$L$1241</definedName>
    <definedName name="SD_34x1_91x60_18_B_0" localSheetId="23" hidden="1">Prolink!$H$1241</definedName>
    <definedName name="SD_34x1_91x60_19_B_0" localSheetId="23" hidden="1">Prolink!$F$1241</definedName>
    <definedName name="SD_34x1_91x60_20_B_0" localSheetId="23" hidden="1">Prolink!$G$1241</definedName>
    <definedName name="SD_34x1_91x60_22_B_0" localSheetId="23" hidden="1">Prolink!$C$1241</definedName>
    <definedName name="SD_34x1_91x60_23_B_0" localSheetId="23" hidden="1">Prolink!$S$1241</definedName>
    <definedName name="SD_34x1_91x60_24_B_0" localSheetId="23" hidden="1">Prolink!$T$1241</definedName>
    <definedName name="SD_34x1_91x60_25_B_0" localSheetId="23" hidden="1">Prolink!$N$1241</definedName>
    <definedName name="SD_34x1_91x60_26_B_0" localSheetId="23" hidden="1">Prolink!$O$1241</definedName>
    <definedName name="SD_34x1_91x60_27_B_0" localSheetId="23" hidden="1">Prolink!$I$1241</definedName>
    <definedName name="SD_34x1_91x60_28_B_0" localSheetId="23" hidden="1">Prolink!$J$1241</definedName>
    <definedName name="SD_34x1_91x60_4_B_0" localSheetId="23" hidden="1">Prolink!$D$1241</definedName>
    <definedName name="SD_34x1_91x60_8_B_0" localSheetId="23" hidden="1">Prolink!$E$1241</definedName>
    <definedName name="SD_34x1_91x61_10_B_0" localSheetId="23" hidden="1">Prolink!$R$1242</definedName>
    <definedName name="SD_34x1_91x61_11_B_0" localSheetId="23" hidden="1">Prolink!$P$1242</definedName>
    <definedName name="SD_34x1_91x61_12_B_0" localSheetId="23" hidden="1">Prolink!$Q$1242</definedName>
    <definedName name="SD_34x1_91x61_14_B_0" localSheetId="23" hidden="1">Prolink!$M$1242</definedName>
    <definedName name="SD_34x1_91x61_15_B_0" localSheetId="23" hidden="1">Prolink!$K$1242</definedName>
    <definedName name="SD_34x1_91x61_16_B_0" localSheetId="23" hidden="1">Prolink!$L$1242</definedName>
    <definedName name="SD_34x1_91x61_18_B_0" localSheetId="23" hidden="1">Prolink!$H$1242</definedName>
    <definedName name="SD_34x1_91x61_19_B_0" localSheetId="23" hidden="1">Prolink!$F$1242</definedName>
    <definedName name="SD_34x1_91x61_20_B_0" localSheetId="23" hidden="1">Prolink!$G$1242</definedName>
    <definedName name="SD_34x1_91x61_22_B_0" localSheetId="23" hidden="1">Prolink!$C$1242</definedName>
    <definedName name="SD_34x1_91x61_23_B_0" localSheetId="23" hidden="1">Prolink!$S$1242</definedName>
    <definedName name="SD_34x1_91x61_24_B_0" localSheetId="23" hidden="1">Prolink!$T$1242</definedName>
    <definedName name="SD_34x1_91x61_25_B_0" localSheetId="23" hidden="1">Prolink!$N$1242</definedName>
    <definedName name="SD_34x1_91x61_26_B_0" localSheetId="23" hidden="1">Prolink!$O$1242</definedName>
    <definedName name="SD_34x1_91x61_27_B_0" localSheetId="23" hidden="1">Prolink!$I$1242</definedName>
    <definedName name="SD_34x1_91x61_28_B_0" localSheetId="23" hidden="1">Prolink!$J$1242</definedName>
    <definedName name="SD_34x1_91x61_4_B_0" localSheetId="23" hidden="1">Prolink!$D$1242</definedName>
    <definedName name="SD_34x1_91x61_8_B_0" localSheetId="23" hidden="1">Prolink!$E$1242</definedName>
    <definedName name="SD_34x1_91x62_10_B_0" localSheetId="23" hidden="1">Prolink!$R$1243</definedName>
    <definedName name="SD_34x1_91x62_11_B_0" localSheetId="23" hidden="1">Prolink!$P$1243</definedName>
    <definedName name="SD_34x1_91x62_12_B_0" localSheetId="23" hidden="1">Prolink!$Q$1243</definedName>
    <definedName name="SD_34x1_91x62_14_B_0" localSheetId="23" hidden="1">Prolink!$M$1243</definedName>
    <definedName name="SD_34x1_91x62_15_B_0" localSheetId="23" hidden="1">Prolink!$K$1243</definedName>
    <definedName name="SD_34x1_91x62_16_B_0" localSheetId="23" hidden="1">Prolink!$L$1243</definedName>
    <definedName name="SD_34x1_91x62_18_B_0" localSheetId="23" hidden="1">Prolink!$H$1243</definedName>
    <definedName name="SD_34x1_91x62_19_B_0" localSheetId="23" hidden="1">Prolink!$F$1243</definedName>
    <definedName name="SD_34x1_91x62_20_B_0" localSheetId="23" hidden="1">Prolink!$G$1243</definedName>
    <definedName name="SD_34x1_91x62_22_B_0" localSheetId="23" hidden="1">Prolink!$C$1243</definedName>
    <definedName name="SD_34x1_91x62_23_B_0" localSheetId="23" hidden="1">Prolink!$S$1243</definedName>
    <definedName name="SD_34x1_91x62_24_B_0" localSheetId="23" hidden="1">Prolink!$T$1243</definedName>
    <definedName name="SD_34x1_91x62_25_B_0" localSheetId="23" hidden="1">Prolink!$N$1243</definedName>
    <definedName name="SD_34x1_91x62_26_B_0" localSheetId="23" hidden="1">Prolink!$O$1243</definedName>
    <definedName name="SD_34x1_91x62_27_B_0" localSheetId="23" hidden="1">Prolink!$I$1243</definedName>
    <definedName name="SD_34x1_91x62_28_B_0" localSheetId="23" hidden="1">Prolink!$J$1243</definedName>
    <definedName name="SD_34x1_91x62_4_B_0" localSheetId="23" hidden="1">Prolink!$D$1243</definedName>
    <definedName name="SD_34x1_91x62_8_B_0" localSheetId="23" hidden="1">Prolink!$E$1243</definedName>
    <definedName name="SD_34x1_91x63_10_B_0" localSheetId="23" hidden="1">Prolink!$R$1244</definedName>
    <definedName name="SD_34x1_91x63_11_B_0" localSheetId="23" hidden="1">Prolink!$P$1244</definedName>
    <definedName name="SD_34x1_91x63_12_B_0" localSheetId="23" hidden="1">Prolink!$Q$1244</definedName>
    <definedName name="SD_34x1_91x63_14_B_0" localSheetId="23" hidden="1">Prolink!$M$1244</definedName>
    <definedName name="SD_34x1_91x63_15_B_0" localSheetId="23" hidden="1">Prolink!$K$1244</definedName>
    <definedName name="SD_34x1_91x63_16_B_0" localSheetId="23" hidden="1">Prolink!$L$1244</definedName>
    <definedName name="SD_34x1_91x63_18_B_0" localSheetId="23" hidden="1">Prolink!$H$1244</definedName>
    <definedName name="SD_34x1_91x63_19_B_0" localSheetId="23" hidden="1">Prolink!$F$1244</definedName>
    <definedName name="SD_34x1_91x63_20_B_0" localSheetId="23" hidden="1">Prolink!$G$1244</definedName>
    <definedName name="SD_34x1_91x63_22_B_0" localSheetId="23" hidden="1">Prolink!$C$1244</definedName>
    <definedName name="SD_34x1_91x63_23_B_0" localSheetId="23" hidden="1">Prolink!$S$1244</definedName>
    <definedName name="SD_34x1_91x63_24_B_0" localSheetId="23" hidden="1">Prolink!$T$1244</definedName>
    <definedName name="SD_34x1_91x63_25_B_0" localSheetId="23" hidden="1">Prolink!$N$1244</definedName>
    <definedName name="SD_34x1_91x63_26_B_0" localSheetId="23" hidden="1">Prolink!$O$1244</definedName>
    <definedName name="SD_34x1_91x63_27_B_0" localSheetId="23" hidden="1">Prolink!$I$1244</definedName>
    <definedName name="SD_34x1_91x63_28_B_0" localSheetId="23" hidden="1">Prolink!$J$1244</definedName>
    <definedName name="SD_34x1_91x63_4_B_0" localSheetId="23" hidden="1">Prolink!$D$1244</definedName>
    <definedName name="SD_34x1_91x63_8_B_0" localSheetId="23" hidden="1">Prolink!$E$1244</definedName>
    <definedName name="SD_34x1_91x64_10_B_0" localSheetId="23" hidden="1">Prolink!$R$1245</definedName>
    <definedName name="SD_34x1_91x64_11_B_0" localSheetId="23" hidden="1">Prolink!$P$1245</definedName>
    <definedName name="SD_34x1_91x64_12_B_0" localSheetId="23" hidden="1">Prolink!$Q$1245</definedName>
    <definedName name="SD_34x1_91x64_14_B_0" localSheetId="23" hidden="1">Prolink!$M$1245</definedName>
    <definedName name="SD_34x1_91x64_15_B_0" localSheetId="23" hidden="1">Prolink!$K$1245</definedName>
    <definedName name="SD_34x1_91x64_16_B_0" localSheetId="23" hidden="1">Prolink!$L$1245</definedName>
    <definedName name="SD_34x1_91x64_18_B_0" localSheetId="23" hidden="1">Prolink!$H$1245</definedName>
    <definedName name="SD_34x1_91x64_19_B_0" localSheetId="23" hidden="1">Prolink!$F$1245</definedName>
    <definedName name="SD_34x1_91x64_20_B_0" localSheetId="23" hidden="1">Prolink!$G$1245</definedName>
    <definedName name="SD_34x1_91x64_22_B_0" localSheetId="23" hidden="1">Prolink!$C$1245</definedName>
    <definedName name="SD_34x1_91x64_23_B_0" localSheetId="23" hidden="1">Prolink!$S$1245</definedName>
    <definedName name="SD_34x1_91x64_24_B_0" localSheetId="23" hidden="1">Prolink!$T$1245</definedName>
    <definedName name="SD_34x1_91x64_25_B_0" localSheetId="23" hidden="1">Prolink!$N$1245</definedName>
    <definedName name="SD_34x1_91x64_26_B_0" localSheetId="23" hidden="1">Prolink!$O$1245</definedName>
    <definedName name="SD_34x1_91x64_27_B_0" localSheetId="23" hidden="1">Prolink!$I$1245</definedName>
    <definedName name="SD_34x1_91x64_28_B_0" localSheetId="23" hidden="1">Prolink!$J$1245</definedName>
    <definedName name="SD_34x1_91x64_4_B_0" localSheetId="23" hidden="1">Prolink!$D$1245</definedName>
    <definedName name="SD_34x1_91x64_8_B_0" localSheetId="23" hidden="1">Prolink!$E$1245</definedName>
    <definedName name="SD_34x1_91x65_10_B_0" localSheetId="23" hidden="1">Prolink!$R$1246</definedName>
    <definedName name="SD_34x1_91x65_11_B_0" localSheetId="23" hidden="1">Prolink!$P$1246</definedName>
    <definedName name="SD_34x1_91x65_12_B_0" localSheetId="23" hidden="1">Prolink!$Q$1246</definedName>
    <definedName name="SD_34x1_91x65_14_B_0" localSheetId="23" hidden="1">Prolink!$M$1246</definedName>
    <definedName name="SD_34x1_91x65_15_B_0" localSheetId="23" hidden="1">Prolink!$K$1246</definedName>
    <definedName name="SD_34x1_91x65_16_B_0" localSheetId="23" hidden="1">Prolink!$L$1246</definedName>
    <definedName name="SD_34x1_91x65_18_B_0" localSheetId="23" hidden="1">Prolink!$H$1246</definedName>
    <definedName name="SD_34x1_91x65_19_B_0" localSheetId="23" hidden="1">Prolink!$F$1246</definedName>
    <definedName name="SD_34x1_91x65_20_B_0" localSheetId="23" hidden="1">Prolink!$G$1246</definedName>
    <definedName name="SD_34x1_91x65_22_B_0" localSheetId="23" hidden="1">Prolink!$C$1246</definedName>
    <definedName name="SD_34x1_91x65_23_B_0" localSheetId="23" hidden="1">Prolink!$S$1246</definedName>
    <definedName name="SD_34x1_91x65_24_B_0" localSheetId="23" hidden="1">Prolink!$T$1246</definedName>
    <definedName name="SD_34x1_91x65_25_B_0" localSheetId="23" hidden="1">Prolink!$N$1246</definedName>
    <definedName name="SD_34x1_91x65_26_B_0" localSheetId="23" hidden="1">Prolink!$O$1246</definedName>
    <definedName name="SD_34x1_91x65_27_B_0" localSheetId="23" hidden="1">Prolink!$I$1246</definedName>
    <definedName name="SD_34x1_91x65_28_B_0" localSheetId="23" hidden="1">Prolink!$J$1246</definedName>
    <definedName name="SD_34x1_91x65_4_B_0" localSheetId="23" hidden="1">Prolink!$D$1246</definedName>
    <definedName name="SD_34x1_91x65_8_B_0" localSheetId="23" hidden="1">Prolink!$E$1246</definedName>
    <definedName name="SD_34x1_91x66_10_B_0" localSheetId="23" hidden="1">Prolink!$R$1247</definedName>
    <definedName name="SD_34x1_91x66_11_B_0" localSheetId="23" hidden="1">Prolink!$P$1247</definedName>
    <definedName name="SD_34x1_91x66_12_B_0" localSheetId="23" hidden="1">Prolink!$Q$1247</definedName>
    <definedName name="SD_34x1_91x66_14_B_0" localSheetId="23" hidden="1">Prolink!$M$1247</definedName>
    <definedName name="SD_34x1_91x66_15_B_0" localSheetId="23" hidden="1">Prolink!$K$1247</definedName>
    <definedName name="SD_34x1_91x66_16_B_0" localSheetId="23" hidden="1">Prolink!$L$1247</definedName>
    <definedName name="SD_34x1_91x66_18_B_0" localSheetId="23" hidden="1">Prolink!$H$1247</definedName>
    <definedName name="SD_34x1_91x66_19_B_0" localSheetId="23" hidden="1">Prolink!$F$1247</definedName>
    <definedName name="SD_34x1_91x66_20_B_0" localSheetId="23" hidden="1">Prolink!$G$1247</definedName>
    <definedName name="SD_34x1_91x66_22_B_0" localSheetId="23" hidden="1">Prolink!$C$1247</definedName>
    <definedName name="SD_34x1_91x66_23_B_0" localSheetId="23" hidden="1">Prolink!$S$1247</definedName>
    <definedName name="SD_34x1_91x66_24_B_0" localSheetId="23" hidden="1">Prolink!$T$1247</definedName>
    <definedName name="SD_34x1_91x66_25_B_0" localSheetId="23" hidden="1">Prolink!$N$1247</definedName>
    <definedName name="SD_34x1_91x66_26_B_0" localSheetId="23" hidden="1">Prolink!$O$1247</definedName>
    <definedName name="SD_34x1_91x66_27_B_0" localSheetId="23" hidden="1">Prolink!$I$1247</definedName>
    <definedName name="SD_34x1_91x66_28_B_0" localSheetId="23" hidden="1">Prolink!$J$1247</definedName>
    <definedName name="SD_34x1_91x66_4_B_0" localSheetId="23" hidden="1">Prolink!$D$1247</definedName>
    <definedName name="SD_34x1_91x66_8_B_0" localSheetId="23" hidden="1">Prolink!$E$1247</definedName>
    <definedName name="SD_34x1_91x67_10_B_0" localSheetId="23" hidden="1">Prolink!$R$1248</definedName>
    <definedName name="SD_34x1_91x67_11_B_0" localSheetId="23" hidden="1">Prolink!$P$1248</definedName>
    <definedName name="SD_34x1_91x67_12_B_0" localSheetId="23" hidden="1">Prolink!$Q$1248</definedName>
    <definedName name="SD_34x1_91x67_14_B_0" localSheetId="23" hidden="1">Prolink!$M$1248</definedName>
    <definedName name="SD_34x1_91x67_15_B_0" localSheetId="23" hidden="1">Prolink!$K$1248</definedName>
    <definedName name="SD_34x1_91x67_16_B_0" localSheetId="23" hidden="1">Prolink!$L$1248</definedName>
    <definedName name="SD_34x1_91x67_18_B_0" localSheetId="23" hidden="1">Prolink!$H$1248</definedName>
    <definedName name="SD_34x1_91x67_19_B_0" localSheetId="23" hidden="1">Prolink!$F$1248</definedName>
    <definedName name="SD_34x1_91x67_20_B_0" localSheetId="23" hidden="1">Prolink!$G$1248</definedName>
    <definedName name="SD_34x1_91x67_22_B_0" localSheetId="23" hidden="1">Prolink!$C$1248</definedName>
    <definedName name="SD_34x1_91x67_23_B_0" localSheetId="23" hidden="1">Prolink!$S$1248</definedName>
    <definedName name="SD_34x1_91x67_24_B_0" localSheetId="23" hidden="1">Prolink!$T$1248</definedName>
    <definedName name="SD_34x1_91x67_25_B_0" localSheetId="23" hidden="1">Prolink!$N$1248</definedName>
    <definedName name="SD_34x1_91x67_26_B_0" localSheetId="23" hidden="1">Prolink!$O$1248</definedName>
    <definedName name="SD_34x1_91x67_27_B_0" localSheetId="23" hidden="1">Prolink!$I$1248</definedName>
    <definedName name="SD_34x1_91x67_28_B_0" localSheetId="23" hidden="1">Prolink!$J$1248</definedName>
    <definedName name="SD_34x1_91x67_4_B_0" localSheetId="23" hidden="1">Prolink!$D$1248</definedName>
    <definedName name="SD_34x1_91x67_8_B_0" localSheetId="23" hidden="1">Prolink!$E$1248</definedName>
    <definedName name="SD_34x1_91x68_10_B_0" localSheetId="23" hidden="1">Prolink!$R$1249</definedName>
    <definedName name="SD_34x1_91x68_11_B_0" localSheetId="23" hidden="1">Prolink!$P$1249</definedName>
    <definedName name="SD_34x1_91x68_12_B_0" localSheetId="23" hidden="1">Prolink!$Q$1249</definedName>
    <definedName name="SD_34x1_91x68_14_B_0" localSheetId="23" hidden="1">Prolink!$M$1249</definedName>
    <definedName name="SD_34x1_91x68_15_B_0" localSheetId="23" hidden="1">Prolink!$K$1249</definedName>
    <definedName name="SD_34x1_91x68_16_B_0" localSheetId="23" hidden="1">Prolink!$L$1249</definedName>
    <definedName name="SD_34x1_91x68_18_B_0" localSheetId="23" hidden="1">Prolink!$H$1249</definedName>
    <definedName name="SD_34x1_91x68_19_B_0" localSheetId="23" hidden="1">Prolink!$F$1249</definedName>
    <definedName name="SD_34x1_91x68_20_B_0" localSheetId="23" hidden="1">Prolink!$G$1249</definedName>
    <definedName name="SD_34x1_91x68_22_B_0" localSheetId="23" hidden="1">Prolink!$C$1249</definedName>
    <definedName name="SD_34x1_91x68_23_B_0" localSheetId="23" hidden="1">Prolink!$S$1249</definedName>
    <definedName name="SD_34x1_91x68_24_B_0" localSheetId="23" hidden="1">Prolink!$T$1249</definedName>
    <definedName name="SD_34x1_91x68_25_B_0" localSheetId="23" hidden="1">Prolink!$N$1249</definedName>
    <definedName name="SD_34x1_91x68_26_B_0" localSheetId="23" hidden="1">Prolink!$O$1249</definedName>
    <definedName name="SD_34x1_91x68_27_B_0" localSheetId="23" hidden="1">Prolink!$I$1249</definedName>
    <definedName name="SD_34x1_91x68_28_B_0" localSheetId="23" hidden="1">Prolink!$J$1249</definedName>
    <definedName name="SD_34x1_91x68_4_B_0" localSheetId="23" hidden="1">Prolink!$D$1249</definedName>
    <definedName name="SD_34x1_91x68_8_B_0" localSheetId="23" hidden="1">Prolink!$E$1249</definedName>
    <definedName name="SD_34x1_91x69_10_B_0" localSheetId="23" hidden="1">Prolink!$R$1250</definedName>
    <definedName name="SD_34x1_91x69_11_B_0" localSheetId="23" hidden="1">Prolink!$P$1250</definedName>
    <definedName name="SD_34x1_91x69_12_B_0" localSheetId="23" hidden="1">Prolink!$Q$1250</definedName>
    <definedName name="SD_34x1_91x69_14_B_0" localSheetId="23" hidden="1">Prolink!$M$1250</definedName>
    <definedName name="SD_34x1_91x69_15_B_0" localSheetId="23" hidden="1">Prolink!$K$1250</definedName>
    <definedName name="SD_34x1_91x69_16_B_0" localSheetId="23" hidden="1">Prolink!$L$1250</definedName>
    <definedName name="SD_34x1_91x69_18_B_0" localSheetId="23" hidden="1">Prolink!$H$1250</definedName>
    <definedName name="SD_34x1_91x69_19_B_0" localSheetId="23" hidden="1">Prolink!$F$1250</definedName>
    <definedName name="SD_34x1_91x69_20_B_0" localSheetId="23" hidden="1">Prolink!$G$1250</definedName>
    <definedName name="SD_34x1_91x69_22_B_0" localSheetId="23" hidden="1">Prolink!$C$1250</definedName>
    <definedName name="SD_34x1_91x69_23_B_0" localSheetId="23" hidden="1">Prolink!$S$1250</definedName>
    <definedName name="SD_34x1_91x69_24_B_0" localSheetId="23" hidden="1">Prolink!$T$1250</definedName>
    <definedName name="SD_34x1_91x69_25_B_0" localSheetId="23" hidden="1">Prolink!$N$1250</definedName>
    <definedName name="SD_34x1_91x69_26_B_0" localSheetId="23" hidden="1">Prolink!$O$1250</definedName>
    <definedName name="SD_34x1_91x69_27_B_0" localSheetId="23" hidden="1">Prolink!$I$1250</definedName>
    <definedName name="SD_34x1_91x69_28_B_0" localSheetId="23" hidden="1">Prolink!$J$1250</definedName>
    <definedName name="SD_34x1_91x69_4_B_0" localSheetId="23" hidden="1">Prolink!$D$1250</definedName>
    <definedName name="SD_34x1_91x69_8_B_0" localSheetId="23" hidden="1">Prolink!$E$1250</definedName>
    <definedName name="SD_34x1_91x7_10_B_0" localSheetId="23" hidden="1">Prolink!$R$1188</definedName>
    <definedName name="SD_34x1_91x7_11_B_0" localSheetId="23" hidden="1">Prolink!$P$1188</definedName>
    <definedName name="SD_34x1_91x7_12_B_0" localSheetId="23" hidden="1">Prolink!$Q$1188</definedName>
    <definedName name="SD_34x1_91x7_14_B_0" localSheetId="23" hidden="1">Prolink!$M$1188</definedName>
    <definedName name="SD_34x1_91x7_15_B_0" localSheetId="23" hidden="1">Prolink!$K$1188</definedName>
    <definedName name="SD_34x1_91x7_16_B_0" localSheetId="23" hidden="1">Prolink!$L$1188</definedName>
    <definedName name="SD_34x1_91x7_18_B_0" localSheetId="23" hidden="1">Prolink!$H$1188</definedName>
    <definedName name="SD_34x1_91x7_19_B_0" localSheetId="23" hidden="1">Prolink!$F$1188</definedName>
    <definedName name="SD_34x1_91x7_20_B_0" localSheetId="23" hidden="1">Prolink!$G$1188</definedName>
    <definedName name="SD_34x1_91x7_22_B_0" localSheetId="23" hidden="1">Prolink!$C$1188</definedName>
    <definedName name="SD_34x1_91x7_23_B_0" localSheetId="23" hidden="1">Prolink!$S$1188</definedName>
    <definedName name="SD_34x1_91x7_24_B_0" localSheetId="23" hidden="1">Prolink!$T$1188</definedName>
    <definedName name="SD_34x1_91x7_25_B_0" localSheetId="23" hidden="1">Prolink!$N$1188</definedName>
    <definedName name="SD_34x1_91x7_26_B_0" localSheetId="23" hidden="1">Prolink!$O$1188</definedName>
    <definedName name="SD_34x1_91x7_27_B_0" localSheetId="23" hidden="1">Prolink!$I$1188</definedName>
    <definedName name="SD_34x1_91x7_28_B_0" localSheetId="23" hidden="1">Prolink!$J$1188</definedName>
    <definedName name="SD_34x1_91x7_4_B_0" localSheetId="23" hidden="1">Prolink!$D$1188</definedName>
    <definedName name="SD_34x1_91x7_8_B_0" localSheetId="23" hidden="1">Prolink!$E$1188</definedName>
    <definedName name="SD_34x1_91x70_10_B_0" localSheetId="23" hidden="1">Prolink!$R$1251</definedName>
    <definedName name="SD_34x1_91x70_11_B_0" localSheetId="23" hidden="1">Prolink!$P$1251</definedName>
    <definedName name="SD_34x1_91x70_12_B_0" localSheetId="23" hidden="1">Prolink!$Q$1251</definedName>
    <definedName name="SD_34x1_91x70_14_B_0" localSheetId="23" hidden="1">Prolink!$M$1251</definedName>
    <definedName name="SD_34x1_91x70_15_B_0" localSheetId="23" hidden="1">Prolink!$K$1251</definedName>
    <definedName name="SD_34x1_91x70_16_B_0" localSheetId="23" hidden="1">Prolink!$L$1251</definedName>
    <definedName name="SD_34x1_91x70_18_B_0" localSheetId="23" hidden="1">Prolink!$H$1251</definedName>
    <definedName name="SD_34x1_91x70_19_B_0" localSheetId="23" hidden="1">Prolink!$F$1251</definedName>
    <definedName name="SD_34x1_91x70_20_B_0" localSheetId="23" hidden="1">Prolink!$G$1251</definedName>
    <definedName name="SD_34x1_91x70_22_B_0" localSheetId="23" hidden="1">Prolink!$C$1251</definedName>
    <definedName name="SD_34x1_91x70_23_B_0" localSheetId="23" hidden="1">Prolink!$S$1251</definedName>
    <definedName name="SD_34x1_91x70_24_B_0" localSheetId="23" hidden="1">Prolink!$T$1251</definedName>
    <definedName name="SD_34x1_91x70_25_B_0" localSheetId="23" hidden="1">Prolink!$N$1251</definedName>
    <definedName name="SD_34x1_91x70_26_B_0" localSheetId="23" hidden="1">Prolink!$O$1251</definedName>
    <definedName name="SD_34x1_91x70_27_B_0" localSheetId="23" hidden="1">Prolink!$I$1251</definedName>
    <definedName name="SD_34x1_91x70_28_B_0" localSheetId="23" hidden="1">Prolink!$J$1251</definedName>
    <definedName name="SD_34x1_91x70_4_B_0" localSheetId="23" hidden="1">Prolink!$D$1251</definedName>
    <definedName name="SD_34x1_91x70_8_B_0" localSheetId="23" hidden="1">Prolink!$E$1251</definedName>
    <definedName name="SD_34x1_91x71_10_B_0" localSheetId="23" hidden="1">Prolink!$R$1252</definedName>
    <definedName name="SD_34x1_91x71_11_B_0" localSheetId="23" hidden="1">Prolink!$P$1252</definedName>
    <definedName name="SD_34x1_91x71_12_B_0" localSheetId="23" hidden="1">Prolink!$Q$1252</definedName>
    <definedName name="SD_34x1_91x71_14_B_0" localSheetId="23" hidden="1">Prolink!$M$1252</definedName>
    <definedName name="SD_34x1_91x71_15_B_0" localSheetId="23" hidden="1">Prolink!$K$1252</definedName>
    <definedName name="SD_34x1_91x71_16_B_0" localSheetId="23" hidden="1">Prolink!$L$1252</definedName>
    <definedName name="SD_34x1_91x71_18_B_0" localSheetId="23" hidden="1">Prolink!$H$1252</definedName>
    <definedName name="SD_34x1_91x71_19_B_0" localSheetId="23" hidden="1">Prolink!$F$1252</definedName>
    <definedName name="SD_34x1_91x71_20_B_0" localSheetId="23" hidden="1">Prolink!$G$1252</definedName>
    <definedName name="SD_34x1_91x71_22_B_0" localSheetId="23" hidden="1">Prolink!$C$1252</definedName>
    <definedName name="SD_34x1_91x71_23_B_0" localSheetId="23" hidden="1">Prolink!$S$1252</definedName>
    <definedName name="SD_34x1_91x71_24_B_0" localSheetId="23" hidden="1">Prolink!$T$1252</definedName>
    <definedName name="SD_34x1_91x71_25_B_0" localSheetId="23" hidden="1">Prolink!$N$1252</definedName>
    <definedName name="SD_34x1_91x71_26_B_0" localSheetId="23" hidden="1">Prolink!$O$1252</definedName>
    <definedName name="SD_34x1_91x71_27_B_0" localSheetId="23" hidden="1">Prolink!$I$1252</definedName>
    <definedName name="SD_34x1_91x71_28_B_0" localSheetId="23" hidden="1">Prolink!$J$1252</definedName>
    <definedName name="SD_34x1_91x71_4_B_0" localSheetId="23" hidden="1">Prolink!$D$1252</definedName>
    <definedName name="SD_34x1_91x71_8_B_0" localSheetId="23" hidden="1">Prolink!$E$1252</definedName>
    <definedName name="SD_34x1_91x72_10_B_0" localSheetId="23" hidden="1">Prolink!$R$1253</definedName>
    <definedName name="SD_34x1_91x72_11_B_0" localSheetId="23" hidden="1">Prolink!$P$1253</definedName>
    <definedName name="SD_34x1_91x72_12_B_0" localSheetId="23" hidden="1">Prolink!$Q$1253</definedName>
    <definedName name="SD_34x1_91x72_14_B_0" localSheetId="23" hidden="1">Prolink!$M$1253</definedName>
    <definedName name="SD_34x1_91x72_15_B_0" localSheetId="23" hidden="1">Prolink!$K$1253</definedName>
    <definedName name="SD_34x1_91x72_16_B_0" localSheetId="23" hidden="1">Prolink!$L$1253</definedName>
    <definedName name="SD_34x1_91x72_18_B_0" localSheetId="23" hidden="1">Prolink!$H$1253</definedName>
    <definedName name="SD_34x1_91x72_19_B_0" localSheetId="23" hidden="1">Prolink!$F$1253</definedName>
    <definedName name="SD_34x1_91x72_20_B_0" localSheetId="23" hidden="1">Prolink!$G$1253</definedName>
    <definedName name="SD_34x1_91x72_22_B_0" localSheetId="23" hidden="1">Prolink!$C$1253</definedName>
    <definedName name="SD_34x1_91x72_23_B_0" localSheetId="23" hidden="1">Prolink!$S$1253</definedName>
    <definedName name="SD_34x1_91x72_24_B_0" localSheetId="23" hidden="1">Prolink!$T$1253</definedName>
    <definedName name="SD_34x1_91x72_25_B_0" localSheetId="23" hidden="1">Prolink!$N$1253</definedName>
    <definedName name="SD_34x1_91x72_26_B_0" localSheetId="23" hidden="1">Prolink!$O$1253</definedName>
    <definedName name="SD_34x1_91x72_27_B_0" localSheetId="23" hidden="1">Prolink!$I$1253</definedName>
    <definedName name="SD_34x1_91x72_28_B_0" localSheetId="23" hidden="1">Prolink!$J$1253</definedName>
    <definedName name="SD_34x1_91x72_4_B_0" localSheetId="23" hidden="1">Prolink!$D$1253</definedName>
    <definedName name="SD_34x1_91x72_8_B_0" localSheetId="23" hidden="1">Prolink!$E$1253</definedName>
    <definedName name="SD_34x1_91x73_10_B_0" localSheetId="23" hidden="1">Prolink!$R$1254</definedName>
    <definedName name="SD_34x1_91x73_11_B_0" localSheetId="23" hidden="1">Prolink!$P$1254</definedName>
    <definedName name="SD_34x1_91x73_12_B_0" localSheetId="23" hidden="1">Prolink!$Q$1254</definedName>
    <definedName name="SD_34x1_91x73_14_B_0" localSheetId="23" hidden="1">Prolink!$M$1254</definedName>
    <definedName name="SD_34x1_91x73_15_B_0" localSheetId="23" hidden="1">Prolink!$K$1254</definedName>
    <definedName name="SD_34x1_91x73_16_B_0" localSheetId="23" hidden="1">Prolink!$L$1254</definedName>
    <definedName name="SD_34x1_91x73_18_B_0" localSheetId="23" hidden="1">Prolink!$H$1254</definedName>
    <definedName name="SD_34x1_91x73_19_B_0" localSheetId="23" hidden="1">Prolink!$F$1254</definedName>
    <definedName name="SD_34x1_91x73_20_B_0" localSheetId="23" hidden="1">Prolink!$G$1254</definedName>
    <definedName name="SD_34x1_91x73_22_B_0" localSheetId="23" hidden="1">Prolink!$C$1254</definedName>
    <definedName name="SD_34x1_91x73_23_B_0" localSheetId="23" hidden="1">Prolink!$S$1254</definedName>
    <definedName name="SD_34x1_91x73_24_B_0" localSheetId="23" hidden="1">Prolink!$T$1254</definedName>
    <definedName name="SD_34x1_91x73_25_B_0" localSheetId="23" hidden="1">Prolink!$N$1254</definedName>
    <definedName name="SD_34x1_91x73_26_B_0" localSheetId="23" hidden="1">Prolink!$O$1254</definedName>
    <definedName name="SD_34x1_91x73_27_B_0" localSheetId="23" hidden="1">Prolink!$I$1254</definedName>
    <definedName name="SD_34x1_91x73_28_B_0" localSheetId="23" hidden="1">Prolink!$J$1254</definedName>
    <definedName name="SD_34x1_91x73_4_B_0" localSheetId="23" hidden="1">Prolink!$D$1254</definedName>
    <definedName name="SD_34x1_91x73_8_B_0" localSheetId="23" hidden="1">Prolink!$E$1254</definedName>
    <definedName name="SD_34x1_91x74_10_B_0" localSheetId="23" hidden="1">Prolink!$R$1255</definedName>
    <definedName name="SD_34x1_91x74_11_B_0" localSheetId="23" hidden="1">Prolink!$P$1255</definedName>
    <definedName name="SD_34x1_91x74_12_B_0" localSheetId="23" hidden="1">Prolink!$Q$1255</definedName>
    <definedName name="SD_34x1_91x74_14_B_0" localSheetId="23" hidden="1">Prolink!$M$1255</definedName>
    <definedName name="SD_34x1_91x74_15_B_0" localSheetId="23" hidden="1">Prolink!$K$1255</definedName>
    <definedName name="SD_34x1_91x74_16_B_0" localSheetId="23" hidden="1">Prolink!$L$1255</definedName>
    <definedName name="SD_34x1_91x74_18_B_0" localSheetId="23" hidden="1">Prolink!$H$1255</definedName>
    <definedName name="SD_34x1_91x74_19_B_0" localSheetId="23" hidden="1">Prolink!$F$1255</definedName>
    <definedName name="SD_34x1_91x74_20_B_0" localSheetId="23" hidden="1">Prolink!$G$1255</definedName>
    <definedName name="SD_34x1_91x74_22_B_0" localSheetId="23" hidden="1">Prolink!$C$1255</definedName>
    <definedName name="SD_34x1_91x74_23_B_0" localSheetId="23" hidden="1">Prolink!$S$1255</definedName>
    <definedName name="SD_34x1_91x74_24_B_0" localSheetId="23" hidden="1">Prolink!$T$1255</definedName>
    <definedName name="SD_34x1_91x74_25_B_0" localSheetId="23" hidden="1">Prolink!$N$1255</definedName>
    <definedName name="SD_34x1_91x74_26_B_0" localSheetId="23" hidden="1">Prolink!$O$1255</definedName>
    <definedName name="SD_34x1_91x74_27_B_0" localSheetId="23" hidden="1">Prolink!$I$1255</definedName>
    <definedName name="SD_34x1_91x74_28_B_0" localSheetId="23" hidden="1">Prolink!$J$1255</definedName>
    <definedName name="SD_34x1_91x74_4_B_0" localSheetId="23" hidden="1">Prolink!$D$1255</definedName>
    <definedName name="SD_34x1_91x74_8_B_0" localSheetId="23" hidden="1">Prolink!$E$1255</definedName>
    <definedName name="SD_34x1_91x75_10_B_0" localSheetId="23" hidden="1">Prolink!$R$1256</definedName>
    <definedName name="SD_34x1_91x75_11_B_0" localSheetId="23" hidden="1">Prolink!$P$1256</definedName>
    <definedName name="SD_34x1_91x75_12_B_0" localSheetId="23" hidden="1">Prolink!$Q$1256</definedName>
    <definedName name="SD_34x1_91x75_14_B_0" localSheetId="23" hidden="1">Prolink!$M$1256</definedName>
    <definedName name="SD_34x1_91x75_15_B_0" localSheetId="23" hidden="1">Prolink!$K$1256</definedName>
    <definedName name="SD_34x1_91x75_16_B_0" localSheetId="23" hidden="1">Prolink!$L$1256</definedName>
    <definedName name="SD_34x1_91x75_18_B_0" localSheetId="23" hidden="1">Prolink!$H$1256</definedName>
    <definedName name="SD_34x1_91x75_19_B_0" localSheetId="23" hidden="1">Prolink!$F$1256</definedName>
    <definedName name="SD_34x1_91x75_20_B_0" localSheetId="23" hidden="1">Prolink!$G$1256</definedName>
    <definedName name="SD_34x1_91x75_22_B_0" localSheetId="23" hidden="1">Prolink!$C$1256</definedName>
    <definedName name="SD_34x1_91x75_23_B_0" localSheetId="23" hidden="1">Prolink!$S$1256</definedName>
    <definedName name="SD_34x1_91x75_24_B_0" localSheetId="23" hidden="1">Prolink!$T$1256</definedName>
    <definedName name="SD_34x1_91x75_25_B_0" localSheetId="23" hidden="1">Prolink!$N$1256</definedName>
    <definedName name="SD_34x1_91x75_26_B_0" localSheetId="23" hidden="1">Prolink!$O$1256</definedName>
    <definedName name="SD_34x1_91x75_27_B_0" localSheetId="23" hidden="1">Prolink!$I$1256</definedName>
    <definedName name="SD_34x1_91x75_28_B_0" localSheetId="23" hidden="1">Prolink!$J$1256</definedName>
    <definedName name="SD_34x1_91x75_4_B_0" localSheetId="23" hidden="1">Prolink!$D$1256</definedName>
    <definedName name="SD_34x1_91x75_8_B_0" localSheetId="23" hidden="1">Prolink!$E$1256</definedName>
    <definedName name="SD_34x1_91x76_10_B_0" localSheetId="23" hidden="1">Prolink!$R$1257</definedName>
    <definedName name="SD_34x1_91x76_11_B_0" localSheetId="23" hidden="1">Prolink!$P$1257</definedName>
    <definedName name="SD_34x1_91x76_12_B_0" localSheetId="23" hidden="1">Prolink!$Q$1257</definedName>
    <definedName name="SD_34x1_91x76_14_B_0" localSheetId="23" hidden="1">Prolink!$M$1257</definedName>
    <definedName name="SD_34x1_91x76_15_B_0" localSheetId="23" hidden="1">Prolink!$K$1257</definedName>
    <definedName name="SD_34x1_91x76_16_B_0" localSheetId="23" hidden="1">Prolink!$L$1257</definedName>
    <definedName name="SD_34x1_91x76_18_B_0" localSheetId="23" hidden="1">Prolink!$H$1257</definedName>
    <definedName name="SD_34x1_91x76_19_B_0" localSheetId="23" hidden="1">Prolink!$F$1257</definedName>
    <definedName name="SD_34x1_91x76_20_B_0" localSheetId="23" hidden="1">Prolink!$G$1257</definedName>
    <definedName name="SD_34x1_91x76_22_B_0" localSheetId="23" hidden="1">Prolink!$C$1257</definedName>
    <definedName name="SD_34x1_91x76_23_B_0" localSheetId="23" hidden="1">Prolink!$S$1257</definedName>
    <definedName name="SD_34x1_91x76_24_B_0" localSheetId="23" hidden="1">Prolink!$T$1257</definedName>
    <definedName name="SD_34x1_91x76_25_B_0" localSheetId="23" hidden="1">Prolink!$N$1257</definedName>
    <definedName name="SD_34x1_91x76_26_B_0" localSheetId="23" hidden="1">Prolink!$O$1257</definedName>
    <definedName name="SD_34x1_91x76_27_B_0" localSheetId="23" hidden="1">Prolink!$I$1257</definedName>
    <definedName name="SD_34x1_91x76_28_B_0" localSheetId="23" hidden="1">Prolink!$J$1257</definedName>
    <definedName name="SD_34x1_91x76_4_B_0" localSheetId="23" hidden="1">Prolink!$D$1257</definedName>
    <definedName name="SD_34x1_91x76_8_B_0" localSheetId="23" hidden="1">Prolink!$E$1257</definedName>
    <definedName name="SD_34x1_91x77_10_B_0" localSheetId="23" hidden="1">Prolink!$R$1258</definedName>
    <definedName name="SD_34x1_91x77_11_B_0" localSheetId="23" hidden="1">Prolink!$P$1258</definedName>
    <definedName name="SD_34x1_91x77_12_B_0" localSheetId="23" hidden="1">Prolink!$Q$1258</definedName>
    <definedName name="SD_34x1_91x77_14_B_0" localSheetId="23" hidden="1">Prolink!$M$1258</definedName>
    <definedName name="SD_34x1_91x77_15_B_0" localSheetId="23" hidden="1">Prolink!$K$1258</definedName>
    <definedName name="SD_34x1_91x77_16_B_0" localSheetId="23" hidden="1">Prolink!$L$1258</definedName>
    <definedName name="SD_34x1_91x77_18_B_0" localSheetId="23" hidden="1">Prolink!$H$1258</definedName>
    <definedName name="SD_34x1_91x77_19_B_0" localSheetId="23" hidden="1">Prolink!$F$1258</definedName>
    <definedName name="SD_34x1_91x77_20_B_0" localSheetId="23" hidden="1">Prolink!$G$1258</definedName>
    <definedName name="SD_34x1_91x77_22_B_0" localSheetId="23" hidden="1">Prolink!$C$1258</definedName>
    <definedName name="SD_34x1_91x77_23_B_0" localSheetId="23" hidden="1">Prolink!$S$1258</definedName>
    <definedName name="SD_34x1_91x77_24_B_0" localSheetId="23" hidden="1">Prolink!$T$1258</definedName>
    <definedName name="SD_34x1_91x77_25_B_0" localSheetId="23" hidden="1">Prolink!$N$1258</definedName>
    <definedName name="SD_34x1_91x77_26_B_0" localSheetId="23" hidden="1">Prolink!$O$1258</definedName>
    <definedName name="SD_34x1_91x77_27_B_0" localSheetId="23" hidden="1">Prolink!$I$1258</definedName>
    <definedName name="SD_34x1_91x77_28_B_0" localSheetId="23" hidden="1">Prolink!$J$1258</definedName>
    <definedName name="SD_34x1_91x77_4_B_0" localSheetId="23" hidden="1">Prolink!$D$1258</definedName>
    <definedName name="SD_34x1_91x77_8_B_0" localSheetId="23" hidden="1">Prolink!$E$1258</definedName>
    <definedName name="SD_34x1_91x78_10_B_0" localSheetId="23" hidden="1">Prolink!$R$1259</definedName>
    <definedName name="SD_34x1_91x78_11_B_0" localSheetId="23" hidden="1">Prolink!$P$1259</definedName>
    <definedName name="SD_34x1_91x78_12_B_0" localSheetId="23" hidden="1">Prolink!$Q$1259</definedName>
    <definedName name="SD_34x1_91x78_14_B_0" localSheetId="23" hidden="1">Prolink!$M$1259</definedName>
    <definedName name="SD_34x1_91x78_15_B_0" localSheetId="23" hidden="1">Prolink!$K$1259</definedName>
    <definedName name="SD_34x1_91x78_16_B_0" localSheetId="23" hidden="1">Prolink!$L$1259</definedName>
    <definedName name="SD_34x1_91x78_18_B_0" localSheetId="23" hidden="1">Prolink!$H$1259</definedName>
    <definedName name="SD_34x1_91x78_19_B_0" localSheetId="23" hidden="1">Prolink!$F$1259</definedName>
    <definedName name="SD_34x1_91x78_20_B_0" localSheetId="23" hidden="1">Prolink!$G$1259</definedName>
    <definedName name="SD_34x1_91x78_22_B_0" localSheetId="23" hidden="1">Prolink!$C$1259</definedName>
    <definedName name="SD_34x1_91x78_23_B_0" localSheetId="23" hidden="1">Prolink!$S$1259</definedName>
    <definedName name="SD_34x1_91x78_24_B_0" localSheetId="23" hidden="1">Prolink!$T$1259</definedName>
    <definedName name="SD_34x1_91x78_25_B_0" localSheetId="23" hidden="1">Prolink!$N$1259</definedName>
    <definedName name="SD_34x1_91x78_26_B_0" localSheetId="23" hidden="1">Prolink!$O$1259</definedName>
    <definedName name="SD_34x1_91x78_27_B_0" localSheetId="23" hidden="1">Prolink!$I$1259</definedName>
    <definedName name="SD_34x1_91x78_28_B_0" localSheetId="23" hidden="1">Prolink!$J$1259</definedName>
    <definedName name="SD_34x1_91x78_4_B_0" localSheetId="23" hidden="1">Prolink!$D$1259</definedName>
    <definedName name="SD_34x1_91x78_8_B_0" localSheetId="23" hidden="1">Prolink!$E$1259</definedName>
    <definedName name="SD_34x1_91x79_10_B_0" localSheetId="23" hidden="1">Prolink!$R$1260</definedName>
    <definedName name="SD_34x1_91x79_11_B_0" localSheetId="23" hidden="1">Prolink!$P$1260</definedName>
    <definedName name="SD_34x1_91x79_12_B_0" localSheetId="23" hidden="1">Prolink!$Q$1260</definedName>
    <definedName name="SD_34x1_91x79_14_B_0" localSheetId="23" hidden="1">Prolink!$M$1260</definedName>
    <definedName name="SD_34x1_91x79_15_B_0" localSheetId="23" hidden="1">Prolink!$K$1260</definedName>
    <definedName name="SD_34x1_91x79_16_B_0" localSheetId="23" hidden="1">Prolink!$L$1260</definedName>
    <definedName name="SD_34x1_91x79_18_B_0" localSheetId="23" hidden="1">Prolink!$H$1260</definedName>
    <definedName name="SD_34x1_91x79_19_B_0" localSheetId="23" hidden="1">Prolink!$F$1260</definedName>
    <definedName name="SD_34x1_91x79_20_B_0" localSheetId="23" hidden="1">Prolink!$G$1260</definedName>
    <definedName name="SD_34x1_91x79_22_B_0" localSheetId="23" hidden="1">Prolink!$C$1260</definedName>
    <definedName name="SD_34x1_91x79_23_B_0" localSheetId="23" hidden="1">Prolink!$S$1260</definedName>
    <definedName name="SD_34x1_91x79_24_B_0" localSheetId="23" hidden="1">Prolink!$T$1260</definedName>
    <definedName name="SD_34x1_91x79_25_B_0" localSheetId="23" hidden="1">Prolink!$N$1260</definedName>
    <definedName name="SD_34x1_91x79_26_B_0" localSheetId="23" hidden="1">Prolink!$O$1260</definedName>
    <definedName name="SD_34x1_91x79_27_B_0" localSheetId="23" hidden="1">Prolink!$I$1260</definedName>
    <definedName name="SD_34x1_91x79_28_B_0" localSheetId="23" hidden="1">Prolink!$J$1260</definedName>
    <definedName name="SD_34x1_91x79_4_B_0" localSheetId="23" hidden="1">Prolink!$D$1260</definedName>
    <definedName name="SD_34x1_91x79_8_B_0" localSheetId="23" hidden="1">Prolink!$E$1260</definedName>
    <definedName name="SD_34x1_91x8_10_B_0" localSheetId="23" hidden="1">Prolink!$R$1189</definedName>
    <definedName name="SD_34x1_91x8_11_B_0" localSheetId="23" hidden="1">Prolink!$P$1189</definedName>
    <definedName name="SD_34x1_91x8_12_B_0" localSheetId="23" hidden="1">Prolink!$Q$1189</definedName>
    <definedName name="SD_34x1_91x8_14_B_0" localSheetId="23" hidden="1">Prolink!$M$1189</definedName>
    <definedName name="SD_34x1_91x8_15_B_0" localSheetId="23" hidden="1">Prolink!$K$1189</definedName>
    <definedName name="SD_34x1_91x8_16_B_0" localSheetId="23" hidden="1">Prolink!$L$1189</definedName>
    <definedName name="SD_34x1_91x8_18_B_0" localSheetId="23" hidden="1">Prolink!$H$1189</definedName>
    <definedName name="SD_34x1_91x8_19_B_0" localSheetId="23" hidden="1">Prolink!$F$1189</definedName>
    <definedName name="SD_34x1_91x8_20_B_0" localSheetId="23" hidden="1">Prolink!$G$1189</definedName>
    <definedName name="SD_34x1_91x8_22_B_0" localSheetId="23" hidden="1">Prolink!$C$1189</definedName>
    <definedName name="SD_34x1_91x8_23_B_0" localSheetId="23" hidden="1">Prolink!$S$1189</definedName>
    <definedName name="SD_34x1_91x8_24_B_0" localSheetId="23" hidden="1">Prolink!$T$1189</definedName>
    <definedName name="SD_34x1_91x8_25_B_0" localSheetId="23" hidden="1">Prolink!$N$1189</definedName>
    <definedName name="SD_34x1_91x8_26_B_0" localSheetId="23" hidden="1">Prolink!$O$1189</definedName>
    <definedName name="SD_34x1_91x8_27_B_0" localSheetId="23" hidden="1">Prolink!$I$1189</definedName>
    <definedName name="SD_34x1_91x8_28_B_0" localSheetId="23" hidden="1">Prolink!$J$1189</definedName>
    <definedName name="SD_34x1_91x8_4_B_0" localSheetId="23" hidden="1">Prolink!$D$1189</definedName>
    <definedName name="SD_34x1_91x8_8_B_0" localSheetId="23" hidden="1">Prolink!$E$1189</definedName>
    <definedName name="SD_34x1_91x80_10_B_0" localSheetId="23" hidden="1">Prolink!$R$1261</definedName>
    <definedName name="SD_34x1_91x80_11_B_0" localSheetId="23" hidden="1">Prolink!$P$1261</definedName>
    <definedName name="SD_34x1_91x80_12_B_0" localSheetId="23" hidden="1">Prolink!$Q$1261</definedName>
    <definedName name="SD_34x1_91x80_14_B_0" localSheetId="23" hidden="1">Prolink!$M$1261</definedName>
    <definedName name="SD_34x1_91x80_15_B_0" localSheetId="23" hidden="1">Prolink!$K$1261</definedName>
    <definedName name="SD_34x1_91x80_16_B_0" localSheetId="23" hidden="1">Prolink!$L$1261</definedName>
    <definedName name="SD_34x1_91x80_18_B_0" localSheetId="23" hidden="1">Prolink!$H$1261</definedName>
    <definedName name="SD_34x1_91x80_19_B_0" localSheetId="23" hidden="1">Prolink!$F$1261</definedName>
    <definedName name="SD_34x1_91x80_20_B_0" localSheetId="23" hidden="1">Prolink!$G$1261</definedName>
    <definedName name="SD_34x1_91x80_22_B_0" localSheetId="23" hidden="1">Prolink!$C$1261</definedName>
    <definedName name="SD_34x1_91x80_23_B_0" localSheetId="23" hidden="1">Prolink!$S$1261</definedName>
    <definedName name="SD_34x1_91x80_24_B_0" localSheetId="23" hidden="1">Prolink!$T$1261</definedName>
    <definedName name="SD_34x1_91x80_25_B_0" localSheetId="23" hidden="1">Prolink!$N$1261</definedName>
    <definedName name="SD_34x1_91x80_26_B_0" localSheetId="23" hidden="1">Prolink!$O$1261</definedName>
    <definedName name="SD_34x1_91x80_27_B_0" localSheetId="23" hidden="1">Prolink!$I$1261</definedName>
    <definedName name="SD_34x1_91x80_28_B_0" localSheetId="23" hidden="1">Prolink!$J$1261</definedName>
    <definedName name="SD_34x1_91x80_4_B_0" localSheetId="23" hidden="1">Prolink!$D$1261</definedName>
    <definedName name="SD_34x1_91x80_8_B_0" localSheetId="23" hidden="1">Prolink!$E$1261</definedName>
    <definedName name="SD_34x1_91x81_10_B_0" localSheetId="23" hidden="1">Prolink!$R$1262</definedName>
    <definedName name="SD_34x1_91x81_11_B_0" localSheetId="23" hidden="1">Prolink!$P$1262</definedName>
    <definedName name="SD_34x1_91x81_12_B_0" localSheetId="23" hidden="1">Prolink!$Q$1262</definedName>
    <definedName name="SD_34x1_91x81_14_B_0" localSheetId="23" hidden="1">Prolink!$M$1262</definedName>
    <definedName name="SD_34x1_91x81_15_B_0" localSheetId="23" hidden="1">Prolink!$K$1262</definedName>
    <definedName name="SD_34x1_91x81_16_B_0" localSheetId="23" hidden="1">Prolink!$L$1262</definedName>
    <definedName name="SD_34x1_91x81_18_B_0" localSheetId="23" hidden="1">Prolink!$H$1262</definedName>
    <definedName name="SD_34x1_91x81_19_B_0" localSheetId="23" hidden="1">Prolink!$F$1262</definedName>
    <definedName name="SD_34x1_91x81_20_B_0" localSheetId="23" hidden="1">Prolink!$G$1262</definedName>
    <definedName name="SD_34x1_91x81_22_B_0" localSheetId="23" hidden="1">Prolink!$C$1262</definedName>
    <definedName name="SD_34x1_91x81_23_B_0" localSheetId="23" hidden="1">Prolink!$S$1262</definedName>
    <definedName name="SD_34x1_91x81_24_B_0" localSheetId="23" hidden="1">Prolink!$T$1262</definedName>
    <definedName name="SD_34x1_91x81_25_B_0" localSheetId="23" hidden="1">Prolink!$N$1262</definedName>
    <definedName name="SD_34x1_91x81_26_B_0" localSheetId="23" hidden="1">Prolink!$O$1262</definedName>
    <definedName name="SD_34x1_91x81_27_B_0" localSheetId="23" hidden="1">Prolink!$I$1262</definedName>
    <definedName name="SD_34x1_91x81_28_B_0" localSheetId="23" hidden="1">Prolink!$J$1262</definedName>
    <definedName name="SD_34x1_91x81_4_B_0" localSheetId="23" hidden="1">Prolink!$D$1262</definedName>
    <definedName name="SD_34x1_91x81_8_B_0" localSheetId="23" hidden="1">Prolink!$E$1262</definedName>
    <definedName name="SD_34x1_91x82_10_B_0" localSheetId="23" hidden="1">Prolink!$R$1263</definedName>
    <definedName name="SD_34x1_91x82_11_B_0" localSheetId="23" hidden="1">Prolink!$P$1263</definedName>
    <definedName name="SD_34x1_91x82_12_B_0" localSheetId="23" hidden="1">Prolink!$Q$1263</definedName>
    <definedName name="SD_34x1_91x82_14_B_0" localSheetId="23" hidden="1">Prolink!$M$1263</definedName>
    <definedName name="SD_34x1_91x82_15_B_0" localSheetId="23" hidden="1">Prolink!$K$1263</definedName>
    <definedName name="SD_34x1_91x82_16_B_0" localSheetId="23" hidden="1">Prolink!$L$1263</definedName>
    <definedName name="SD_34x1_91x82_18_B_0" localSheetId="23" hidden="1">Prolink!$H$1263</definedName>
    <definedName name="SD_34x1_91x82_19_B_0" localSheetId="23" hidden="1">Prolink!$F$1263</definedName>
    <definedName name="SD_34x1_91x82_20_B_0" localSheetId="23" hidden="1">Prolink!$G$1263</definedName>
    <definedName name="SD_34x1_91x82_22_B_0" localSheetId="23" hidden="1">Prolink!$C$1263</definedName>
    <definedName name="SD_34x1_91x82_23_B_0" localSheetId="23" hidden="1">Prolink!$S$1263</definedName>
    <definedName name="SD_34x1_91x82_24_B_0" localSheetId="23" hidden="1">Prolink!$T$1263</definedName>
    <definedName name="SD_34x1_91x82_25_B_0" localSheetId="23" hidden="1">Prolink!$N$1263</definedName>
    <definedName name="SD_34x1_91x82_26_B_0" localSheetId="23" hidden="1">Prolink!$O$1263</definedName>
    <definedName name="SD_34x1_91x82_27_B_0" localSheetId="23" hidden="1">Prolink!$I$1263</definedName>
    <definedName name="SD_34x1_91x82_28_B_0" localSheetId="23" hidden="1">Prolink!$J$1263</definedName>
    <definedName name="SD_34x1_91x82_4_B_0" localSheetId="23" hidden="1">Prolink!$D$1263</definedName>
    <definedName name="SD_34x1_91x82_8_B_0" localSheetId="23" hidden="1">Prolink!$E$1263</definedName>
    <definedName name="SD_34x1_91x83_10_B_0" localSheetId="23" hidden="1">Prolink!$R$1264</definedName>
    <definedName name="SD_34x1_91x83_11_B_0" localSheetId="23" hidden="1">Prolink!$P$1264</definedName>
    <definedName name="SD_34x1_91x83_12_B_0" localSheetId="23" hidden="1">Prolink!$Q$1264</definedName>
    <definedName name="SD_34x1_91x83_14_B_0" localSheetId="23" hidden="1">Prolink!$M$1264</definedName>
    <definedName name="SD_34x1_91x83_15_B_0" localSheetId="23" hidden="1">Prolink!$K$1264</definedName>
    <definedName name="SD_34x1_91x83_16_B_0" localSheetId="23" hidden="1">Prolink!$L$1264</definedName>
    <definedName name="SD_34x1_91x83_18_B_0" localSheetId="23" hidden="1">Prolink!$H$1264</definedName>
    <definedName name="SD_34x1_91x83_19_B_0" localSheetId="23" hidden="1">Prolink!$F$1264</definedName>
    <definedName name="SD_34x1_91x83_20_B_0" localSheetId="23" hidden="1">Prolink!$G$1264</definedName>
    <definedName name="SD_34x1_91x83_22_B_0" localSheetId="23" hidden="1">Prolink!$C$1264</definedName>
    <definedName name="SD_34x1_91x83_23_B_0" localSheetId="23" hidden="1">Prolink!$S$1264</definedName>
    <definedName name="SD_34x1_91x83_24_B_0" localSheetId="23" hidden="1">Prolink!$T$1264</definedName>
    <definedName name="SD_34x1_91x83_25_B_0" localSheetId="23" hidden="1">Prolink!$N$1264</definedName>
    <definedName name="SD_34x1_91x83_26_B_0" localSheetId="23" hidden="1">Prolink!$O$1264</definedName>
    <definedName name="SD_34x1_91x83_27_B_0" localSheetId="23" hidden="1">Prolink!$I$1264</definedName>
    <definedName name="SD_34x1_91x83_28_B_0" localSheetId="23" hidden="1">Prolink!$J$1264</definedName>
    <definedName name="SD_34x1_91x83_4_B_0" localSheetId="23" hidden="1">Prolink!$D$1264</definedName>
    <definedName name="SD_34x1_91x83_8_B_0" localSheetId="23" hidden="1">Prolink!$E$1264</definedName>
    <definedName name="SD_34x1_91x84_10_B_0" localSheetId="23" hidden="1">Prolink!$R$1265</definedName>
    <definedName name="SD_34x1_91x84_11_B_0" localSheetId="23" hidden="1">Prolink!$P$1265</definedName>
    <definedName name="SD_34x1_91x84_12_B_0" localSheetId="23" hidden="1">Prolink!$Q$1265</definedName>
    <definedName name="SD_34x1_91x84_14_B_0" localSheetId="23" hidden="1">Prolink!$M$1265</definedName>
    <definedName name="SD_34x1_91x84_15_B_0" localSheetId="23" hidden="1">Prolink!$K$1265</definedName>
    <definedName name="SD_34x1_91x84_16_B_0" localSheetId="23" hidden="1">Prolink!$L$1265</definedName>
    <definedName name="SD_34x1_91x84_18_B_0" localSheetId="23" hidden="1">Prolink!$H$1265</definedName>
    <definedName name="SD_34x1_91x84_19_B_0" localSheetId="23" hidden="1">Prolink!$F$1265</definedName>
    <definedName name="SD_34x1_91x84_20_B_0" localSheetId="23" hidden="1">Prolink!$G$1265</definedName>
    <definedName name="SD_34x1_91x84_22_B_0" localSheetId="23" hidden="1">Prolink!$C$1265</definedName>
    <definedName name="SD_34x1_91x84_23_B_0" localSheetId="23" hidden="1">Prolink!$S$1265</definedName>
    <definedName name="SD_34x1_91x84_24_B_0" localSheetId="23" hidden="1">Prolink!$T$1265</definedName>
    <definedName name="SD_34x1_91x84_25_B_0" localSheetId="23" hidden="1">Prolink!$N$1265</definedName>
    <definedName name="SD_34x1_91x84_26_B_0" localSheetId="23" hidden="1">Prolink!$O$1265</definedName>
    <definedName name="SD_34x1_91x84_27_B_0" localSheetId="23" hidden="1">Prolink!$I$1265</definedName>
    <definedName name="SD_34x1_91x84_28_B_0" localSheetId="23" hidden="1">Prolink!$J$1265</definedName>
    <definedName name="SD_34x1_91x84_4_B_0" localSheetId="23" hidden="1">Prolink!$D$1265</definedName>
    <definedName name="SD_34x1_91x84_8_B_0" localSheetId="23" hidden="1">Prolink!$E$1265</definedName>
    <definedName name="SD_34x1_91x85_10_B_0" localSheetId="23" hidden="1">Prolink!$R$1266</definedName>
    <definedName name="SD_34x1_91x85_11_B_0" localSheetId="23" hidden="1">Prolink!$P$1266</definedName>
    <definedName name="SD_34x1_91x85_12_B_0" localSheetId="23" hidden="1">Prolink!$Q$1266</definedName>
    <definedName name="SD_34x1_91x85_14_B_0" localSheetId="23" hidden="1">Prolink!$M$1266</definedName>
    <definedName name="SD_34x1_91x85_15_B_0" localSheetId="23" hidden="1">Prolink!$K$1266</definedName>
    <definedName name="SD_34x1_91x85_16_B_0" localSheetId="23" hidden="1">Prolink!$L$1266</definedName>
    <definedName name="SD_34x1_91x85_18_B_0" localSheetId="23" hidden="1">Prolink!$H$1266</definedName>
    <definedName name="SD_34x1_91x85_19_B_0" localSheetId="23" hidden="1">Prolink!$F$1266</definedName>
    <definedName name="SD_34x1_91x85_20_B_0" localSheetId="23" hidden="1">Prolink!$G$1266</definedName>
    <definedName name="SD_34x1_91x85_22_B_0" localSheetId="23" hidden="1">Prolink!$C$1266</definedName>
    <definedName name="SD_34x1_91x85_23_B_0" localSheetId="23" hidden="1">Prolink!$S$1266</definedName>
    <definedName name="SD_34x1_91x85_24_B_0" localSheetId="23" hidden="1">Prolink!$T$1266</definedName>
    <definedName name="SD_34x1_91x85_25_B_0" localSheetId="23" hidden="1">Prolink!$N$1266</definedName>
    <definedName name="SD_34x1_91x85_26_B_0" localSheetId="23" hidden="1">Prolink!$O$1266</definedName>
    <definedName name="SD_34x1_91x85_27_B_0" localSheetId="23" hidden="1">Prolink!$I$1266</definedName>
    <definedName name="SD_34x1_91x85_28_B_0" localSheetId="23" hidden="1">Prolink!$J$1266</definedName>
    <definedName name="SD_34x1_91x85_4_B_0" localSheetId="23" hidden="1">Prolink!$D$1266</definedName>
    <definedName name="SD_34x1_91x85_8_B_0" localSheetId="23" hidden="1">Prolink!$E$1266</definedName>
    <definedName name="SD_34x1_91x86_10_B_0" localSheetId="23" hidden="1">Prolink!$R$1267</definedName>
    <definedName name="SD_34x1_91x86_11_B_0" localSheetId="23" hidden="1">Prolink!$P$1267</definedName>
    <definedName name="SD_34x1_91x86_12_B_0" localSheetId="23" hidden="1">Prolink!$Q$1267</definedName>
    <definedName name="SD_34x1_91x86_14_B_0" localSheetId="23" hidden="1">Prolink!$M$1267</definedName>
    <definedName name="SD_34x1_91x86_15_B_0" localSheetId="23" hidden="1">Prolink!$K$1267</definedName>
    <definedName name="SD_34x1_91x86_16_B_0" localSheetId="23" hidden="1">Prolink!$L$1267</definedName>
    <definedName name="SD_34x1_91x86_18_B_0" localSheetId="23" hidden="1">Prolink!$H$1267</definedName>
    <definedName name="SD_34x1_91x86_19_B_0" localSheetId="23" hidden="1">Prolink!$F$1267</definedName>
    <definedName name="SD_34x1_91x86_20_B_0" localSheetId="23" hidden="1">Prolink!$G$1267</definedName>
    <definedName name="SD_34x1_91x86_22_B_0" localSheetId="23" hidden="1">Prolink!$C$1267</definedName>
    <definedName name="SD_34x1_91x86_23_B_0" localSheetId="23" hidden="1">Prolink!$S$1267</definedName>
    <definedName name="SD_34x1_91x86_24_B_0" localSheetId="23" hidden="1">Prolink!$T$1267</definedName>
    <definedName name="SD_34x1_91x86_25_B_0" localSheetId="23" hidden="1">Prolink!$N$1267</definedName>
    <definedName name="SD_34x1_91x86_26_B_0" localSheetId="23" hidden="1">Prolink!$O$1267</definedName>
    <definedName name="SD_34x1_91x86_27_B_0" localSheetId="23" hidden="1">Prolink!$I$1267</definedName>
    <definedName name="SD_34x1_91x86_28_B_0" localSheetId="23" hidden="1">Prolink!$J$1267</definedName>
    <definedName name="SD_34x1_91x86_4_B_0" localSheetId="23" hidden="1">Prolink!$D$1267</definedName>
    <definedName name="SD_34x1_91x86_8_B_0" localSheetId="23" hidden="1">Prolink!$E$1267</definedName>
    <definedName name="SD_34x1_91x87_10_B_0" localSheetId="23" hidden="1">Prolink!$R$1268</definedName>
    <definedName name="SD_34x1_91x87_11_B_0" localSheetId="23" hidden="1">Prolink!$P$1268</definedName>
    <definedName name="SD_34x1_91x87_12_B_0" localSheetId="23" hidden="1">Prolink!$Q$1268</definedName>
    <definedName name="SD_34x1_91x87_14_B_0" localSheetId="23" hidden="1">Prolink!$M$1268</definedName>
    <definedName name="SD_34x1_91x87_15_B_0" localSheetId="23" hidden="1">Prolink!$K$1268</definedName>
    <definedName name="SD_34x1_91x87_16_B_0" localSheetId="23" hidden="1">Prolink!$L$1268</definedName>
    <definedName name="SD_34x1_91x87_18_B_0" localSheetId="23" hidden="1">Prolink!$H$1268</definedName>
    <definedName name="SD_34x1_91x87_19_B_0" localSheetId="23" hidden="1">Prolink!$F$1268</definedName>
    <definedName name="SD_34x1_91x87_20_B_0" localSheetId="23" hidden="1">Prolink!$G$1268</definedName>
    <definedName name="SD_34x1_91x87_22_B_0" localSheetId="23" hidden="1">Prolink!$C$1268</definedName>
    <definedName name="SD_34x1_91x87_23_B_0" localSheetId="23" hidden="1">Prolink!$S$1268</definedName>
    <definedName name="SD_34x1_91x87_24_B_0" localSheetId="23" hidden="1">Prolink!$T$1268</definedName>
    <definedName name="SD_34x1_91x87_25_B_0" localSheetId="23" hidden="1">Prolink!$N$1268</definedName>
    <definedName name="SD_34x1_91x87_26_B_0" localSheetId="23" hidden="1">Prolink!$O$1268</definedName>
    <definedName name="SD_34x1_91x87_27_B_0" localSheetId="23" hidden="1">Prolink!$I$1268</definedName>
    <definedName name="SD_34x1_91x87_28_B_0" localSheetId="23" hidden="1">Prolink!$J$1268</definedName>
    <definedName name="SD_34x1_91x87_4_B_0" localSheetId="23" hidden="1">Prolink!$D$1268</definedName>
    <definedName name="SD_34x1_91x87_8_B_0" localSheetId="23" hidden="1">Prolink!$E$1268</definedName>
    <definedName name="SD_34x1_91x88_10_B_0" localSheetId="23" hidden="1">Prolink!$R$1269</definedName>
    <definedName name="SD_34x1_91x88_11_B_0" localSheetId="23" hidden="1">Prolink!$P$1269</definedName>
    <definedName name="SD_34x1_91x88_12_B_0" localSheetId="23" hidden="1">Prolink!$Q$1269</definedName>
    <definedName name="SD_34x1_91x88_14_B_0" localSheetId="23" hidden="1">Prolink!$M$1269</definedName>
    <definedName name="SD_34x1_91x88_15_B_0" localSheetId="23" hidden="1">Prolink!$K$1269</definedName>
    <definedName name="SD_34x1_91x88_16_B_0" localSheetId="23" hidden="1">Prolink!$L$1269</definedName>
    <definedName name="SD_34x1_91x88_18_B_0" localSheetId="23" hidden="1">Prolink!$H$1269</definedName>
    <definedName name="SD_34x1_91x88_19_B_0" localSheetId="23" hidden="1">Prolink!$F$1269</definedName>
    <definedName name="SD_34x1_91x88_20_B_0" localSheetId="23" hidden="1">Prolink!$G$1269</definedName>
    <definedName name="SD_34x1_91x88_22_B_0" localSheetId="23" hidden="1">Prolink!$C$1269</definedName>
    <definedName name="SD_34x1_91x88_23_B_0" localSheetId="23" hidden="1">Prolink!$S$1269</definedName>
    <definedName name="SD_34x1_91x88_24_B_0" localSheetId="23" hidden="1">Prolink!$T$1269</definedName>
    <definedName name="SD_34x1_91x88_25_B_0" localSheetId="23" hidden="1">Prolink!$N$1269</definedName>
    <definedName name="SD_34x1_91x88_26_B_0" localSheetId="23" hidden="1">Prolink!$O$1269</definedName>
    <definedName name="SD_34x1_91x88_27_B_0" localSheetId="23" hidden="1">Prolink!$I$1269</definedName>
    <definedName name="SD_34x1_91x88_28_B_0" localSheetId="23" hidden="1">Prolink!$J$1269</definedName>
    <definedName name="SD_34x1_91x88_4_B_0" localSheetId="23" hidden="1">Prolink!$D$1269</definedName>
    <definedName name="SD_34x1_91x88_8_B_0" localSheetId="23" hidden="1">Prolink!$E$1269</definedName>
    <definedName name="SD_34x1_91x89_10_B_0" localSheetId="23" hidden="1">Prolink!$R$1270</definedName>
    <definedName name="SD_34x1_91x89_11_B_0" localSheetId="23" hidden="1">Prolink!$P$1270</definedName>
    <definedName name="SD_34x1_91x89_12_B_0" localSheetId="23" hidden="1">Prolink!$Q$1270</definedName>
    <definedName name="SD_34x1_91x89_14_B_0" localSheetId="23" hidden="1">Prolink!$M$1270</definedName>
    <definedName name="SD_34x1_91x89_15_B_0" localSheetId="23" hidden="1">Prolink!$K$1270</definedName>
    <definedName name="SD_34x1_91x89_16_B_0" localSheetId="23" hidden="1">Prolink!$L$1270</definedName>
    <definedName name="SD_34x1_91x89_18_B_0" localSheetId="23" hidden="1">Prolink!$H$1270</definedName>
    <definedName name="SD_34x1_91x89_19_B_0" localSheetId="23" hidden="1">Prolink!$F$1270</definedName>
    <definedName name="SD_34x1_91x89_20_B_0" localSheetId="23" hidden="1">Prolink!$G$1270</definedName>
    <definedName name="SD_34x1_91x89_22_B_0" localSheetId="23" hidden="1">Prolink!$C$1270</definedName>
    <definedName name="SD_34x1_91x89_23_B_0" localSheetId="23" hidden="1">Prolink!$S$1270</definedName>
    <definedName name="SD_34x1_91x89_24_B_0" localSheetId="23" hidden="1">Prolink!$T$1270</definedName>
    <definedName name="SD_34x1_91x89_25_B_0" localSheetId="23" hidden="1">Prolink!$N$1270</definedName>
    <definedName name="SD_34x1_91x89_26_B_0" localSheetId="23" hidden="1">Prolink!$O$1270</definedName>
    <definedName name="SD_34x1_91x89_27_B_0" localSheetId="23" hidden="1">Prolink!$I$1270</definedName>
    <definedName name="SD_34x1_91x89_28_B_0" localSheetId="23" hidden="1">Prolink!$J$1270</definedName>
    <definedName name="SD_34x1_91x89_4_B_0" localSheetId="23" hidden="1">Prolink!$D$1270</definedName>
    <definedName name="SD_34x1_91x89_8_B_0" localSheetId="23" hidden="1">Prolink!$E$1270</definedName>
    <definedName name="SD_34x1_91x9_10_B_0" localSheetId="23" hidden="1">Prolink!$R$1190</definedName>
    <definedName name="SD_34x1_91x9_11_B_0" localSheetId="23" hidden="1">Prolink!$P$1190</definedName>
    <definedName name="SD_34x1_91x9_12_B_0" localSheetId="23" hidden="1">Prolink!$Q$1190</definedName>
    <definedName name="SD_34x1_91x9_14_B_0" localSheetId="23" hidden="1">Prolink!$M$1190</definedName>
    <definedName name="SD_34x1_91x9_15_B_0" localSheetId="23" hidden="1">Prolink!$K$1190</definedName>
    <definedName name="SD_34x1_91x9_16_B_0" localSheetId="23" hidden="1">Prolink!$L$1190</definedName>
    <definedName name="SD_34x1_91x9_18_B_0" localSheetId="23" hidden="1">Prolink!$H$1190</definedName>
    <definedName name="SD_34x1_91x9_19_B_0" localSheetId="23" hidden="1">Prolink!$F$1190</definedName>
    <definedName name="SD_34x1_91x9_20_B_0" localSheetId="23" hidden="1">Prolink!$G$1190</definedName>
    <definedName name="SD_34x1_91x9_22_B_0" localSheetId="23" hidden="1">Prolink!$C$1190</definedName>
    <definedName name="SD_34x1_91x9_23_B_0" localSheetId="23" hidden="1">Prolink!$S$1190</definedName>
    <definedName name="SD_34x1_91x9_24_B_0" localSheetId="23" hidden="1">Prolink!$T$1190</definedName>
    <definedName name="SD_34x1_91x9_25_B_0" localSheetId="23" hidden="1">Prolink!$N$1190</definedName>
    <definedName name="SD_34x1_91x9_26_B_0" localSheetId="23" hidden="1">Prolink!$O$1190</definedName>
    <definedName name="SD_34x1_91x9_27_B_0" localSheetId="23" hidden="1">Prolink!$I$1190</definedName>
    <definedName name="SD_34x1_91x9_28_B_0" localSheetId="23" hidden="1">Prolink!$J$1190</definedName>
    <definedName name="SD_34x1_91x9_4_B_0" localSheetId="23" hidden="1">Prolink!$D$1190</definedName>
    <definedName name="SD_34x1_91x9_8_B_0" localSheetId="23" hidden="1">Prolink!$E$1190</definedName>
    <definedName name="SD_34x1_91x90_10_B_0" localSheetId="23" hidden="1">Prolink!$R$1271</definedName>
    <definedName name="SD_34x1_91x90_11_B_0" localSheetId="23" hidden="1">Prolink!$P$1271</definedName>
    <definedName name="SD_34x1_91x90_12_B_0" localSheetId="23" hidden="1">Prolink!$Q$1271</definedName>
    <definedName name="SD_34x1_91x90_14_B_0" localSheetId="23" hidden="1">Prolink!$M$1271</definedName>
    <definedName name="SD_34x1_91x90_15_B_0" localSheetId="23" hidden="1">Prolink!$K$1271</definedName>
    <definedName name="SD_34x1_91x90_16_B_0" localSheetId="23" hidden="1">Prolink!$L$1271</definedName>
    <definedName name="SD_34x1_91x90_18_B_0" localSheetId="23" hidden="1">Prolink!$H$1271</definedName>
    <definedName name="SD_34x1_91x90_19_B_0" localSheetId="23" hidden="1">Prolink!$F$1271</definedName>
    <definedName name="SD_34x1_91x90_20_B_0" localSheetId="23" hidden="1">Prolink!$G$1271</definedName>
    <definedName name="SD_34x1_91x90_22_B_0" localSheetId="23" hidden="1">Prolink!$C$1271</definedName>
    <definedName name="SD_34x1_91x90_23_B_0" localSheetId="23" hidden="1">Prolink!$S$1271</definedName>
    <definedName name="SD_34x1_91x90_24_B_0" localSheetId="23" hidden="1">Prolink!$T$1271</definedName>
    <definedName name="SD_34x1_91x90_25_B_0" localSheetId="23" hidden="1">Prolink!$N$1271</definedName>
    <definedName name="SD_34x1_91x90_26_B_0" localSheetId="23" hidden="1">Prolink!$O$1271</definedName>
    <definedName name="SD_34x1_91x90_27_B_0" localSheetId="23" hidden="1">Prolink!$I$1271</definedName>
    <definedName name="SD_34x1_91x90_28_B_0" localSheetId="23" hidden="1">Prolink!$J$1271</definedName>
    <definedName name="SD_34x1_91x90_4_B_0" localSheetId="23" hidden="1">Prolink!$D$1271</definedName>
    <definedName name="SD_34x1_91x90_8_B_0" localSheetId="23" hidden="1">Prolink!$E$1271</definedName>
    <definedName name="SD_34x1_91x91_10_B_0" localSheetId="23" hidden="1">Prolink!$R$1272</definedName>
    <definedName name="SD_34x1_91x91_11_B_0" localSheetId="23" hidden="1">Prolink!$P$1272</definedName>
    <definedName name="SD_34x1_91x91_12_B_0" localSheetId="23" hidden="1">Prolink!$Q$1272</definedName>
    <definedName name="SD_34x1_91x91_14_B_0" localSheetId="23" hidden="1">Prolink!$M$1272</definedName>
    <definedName name="SD_34x1_91x91_15_B_0" localSheetId="23" hidden="1">Prolink!$K$1272</definedName>
    <definedName name="SD_34x1_91x91_16_B_0" localSheetId="23" hidden="1">Prolink!$L$1272</definedName>
    <definedName name="SD_34x1_91x91_18_B_0" localSheetId="23" hidden="1">Prolink!$H$1272</definedName>
    <definedName name="SD_34x1_91x91_19_B_0" localSheetId="23" hidden="1">Prolink!$F$1272</definedName>
    <definedName name="SD_34x1_91x91_20_B_0" localSheetId="23" hidden="1">Prolink!$G$1272</definedName>
    <definedName name="SD_34x1_91x91_22_B_0" localSheetId="23" hidden="1">Prolink!$C$1272</definedName>
    <definedName name="SD_34x1_91x91_23_B_0" localSheetId="23" hidden="1">Prolink!$S$1272</definedName>
    <definedName name="SD_34x1_91x91_24_B_0" localSheetId="23" hidden="1">Prolink!$T$1272</definedName>
    <definedName name="SD_34x1_91x91_25_B_0" localSheetId="23" hidden="1">Prolink!$N$1272</definedName>
    <definedName name="SD_34x1_91x91_26_B_0" localSheetId="23" hidden="1">Prolink!$O$1272</definedName>
    <definedName name="SD_34x1_91x91_27_B_0" localSheetId="23" hidden="1">Prolink!$I$1272</definedName>
    <definedName name="SD_34x1_91x91_28_B_0" localSheetId="23" hidden="1">Prolink!$J$1272</definedName>
    <definedName name="SD_34x1_91x91_4_B_0" localSheetId="23" hidden="1">Prolink!$D$1272</definedName>
    <definedName name="SD_34x1_91x91_8_B_0" localSheetId="23" hidden="1">Prolink!$E$1272</definedName>
    <definedName name="SD_34x1_91x92_10_B_0" localSheetId="23" hidden="1">Prolink!$R$1273</definedName>
    <definedName name="SD_34x1_91x92_11_B_0" localSheetId="23" hidden="1">Prolink!$P$1273</definedName>
    <definedName name="SD_34x1_91x92_12_B_0" localSheetId="23" hidden="1">Prolink!$Q$1273</definedName>
    <definedName name="SD_34x1_91x92_14_B_0" localSheetId="23" hidden="1">Prolink!$M$1273</definedName>
    <definedName name="SD_34x1_91x92_15_B_0" localSheetId="23" hidden="1">Prolink!$K$1273</definedName>
    <definedName name="SD_34x1_91x92_16_B_0" localSheetId="23" hidden="1">Prolink!$L$1273</definedName>
    <definedName name="SD_34x1_91x92_18_B_0" localSheetId="23" hidden="1">Prolink!$H$1273</definedName>
    <definedName name="SD_34x1_91x92_19_B_0" localSheetId="23" hidden="1">Prolink!$F$1273</definedName>
    <definedName name="SD_34x1_91x92_20_B_0" localSheetId="23" hidden="1">Prolink!$G$1273</definedName>
    <definedName name="SD_34x1_91x92_22_B_0" localSheetId="23" hidden="1">Prolink!$C$1273</definedName>
    <definedName name="SD_34x1_91x92_23_B_0" localSheetId="23" hidden="1">Prolink!$S$1273</definedName>
    <definedName name="SD_34x1_91x92_24_B_0" localSheetId="23" hidden="1">Prolink!$T$1273</definedName>
    <definedName name="SD_34x1_91x92_25_B_0" localSheetId="23" hidden="1">Prolink!$N$1273</definedName>
    <definedName name="SD_34x1_91x92_26_B_0" localSheetId="23" hidden="1">Prolink!$O$1273</definedName>
    <definedName name="SD_34x1_91x92_27_B_0" localSheetId="23" hidden="1">Prolink!$I$1273</definedName>
    <definedName name="SD_34x1_91x92_28_B_0" localSheetId="23" hidden="1">Prolink!$J$1273</definedName>
    <definedName name="SD_34x1_91x92_4_B_0" localSheetId="23" hidden="1">Prolink!$D$1273</definedName>
    <definedName name="SD_34x1_91x92_8_B_0" localSheetId="23" hidden="1">Prolink!$E$1273</definedName>
    <definedName name="SD_34x1_91x93_10_B_0" localSheetId="23" hidden="1">Prolink!$R$1274</definedName>
    <definedName name="SD_34x1_91x93_11_B_0" localSheetId="23" hidden="1">Prolink!$P$1274</definedName>
    <definedName name="SD_34x1_91x93_12_B_0" localSheetId="23" hidden="1">Prolink!$Q$1274</definedName>
    <definedName name="SD_34x1_91x93_14_B_0" localSheetId="23" hidden="1">Prolink!$M$1274</definedName>
    <definedName name="SD_34x1_91x93_15_B_0" localSheetId="23" hidden="1">Prolink!$K$1274</definedName>
    <definedName name="SD_34x1_91x93_16_B_0" localSheetId="23" hidden="1">Prolink!$L$1274</definedName>
    <definedName name="SD_34x1_91x93_18_B_0" localSheetId="23" hidden="1">Prolink!$H$1274</definedName>
    <definedName name="SD_34x1_91x93_19_B_0" localSheetId="23" hidden="1">Prolink!$F$1274</definedName>
    <definedName name="SD_34x1_91x93_20_B_0" localSheetId="23" hidden="1">Prolink!$G$1274</definedName>
    <definedName name="SD_34x1_91x93_22_B_0" localSheetId="23" hidden="1">Prolink!$C$1274</definedName>
    <definedName name="SD_34x1_91x93_23_B_0" localSheetId="23" hidden="1">Prolink!$S$1274</definedName>
    <definedName name="SD_34x1_91x93_24_B_0" localSheetId="23" hidden="1">Prolink!$T$1274</definedName>
    <definedName name="SD_34x1_91x93_25_B_0" localSheetId="23" hidden="1">Prolink!$N$1274</definedName>
    <definedName name="SD_34x1_91x93_26_B_0" localSheetId="23" hidden="1">Prolink!$O$1274</definedName>
    <definedName name="SD_34x1_91x93_27_B_0" localSheetId="23" hidden="1">Prolink!$I$1274</definedName>
    <definedName name="SD_34x1_91x93_28_B_0" localSheetId="23" hidden="1">Prolink!$J$1274</definedName>
    <definedName name="SD_34x1_91x93_4_B_0" localSheetId="23" hidden="1">Prolink!$D$1274</definedName>
    <definedName name="SD_34x1_91x93_8_B_0" localSheetId="23" hidden="1">Prolink!$E$1274</definedName>
    <definedName name="SD_34x1_91x94_10_B_0" localSheetId="23" hidden="1">Prolink!$R$1275</definedName>
    <definedName name="SD_34x1_91x94_11_B_0" localSheetId="23" hidden="1">Prolink!$P$1275</definedName>
    <definedName name="SD_34x1_91x94_12_B_0" localSheetId="23" hidden="1">Prolink!$Q$1275</definedName>
    <definedName name="SD_34x1_91x94_14_B_0" localSheetId="23" hidden="1">Prolink!$M$1275</definedName>
    <definedName name="SD_34x1_91x94_15_B_0" localSheetId="23" hidden="1">Prolink!$K$1275</definedName>
    <definedName name="SD_34x1_91x94_16_B_0" localSheetId="23" hidden="1">Prolink!$L$1275</definedName>
    <definedName name="SD_34x1_91x94_18_B_0" localSheetId="23" hidden="1">Prolink!$H$1275</definedName>
    <definedName name="SD_34x1_91x94_19_B_0" localSheetId="23" hidden="1">Prolink!$F$1275</definedName>
    <definedName name="SD_34x1_91x94_20_B_0" localSheetId="23" hidden="1">Prolink!$G$1275</definedName>
    <definedName name="SD_34x1_91x94_22_B_0" localSheetId="23" hidden="1">Prolink!$C$1275</definedName>
    <definedName name="SD_34x1_91x94_23_B_0" localSheetId="23" hidden="1">Prolink!$S$1275</definedName>
    <definedName name="SD_34x1_91x94_24_B_0" localSheetId="23" hidden="1">Prolink!$T$1275</definedName>
    <definedName name="SD_34x1_91x94_25_B_0" localSheetId="23" hidden="1">Prolink!$N$1275</definedName>
    <definedName name="SD_34x1_91x94_26_B_0" localSheetId="23" hidden="1">Prolink!$O$1275</definedName>
    <definedName name="SD_34x1_91x94_27_B_0" localSheetId="23" hidden="1">Prolink!$I$1275</definedName>
    <definedName name="SD_34x1_91x94_28_B_0" localSheetId="23" hidden="1">Prolink!$J$1275</definedName>
    <definedName name="SD_34x1_91x94_4_B_0" localSheetId="23" hidden="1">Prolink!$D$1275</definedName>
    <definedName name="SD_34x1_91x94_8_B_0" localSheetId="23" hidden="1">Prolink!$E$1275</definedName>
    <definedName name="SD_34x1_91x95_10_B_0" localSheetId="23" hidden="1">Prolink!$R$1276</definedName>
    <definedName name="SD_34x1_91x95_11_B_0" localSheetId="23" hidden="1">Prolink!$P$1276</definedName>
    <definedName name="SD_34x1_91x95_12_B_0" localSheetId="23" hidden="1">Prolink!$Q$1276</definedName>
    <definedName name="SD_34x1_91x95_14_B_0" localSheetId="23" hidden="1">Prolink!$M$1276</definedName>
    <definedName name="SD_34x1_91x95_15_B_0" localSheetId="23" hidden="1">Prolink!$K$1276</definedName>
    <definedName name="SD_34x1_91x95_16_B_0" localSheetId="23" hidden="1">Prolink!$L$1276</definedName>
    <definedName name="SD_34x1_91x95_18_B_0" localSheetId="23" hidden="1">Prolink!$H$1276</definedName>
    <definedName name="SD_34x1_91x95_19_B_0" localSheetId="23" hidden="1">Prolink!$F$1276</definedName>
    <definedName name="SD_34x1_91x95_20_B_0" localSheetId="23" hidden="1">Prolink!$G$1276</definedName>
    <definedName name="SD_34x1_91x95_22_B_0" localSheetId="23" hidden="1">Prolink!$C$1276</definedName>
    <definedName name="SD_34x1_91x95_23_B_0" localSheetId="23" hidden="1">Prolink!$S$1276</definedName>
    <definedName name="SD_34x1_91x95_24_B_0" localSheetId="23" hidden="1">Prolink!$T$1276</definedName>
    <definedName name="SD_34x1_91x95_25_B_0" localSheetId="23" hidden="1">Prolink!$N$1276</definedName>
    <definedName name="SD_34x1_91x95_26_B_0" localSheetId="23" hidden="1">Prolink!$O$1276</definedName>
    <definedName name="SD_34x1_91x95_27_B_0" localSheetId="23" hidden="1">Prolink!$I$1276</definedName>
    <definedName name="SD_34x1_91x95_28_B_0" localSheetId="23" hidden="1">Prolink!$J$1276</definedName>
    <definedName name="SD_34x1_91x95_4_B_0" localSheetId="23" hidden="1">Prolink!$D$1276</definedName>
    <definedName name="SD_34x1_91x95_8_B_0" localSheetId="23" hidden="1">Prolink!$E$1276</definedName>
    <definedName name="SD_34x1_91x96_10_B_0" localSheetId="23" hidden="1">Prolink!$R$1277</definedName>
    <definedName name="SD_34x1_91x96_11_B_0" localSheetId="23" hidden="1">Prolink!$P$1277</definedName>
    <definedName name="SD_34x1_91x96_12_B_0" localSheetId="23" hidden="1">Prolink!$Q$1277</definedName>
    <definedName name="SD_34x1_91x96_14_B_0" localSheetId="23" hidden="1">Prolink!$M$1277</definedName>
    <definedName name="SD_34x1_91x96_15_B_0" localSheetId="23" hidden="1">Prolink!$K$1277</definedName>
    <definedName name="SD_34x1_91x96_16_B_0" localSheetId="23" hidden="1">Prolink!$L$1277</definedName>
    <definedName name="SD_34x1_91x96_18_B_0" localSheetId="23" hidden="1">Prolink!$H$1277</definedName>
    <definedName name="SD_34x1_91x96_19_B_0" localSheetId="23" hidden="1">Prolink!$F$1277</definedName>
    <definedName name="SD_34x1_91x96_20_B_0" localSheetId="23" hidden="1">Prolink!$G$1277</definedName>
    <definedName name="SD_34x1_91x96_22_B_0" localSheetId="23" hidden="1">Prolink!$C$1277</definedName>
    <definedName name="SD_34x1_91x96_23_B_0" localSheetId="23" hidden="1">Prolink!$S$1277</definedName>
    <definedName name="SD_34x1_91x96_24_B_0" localSheetId="23" hidden="1">Prolink!$T$1277</definedName>
    <definedName name="SD_34x1_91x96_25_B_0" localSheetId="23" hidden="1">Prolink!$N$1277</definedName>
    <definedName name="SD_34x1_91x96_26_B_0" localSheetId="23" hidden="1">Prolink!$O$1277</definedName>
    <definedName name="SD_34x1_91x96_27_B_0" localSheetId="23" hidden="1">Prolink!$I$1277</definedName>
    <definedName name="SD_34x1_91x96_28_B_0" localSheetId="23" hidden="1">Prolink!$J$1277</definedName>
    <definedName name="SD_34x1_91x96_4_B_0" localSheetId="23" hidden="1">Prolink!$D$1277</definedName>
    <definedName name="SD_34x1_91x96_8_B_0" localSheetId="23" hidden="1">Prolink!$E$1277</definedName>
    <definedName name="SD_34x1_91x97_10_B_0" localSheetId="23" hidden="1">Prolink!$R$1278</definedName>
    <definedName name="SD_34x1_91x97_11_B_0" localSheetId="23" hidden="1">Prolink!$P$1278</definedName>
    <definedName name="SD_34x1_91x97_12_B_0" localSheetId="23" hidden="1">Prolink!$Q$1278</definedName>
    <definedName name="SD_34x1_91x97_14_B_0" localSheetId="23" hidden="1">Prolink!$M$1278</definedName>
    <definedName name="SD_34x1_91x97_15_B_0" localSheetId="23" hidden="1">Prolink!$K$1278</definedName>
    <definedName name="SD_34x1_91x97_16_B_0" localSheetId="23" hidden="1">Prolink!$L$1278</definedName>
    <definedName name="SD_34x1_91x97_18_B_0" localSheetId="23" hidden="1">Prolink!$H$1278</definedName>
    <definedName name="SD_34x1_91x97_19_B_0" localSheetId="23" hidden="1">Prolink!$F$1278</definedName>
    <definedName name="SD_34x1_91x97_20_B_0" localSheetId="23" hidden="1">Prolink!$G$1278</definedName>
    <definedName name="SD_34x1_91x97_22_B_0" localSheetId="23" hidden="1">Prolink!$C$1278</definedName>
    <definedName name="SD_34x1_91x97_23_B_0" localSheetId="23" hidden="1">Prolink!$S$1278</definedName>
    <definedName name="SD_34x1_91x97_24_B_0" localSheetId="23" hidden="1">Prolink!$T$1278</definedName>
    <definedName name="SD_34x1_91x97_25_B_0" localSheetId="23" hidden="1">Prolink!$N$1278</definedName>
    <definedName name="SD_34x1_91x97_26_B_0" localSheetId="23" hidden="1">Prolink!$O$1278</definedName>
    <definedName name="SD_34x1_91x97_27_B_0" localSheetId="23" hidden="1">Prolink!$I$1278</definedName>
    <definedName name="SD_34x1_91x97_28_B_0" localSheetId="23" hidden="1">Prolink!$J$1278</definedName>
    <definedName name="SD_34x1_91x97_4_B_0" localSheetId="23" hidden="1">Prolink!$D$1278</definedName>
    <definedName name="SD_34x1_91x97_8_B_0" localSheetId="23" hidden="1">Prolink!$E$1278</definedName>
    <definedName name="SD_34x1_91x98_10_B_0" localSheetId="23" hidden="1">Prolink!$R$1279</definedName>
    <definedName name="SD_34x1_91x98_11_B_0" localSheetId="23" hidden="1">Prolink!$P$1279</definedName>
    <definedName name="SD_34x1_91x98_12_B_0" localSheetId="23" hidden="1">Prolink!$Q$1279</definedName>
    <definedName name="SD_34x1_91x98_14_B_0" localSheetId="23" hidden="1">Prolink!$M$1279</definedName>
    <definedName name="SD_34x1_91x98_15_B_0" localSheetId="23" hidden="1">Prolink!$K$1279</definedName>
    <definedName name="SD_34x1_91x98_16_B_0" localSheetId="23" hidden="1">Prolink!$L$1279</definedName>
    <definedName name="SD_34x1_91x98_18_B_0" localSheetId="23" hidden="1">Prolink!$H$1279</definedName>
    <definedName name="SD_34x1_91x98_19_B_0" localSheetId="23" hidden="1">Prolink!$F$1279</definedName>
    <definedName name="SD_34x1_91x98_20_B_0" localSheetId="23" hidden="1">Prolink!$G$1279</definedName>
    <definedName name="SD_34x1_91x98_22_B_0" localSheetId="23" hidden="1">Prolink!$C$1279</definedName>
    <definedName name="SD_34x1_91x98_23_B_0" localSheetId="23" hidden="1">Prolink!$S$1279</definedName>
    <definedName name="SD_34x1_91x98_24_B_0" localSheetId="23" hidden="1">Prolink!$T$1279</definedName>
    <definedName name="SD_34x1_91x98_25_B_0" localSheetId="23" hidden="1">Prolink!$N$1279</definedName>
    <definedName name="SD_34x1_91x98_26_B_0" localSheetId="23" hidden="1">Prolink!$O$1279</definedName>
    <definedName name="SD_34x1_91x98_27_B_0" localSheetId="23" hidden="1">Prolink!$I$1279</definedName>
    <definedName name="SD_34x1_91x98_28_B_0" localSheetId="23" hidden="1">Prolink!$J$1279</definedName>
    <definedName name="SD_34x1_91x98_4_B_0" localSheetId="23" hidden="1">Prolink!$D$1279</definedName>
    <definedName name="SD_34x1_91x98_8_B_0" localSheetId="23" hidden="1">Prolink!$E$1279</definedName>
    <definedName name="SD_34x1_91x99_10_B_0" localSheetId="23" hidden="1">Prolink!$R$1280</definedName>
    <definedName name="SD_34x1_91x99_11_B_0" localSheetId="23" hidden="1">Prolink!$P$1280</definedName>
    <definedName name="SD_34x1_91x99_12_B_0" localSheetId="23" hidden="1">Prolink!$Q$1280</definedName>
    <definedName name="SD_34x1_91x99_14_B_0" localSheetId="23" hidden="1">Prolink!$M$1280</definedName>
    <definedName name="SD_34x1_91x99_15_B_0" localSheetId="23" hidden="1">Prolink!$K$1280</definedName>
    <definedName name="SD_34x1_91x99_16_B_0" localSheetId="23" hidden="1">Prolink!$L$1280</definedName>
    <definedName name="SD_34x1_91x99_18_B_0" localSheetId="23" hidden="1">Prolink!$H$1280</definedName>
    <definedName name="SD_34x1_91x99_19_B_0" localSheetId="23" hidden="1">Prolink!$F$1280</definedName>
    <definedName name="SD_34x1_91x99_20_B_0" localSheetId="23" hidden="1">Prolink!$G$1280</definedName>
    <definedName name="SD_34x1_91x99_22_B_0" localSheetId="23" hidden="1">Prolink!$C$1280</definedName>
    <definedName name="SD_34x1_91x99_23_B_0" localSheetId="23" hidden="1">Prolink!$S$1280</definedName>
    <definedName name="SD_34x1_91x99_24_B_0" localSheetId="23" hidden="1">Prolink!$T$1280</definedName>
    <definedName name="SD_34x1_91x99_25_B_0" localSheetId="23" hidden="1">Prolink!$N$1280</definedName>
    <definedName name="SD_34x1_91x99_26_B_0" localSheetId="23" hidden="1">Prolink!$O$1280</definedName>
    <definedName name="SD_34x1_91x99_27_B_0" localSheetId="23" hidden="1">Prolink!$I$1280</definedName>
    <definedName name="SD_34x1_91x99_28_B_0" localSheetId="23" hidden="1">Prolink!$J$1280</definedName>
    <definedName name="SD_34x1_91x99_4_B_0" localSheetId="23" hidden="1">Prolink!$D$1280</definedName>
    <definedName name="SD_34x1_91x99_8_B_0" localSheetId="23" hidden="1">Prolink!$E$1280</definedName>
    <definedName name="SD_34x1_97_B_0" localSheetId="23" hidden="1">Prolink!$C$285</definedName>
    <definedName name="SD_34x1_98_B_0" localSheetId="23" hidden="1">Prolink!$C$291</definedName>
    <definedName name="SD_66_B_0" localSheetId="23" hidden="1">Prolink!$C$216</definedName>
    <definedName name="SD_7634x1_11_B_0" localSheetId="23" hidden="1">Prolink!$G$693</definedName>
    <definedName name="SD_7634x1_13_S_1" localSheetId="23" hidden="1">Prolink!$F$693</definedName>
    <definedName name="SD_7634x1_14_B_1" localSheetId="23" hidden="1">Prolink!$K$693</definedName>
    <definedName name="SD_7634x1_15_B_0" localSheetId="23" hidden="1">Prolink!$H$693</definedName>
    <definedName name="SD_7634x1_16_B_0" localSheetId="23" hidden="1">Prolink!$C$693</definedName>
    <definedName name="SD_7634x1_21_B_0" localSheetId="23" hidden="1">Prolink!$I$693</definedName>
    <definedName name="SD_7634x1_23_B_0" localSheetId="23" hidden="1">Prolink!$E$693</definedName>
    <definedName name="SD_7634x1_25_B_0" localSheetId="23" hidden="1">Prolink!$D$693</definedName>
    <definedName name="SD_7634x1_27_B_1" localSheetId="23" hidden="1">Prolink!$J$693</definedName>
    <definedName name="SD_7634x10_11_B_0" localSheetId="23" hidden="1">Prolink!$G$702</definedName>
    <definedName name="SD_7634x10_13_S_1" localSheetId="23" hidden="1">Prolink!$F$702</definedName>
    <definedName name="SD_7634x10_14_B_1" localSheetId="23" hidden="1">Prolink!$K$702</definedName>
    <definedName name="SD_7634x10_15_B_0" localSheetId="23" hidden="1">Prolink!$H$702</definedName>
    <definedName name="SD_7634x10_16_B_0" localSheetId="23" hidden="1">Prolink!$C$702</definedName>
    <definedName name="SD_7634x10_21_B_0" localSheetId="23" hidden="1">Prolink!$I$702</definedName>
    <definedName name="SD_7634x10_23_B_0" localSheetId="23" hidden="1">Prolink!$E$702</definedName>
    <definedName name="SD_7634x10_25_B_0" localSheetId="23" hidden="1">Prolink!$D$702</definedName>
    <definedName name="SD_7634x10_27_B_1" localSheetId="23" hidden="1">Prolink!$J$702</definedName>
    <definedName name="SD_7634x11_11_B_0" localSheetId="23" hidden="1">Prolink!$G$703</definedName>
    <definedName name="SD_7634x11_13_S_1" localSheetId="23" hidden="1">Prolink!$F$703</definedName>
    <definedName name="SD_7634x11_14_B_1" localSheetId="23" hidden="1">Prolink!$K$703</definedName>
    <definedName name="SD_7634x11_15_B_0" localSheetId="23" hidden="1">Prolink!$H$703</definedName>
    <definedName name="SD_7634x11_16_B_0" localSheetId="23" hidden="1">Prolink!$C$703</definedName>
    <definedName name="SD_7634x11_21_B_0" localSheetId="23" hidden="1">Prolink!$I$703</definedName>
    <definedName name="SD_7634x11_23_B_0" localSheetId="23" hidden="1">Prolink!$E$703</definedName>
    <definedName name="SD_7634x11_25_B_0" localSheetId="23" hidden="1">Prolink!$D$703</definedName>
    <definedName name="SD_7634x11_27_B_1" localSheetId="23" hidden="1">Prolink!$J$703</definedName>
    <definedName name="SD_7634x12_11_B_0" localSheetId="23" hidden="1">Prolink!$G$704</definedName>
    <definedName name="SD_7634x12_13_S_1" localSheetId="23" hidden="1">Prolink!$F$704</definedName>
    <definedName name="SD_7634x12_14_B_1" localSheetId="23" hidden="1">Prolink!$K$704</definedName>
    <definedName name="SD_7634x12_15_B_0" localSheetId="23" hidden="1">Prolink!$H$704</definedName>
    <definedName name="SD_7634x12_16_B_0" localSheetId="23" hidden="1">Prolink!$C$704</definedName>
    <definedName name="SD_7634x12_21_B_0" localSheetId="23" hidden="1">Prolink!$I$704</definedName>
    <definedName name="SD_7634x12_23_B_0" localSheetId="23" hidden="1">Prolink!$E$704</definedName>
    <definedName name="SD_7634x12_25_B_0" localSheetId="23" hidden="1">Prolink!$D$704</definedName>
    <definedName name="SD_7634x12_27_B_1" localSheetId="23" hidden="1">Prolink!$J$704</definedName>
    <definedName name="SD_7634x13_11_B_0" localSheetId="23" hidden="1">Prolink!$G$705</definedName>
    <definedName name="SD_7634x13_13_S_1" localSheetId="23" hidden="1">Prolink!$F$705</definedName>
    <definedName name="SD_7634x13_14_B_1" localSheetId="23" hidden="1">Prolink!$K$705</definedName>
    <definedName name="SD_7634x13_15_B_0" localSheetId="23" hidden="1">Prolink!$H$705</definedName>
    <definedName name="SD_7634x13_16_B_0" localSheetId="23" hidden="1">Prolink!$C$705</definedName>
    <definedName name="SD_7634x13_21_B_0" localSheetId="23" hidden="1">Prolink!$I$705</definedName>
    <definedName name="SD_7634x13_23_B_0" localSheetId="23" hidden="1">Prolink!$E$705</definedName>
    <definedName name="SD_7634x13_25_B_0" localSheetId="23" hidden="1">Prolink!$D$705</definedName>
    <definedName name="SD_7634x13_27_B_1" localSheetId="23" hidden="1">Prolink!$J$705</definedName>
    <definedName name="SD_7634x14_11_B_0" localSheetId="23" hidden="1">Prolink!$G$706</definedName>
    <definedName name="SD_7634x14_13_S_1" localSheetId="23" hidden="1">Prolink!$F$706</definedName>
    <definedName name="SD_7634x14_14_B_1" localSheetId="23" hidden="1">Prolink!$K$706</definedName>
    <definedName name="SD_7634x14_15_B_0" localSheetId="23" hidden="1">Prolink!$H$706</definedName>
    <definedName name="SD_7634x14_16_B_0" localSheetId="23" hidden="1">Prolink!$C$706</definedName>
    <definedName name="SD_7634x14_21_B_0" localSheetId="23" hidden="1">Prolink!$I$706</definedName>
    <definedName name="SD_7634x14_23_B_0" localSheetId="23" hidden="1">Prolink!$E$706</definedName>
    <definedName name="SD_7634x14_25_B_0" localSheetId="23" hidden="1">Prolink!$D$706</definedName>
    <definedName name="SD_7634x14_27_B_1" localSheetId="23" hidden="1">Prolink!$J$706</definedName>
    <definedName name="SD_7634x15_11_B_0" localSheetId="23" hidden="1">Prolink!$G$707</definedName>
    <definedName name="SD_7634x15_13_S_1" localSheetId="23" hidden="1">Prolink!$F$707</definedName>
    <definedName name="SD_7634x15_14_B_1" localSheetId="23" hidden="1">Prolink!$K$707</definedName>
    <definedName name="SD_7634x15_15_B_0" localSheetId="23" hidden="1">Prolink!$H$707</definedName>
    <definedName name="SD_7634x15_16_B_0" localSheetId="23" hidden="1">Prolink!$C$707</definedName>
    <definedName name="SD_7634x15_21_B_0" localSheetId="23" hidden="1">Prolink!$I$707</definedName>
    <definedName name="SD_7634x15_23_B_0" localSheetId="23" hidden="1">Prolink!$E$707</definedName>
    <definedName name="SD_7634x15_25_B_0" localSheetId="23" hidden="1">Prolink!$D$707</definedName>
    <definedName name="SD_7634x15_27_B_1" localSheetId="23" hidden="1">Prolink!$J$707</definedName>
    <definedName name="SD_7634x16_11_B_0" localSheetId="23" hidden="1">Prolink!$G$708</definedName>
    <definedName name="SD_7634x16_13_S_1" localSheetId="23" hidden="1">Prolink!$F$708</definedName>
    <definedName name="SD_7634x16_14_B_1" localSheetId="23" hidden="1">Prolink!$K$708</definedName>
    <definedName name="SD_7634x16_15_B_0" localSheetId="23" hidden="1">Prolink!$H$708</definedName>
    <definedName name="SD_7634x16_16_B_0" localSheetId="23" hidden="1">Prolink!$C$708</definedName>
    <definedName name="SD_7634x16_21_B_0" localSheetId="23" hidden="1">Prolink!$I$708</definedName>
    <definedName name="SD_7634x16_23_B_0" localSheetId="23" hidden="1">Prolink!$E$708</definedName>
    <definedName name="SD_7634x16_25_B_0" localSheetId="23" hidden="1">Prolink!$D$708</definedName>
    <definedName name="SD_7634x16_27_B_1" localSheetId="23" hidden="1">Prolink!$J$708</definedName>
    <definedName name="SD_7634x2_11_B_0" localSheetId="23" hidden="1">Prolink!$G$694</definedName>
    <definedName name="SD_7634x2_13_S_1" localSheetId="23" hidden="1">Prolink!$F$694</definedName>
    <definedName name="SD_7634x2_14_B_1" localSheetId="23" hidden="1">Prolink!$K$694</definedName>
    <definedName name="SD_7634x2_15_B_0" localSheetId="23" hidden="1">Prolink!$H$694</definedName>
    <definedName name="SD_7634x2_16_B_0" localSheetId="23" hidden="1">Prolink!$C$694</definedName>
    <definedName name="SD_7634x2_21_B_0" localSheetId="23" hidden="1">Prolink!$I$694</definedName>
    <definedName name="SD_7634x2_23_B_0" localSheetId="23" hidden="1">Prolink!$E$694</definedName>
    <definedName name="SD_7634x2_25_B_0" localSheetId="23" hidden="1">Prolink!$D$694</definedName>
    <definedName name="SD_7634x2_27_B_1" localSheetId="23" hidden="1">Prolink!$J$694</definedName>
    <definedName name="SD_7634x3_11_B_0" localSheetId="23" hidden="1">Prolink!$G$695</definedName>
    <definedName name="SD_7634x3_13_S_1" localSheetId="23" hidden="1">Prolink!$F$695</definedName>
    <definedName name="SD_7634x3_14_B_1" localSheetId="23" hidden="1">Prolink!$K$695</definedName>
    <definedName name="SD_7634x3_15_B_0" localSheetId="23" hidden="1">Prolink!$H$695</definedName>
    <definedName name="SD_7634x3_16_B_0" localSheetId="23" hidden="1">Prolink!$C$695</definedName>
    <definedName name="SD_7634x3_21_B_0" localSheetId="23" hidden="1">Prolink!$I$695</definedName>
    <definedName name="SD_7634x3_23_B_0" localSheetId="23" hidden="1">Prolink!$E$695</definedName>
    <definedName name="SD_7634x3_25_B_0" localSheetId="23" hidden="1">Prolink!$D$695</definedName>
    <definedName name="SD_7634x3_27_B_1" localSheetId="23" hidden="1">Prolink!$J$695</definedName>
    <definedName name="SD_7634x4_11_B_0" localSheetId="23" hidden="1">Prolink!$G$696</definedName>
    <definedName name="SD_7634x4_13_S_1" localSheetId="23" hidden="1">Prolink!$F$696</definedName>
    <definedName name="SD_7634x4_14_B_1" localSheetId="23" hidden="1">Prolink!$K$696</definedName>
    <definedName name="SD_7634x4_15_B_0" localSheetId="23" hidden="1">Prolink!$H$696</definedName>
    <definedName name="SD_7634x4_16_B_0" localSheetId="23" hidden="1">Prolink!$C$696</definedName>
    <definedName name="SD_7634x4_21_B_0" localSheetId="23" hidden="1">Prolink!$I$696</definedName>
    <definedName name="SD_7634x4_23_B_0" localSheetId="23" hidden="1">Prolink!$E$696</definedName>
    <definedName name="SD_7634x4_25_B_0" localSheetId="23" hidden="1">Prolink!$D$696</definedName>
    <definedName name="SD_7634x4_27_B_1" localSheetId="23" hidden="1">Prolink!$J$696</definedName>
    <definedName name="SD_7634x5_11_B_0" localSheetId="23" hidden="1">Prolink!$G$697</definedName>
    <definedName name="SD_7634x5_13_S_1" localSheetId="23" hidden="1">Prolink!$F$697</definedName>
    <definedName name="SD_7634x5_14_B_1" localSheetId="23" hidden="1">Prolink!$K$697</definedName>
    <definedName name="SD_7634x5_15_B_0" localSheetId="23" hidden="1">Prolink!$H$697</definedName>
    <definedName name="SD_7634x5_16_B_0" localSheetId="23" hidden="1">Prolink!$C$697</definedName>
    <definedName name="SD_7634x5_21_B_0" localSheetId="23" hidden="1">Prolink!$I$697</definedName>
    <definedName name="SD_7634x5_23_B_0" localSheetId="23" hidden="1">Prolink!$E$697</definedName>
    <definedName name="SD_7634x5_25_B_0" localSheetId="23" hidden="1">Prolink!$D$697</definedName>
    <definedName name="SD_7634x5_27_B_1" localSheetId="23" hidden="1">Prolink!$J$697</definedName>
    <definedName name="SD_7634x6_11_B_0" localSheetId="23" hidden="1">Prolink!$G$698</definedName>
    <definedName name="SD_7634x6_13_S_1" localSheetId="23" hidden="1">Prolink!$F$698</definedName>
    <definedName name="SD_7634x6_14_B_1" localSheetId="23" hidden="1">Prolink!$K$698</definedName>
    <definedName name="SD_7634x6_15_B_0" localSheetId="23" hidden="1">Prolink!$H$698</definedName>
    <definedName name="SD_7634x6_16_B_0" localSheetId="23" hidden="1">Prolink!$C$698</definedName>
    <definedName name="SD_7634x6_21_B_0" localSheetId="23" hidden="1">Prolink!$I$698</definedName>
    <definedName name="SD_7634x6_23_B_0" localSheetId="23" hidden="1">Prolink!$E$698</definedName>
    <definedName name="SD_7634x6_25_B_0" localSheetId="23" hidden="1">Prolink!$D$698</definedName>
    <definedName name="SD_7634x6_27_B_1" localSheetId="23" hidden="1">Prolink!$J$698</definedName>
    <definedName name="SD_7634x7_11_B_0" localSheetId="23" hidden="1">Prolink!$G$699</definedName>
    <definedName name="SD_7634x7_13_S_1" localSheetId="23" hidden="1">Prolink!$F$699</definedName>
    <definedName name="SD_7634x7_14_B_1" localSheetId="23" hidden="1">Prolink!$K$699</definedName>
    <definedName name="SD_7634x7_15_B_0" localSheetId="23" hidden="1">Prolink!$H$699</definedName>
    <definedName name="SD_7634x7_16_B_0" localSheetId="23" hidden="1">Prolink!$C$699</definedName>
    <definedName name="SD_7634x7_21_B_0" localSheetId="23" hidden="1">Prolink!$I$699</definedName>
    <definedName name="SD_7634x7_23_B_0" localSheetId="23" hidden="1">Prolink!$E$699</definedName>
    <definedName name="SD_7634x7_25_B_0" localSheetId="23" hidden="1">Prolink!$D$699</definedName>
    <definedName name="SD_7634x7_27_B_1" localSheetId="23" hidden="1">Prolink!$J$699</definedName>
    <definedName name="SD_7634x8_11_B_0" localSheetId="23" hidden="1">Prolink!$G$700</definedName>
    <definedName name="SD_7634x8_13_S_1" localSheetId="23" hidden="1">Prolink!$F$700</definedName>
    <definedName name="SD_7634x8_14_B_1" localSheetId="23" hidden="1">Prolink!$K$700</definedName>
    <definedName name="SD_7634x8_15_B_0" localSheetId="23" hidden="1">Prolink!$H$700</definedName>
    <definedName name="SD_7634x8_16_B_0" localSheetId="23" hidden="1">Prolink!$C$700</definedName>
    <definedName name="SD_7634x8_21_B_0" localSheetId="23" hidden="1">Prolink!$I$700</definedName>
    <definedName name="SD_7634x8_23_B_0" localSheetId="23" hidden="1">Prolink!$E$700</definedName>
    <definedName name="SD_7634x8_25_B_0" localSheetId="23" hidden="1">Prolink!$D$700</definedName>
    <definedName name="SD_7634x8_27_B_1" localSheetId="23" hidden="1">Prolink!$J$700</definedName>
    <definedName name="SD_7634x9_11_B_0" localSheetId="23" hidden="1">Prolink!$G$701</definedName>
    <definedName name="SD_7634x9_13_S_1" localSheetId="23" hidden="1">Prolink!$F$701</definedName>
    <definedName name="SD_7634x9_14_B_1" localSheetId="23" hidden="1">Prolink!$K$701</definedName>
    <definedName name="SD_7634x9_15_B_0" localSheetId="23" hidden="1">Prolink!$H$701</definedName>
    <definedName name="SD_7634x9_16_B_0" localSheetId="23" hidden="1">Prolink!$C$701</definedName>
    <definedName name="SD_7634x9_21_B_0" localSheetId="23" hidden="1">Prolink!$I$701</definedName>
    <definedName name="SD_7634x9_23_B_0" localSheetId="23" hidden="1">Prolink!$E$701</definedName>
    <definedName name="SD_7634x9_25_B_0" localSheetId="23" hidden="1">Prolink!$D$701</definedName>
    <definedName name="SD_7634x9_27_B_1" localSheetId="23" hidden="1">Prolink!$J$701</definedName>
    <definedName name="SD_D_PL_BldgAllocType" hidden="1">SD_Dropdowns!$Q$2:$R$12</definedName>
    <definedName name="SD_D_PL_BldgAllocType_Name" localSheetId="22" hidden="1">[2]SD_Dropdowns!$HK$2:$HK$10</definedName>
    <definedName name="SD_D_PL_BldgAllocType_Name" hidden="1">SD_Dropdowns!$Q$2:$Q$12</definedName>
    <definedName name="SD_D_PL_BldgAllocType_Value" hidden="1">SD_Dropdowns!$R$2:$R$12</definedName>
    <definedName name="SD_D_PL_DealEntityRole" hidden="1">SD_Dropdowns!$BA$2:$BB$33</definedName>
    <definedName name="SD_D_PL_DealEntityRole_Name" hidden="1">SD_Dropdowns!$BA$2:$BA$33</definedName>
    <definedName name="SD_D_PL_DealEntityRole_Value" hidden="1">SD_Dropdowns!$BB$2:$BB$33</definedName>
    <definedName name="SD_D_PL_EntityCompanyOrIndividual" hidden="1">SD_Dropdowns!$AY$2:$AZ$4</definedName>
    <definedName name="SD_D_PL_EntityCompanyOrIndividual_Name" hidden="1">SD_Dropdowns!$AY$2:$AY$4</definedName>
    <definedName name="SD_D_PL_EntityCompanyOrIndividual_Value" hidden="1">SD_Dropdowns!$AZ$2:$AZ$4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ExtendedUseRestriction_Name" localSheetId="22" hidden="1">[2]SD_Dropdowns!$HG$2:$HG$7</definedName>
    <definedName name="SD_D_PL_FinancingType" hidden="1">SD_Dropdowns!$AQ$2:$AR$5</definedName>
    <definedName name="SD_D_PL_FinancingType_Name" localSheetId="22" hidden="1">[2]SD_Dropdowns!$HQ$2:$HQ$5</definedName>
    <definedName name="SD_D_PL_FinancingType_Name" hidden="1">SD_Dropdowns!$AQ$2:$AQ$5</definedName>
    <definedName name="SD_D_PL_FinancingType_Value" hidden="1">SD_Dropdowns!$AR$2:$AR$5</definedName>
    <definedName name="SD_D_PL_IncomeTarget" hidden="1">SD_Dropdowns!$AU$2:$AV$11</definedName>
    <definedName name="SD_D_PL_IncomeTarget_Name" hidden="1">SD_Dropdowns!$AU$2:$AU$11</definedName>
    <definedName name="SD_D_PL_IncomeTarget_Value" hidden="1">SD_Dropdowns!$AV$2:$AV$11</definedName>
    <definedName name="SD_D_PL_IssuingAuthority" hidden="1">SD_Dropdowns!$AS$2:$AT$4</definedName>
    <definedName name="SD_D_PL_IssuingAuthority_Name" hidden="1">SD_Dropdowns!$AS$2:$AS$4</definedName>
    <definedName name="SD_D_PL_IssuingAuthority_Value" hidden="1">SD_Dropdowns!$AT$2:$AT$4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localSheetId="22" hidden="1">[2]SD_Dropdowns!$HI$2:$HI$6</definedName>
    <definedName name="SD_D_PL_SiteControlType_Name" hidden="1">SD_Dropdowns!$O$2:$O$6</definedName>
    <definedName name="SD_D_PL_SiteControlType_Value" hidden="1">SD_Dropdowns!$P$2:$P$6</definedName>
    <definedName name="SD_D_PL_State" hidden="1">SD_Dropdowns!$E$2:$F$53</definedName>
    <definedName name="SD_D_PL_State_Name" localSheetId="22" hidden="1">[2]SD_Dropdowns!$HO$2:$HO$53</definedName>
    <definedName name="SD_D_PL_State_Name" hidden="1">SD_Dropdowns!$E$2:$E$53</definedName>
    <definedName name="SD_D_PL_State_Value" hidden="1">SD_Dropdowns!$F$2:$F$53</definedName>
    <definedName name="SD_D_PL_TargetType" hidden="1">SD_Dropdowns!$K$2:$L$13</definedName>
    <definedName name="SD_D_PL_TargetType_Name" localSheetId="22" hidden="1">[2]SD_Dropdowns!$HE$2:$HE$11</definedName>
    <definedName name="SD_D_PL_TargetType_Name" hidden="1">SD_Dropdowns!$K$2:$K$13</definedName>
    <definedName name="SD_D_PL_TargetType_Value" hidden="1">SD_Dropdowns!$L$2:$L$13</definedName>
    <definedName name="SD_D_PL_TCDealFeeType" hidden="1">SD_Dropdowns!$C$2:$D$15</definedName>
    <definedName name="SD_D_PL_TCDealFeeType_Name" localSheetId="22" hidden="1">[2]SD_Dropdowns!$HA$2:$HA$9</definedName>
    <definedName name="SD_D_PL_TCDealFeeType_Name" hidden="1">SD_Dropdowns!$C$2:$C$15</definedName>
    <definedName name="SD_D_PL_TCDealFeeType_Value" hidden="1">SD_Dropdowns!$D$2:$D$15</definedName>
    <definedName name="SD_D_PL_TCUnitMixType" hidden="1">SD_Dropdowns!$AW$2:$AX$26</definedName>
    <definedName name="SD_D_PL_TCUnitMixType_Name" hidden="1">SD_Dropdowns!$AW$2:$AW$26</definedName>
    <definedName name="SD_D_PL_TCUnitMixType_Value" hidden="1">SD_Dropdowns!$AX$2:$AX$26</definedName>
    <definedName name="SD_D_PL_TCUnitType" hidden="1">SD_Dropdowns!$S$2:$T$23</definedName>
    <definedName name="SD_D_PL_TCUnitType_Name" localSheetId="22" hidden="1">[2]SD_Dropdowns!$HM$2:$HM$22</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localSheetId="22" hidden="1">[2]SD_Dropdowns!$HC$2:$HC$5</definedName>
    <definedName name="SD_D_PL_TypeofAllocationRequested_Name" hidden="1">SD_Dropdowns!$I$2:$I$6</definedName>
    <definedName name="SD_D_PL_TypeofAllocationRequested_Value" hidden="1">SD_Dropdowns!$J$2:$J$6</definedName>
    <definedName name="SD_D_PL_UDF_1161" hidden="1">SD_Dropdowns!$U$2:$V$4</definedName>
    <definedName name="SD_D_PL_UDF_1161_Name" hidden="1">SD_Dropdowns!$U$2:$U$4</definedName>
    <definedName name="SD_D_PL_UDF_1161_Value" hidden="1">SD_Dropdowns!$V$2:$V$4</definedName>
    <definedName name="SD_D_PL_UDF_651" hidden="1">SD_Dropdowns!$W$2:$X$5</definedName>
    <definedName name="SD_D_PL_UDF_651_Name" hidden="1">SD_Dropdowns!$W$2:$W$5</definedName>
    <definedName name="SD_D_PL_UDF_651_Value" hidden="1">SD_Dropdowns!$X$2:$X$5</definedName>
    <definedName name="SD_D_PL_UDF_699" hidden="1">SD_Dropdowns!$Y$2:$Z$9</definedName>
    <definedName name="SD_D_PL_UDF_699_Name" hidden="1">SD_Dropdowns!$Y$2:$Y$9</definedName>
    <definedName name="SD_D_PL_UDF_699_Value" hidden="1">SD_Dropdowns!$Z$2:$Z$9</definedName>
    <definedName name="SD_D_PL_UDF_700" hidden="1">SD_Dropdowns!$AA$2:$AB$5</definedName>
    <definedName name="SD_D_PL_UDF_700_Name" hidden="1">SD_Dropdowns!$AA$2:$AA$5</definedName>
    <definedName name="SD_D_PL_UDF_700_Value" hidden="1">SD_Dropdowns!$AB$2:$AB$5</definedName>
    <definedName name="SD_D_PL_UDF_701" hidden="1">SD_Dropdowns!$AC$2:$AD$8</definedName>
    <definedName name="SD_D_PL_UDF_701_Name" hidden="1">SD_Dropdowns!$AC$2:$AC$8</definedName>
    <definedName name="SD_D_PL_UDF_701_Value" hidden="1">SD_Dropdowns!$AD$2:$AD$8</definedName>
    <definedName name="SD_D_PL_UDF_703" hidden="1">SD_Dropdowns!$AE$2:$AF$17</definedName>
    <definedName name="SD_D_PL_UDF_703_Name" hidden="1">SD_Dropdowns!$AE$2:$AE$17</definedName>
    <definedName name="SD_D_PL_UDF_703_Value" hidden="1">SD_Dropdowns!$AF$2:$AF$17</definedName>
    <definedName name="SD_D_PL_UDF_758" hidden="1">SD_Dropdowns!$AE$2:$AF$3</definedName>
    <definedName name="SD_D_PL_UDF_758_Name" hidden="1">SD_Dropdowns!$AE$2:$AE$3</definedName>
    <definedName name="SD_D_PL_UDF_758_Value" hidden="1">SD_Dropdowns!$AF$2:$AF$3</definedName>
    <definedName name="SD_D_PL_UDF_765" hidden="1">SD_Dropdowns!$AG$2:$AH$3</definedName>
    <definedName name="SD_D_PL_UDF_765_Name" hidden="1">SD_Dropdowns!$AG$2:$AG$3</definedName>
    <definedName name="SD_D_PL_UDF_765_Value" hidden="1">SD_Dropdowns!$AH$2:$AH$3</definedName>
    <definedName name="SD_D_PL_UDF_772" hidden="1">SD_Dropdowns!$AI$2:$AJ$3</definedName>
    <definedName name="SD_D_PL_UDF_772_Name" hidden="1">SD_Dropdowns!$AI$2:$AI$3</definedName>
    <definedName name="SD_D_PL_UDF_772_Value" hidden="1">SD_Dropdowns!$AJ$2:$AJ$3</definedName>
    <definedName name="SD_D_PL_UDF_779" hidden="1">SD_Dropdowns!$AK$2:$AL$3</definedName>
    <definedName name="SD_D_PL_UDF_779_Name" hidden="1">SD_Dropdowns!$AK$2:$AK$3</definedName>
    <definedName name="SD_D_PL_UDF_779_Value" hidden="1">SD_Dropdowns!$AL$2:$AL$3</definedName>
    <definedName name="SD_D_PL_UDF_786" hidden="1">SD_Dropdowns!$AM$2:$AN$3</definedName>
    <definedName name="SD_D_PL_UDF_786_Name" hidden="1">SD_Dropdowns!$AM$2:$AM$3</definedName>
    <definedName name="SD_D_PL_UDF_786_Value" hidden="1">SD_Dropdowns!$AN$2:$AN$3</definedName>
    <definedName name="SD_D_PL_UDF_793" hidden="1">SD_Dropdowns!$AO$2:$AP$3</definedName>
    <definedName name="SD_D_PL_UDF_793_Name" hidden="1">SD_Dropdowns!$AO$2:$AO$3</definedName>
    <definedName name="SD_D_PL_UDF_793_Value" hidden="1">SD_Dropdowns!$AP$2:$AP$3</definedName>
    <definedName name="SD_D_PL_UDF_800" hidden="1">SD_Dropdowns!$BC$2:$BD$3</definedName>
    <definedName name="SD_D_PL_UDF_800_Name" hidden="1">SD_Dropdowns!$BC$2:$BC$3</definedName>
    <definedName name="SD_D_PL_UDF_800_Value" hidden="1">SD_Dropdowns!$BD$2:$BD$3</definedName>
    <definedName name="SD_D_PL_UDF_807" hidden="1">SD_Dropdowns!$BE$2:$BF$3</definedName>
    <definedName name="SD_D_PL_UDF_807_Name" hidden="1">SD_Dropdowns!$BE$2:$BE$3</definedName>
    <definedName name="SD_D_PL_UDF_807_Value" hidden="1">SD_Dropdowns!$BF$2:$BF$3</definedName>
    <definedName name="SD_D_PL_UDF_814" hidden="1">SD_Dropdowns!$BG$2:$BH$3</definedName>
    <definedName name="SD_D_PL_UDF_814_Name" hidden="1">SD_Dropdowns!$BG$2:$BG$3</definedName>
    <definedName name="SD_D_PL_UDF_814_Value" hidden="1">SD_Dropdowns!$BH$2:$BH$3</definedName>
    <definedName name="SD_D_PL_UDF_821" hidden="1">SD_Dropdowns!$BI$2:$BJ$3</definedName>
    <definedName name="SD_D_PL_UDF_821_Name" hidden="1">SD_Dropdowns!$BI$2:$BI$3</definedName>
    <definedName name="SD_D_PL_UDF_821_Value" hidden="1">SD_Dropdowns!$BJ$2:$BJ$3</definedName>
    <definedName name="SD_D_PL_UDF_849" hidden="1">SD_Dropdowns!$BK$2:$BL$3</definedName>
    <definedName name="SD_D_PL_UDF_849_Name" hidden="1">SD_Dropdowns!$BK$2:$BK$3</definedName>
    <definedName name="SD_D_PL_UDF_849_Value" hidden="1">SD_Dropdowns!$BL$2:$BL$3</definedName>
    <definedName name="SD_D_PL_UDF_860" hidden="1">SD_Dropdowns!$AQ$2:$AR$3</definedName>
    <definedName name="SD_D_PL_UDF_860_Name" hidden="1">SD_Dropdowns!$AQ$2:$AQ$3</definedName>
    <definedName name="SD_D_PL_UDF_860_Value" hidden="1">SD_Dropdowns!$AR$2:$AR$3</definedName>
    <definedName name="SD_D_PL_UDF_867" hidden="1">SD_Dropdowns!$BA$2:$BB$3</definedName>
    <definedName name="SD_D_PL_UDF_867_Name" hidden="1">SD_Dropdowns!$BA$2:$BA$3</definedName>
    <definedName name="SD_D_PL_UDF_867_Value" hidden="1">SD_Dropdowns!$BB$2:$BB$3</definedName>
    <definedName name="SD_D_PL_UDF_868" hidden="1">SD_Dropdowns!$BM$2:$BN$3</definedName>
    <definedName name="SD_D_PL_UDF_868_Name" hidden="1">SD_Dropdowns!$BM$2:$BM$3</definedName>
    <definedName name="SD_D_PL_UDF_868_Value" hidden="1">SD_Dropdowns!$BN$2:$BN$3</definedName>
    <definedName name="SD_D_PL_UDF_869" hidden="1">SD_Dropdowns!$BO$2:$BP$3</definedName>
    <definedName name="SD_D_PL_UDF_869_Name" hidden="1">SD_Dropdowns!$BO$2:$BO$3</definedName>
    <definedName name="SD_D_PL_UDF_869_Value" hidden="1">SD_Dropdowns!$BP$2:$BP$3</definedName>
    <definedName name="SD_D_PL_UDF_880" hidden="1">SD_Dropdowns!$AG$2:$AH$9</definedName>
    <definedName name="SD_D_PL_UDF_880_Name" hidden="1">SD_Dropdowns!$AG$2:$AG$9</definedName>
    <definedName name="SD_D_PL_UDF_880_Value" hidden="1">SD_Dropdowns!$AH$2:$AH$9</definedName>
    <definedName name="SD_D_PL_UDF_882" hidden="1">SD_Dropdowns!$AI$2:$AJ$5</definedName>
    <definedName name="SD_D_PL_UDF_882_Name" hidden="1">SD_Dropdowns!$AI$2:$AI$5</definedName>
    <definedName name="SD_D_PL_UDF_882_Value" hidden="1">SD_Dropdowns!$AJ$2:$AJ$5</definedName>
    <definedName name="SD_D_PL_UDF_883" hidden="1">SD_Dropdowns!$AK$2:$AL$5</definedName>
    <definedName name="SD_D_PL_UDF_883_Name" hidden="1">SD_Dropdowns!$AK$2:$AK$5</definedName>
    <definedName name="SD_D_PL_UDF_883_Value" hidden="1">SD_Dropdowns!$AL$2:$AL$5</definedName>
    <definedName name="SD_D_PL_UDF_884" hidden="1">SD_Dropdowns!$AM$2:$AN$7</definedName>
    <definedName name="SD_D_PL_UDF_884_Name" hidden="1">SD_Dropdowns!$AM$2:$AM$7</definedName>
    <definedName name="SD_D_PL_UDF_884_Value" hidden="1">SD_Dropdowns!$AN$2:$AN$7</definedName>
    <definedName name="SD_D_PL_UDF_910" hidden="1">SD_Dropdowns!$AO$2:$AP$8</definedName>
    <definedName name="SD_D_PL_UDF_910_Name" hidden="1">SD_Dropdowns!$AO$2:$AO$8</definedName>
    <definedName name="SD_D_PL_UDF_910_Value" hidden="1">SD_Dropdowns!$AP$2:$AP$8</definedName>
    <definedName name="Site_Control_List" localSheetId="17">[1]!Site_Control_Table[Site Control]</definedName>
    <definedName name="Site_Control_List">Site_Control_Table[Site Control]</definedName>
    <definedName name="State_Funds_List" localSheetId="17">[1]!State_Funds_Table[State Funds]</definedName>
    <definedName name="Tax_Credit_Type_List" localSheetId="17">[1]!Tax_Credit_Type_Table[Type Of Tax Credit]</definedName>
    <definedName name="Tax_Credit_Type_List">Tax_Credit_Type_Table[Type Of Tax Credit]</definedName>
    <definedName name="Tenant_Population_with_Special_Housing_Needs_List" localSheetId="17">[1]!Tenant_Population_with_Special_Housing_Needs_Table[Tenant Population with Special Housing Needs]</definedName>
    <definedName name="Tenant_Population_with_Special_Housing_Needs_List">Tenant_Population_with_Special_Housing_Needs_Table[Tenant Population with Special Housing Needs]</definedName>
    <definedName name="Type_of_Cooling_List">Type_of_Cooling_Table[Type of Cooling In-Unit]</definedName>
    <definedName name="Type_of_Heating_List">Type_of_Heating_Table[Type of Heating In-Unit]</definedName>
    <definedName name="Type_of_Units_Housing_List" localSheetId="17">[1]!Type_of_Units_Housing_Table[Type of Units/Housing]</definedName>
    <definedName name="Type_of_Units_Housing_List">Type_of_Units_Housing_Table[Type of Units/Housing]</definedName>
    <definedName name="Unit_Mix_Type_List" localSheetId="17">[1]!Unit_Mix_Type_Table[Unit Mix Type]</definedName>
    <definedName name="Unit_Mix_Type_List">Unit_Mix_Type_Table[Unit Mix Type]</definedName>
    <definedName name="Unit_Rent_Matrix_Income" localSheetId="17">[1]Calculations!$A$63:$A$240</definedName>
    <definedName name="Unit_Rent_Matrix_Income">Calculations!$A$75:$A$283</definedName>
    <definedName name="Unit_Rent_Matrix_NumberUnits">Calculations!$D$75:$D$283</definedName>
    <definedName name="Unit_Rent_Matrix_TotalRent" localSheetId="17">[1]Calculations!$G$63:$G$240</definedName>
    <definedName name="Unit_Rent_Matrix_TotalRent">Calculations!$G$75:$G$283</definedName>
    <definedName name="Unit_Rent_Matrix_TotalSqFt">Calculations!$F$75:$F$283</definedName>
    <definedName name="Unit_Rent_Matrix_UnitType" localSheetId="17">[1]Calculations!$B$63:$B$240</definedName>
    <definedName name="Unit_Rent_Matrix_UnitType">Calculations!$B$75:$B$283</definedName>
    <definedName name="Utilitiy_Model_List" localSheetId="17">[1]!Utilitiy_Model_Table[Utilitiy Model]</definedName>
    <definedName name="Utilitiy_Model_List">Utilitiy_Model_Table[Utilitiy Model]</definedName>
    <definedName name="Very_Very_Low_Income_Targeting_List" localSheetId="17">[1]!Very_Very_Low_Income_Targeting_Table[Very, Very Low-Income Targeting]</definedName>
    <definedName name="Very_Very_Low_Income_Targeting_List">Very_Very_Low_Income_Targeting_Table[Very, Very Low-Income Targeting]</definedName>
    <definedName name="XXXX" hidden="1">[3]SD_Dropdowns!$IS$2:$IS$10</definedName>
    <definedName name="Yes_No_List" localSheetId="17">[1]!Yes_No_Table[Yes/No]</definedName>
    <definedName name="Yes_No_List">Yes_No_Table[Yes/No]</definedName>
    <definedName name="Yes_No_NA_List" localSheetId="17">[1]!Yes_No_NA_Table[Yes/No/NA]</definedName>
    <definedName name="Yes_No_NA_List">Yes_No_NA_Table[Yes/No/NA]</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4" i="3" l="1"/>
  <c r="G522" i="3"/>
  <c r="D494" i="3"/>
  <c r="D495" i="3"/>
  <c r="B518" i="3"/>
  <c r="G521" i="3"/>
  <c r="B315" i="3"/>
  <c r="D11" i="3"/>
  <c r="F11" i="3" s="1"/>
  <c r="D13" i="3"/>
  <c r="G512" i="3"/>
  <c r="G516" i="3" s="1"/>
  <c r="C287" i="5"/>
  <c r="C1433" i="5"/>
  <c r="C1432" i="5"/>
  <c r="C313" i="5"/>
  <c r="C312" i="5"/>
  <c r="D109" i="44"/>
  <c r="D108" i="44"/>
  <c r="C391" i="5"/>
  <c r="E109" i="44"/>
  <c r="E108" i="44"/>
  <c r="C109" i="44"/>
  <c r="C108" i="44"/>
  <c r="D496" i="3" l="1"/>
  <c r="E11" i="3"/>
  <c r="B11" i="3" s="1"/>
  <c r="G514" i="3"/>
  <c r="G515" i="3" s="1"/>
  <c r="F108" i="44"/>
  <c r="F109" i="44"/>
  <c r="B930" i="5"/>
  <c r="B11" i="2" l="1"/>
  <c r="C755" i="5" s="1"/>
  <c r="D1408" i="5"/>
  <c r="D1426" i="5"/>
  <c r="F119" i="32"/>
  <c r="F147" i="24"/>
  <c r="C273" i="5"/>
  <c r="C271" i="5"/>
  <c r="C288" i="5"/>
  <c r="C289" i="5"/>
  <c r="B1424" i="5"/>
  <c r="B1399" i="5"/>
  <c r="B1397" i="5"/>
  <c r="B1382" i="5"/>
  <c r="A288" i="5"/>
  <c r="A272" i="5"/>
  <c r="F234" i="44"/>
  <c r="B85" i="44"/>
  <c r="B86" i="44"/>
  <c r="B87" i="44"/>
  <c r="A273" i="5"/>
  <c r="A271" i="5"/>
  <c r="C272" i="5"/>
  <c r="A270" i="5"/>
  <c r="C286" i="5"/>
  <c r="A289" i="5"/>
  <c r="A287" i="5"/>
  <c r="A286" i="5"/>
  <c r="D1423" i="5"/>
  <c r="C1423" i="5"/>
  <c r="B1423" i="5"/>
  <c r="G19" i="7"/>
  <c r="L19" i="7"/>
  <c r="C86" i="44"/>
  <c r="F19" i="7"/>
  <c r="I20" i="7"/>
  <c r="J19" i="7"/>
  <c r="C87" i="44"/>
  <c r="H19" i="7"/>
  <c r="G20" i="7"/>
  <c r="J20" i="7"/>
  <c r="C19" i="7"/>
  <c r="F20" i="7"/>
  <c r="I19" i="7"/>
  <c r="H20" i="7"/>
  <c r="D20" i="7"/>
  <c r="C20" i="7"/>
  <c r="E20" i="7"/>
  <c r="D19" i="7"/>
  <c r="E19" i="7"/>
  <c r="C85" i="44"/>
  <c r="C758" i="5" l="1"/>
  <c r="D87" i="44"/>
  <c r="D85" i="44"/>
  <c r="F85" i="44" s="1"/>
  <c r="D86" i="44"/>
  <c r="E86" i="44"/>
  <c r="E87" i="44"/>
  <c r="E85" i="44"/>
  <c r="A85" i="44" l="1"/>
  <c r="A87" i="44"/>
  <c r="F86" i="44"/>
  <c r="A86" i="44" s="1"/>
  <c r="F87" i="44"/>
  <c r="F3" i="3" l="1"/>
  <c r="H3" i="3" s="1"/>
  <c r="C1424" i="5"/>
  <c r="D1424" i="5" s="1"/>
  <c r="D1425" i="5"/>
  <c r="C1425" i="5"/>
  <c r="C1426" i="5"/>
  <c r="B1426" i="5"/>
  <c r="B1425" i="5"/>
  <c r="C1395" i="5"/>
  <c r="D1395" i="5" s="1"/>
  <c r="C1396" i="5"/>
  <c r="D1396" i="5" s="1"/>
  <c r="C1397" i="5"/>
  <c r="D1397" i="5" s="1"/>
  <c r="C1398" i="5"/>
  <c r="D1398" i="5" s="1"/>
  <c r="C1399" i="5"/>
  <c r="D1399" i="5" s="1"/>
  <c r="B1398" i="5"/>
  <c r="B1396" i="5"/>
  <c r="B1395" i="5"/>
  <c r="C1383" i="5"/>
  <c r="D1383" i="5" s="1"/>
  <c r="B1383" i="5"/>
  <c r="C1382" i="5"/>
  <c r="D1382" i="5" s="1"/>
  <c r="C1381" i="5"/>
  <c r="D1381" i="5" s="1"/>
  <c r="B1381" i="5"/>
  <c r="B1452" i="5"/>
  <c r="C1452" i="5"/>
  <c r="D1452" i="5" s="1"/>
  <c r="C1444" i="5"/>
  <c r="D1444" i="5" s="1"/>
  <c r="B1444" i="5"/>
  <c r="M44" i="3"/>
  <c r="B84" i="44"/>
  <c r="C270" i="5"/>
  <c r="C304" i="5"/>
  <c r="C84" i="44"/>
  <c r="D84" i="44" l="1"/>
  <c r="E84" i="44"/>
  <c r="F84" i="44" l="1"/>
  <c r="A84" i="44" s="1"/>
  <c r="C298" i="5" l="1"/>
  <c r="C258" i="5"/>
  <c r="M42" i="3"/>
  <c r="F235" i="44"/>
  <c r="L33" i="7"/>
  <c r="L31" i="7"/>
  <c r="L32" i="7"/>
  <c r="C759" i="5" l="1"/>
  <c r="C752" i="5"/>
  <c r="G1097" i="44"/>
  <c r="C597" i="5" l="1"/>
  <c r="C598" i="5"/>
  <c r="C596" i="5"/>
  <c r="C589" i="5"/>
  <c r="C590" i="5"/>
  <c r="C588" i="5"/>
  <c r="C621" i="5"/>
  <c r="C620" i="5"/>
  <c r="C619" i="5"/>
  <c r="C340" i="5" l="1"/>
  <c r="C341" i="5"/>
  <c r="C342" i="5"/>
  <c r="C343" i="5"/>
  <c r="C339" i="5"/>
  <c r="C336" i="5"/>
  <c r="C337" i="5"/>
  <c r="C338" i="5"/>
  <c r="C335" i="5"/>
  <c r="C334" i="5"/>
  <c r="C331" i="5"/>
  <c r="C332" i="5"/>
  <c r="C333" i="5"/>
  <c r="C327" i="5"/>
  <c r="C328" i="5"/>
  <c r="C329" i="5"/>
  <c r="C330" i="5"/>
  <c r="C326" i="5"/>
  <c r="D1463" i="44" l="1"/>
  <c r="I235" i="44"/>
  <c r="C816" i="5" l="1"/>
  <c r="C559" i="5" l="1"/>
  <c r="C264" i="5"/>
  <c r="C263" i="5"/>
  <c r="C260" i="5"/>
  <c r="C259" i="5"/>
  <c r="C257" i="5"/>
  <c r="C256" i="5"/>
  <c r="C255" i="5"/>
  <c r="C254" i="5"/>
  <c r="B1399" i="44" l="1"/>
  <c r="B1390" i="44"/>
  <c r="J1399" i="44"/>
  <c r="B1094" i="44" l="1"/>
  <c r="D1094" i="44" s="1"/>
  <c r="E1094" i="44"/>
  <c r="C1094" i="44"/>
  <c r="A1094" i="44" l="1"/>
  <c r="F1094" i="44"/>
  <c r="C815" i="5" l="1"/>
  <c r="C814" i="5"/>
  <c r="C813" i="5"/>
  <c r="C812" i="5"/>
  <c r="C811" i="5"/>
  <c r="C810" i="5"/>
  <c r="C809" i="5"/>
  <c r="C808" i="5"/>
  <c r="C807" i="5"/>
  <c r="C806" i="5"/>
  <c r="C803" i="5" l="1"/>
  <c r="C804" i="5"/>
  <c r="C805" i="5"/>
  <c r="C802" i="5"/>
  <c r="C387" i="3" l="1"/>
  <c r="D387" i="3"/>
  <c r="E387" i="3"/>
  <c r="F387" i="3"/>
  <c r="G387" i="3"/>
  <c r="H387" i="3"/>
  <c r="I387" i="3"/>
  <c r="J387" i="3"/>
  <c r="K387" i="3"/>
  <c r="L387" i="3"/>
  <c r="M387" i="3"/>
  <c r="N387" i="3"/>
  <c r="O387" i="3"/>
  <c r="P387" i="3"/>
  <c r="B387" i="3"/>
  <c r="A7" i="12"/>
  <c r="B952" i="44"/>
  <c r="B953" i="44" s="1"/>
  <c r="B954" i="44" s="1"/>
  <c r="B955" i="44" s="1"/>
  <c r="G952" i="44"/>
  <c r="H952" i="44"/>
  <c r="G953" i="44"/>
  <c r="G954" i="44"/>
  <c r="G955" i="44"/>
  <c r="G956" i="44"/>
  <c r="G957" i="44"/>
  <c r="G958" i="44"/>
  <c r="G959" i="44"/>
  <c r="G960" i="44"/>
  <c r="G961" i="44"/>
  <c r="G962" i="44"/>
  <c r="G963" i="44"/>
  <c r="G964" i="44"/>
  <c r="G965" i="44"/>
  <c r="G966" i="44"/>
  <c r="G937" i="44"/>
  <c r="H937" i="44"/>
  <c r="H938" i="44" s="1"/>
  <c r="H939" i="44" s="1"/>
  <c r="H940" i="44" s="1"/>
  <c r="H941" i="44" s="1"/>
  <c r="H942" i="44" s="1"/>
  <c r="H943" i="44" s="1"/>
  <c r="H944" i="44" s="1"/>
  <c r="H945" i="44" s="1"/>
  <c r="H946" i="44" s="1"/>
  <c r="H947" i="44" s="1"/>
  <c r="H948" i="44" s="1"/>
  <c r="H949" i="44" s="1"/>
  <c r="H950" i="44" s="1"/>
  <c r="H951" i="44" s="1"/>
  <c r="G938" i="44"/>
  <c r="G939" i="44"/>
  <c r="G940" i="44"/>
  <c r="G941" i="44"/>
  <c r="G942" i="44"/>
  <c r="G943" i="44"/>
  <c r="G944" i="44"/>
  <c r="G945" i="44"/>
  <c r="G946" i="44"/>
  <c r="G947" i="44"/>
  <c r="G948" i="44"/>
  <c r="G949" i="44"/>
  <c r="G950" i="44"/>
  <c r="G951" i="44"/>
  <c r="C953" i="44"/>
  <c r="C952" i="44"/>
  <c r="B956" i="44" l="1"/>
  <c r="H953" i="44"/>
  <c r="C565" i="5"/>
  <c r="C564" i="5"/>
  <c r="C954" i="44"/>
  <c r="C955" i="44"/>
  <c r="B957" i="44" l="1"/>
  <c r="H954" i="44"/>
  <c r="E282" i="3"/>
  <c r="E283" i="3"/>
  <c r="E284" i="3"/>
  <c r="E285" i="3"/>
  <c r="E286" i="3"/>
  <c r="E273" i="3"/>
  <c r="E274" i="3"/>
  <c r="E275" i="3"/>
  <c r="E276" i="3"/>
  <c r="E277" i="3"/>
  <c r="E278" i="3"/>
  <c r="E265" i="3"/>
  <c r="E266" i="3"/>
  <c r="E267" i="3"/>
  <c r="E268" i="3"/>
  <c r="E269" i="3"/>
  <c r="E256" i="3"/>
  <c r="E257" i="3"/>
  <c r="E258" i="3"/>
  <c r="E259" i="3"/>
  <c r="E260" i="3"/>
  <c r="E261" i="3"/>
  <c r="E238" i="3"/>
  <c r="E239" i="3"/>
  <c r="E240" i="3"/>
  <c r="E241" i="3"/>
  <c r="E242" i="3"/>
  <c r="E222" i="3"/>
  <c r="E223" i="3"/>
  <c r="E224" i="3"/>
  <c r="E225" i="3"/>
  <c r="E226" i="3"/>
  <c r="E203" i="3"/>
  <c r="E204" i="3"/>
  <c r="E205" i="3"/>
  <c r="E206" i="3"/>
  <c r="E207" i="3"/>
  <c r="E187" i="3"/>
  <c r="E188" i="3"/>
  <c r="E189" i="3"/>
  <c r="E190" i="3"/>
  <c r="E191" i="3"/>
  <c r="B1408" i="44"/>
  <c r="F15" i="7"/>
  <c r="C956" i="44"/>
  <c r="H15" i="7"/>
  <c r="J15" i="7"/>
  <c r="E15" i="7"/>
  <c r="D15" i="7"/>
  <c r="C1408" i="44"/>
  <c r="C15" i="7"/>
  <c r="I15" i="7"/>
  <c r="G15" i="7"/>
  <c r="C742" i="5" l="1"/>
  <c r="C741" i="5"/>
  <c r="C751" i="5"/>
  <c r="I717" i="5"/>
  <c r="H717" i="5"/>
  <c r="G717" i="5"/>
  <c r="F717" i="5"/>
  <c r="E717" i="5"/>
  <c r="D717" i="5"/>
  <c r="H955" i="44"/>
  <c r="B958" i="44"/>
  <c r="B54" i="44"/>
  <c r="B52" i="44"/>
  <c r="B43" i="44"/>
  <c r="D43" i="44" s="1"/>
  <c r="B44" i="44"/>
  <c r="B45" i="44"/>
  <c r="D45" i="44" s="1"/>
  <c r="B46" i="44"/>
  <c r="D46" i="44" s="1"/>
  <c r="B41" i="44"/>
  <c r="D41" i="44" s="1"/>
  <c r="E46" i="44"/>
  <c r="C44" i="44"/>
  <c r="C957" i="44"/>
  <c r="C52" i="44"/>
  <c r="E43" i="44"/>
  <c r="E41" i="44"/>
  <c r="E45" i="44"/>
  <c r="C54" i="44"/>
  <c r="B959" i="44" l="1"/>
  <c r="H956" i="44"/>
  <c r="D54" i="44"/>
  <c r="D52" i="44"/>
  <c r="F52" i="44" s="1"/>
  <c r="D44" i="44"/>
  <c r="C563" i="5"/>
  <c r="C688" i="5"/>
  <c r="C799" i="5"/>
  <c r="C800" i="5"/>
  <c r="C801" i="5"/>
  <c r="C110" i="5"/>
  <c r="C89" i="5"/>
  <c r="C293" i="5"/>
  <c r="I116" i="32"/>
  <c r="D385" i="3"/>
  <c r="E385" i="3"/>
  <c r="F97" i="32" s="1"/>
  <c r="F385" i="3"/>
  <c r="G97" i="32" s="1"/>
  <c r="G385" i="3"/>
  <c r="H385" i="3"/>
  <c r="I385" i="3"/>
  <c r="J97" i="32" s="1"/>
  <c r="J385" i="3"/>
  <c r="K385" i="3"/>
  <c r="D114" i="32" s="1"/>
  <c r="L385" i="3"/>
  <c r="C79" i="5" s="1"/>
  <c r="M385" i="3"/>
  <c r="N385" i="3"/>
  <c r="O385" i="3"/>
  <c r="P385" i="3"/>
  <c r="B117" i="32"/>
  <c r="B100" i="32"/>
  <c r="I97" i="32"/>
  <c r="C958" i="44"/>
  <c r="C45" i="44"/>
  <c r="E44" i="44"/>
  <c r="C43" i="44"/>
  <c r="E54" i="44"/>
  <c r="C41" i="44"/>
  <c r="C46" i="44"/>
  <c r="F43" i="44" l="1"/>
  <c r="A43" i="44" s="1"/>
  <c r="F45" i="44"/>
  <c r="A45" i="44" s="1"/>
  <c r="F46" i="44"/>
  <c r="A46" i="44" s="1"/>
  <c r="H957" i="44"/>
  <c r="B960" i="44"/>
  <c r="G114" i="32"/>
  <c r="H114" i="32"/>
  <c r="C93" i="5"/>
  <c r="F114" i="32"/>
  <c r="C86" i="5"/>
  <c r="E114" i="32"/>
  <c r="C23" i="5"/>
  <c r="C58" i="5"/>
  <c r="C107" i="5"/>
  <c r="C100" i="5"/>
  <c r="I114" i="32"/>
  <c r="C72" i="5"/>
  <c r="E97" i="32"/>
  <c r="C37" i="5"/>
  <c r="C65" i="5"/>
  <c r="C114" i="32"/>
  <c r="C30" i="5"/>
  <c r="C51" i="5"/>
  <c r="H97" i="32"/>
  <c r="C44" i="5"/>
  <c r="F54" i="44"/>
  <c r="A54" i="44" s="1"/>
  <c r="F44" i="44"/>
  <c r="A44" i="44" s="1"/>
  <c r="F41" i="44"/>
  <c r="A41" i="44" s="1"/>
  <c r="F116" i="32"/>
  <c r="C386" i="3"/>
  <c r="D386" i="3"/>
  <c r="E386" i="3"/>
  <c r="F386" i="3"/>
  <c r="G386" i="3"/>
  <c r="H386" i="3"/>
  <c r="I386" i="3"/>
  <c r="J386" i="3"/>
  <c r="K386" i="3"/>
  <c r="L386" i="3"/>
  <c r="M386" i="3"/>
  <c r="N386" i="3"/>
  <c r="O386" i="3"/>
  <c r="P386" i="3"/>
  <c r="D4" i="43"/>
  <c r="C4" i="42"/>
  <c r="C4" i="41"/>
  <c r="C384" i="3"/>
  <c r="D384" i="3"/>
  <c r="E384" i="3"/>
  <c r="F384" i="3"/>
  <c r="G384" i="3"/>
  <c r="H384" i="3"/>
  <c r="I384" i="3"/>
  <c r="J384" i="3"/>
  <c r="K384" i="3"/>
  <c r="L384" i="3"/>
  <c r="M384" i="3"/>
  <c r="N384" i="3"/>
  <c r="O384" i="3"/>
  <c r="P384" i="3"/>
  <c r="C383" i="3"/>
  <c r="D383" i="3"/>
  <c r="E383" i="3"/>
  <c r="F383" i="3"/>
  <c r="G383" i="3"/>
  <c r="H383" i="3"/>
  <c r="I383" i="3"/>
  <c r="J383" i="3"/>
  <c r="K383" i="3"/>
  <c r="L383" i="3"/>
  <c r="M383" i="3"/>
  <c r="N383" i="3"/>
  <c r="O383" i="3"/>
  <c r="P383" i="3"/>
  <c r="C385" i="3"/>
  <c r="B386" i="3"/>
  <c r="B385" i="3"/>
  <c r="B384" i="3"/>
  <c r="B383" i="3"/>
  <c r="C95" i="32" s="1"/>
  <c r="C959" i="44"/>
  <c r="E52" i="44"/>
  <c r="A52" i="44" l="1"/>
  <c r="C91" i="5"/>
  <c r="G112" i="32"/>
  <c r="G95" i="32"/>
  <c r="C35" i="5"/>
  <c r="F112" i="32"/>
  <c r="C84" i="5"/>
  <c r="C28" i="5"/>
  <c r="F95" i="32"/>
  <c r="E112" i="32"/>
  <c r="C77" i="5"/>
  <c r="C112" i="32"/>
  <c r="C63" i="5"/>
  <c r="C21" i="5"/>
  <c r="E95" i="32"/>
  <c r="C14" i="5"/>
  <c r="D95" i="32"/>
  <c r="C105" i="5"/>
  <c r="I112" i="32"/>
  <c r="I95" i="32"/>
  <c r="C49" i="5"/>
  <c r="C70" i="5"/>
  <c r="D112" i="32"/>
  <c r="C56" i="5"/>
  <c r="J95" i="32"/>
  <c r="C98" i="5"/>
  <c r="H112" i="32"/>
  <c r="C42" i="5"/>
  <c r="H95" i="32"/>
  <c r="B961" i="44"/>
  <c r="H958" i="44"/>
  <c r="G96" i="32"/>
  <c r="C36" i="5"/>
  <c r="E140" i="24"/>
  <c r="C78" i="5"/>
  <c r="E113" i="32"/>
  <c r="E96" i="32"/>
  <c r="C22" i="5"/>
  <c r="C29" i="5"/>
  <c r="F96" i="32"/>
  <c r="D140" i="24"/>
  <c r="C71" i="5"/>
  <c r="D113" i="32"/>
  <c r="C15" i="5"/>
  <c r="D96" i="32"/>
  <c r="C57" i="5"/>
  <c r="J96" i="32"/>
  <c r="G140" i="24"/>
  <c r="C92" i="5"/>
  <c r="G113" i="32"/>
  <c r="F140" i="24"/>
  <c r="C85" i="5"/>
  <c r="F113" i="32"/>
  <c r="C8" i="5"/>
  <c r="C96" i="32"/>
  <c r="C140" i="24"/>
  <c r="C113" i="32"/>
  <c r="C64" i="5"/>
  <c r="I140" i="24"/>
  <c r="I113" i="32"/>
  <c r="C106" i="5"/>
  <c r="C50" i="5"/>
  <c r="I96" i="32"/>
  <c r="H140" i="24"/>
  <c r="H113" i="32"/>
  <c r="C99" i="5"/>
  <c r="C43" i="5"/>
  <c r="H96" i="32"/>
  <c r="C17" i="5"/>
  <c r="D98" i="32"/>
  <c r="C80" i="5"/>
  <c r="E115" i="32"/>
  <c r="C115" i="32"/>
  <c r="C66" i="5"/>
  <c r="I125" i="24"/>
  <c r="I99" i="32"/>
  <c r="C54" i="5"/>
  <c r="C116" i="32"/>
  <c r="C68" i="5"/>
  <c r="D115" i="32"/>
  <c r="C73" i="5"/>
  <c r="C98" i="32"/>
  <c r="C10" i="5"/>
  <c r="H116" i="32"/>
  <c r="C103" i="5"/>
  <c r="C108" i="5"/>
  <c r="I115" i="32"/>
  <c r="C52" i="5"/>
  <c r="I98" i="32"/>
  <c r="C96" i="5"/>
  <c r="G116" i="32"/>
  <c r="C40" i="5"/>
  <c r="G99" i="32"/>
  <c r="G125" i="24"/>
  <c r="C101" i="5"/>
  <c r="H115" i="32"/>
  <c r="C45" i="5"/>
  <c r="H98" i="32"/>
  <c r="F99" i="32"/>
  <c r="C33" i="5"/>
  <c r="F125" i="24"/>
  <c r="E98" i="32"/>
  <c r="C24" i="5"/>
  <c r="C61" i="5"/>
  <c r="J99" i="32"/>
  <c r="J125" i="24"/>
  <c r="C59" i="5"/>
  <c r="J98" i="32"/>
  <c r="H125" i="24"/>
  <c r="C47" i="5"/>
  <c r="H99" i="32"/>
  <c r="C94" i="5"/>
  <c r="G115" i="32"/>
  <c r="C38" i="5"/>
  <c r="G98" i="32"/>
  <c r="C82" i="5"/>
  <c r="E116" i="32"/>
  <c r="F115" i="32"/>
  <c r="C87" i="5"/>
  <c r="F98" i="32"/>
  <c r="C31" i="5"/>
  <c r="D116" i="32"/>
  <c r="C75" i="5"/>
  <c r="E99" i="32"/>
  <c r="E125" i="24"/>
  <c r="C26" i="5"/>
  <c r="C19" i="5"/>
  <c r="D99" i="32"/>
  <c r="D125" i="24"/>
  <c r="C16" i="5"/>
  <c r="D97" i="32"/>
  <c r="C9" i="5"/>
  <c r="C97" i="32"/>
  <c r="G122" i="24"/>
  <c r="C122" i="24"/>
  <c r="D123" i="24"/>
  <c r="E123" i="24"/>
  <c r="G123" i="24"/>
  <c r="H123" i="24"/>
  <c r="I123" i="24"/>
  <c r="C124" i="24"/>
  <c r="C690" i="5"/>
  <c r="C689" i="5"/>
  <c r="C551" i="5"/>
  <c r="C550" i="5"/>
  <c r="D124" i="24"/>
  <c r="E124" i="24"/>
  <c r="F124" i="24"/>
  <c r="G124" i="24"/>
  <c r="H124" i="24"/>
  <c r="I124" i="24"/>
  <c r="J124" i="24"/>
  <c r="F123" i="24"/>
  <c r="J123" i="24"/>
  <c r="D122" i="24"/>
  <c r="E122" i="24"/>
  <c r="F122" i="24"/>
  <c r="H122" i="24"/>
  <c r="I122" i="24"/>
  <c r="A384" i="3"/>
  <c r="A385" i="3"/>
  <c r="A386" i="3"/>
  <c r="A387" i="3"/>
  <c r="A383" i="3"/>
  <c r="C123" i="24"/>
  <c r="C960" i="44"/>
  <c r="B125" i="24" l="1"/>
  <c r="B116" i="32"/>
  <c r="B99" i="32"/>
  <c r="C25" i="5"/>
  <c r="C60" i="5"/>
  <c r="C53" i="5"/>
  <c r="C74" i="5"/>
  <c r="C18" i="5"/>
  <c r="C102" i="5"/>
  <c r="C95" i="5"/>
  <c r="C39" i="5"/>
  <c r="C32" i="5"/>
  <c r="C81" i="5"/>
  <c r="C67" i="5"/>
  <c r="C11" i="5"/>
  <c r="C109" i="5"/>
  <c r="C46" i="5"/>
  <c r="C88" i="5"/>
  <c r="B97" i="32"/>
  <c r="B114" i="32"/>
  <c r="H959" i="44"/>
  <c r="B962" i="44"/>
  <c r="B122" i="24"/>
  <c r="B140" i="24"/>
  <c r="B96" i="32"/>
  <c r="B113" i="32"/>
  <c r="C125" i="24"/>
  <c r="C99" i="32"/>
  <c r="C12" i="5"/>
  <c r="B115" i="32"/>
  <c r="B98" i="32"/>
  <c r="J122" i="24"/>
  <c r="B126" i="24"/>
  <c r="B123" i="24"/>
  <c r="B124" i="24"/>
  <c r="C961" i="44"/>
  <c r="B963" i="44" l="1"/>
  <c r="H960" i="44"/>
  <c r="J48" i="42"/>
  <c r="J47" i="42"/>
  <c r="B62" i="42"/>
  <c r="E62" i="42"/>
  <c r="J22" i="42"/>
  <c r="C962" i="44"/>
  <c r="H961" i="44" l="1"/>
  <c r="B964" i="44"/>
  <c r="K14" i="7"/>
  <c r="K7" i="7"/>
  <c r="K5" i="7"/>
  <c r="C731" i="5"/>
  <c r="C732" i="5"/>
  <c r="C733" i="5"/>
  <c r="C734" i="5"/>
  <c r="C282" i="5"/>
  <c r="A282" i="5"/>
  <c r="H34" i="7"/>
  <c r="I34" i="7"/>
  <c r="L34" i="7"/>
  <c r="C16" i="7"/>
  <c r="F5" i="7"/>
  <c r="I33" i="7"/>
  <c r="E33" i="7"/>
  <c r="H33" i="7"/>
  <c r="J5" i="7"/>
  <c r="G5" i="7"/>
  <c r="J33" i="7"/>
  <c r="G33" i="7"/>
  <c r="G16" i="7"/>
  <c r="J16" i="7"/>
  <c r="L20" i="7"/>
  <c r="D5" i="7"/>
  <c r="E34" i="7"/>
  <c r="I5" i="7"/>
  <c r="F34" i="7"/>
  <c r="D34" i="7"/>
  <c r="L22" i="7"/>
  <c r="E5" i="7"/>
  <c r="L16" i="7"/>
  <c r="C34" i="7"/>
  <c r="I16" i="7"/>
  <c r="H5" i="7"/>
  <c r="E16" i="7"/>
  <c r="L21" i="7"/>
  <c r="C33" i="7"/>
  <c r="C5" i="7"/>
  <c r="F16" i="7"/>
  <c r="F33" i="7"/>
  <c r="C963" i="44"/>
  <c r="L14" i="7"/>
  <c r="H16" i="7"/>
  <c r="L3" i="7"/>
  <c r="J34" i="7"/>
  <c r="L23" i="7"/>
  <c r="D16" i="7"/>
  <c r="D33" i="7"/>
  <c r="G34" i="7"/>
  <c r="L15" i="7"/>
  <c r="H711" i="5" l="1"/>
  <c r="G711" i="5"/>
  <c r="F711" i="5"/>
  <c r="D711" i="5"/>
  <c r="I711" i="5"/>
  <c r="E711" i="5"/>
  <c r="B20" i="7"/>
  <c r="C750" i="5"/>
  <c r="C749" i="5"/>
  <c r="B965" i="44"/>
  <c r="H962" i="44"/>
  <c r="K17" i="7"/>
  <c r="K18" i="7" s="1"/>
  <c r="K27" i="7"/>
  <c r="A161" i="3"/>
  <c r="B161" i="3"/>
  <c r="B1567" i="44"/>
  <c r="C277" i="5"/>
  <c r="B28" i="3"/>
  <c r="A218" i="5"/>
  <c r="C218" i="5"/>
  <c r="H17" i="7"/>
  <c r="I17" i="7"/>
  <c r="L24" i="7"/>
  <c r="I54" i="44" a="1"/>
  <c r="E17" i="7"/>
  <c r="C17" i="7"/>
  <c r="H54" i="44" a="1"/>
  <c r="C964" i="44"/>
  <c r="F17" i="7"/>
  <c r="L18" i="7"/>
  <c r="H963" i="44" l="1"/>
  <c r="B966" i="44"/>
  <c r="H54" i="44"/>
  <c r="I54" i="44"/>
  <c r="G5" i="30"/>
  <c r="C965" i="44"/>
  <c r="L17" i="7"/>
  <c r="G17" i="7"/>
  <c r="J17" i="7"/>
  <c r="D17" i="7"/>
  <c r="C966" i="44"/>
  <c r="H964" i="44" l="1"/>
  <c r="C514" i="5"/>
  <c r="C513" i="5"/>
  <c r="H965" i="44" l="1"/>
  <c r="L1478" i="44"/>
  <c r="L1477" i="44"/>
  <c r="L1476" i="44"/>
  <c r="L1475" i="44"/>
  <c r="F1478" i="44"/>
  <c r="D1478" i="44"/>
  <c r="F1476" i="44"/>
  <c r="D1476" i="44"/>
  <c r="F1475" i="44"/>
  <c r="D1475" i="44"/>
  <c r="F1474" i="44"/>
  <c r="F1473" i="44"/>
  <c r="F1472" i="44"/>
  <c r="F1470" i="44"/>
  <c r="F1469" i="44"/>
  <c r="F1468" i="44"/>
  <c r="F1467" i="44"/>
  <c r="L1473" i="44"/>
  <c r="L1472" i="44"/>
  <c r="L1474" i="44"/>
  <c r="H1470" i="44"/>
  <c r="H1469" i="44"/>
  <c r="H1468" i="44"/>
  <c r="H1467" i="44"/>
  <c r="K1475" i="44"/>
  <c r="K1477" i="44"/>
  <c r="K1478" i="44"/>
  <c r="K1476" i="44"/>
  <c r="H966" i="44" l="1"/>
  <c r="B74" i="44"/>
  <c r="B75" i="44"/>
  <c r="D75" i="44" s="1"/>
  <c r="J1476" i="44"/>
  <c r="C74" i="44"/>
  <c r="J1475" i="44"/>
  <c r="E75" i="44"/>
  <c r="J1478" i="44"/>
  <c r="E1478" i="44" l="1"/>
  <c r="A1478" i="44" s="1"/>
  <c r="E1476" i="44"/>
  <c r="A1476" i="44" s="1"/>
  <c r="E1475" i="44"/>
  <c r="A1475" i="44" s="1"/>
  <c r="A75" i="44"/>
  <c r="D74" i="44"/>
  <c r="F74" i="44" s="1"/>
  <c r="C75" i="44"/>
  <c r="F75" i="44" l="1"/>
  <c r="E74" i="44"/>
  <c r="A74" i="44" l="1"/>
  <c r="C278" i="5"/>
  <c r="D1422" i="5" l="1"/>
  <c r="C1421" i="5"/>
  <c r="D1421" i="5" s="1"/>
  <c r="C1422" i="5"/>
  <c r="H1362" i="44"/>
  <c r="B1453" i="44"/>
  <c r="B1444" i="44"/>
  <c r="B1435" i="44"/>
  <c r="B1426" i="44"/>
  <c r="B1417" i="44"/>
  <c r="B1381" i="44"/>
  <c r="B1372" i="44"/>
  <c r="B1363" i="44"/>
  <c r="B1353" i="44"/>
  <c r="B1344" i="44"/>
  <c r="B1335" i="44"/>
  <c r="B1326" i="44"/>
  <c r="B1317" i="44"/>
  <c r="B1308" i="44"/>
  <c r="B1299" i="44"/>
  <c r="B1290" i="44"/>
  <c r="B1281" i="44"/>
  <c r="B1272" i="44"/>
  <c r="B1263" i="44"/>
  <c r="B1254" i="44"/>
  <c r="B1245" i="44"/>
  <c r="B1236" i="44"/>
  <c r="B1227" i="44"/>
  <c r="B1218" i="44"/>
  <c r="B1209" i="44"/>
  <c r="B1200" i="44"/>
  <c r="B1189" i="44"/>
  <c r="B1178" i="44"/>
  <c r="B1169" i="44"/>
  <c r="B1160"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51" i="44"/>
  <c r="B1142" i="44"/>
  <c r="B1137" i="44"/>
  <c r="B1103" i="44"/>
  <c r="B1102" i="44"/>
  <c r="H3" i="7"/>
  <c r="J3" i="7"/>
  <c r="G3" i="7"/>
  <c r="I3" i="7"/>
  <c r="E32" i="43" l="1"/>
  <c r="E24" i="43"/>
  <c r="K6" i="7"/>
  <c r="C262" i="5"/>
  <c r="C276" i="5"/>
  <c r="C275" i="5"/>
  <c r="C314" i="5"/>
  <c r="E16" i="43"/>
  <c r="E40" i="43"/>
  <c r="C5" i="42" l="1"/>
  <c r="D5" i="43"/>
  <c r="G47" i="42"/>
  <c r="G46" i="42"/>
  <c r="G45" i="42"/>
  <c r="J55" i="42" l="1"/>
  <c r="J53" i="42"/>
  <c r="J52" i="42"/>
  <c r="J51" i="42"/>
  <c r="J46" i="42"/>
  <c r="J45" i="42"/>
  <c r="J44" i="42"/>
  <c r="J43" i="42"/>
  <c r="J42" i="42"/>
  <c r="J41" i="42"/>
  <c r="J40" i="42"/>
  <c r="J39" i="42"/>
  <c r="J35" i="42"/>
  <c r="J32" i="42"/>
  <c r="J31" i="42"/>
  <c r="J30" i="42"/>
  <c r="J29" i="42"/>
  <c r="J28" i="42"/>
  <c r="J27" i="42"/>
  <c r="J26" i="42"/>
  <c r="J25" i="42"/>
  <c r="J20" i="42"/>
  <c r="J18" i="42"/>
  <c r="J17" i="42"/>
  <c r="J16" i="42"/>
  <c r="J15" i="42"/>
  <c r="J14" i="42"/>
  <c r="J13" i="42"/>
  <c r="J12" i="42"/>
  <c r="J11" i="42"/>
  <c r="B210" i="3" l="1"/>
  <c r="J49" i="42" l="1"/>
  <c r="J37" i="42"/>
  <c r="C5" i="41"/>
  <c r="C3" i="41"/>
  <c r="C566" i="5"/>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09" i="44"/>
  <c r="H1253" i="44"/>
  <c r="H1252" i="44"/>
  <c r="H1251" i="44"/>
  <c r="H1250" i="44"/>
  <c r="H1249" i="44"/>
  <c r="H1248" i="44"/>
  <c r="H1247" i="44"/>
  <c r="H1246" i="44"/>
  <c r="H1245" i="44"/>
  <c r="H1325" i="44"/>
  <c r="H1324" i="44"/>
  <c r="H1323" i="44"/>
  <c r="H1322" i="44"/>
  <c r="H1321" i="44"/>
  <c r="H1320" i="44"/>
  <c r="H1319"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272" i="44"/>
  <c r="H1371" i="44"/>
  <c r="H1370" i="44"/>
  <c r="H1369" i="44"/>
  <c r="H1368" i="44"/>
  <c r="H1367" i="44"/>
  <c r="H1366" i="44"/>
  <c r="H1365" i="44"/>
  <c r="H1364" i="44"/>
  <c r="H1363" i="44"/>
  <c r="H1361" i="44"/>
  <c r="H1360" i="44"/>
  <c r="H1359" i="44"/>
  <c r="H1358" i="44"/>
  <c r="H1357" i="44"/>
  <c r="H1356" i="44"/>
  <c r="H1355" i="44"/>
  <c r="H1354" i="44"/>
  <c r="H1353" i="44"/>
  <c r="H1425" i="44"/>
  <c r="H1424" i="44"/>
  <c r="H1423" i="44"/>
  <c r="H1422" i="44"/>
  <c r="H1421" i="44"/>
  <c r="H1420" i="44"/>
  <c r="H1419" i="44"/>
  <c r="H1418" i="44"/>
  <c r="H1417"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7" i="44"/>
  <c r="H1132" i="44"/>
  <c r="H1127" i="44"/>
  <c r="H1126" i="44"/>
  <c r="H1122" i="44"/>
  <c r="H1121" i="44"/>
  <c r="H1120" i="44"/>
  <c r="H1119" i="44"/>
  <c r="H1118" i="44"/>
  <c r="H1117" i="44"/>
  <c r="H1114" i="44"/>
  <c r="H1112" i="44"/>
  <c r="H1111" i="44"/>
  <c r="H1110" i="44"/>
  <c r="H1108" i="44"/>
  <c r="H1107" i="44"/>
  <c r="H1106" i="44"/>
  <c r="H1105" i="44"/>
  <c r="H1104" i="44"/>
  <c r="H1103" i="44"/>
  <c r="H1102" i="44"/>
  <c r="K13" i="7"/>
  <c r="K12" i="7"/>
  <c r="K11" i="7"/>
  <c r="K10" i="7"/>
  <c r="K8" i="7"/>
  <c r="K9" i="7"/>
  <c r="J6" i="7"/>
  <c r="C11" i="7"/>
  <c r="D13" i="7"/>
  <c r="D14" i="7"/>
  <c r="F22" i="7"/>
  <c r="E23" i="7"/>
  <c r="C10" i="7"/>
  <c r="J4" i="7"/>
  <c r="E12" i="7"/>
  <c r="E36" i="7"/>
  <c r="G4" i="7"/>
  <c r="I8" i="7"/>
  <c r="L12" i="7"/>
  <c r="H36" i="7"/>
  <c r="D8" i="7"/>
  <c r="D23" i="7"/>
  <c r="E9" i="7"/>
  <c r="I13" i="7"/>
  <c r="G7" i="7"/>
  <c r="J22" i="7"/>
  <c r="I36" i="7"/>
  <c r="D12" i="7"/>
  <c r="F14" i="7"/>
  <c r="C14" i="7"/>
  <c r="C36" i="7"/>
  <c r="C6" i="7"/>
  <c r="L36" i="7"/>
  <c r="H9" i="7"/>
  <c r="C22" i="7"/>
  <c r="I22" i="7"/>
  <c r="D4" i="7"/>
  <c r="H14" i="7"/>
  <c r="C4" i="7"/>
  <c r="L8" i="7"/>
  <c r="G12" i="7"/>
  <c r="L4" i="7"/>
  <c r="L6" i="7"/>
  <c r="F36" i="7"/>
  <c r="F23" i="7"/>
  <c r="I12" i="7"/>
  <c r="E8" i="7"/>
  <c r="I4" i="7"/>
  <c r="D11" i="7"/>
  <c r="G36" i="7"/>
  <c r="F9" i="7"/>
  <c r="D22" i="7"/>
  <c r="H4" i="7"/>
  <c r="F8" i="7"/>
  <c r="G8" i="7"/>
  <c r="H22" i="7"/>
  <c r="E22" i="7"/>
  <c r="E4" i="7"/>
  <c r="C8" i="7"/>
  <c r="L5" i="7"/>
  <c r="H39" i="7"/>
  <c r="F12" i="7"/>
  <c r="G39" i="7"/>
  <c r="G11" i="7"/>
  <c r="C9" i="7"/>
  <c r="J23" i="7"/>
  <c r="J36" i="7"/>
  <c r="L9" i="7"/>
  <c r="I9" i="7"/>
  <c r="G9" i="7"/>
  <c r="D6" i="7"/>
  <c r="G22" i="7"/>
  <c r="F4" i="7"/>
  <c r="D36" i="7"/>
  <c r="F11" i="7"/>
  <c r="E13" i="7"/>
  <c r="B5" i="7" l="1"/>
  <c r="C711" i="5" s="1"/>
  <c r="A711" i="5" s="1"/>
  <c r="I722" i="5"/>
  <c r="I712" i="5"/>
  <c r="H716" i="5"/>
  <c r="H715" i="5"/>
  <c r="G715" i="5"/>
  <c r="G722" i="5"/>
  <c r="F715" i="5"/>
  <c r="F716" i="5"/>
  <c r="F722" i="5"/>
  <c r="E715" i="5"/>
  <c r="E712" i="5"/>
  <c r="E716" i="5"/>
  <c r="E722" i="5"/>
  <c r="D714" i="5"/>
  <c r="D712" i="5"/>
  <c r="C547" i="5"/>
  <c r="C546" i="5"/>
  <c r="C544" i="5"/>
  <c r="C543" i="5"/>
  <c r="C542" i="5"/>
  <c r="D3" i="43"/>
  <c r="C3" i="42"/>
  <c r="C636" i="5"/>
  <c r="C633" i="5"/>
  <c r="C628" i="5"/>
  <c r="C632" i="5"/>
  <c r="C631" i="5"/>
  <c r="C629" i="5"/>
  <c r="C630" i="5"/>
  <c r="C685" i="5"/>
  <c r="C667" i="5"/>
  <c r="C625" i="5"/>
  <c r="C615" i="5"/>
  <c r="C605" i="5"/>
  <c r="C603" i="5"/>
  <c r="C592" i="5"/>
  <c r="C587" i="5"/>
  <c r="C585" i="5"/>
  <c r="C584" i="5"/>
  <c r="C573" i="5"/>
  <c r="C562" i="5"/>
  <c r="B36" i="7"/>
  <c r="B15" i="7"/>
  <c r="C717" i="5" s="1"/>
  <c r="A717" i="5" s="1"/>
  <c r="B14" i="7"/>
  <c r="B16" i="7"/>
  <c r="B22" i="7"/>
  <c r="B12" i="7"/>
  <c r="C715" i="5" s="1"/>
  <c r="A715" i="5" s="1"/>
  <c r="B9" i="7"/>
  <c r="B8" i="7"/>
  <c r="B6" i="7"/>
  <c r="C712" i="5" s="1"/>
  <c r="A712" i="5" s="1"/>
  <c r="B4" i="7"/>
  <c r="B3" i="7"/>
  <c r="D1471" i="44"/>
  <c r="D1467" i="44"/>
  <c r="D1468" i="44"/>
  <c r="D1469" i="44"/>
  <c r="D1470" i="44"/>
  <c r="D1472" i="44"/>
  <c r="D1473" i="44"/>
  <c r="D1474" i="44"/>
  <c r="D1477" i="44"/>
  <c r="D1494" i="44"/>
  <c r="D1493" i="44"/>
  <c r="D1492" i="44"/>
  <c r="D1491" i="44"/>
  <c r="D1490" i="44"/>
  <c r="D1489" i="44"/>
  <c r="D1488" i="44"/>
  <c r="D1487" i="44"/>
  <c r="D1486" i="44"/>
  <c r="D1485" i="44"/>
  <c r="D1484" i="44"/>
  <c r="D1483" i="44"/>
  <c r="D1482" i="44"/>
  <c r="D1481" i="44"/>
  <c r="D1480" i="44"/>
  <c r="D1479" i="44"/>
  <c r="J24" i="7"/>
  <c r="L11" i="7"/>
  <c r="C12" i="7"/>
  <c r="C1491" i="44"/>
  <c r="E1486" i="44"/>
  <c r="F10" i="7"/>
  <c r="C37" i="7"/>
  <c r="F6" i="7"/>
  <c r="I37" i="7"/>
  <c r="J39" i="7"/>
  <c r="E10" i="7"/>
  <c r="J14" i="7"/>
  <c r="H6" i="7"/>
  <c r="L37" i="7"/>
  <c r="G38" i="7"/>
  <c r="C1484" i="44"/>
  <c r="E1484" i="44"/>
  <c r="J11" i="7"/>
  <c r="I14" i="7"/>
  <c r="C1483" i="44"/>
  <c r="F37" i="7"/>
  <c r="D9" i="7"/>
  <c r="E1493" i="44"/>
  <c r="E6" i="7"/>
  <c r="D39" i="7"/>
  <c r="E1483" i="44"/>
  <c r="E1488" i="44"/>
  <c r="H23" i="7"/>
  <c r="I10" i="7"/>
  <c r="C1487" i="44"/>
  <c r="C1488" i="44"/>
  <c r="H37" i="7"/>
  <c r="C1471" i="44"/>
  <c r="I39" i="7"/>
  <c r="H13" i="7"/>
  <c r="I11" i="7"/>
  <c r="J38" i="7"/>
  <c r="E1490" i="44"/>
  <c r="I6" i="7"/>
  <c r="E38" i="7"/>
  <c r="G23" i="7"/>
  <c r="C7" i="7"/>
  <c r="E1494" i="44"/>
  <c r="C1486" i="44"/>
  <c r="I38" i="7"/>
  <c r="J10" i="7"/>
  <c r="J13" i="7"/>
  <c r="F38" i="7"/>
  <c r="H10" i="7"/>
  <c r="D7" i="7"/>
  <c r="D38" i="7"/>
  <c r="G14" i="7"/>
  <c r="G6" i="7"/>
  <c r="L38" i="7"/>
  <c r="F39" i="7"/>
  <c r="E1492" i="44"/>
  <c r="H11" i="7"/>
  <c r="J7" i="7"/>
  <c r="F7" i="7"/>
  <c r="E39" i="7"/>
  <c r="E1471" i="44"/>
  <c r="C1492" i="44"/>
  <c r="C1494" i="44"/>
  <c r="H12" i="7"/>
  <c r="C13" i="7"/>
  <c r="C1490" i="44"/>
  <c r="D10" i="7"/>
  <c r="C1134" i="44"/>
  <c r="L13" i="7"/>
  <c r="I7" i="7"/>
  <c r="D37" i="7"/>
  <c r="E11" i="7"/>
  <c r="C1493" i="44"/>
  <c r="I23" i="7"/>
  <c r="L7" i="7"/>
  <c r="F13" i="7"/>
  <c r="J37" i="7"/>
  <c r="G37" i="7"/>
  <c r="L39" i="7"/>
  <c r="C1133" i="44"/>
  <c r="E1491" i="44"/>
  <c r="E7" i="7"/>
  <c r="H38" i="7"/>
  <c r="H7" i="7"/>
  <c r="C23" i="7"/>
  <c r="H8" i="7"/>
  <c r="G13" i="7"/>
  <c r="E14" i="7"/>
  <c r="C38" i="7"/>
  <c r="J12" i="7"/>
  <c r="E37" i="7"/>
  <c r="J8" i="7"/>
  <c r="C39" i="7"/>
  <c r="J9" i="7"/>
  <c r="L10" i="7"/>
  <c r="G10" i="7"/>
  <c r="C583" i="5" l="1"/>
  <c r="I716" i="5"/>
  <c r="C626" i="5"/>
  <c r="D716" i="5"/>
  <c r="C623" i="5"/>
  <c r="C569" i="5"/>
  <c r="G716" i="5"/>
  <c r="B13" i="7"/>
  <c r="C716" i="5" s="1"/>
  <c r="A716" i="5" s="1"/>
  <c r="C624" i="5"/>
  <c r="B11" i="7"/>
  <c r="C591" i="5" s="1"/>
  <c r="C593" i="5"/>
  <c r="C595" i="5"/>
  <c r="C594" i="5"/>
  <c r="I715" i="5"/>
  <c r="I714" i="5"/>
  <c r="I713" i="5"/>
  <c r="I723" i="5"/>
  <c r="H722" i="5"/>
  <c r="H714" i="5"/>
  <c r="H713" i="5"/>
  <c r="H712" i="5"/>
  <c r="G714" i="5"/>
  <c r="G712" i="5"/>
  <c r="G713" i="5"/>
  <c r="F714" i="5"/>
  <c r="F712" i="5"/>
  <c r="F713" i="5"/>
  <c r="E714" i="5"/>
  <c r="E713" i="5"/>
  <c r="D722" i="5"/>
  <c r="D715" i="5"/>
  <c r="D713" i="5"/>
  <c r="C627" i="5"/>
  <c r="C683" i="5"/>
  <c r="C614" i="5"/>
  <c r="C599" i="5"/>
  <c r="C635" i="5"/>
  <c r="C634" i="5"/>
  <c r="C687" i="5"/>
  <c r="C686" i="5"/>
  <c r="C684" i="5"/>
  <c r="C672" i="5"/>
  <c r="C666" i="5"/>
  <c r="C665" i="5"/>
  <c r="C664" i="5"/>
  <c r="C618" i="5"/>
  <c r="C617" i="5"/>
  <c r="C616" i="5"/>
  <c r="C613" i="5"/>
  <c r="C612" i="5"/>
  <c r="C611" i="5"/>
  <c r="C610" i="5"/>
  <c r="C608" i="5"/>
  <c r="C607" i="5"/>
  <c r="C606" i="5"/>
  <c r="C602" i="5"/>
  <c r="C601" i="5"/>
  <c r="C600" i="5"/>
  <c r="C586" i="5"/>
  <c r="B37" i="7"/>
  <c r="B10" i="7"/>
  <c r="C714" i="5" s="1"/>
  <c r="A714" i="5" s="1"/>
  <c r="C567" i="5"/>
  <c r="B38" i="7"/>
  <c r="B39" i="7"/>
  <c r="C580" i="5"/>
  <c r="B7" i="7"/>
  <c r="C713" i="5" s="1"/>
  <c r="A713" i="5" s="1"/>
  <c r="B23" i="7"/>
  <c r="C722" i="5" s="1"/>
  <c r="A722" i="5" s="1"/>
  <c r="F1471" i="44"/>
  <c r="A1471" i="44" s="1"/>
  <c r="F1494" i="44"/>
  <c r="A1494" i="44" s="1"/>
  <c r="F1492" i="44"/>
  <c r="A1492" i="44" s="1"/>
  <c r="F1493" i="44"/>
  <c r="A1493" i="44" s="1"/>
  <c r="A1491" i="44"/>
  <c r="F1490" i="44"/>
  <c r="A1490" i="44" s="1"/>
  <c r="F1491" i="44"/>
  <c r="F1488" i="44"/>
  <c r="A1488" i="44" s="1"/>
  <c r="F1486" i="44"/>
  <c r="A1487" i="44"/>
  <c r="A1486" i="44"/>
  <c r="F1483" i="44"/>
  <c r="A1483" i="44" s="1"/>
  <c r="F1484" i="44"/>
  <c r="A1484" i="44" s="1"/>
  <c r="L1470" i="44"/>
  <c r="L1469" i="44"/>
  <c r="L1468" i="44"/>
  <c r="L1467" i="44"/>
  <c r="D1466" i="44"/>
  <c r="D1465" i="44"/>
  <c r="D1464" i="44"/>
  <c r="B1179" i="44"/>
  <c r="B1180" i="44" s="1"/>
  <c r="B1181" i="44" s="1"/>
  <c r="D1178" i="44"/>
  <c r="D1169" i="44"/>
  <c r="D1160" i="44"/>
  <c r="D1151" i="44"/>
  <c r="D1142" i="44"/>
  <c r="D1133" i="44"/>
  <c r="D1121" i="44"/>
  <c r="D1109" i="44"/>
  <c r="D1108" i="44"/>
  <c r="D1107" i="44"/>
  <c r="D1106" i="44"/>
  <c r="D1105" i="44"/>
  <c r="D1104" i="44"/>
  <c r="D1103" i="44"/>
  <c r="D1102" i="44"/>
  <c r="L1102" i="44" s="1"/>
  <c r="C1480" i="44"/>
  <c r="J1169" i="44"/>
  <c r="J1181" i="44"/>
  <c r="C24" i="7"/>
  <c r="E24" i="7"/>
  <c r="E1466" i="44"/>
  <c r="C1106" i="44"/>
  <c r="C1465" i="44"/>
  <c r="C1105" i="44"/>
  <c r="J1151" i="44"/>
  <c r="C1464" i="44"/>
  <c r="C1102" i="44"/>
  <c r="C1122" i="44"/>
  <c r="J1160" i="44"/>
  <c r="F24" i="7"/>
  <c r="C1107" i="44"/>
  <c r="G24" i="7"/>
  <c r="C1110" i="44"/>
  <c r="J25" i="7"/>
  <c r="D24" i="7"/>
  <c r="C1103" i="44"/>
  <c r="J1178" i="44"/>
  <c r="C1108" i="44"/>
  <c r="C1479" i="44"/>
  <c r="I24" i="7"/>
  <c r="H24" i="7"/>
  <c r="C1481" i="44"/>
  <c r="C1104" i="44"/>
  <c r="E1465" i="44"/>
  <c r="C1466" i="44"/>
  <c r="C1123" i="44"/>
  <c r="J1142" i="44"/>
  <c r="C1463" i="44"/>
  <c r="C1109" i="44"/>
  <c r="C1482" i="44"/>
  <c r="C622" i="5" l="1"/>
  <c r="I724" i="5"/>
  <c r="H723" i="5"/>
  <c r="G723" i="5"/>
  <c r="F723" i="5"/>
  <c r="E723" i="5"/>
  <c r="D723" i="5"/>
  <c r="C609" i="5"/>
  <c r="C604" i="5"/>
  <c r="C638" i="5"/>
  <c r="C642" i="5"/>
  <c r="C639" i="5"/>
  <c r="C640" i="5"/>
  <c r="C641" i="5"/>
  <c r="C677" i="5"/>
  <c r="C671" i="5"/>
  <c r="C670" i="5"/>
  <c r="C669" i="5"/>
  <c r="C582" i="5"/>
  <c r="C663" i="5"/>
  <c r="B17" i="7"/>
  <c r="B24" i="7"/>
  <c r="C723" i="5" s="1"/>
  <c r="A723" i="5" s="1"/>
  <c r="D1111" i="44"/>
  <c r="F1466" i="44"/>
  <c r="A1466" i="44" s="1"/>
  <c r="F1465" i="44"/>
  <c r="A1465" i="44" s="1"/>
  <c r="D1122" i="44"/>
  <c r="D1290" i="44"/>
  <c r="D1179" i="44"/>
  <c r="B1182" i="44"/>
  <c r="D1181" i="44"/>
  <c r="D1180" i="44"/>
  <c r="D1123" i="44"/>
  <c r="D1110" i="44"/>
  <c r="F1103" i="44"/>
  <c r="F1102" i="44"/>
  <c r="I18" i="7"/>
  <c r="F18" i="7"/>
  <c r="H25" i="7"/>
  <c r="H18" i="7"/>
  <c r="C18" i="7"/>
  <c r="J1179" i="44"/>
  <c r="J18" i="7"/>
  <c r="J1180" i="44"/>
  <c r="I25" i="7"/>
  <c r="G18" i="7"/>
  <c r="F25" i="7"/>
  <c r="C25" i="7"/>
  <c r="D25" i="7"/>
  <c r="G25" i="7"/>
  <c r="E25" i="7"/>
  <c r="L25" i="7"/>
  <c r="D18" i="7"/>
  <c r="J1290" i="44"/>
  <c r="E18" i="7"/>
  <c r="I725" i="5" l="1"/>
  <c r="I718" i="5"/>
  <c r="H724" i="5"/>
  <c r="H718" i="5"/>
  <c r="G718" i="5"/>
  <c r="G724" i="5"/>
  <c r="F718" i="5"/>
  <c r="F724" i="5"/>
  <c r="E718" i="5"/>
  <c r="E724" i="5"/>
  <c r="D724" i="5"/>
  <c r="D718" i="5"/>
  <c r="C668" i="5"/>
  <c r="C682" i="5"/>
  <c r="C676" i="5"/>
  <c r="C675" i="5"/>
  <c r="C674" i="5"/>
  <c r="C647" i="5"/>
  <c r="C646" i="5"/>
  <c r="C645" i="5"/>
  <c r="C644" i="5"/>
  <c r="B25" i="7"/>
  <c r="C724" i="5" s="1"/>
  <c r="A724" i="5" s="1"/>
  <c r="B18" i="7"/>
  <c r="C718" i="5" s="1"/>
  <c r="A718" i="5" s="1"/>
  <c r="D1112" i="44"/>
  <c r="L26" i="7"/>
  <c r="J1317" i="44"/>
  <c r="J1182" i="44"/>
  <c r="C1124" i="44"/>
  <c r="C1111" i="44"/>
  <c r="I719" i="5" l="1"/>
  <c r="H725" i="5"/>
  <c r="H719" i="5"/>
  <c r="G725" i="5"/>
  <c r="G719" i="5"/>
  <c r="F725" i="5"/>
  <c r="F719" i="5"/>
  <c r="E725" i="5"/>
  <c r="E719" i="5"/>
  <c r="D725" i="5"/>
  <c r="D719" i="5"/>
  <c r="C673" i="5"/>
  <c r="C643" i="5"/>
  <c r="C681" i="5"/>
  <c r="C680" i="5"/>
  <c r="C679" i="5"/>
  <c r="C652" i="5"/>
  <c r="C651" i="5"/>
  <c r="C650" i="5"/>
  <c r="C649" i="5"/>
  <c r="C575" i="5"/>
  <c r="B19" i="7"/>
  <c r="C719" i="5" s="1"/>
  <c r="A719" i="5" s="1"/>
  <c r="C725" i="5"/>
  <c r="D1317" i="44"/>
  <c r="B1183" i="44"/>
  <c r="D1182" i="44"/>
  <c r="D1124" i="44"/>
  <c r="D1113" i="44"/>
  <c r="F1105" i="44"/>
  <c r="F1104" i="44"/>
  <c r="C1125" i="44"/>
  <c r="J1183" i="44"/>
  <c r="J1326" i="44"/>
  <c r="C1112" i="44"/>
  <c r="J21" i="7"/>
  <c r="L27" i="7"/>
  <c r="I720" i="5" l="1"/>
  <c r="I721" i="5"/>
  <c r="H720" i="5"/>
  <c r="G720" i="5"/>
  <c r="F720" i="5"/>
  <c r="E720" i="5"/>
  <c r="D720" i="5"/>
  <c r="C678" i="5"/>
  <c r="C648" i="5"/>
  <c r="C662" i="5"/>
  <c r="C657" i="5"/>
  <c r="C656" i="5"/>
  <c r="C655" i="5"/>
  <c r="C654" i="5"/>
  <c r="C577" i="5"/>
  <c r="C720" i="5"/>
  <c r="A720" i="5" s="1"/>
  <c r="D1326" i="44"/>
  <c r="D1183" i="44"/>
  <c r="B1184" i="44"/>
  <c r="D1125" i="44"/>
  <c r="D1114" i="44"/>
  <c r="F1106" i="44"/>
  <c r="E21" i="7"/>
  <c r="I21" i="7"/>
  <c r="C1126" i="44"/>
  <c r="D21" i="7"/>
  <c r="J1335" i="44"/>
  <c r="C1113" i="44"/>
  <c r="J1184" i="44"/>
  <c r="C21" i="7"/>
  <c r="H21" i="7"/>
  <c r="L28" i="7"/>
  <c r="F21" i="7"/>
  <c r="G21" i="7"/>
  <c r="H721" i="5" l="1"/>
  <c r="G721" i="5"/>
  <c r="F721" i="5"/>
  <c r="E721" i="5"/>
  <c r="D721" i="5"/>
  <c r="C653" i="5"/>
  <c r="C221" i="5"/>
  <c r="C661" i="5"/>
  <c r="C660" i="5"/>
  <c r="C659" i="5"/>
  <c r="C225" i="5"/>
  <c r="C224" i="5"/>
  <c r="C223" i="5"/>
  <c r="C222" i="5"/>
  <c r="B21" i="7"/>
  <c r="C721" i="5" s="1"/>
  <c r="D1335" i="44"/>
  <c r="D1184" i="44"/>
  <c r="B1185" i="44"/>
  <c r="D1126" i="44"/>
  <c r="D1115" i="44"/>
  <c r="F1107" i="44"/>
  <c r="J1185" i="44"/>
  <c r="C1127" i="44"/>
  <c r="C1114" i="44"/>
  <c r="L29" i="7"/>
  <c r="J1344" i="44"/>
  <c r="A721" i="5" l="1"/>
  <c r="A725" i="5" s="1"/>
  <c r="C658" i="5"/>
  <c r="D1344" i="44"/>
  <c r="D1185" i="44"/>
  <c r="B1186" i="44"/>
  <c r="D1127" i="44"/>
  <c r="D1116" i="44"/>
  <c r="F1108" i="44"/>
  <c r="C1116" i="44"/>
  <c r="C1115" i="44"/>
  <c r="C1128" i="44"/>
  <c r="L30" i="7"/>
  <c r="A702" i="5" l="1"/>
  <c r="H702" i="5" s="1"/>
  <c r="A693" i="5"/>
  <c r="J693" i="5" s="1"/>
  <c r="A706" i="5"/>
  <c r="C706" i="5" s="1"/>
  <c r="A704" i="5"/>
  <c r="H704" i="5" s="1"/>
  <c r="A705" i="5"/>
  <c r="I705" i="5" s="1"/>
  <c r="A701" i="5"/>
  <c r="E701" i="5" s="1"/>
  <c r="A699" i="5"/>
  <c r="F699" i="5" s="1"/>
  <c r="A696" i="5"/>
  <c r="C696" i="5" s="1"/>
  <c r="A695" i="5"/>
  <c r="E695" i="5" s="1"/>
  <c r="A698" i="5"/>
  <c r="C698" i="5" s="1"/>
  <c r="A694" i="5"/>
  <c r="D694" i="5" s="1"/>
  <c r="A707" i="5"/>
  <c r="J707" i="5" s="1"/>
  <c r="A700" i="5"/>
  <c r="G700" i="5" s="1"/>
  <c r="A703" i="5"/>
  <c r="E703" i="5" s="1"/>
  <c r="A697" i="5"/>
  <c r="H697" i="5" s="1"/>
  <c r="C737" i="5"/>
  <c r="C736" i="5"/>
  <c r="C735" i="5"/>
  <c r="D1353" i="44"/>
  <c r="D1186" i="44"/>
  <c r="B1187" i="44"/>
  <c r="B1188" i="44" s="1"/>
  <c r="D1128" i="44"/>
  <c r="D1117" i="44"/>
  <c r="F1109" i="44"/>
  <c r="C1117" i="44"/>
  <c r="J1353" i="44"/>
  <c r="J1186" i="44"/>
  <c r="C1129" i="44"/>
  <c r="C1188" i="44"/>
  <c r="G702" i="5" l="1"/>
  <c r="E702" i="5"/>
  <c r="C702" i="5"/>
  <c r="F702" i="5"/>
  <c r="K702" i="5"/>
  <c r="J702" i="5"/>
  <c r="D702" i="5"/>
  <c r="I702" i="5"/>
  <c r="C693" i="5"/>
  <c r="K693" i="5"/>
  <c r="D693" i="5"/>
  <c r="G693" i="5"/>
  <c r="E693" i="5"/>
  <c r="F693" i="5"/>
  <c r="H693" i="5"/>
  <c r="I693" i="5"/>
  <c r="K701" i="5"/>
  <c r="G701" i="5"/>
  <c r="H701" i="5"/>
  <c r="C701" i="5"/>
  <c r="F701" i="5"/>
  <c r="I701" i="5"/>
  <c r="D701" i="5"/>
  <c r="J701" i="5"/>
  <c r="J703" i="5"/>
  <c r="F703" i="5"/>
  <c r="G699" i="5"/>
  <c r="J699" i="5"/>
  <c r="C699" i="5"/>
  <c r="D699" i="5"/>
  <c r="I703" i="5"/>
  <c r="H699" i="5"/>
  <c r="E699" i="5"/>
  <c r="J695" i="5"/>
  <c r="K703" i="5"/>
  <c r="G703" i="5"/>
  <c r="J697" i="5"/>
  <c r="I699" i="5"/>
  <c r="C703" i="5"/>
  <c r="I704" i="5"/>
  <c r="H705" i="5"/>
  <c r="F700" i="5"/>
  <c r="J705" i="5"/>
  <c r="F705" i="5"/>
  <c r="C705" i="5"/>
  <c r="D700" i="5"/>
  <c r="E705" i="5"/>
  <c r="I700" i="5"/>
  <c r="K705" i="5"/>
  <c r="H700" i="5"/>
  <c r="G705" i="5"/>
  <c r="K700" i="5"/>
  <c r="D705" i="5"/>
  <c r="C700" i="5"/>
  <c r="K707" i="5"/>
  <c r="G706" i="5"/>
  <c r="G707" i="5"/>
  <c r="F706" i="5"/>
  <c r="K699" i="5"/>
  <c r="F696" i="5"/>
  <c r="D696" i="5"/>
  <c r="E700" i="5"/>
  <c r="C704" i="5"/>
  <c r="J700" i="5"/>
  <c r="D703" i="5"/>
  <c r="H698" i="5"/>
  <c r="D697" i="5"/>
  <c r="G695" i="5"/>
  <c r="G698" i="5"/>
  <c r="F695" i="5"/>
  <c r="E698" i="5"/>
  <c r="I698" i="5"/>
  <c r="H703" i="5"/>
  <c r="C697" i="5"/>
  <c r="I697" i="5"/>
  <c r="G697" i="5"/>
  <c r="E697" i="5"/>
  <c r="K697" i="5"/>
  <c r="F697" i="5"/>
  <c r="C694" i="5"/>
  <c r="J696" i="5"/>
  <c r="E696" i="5"/>
  <c r="H706" i="5"/>
  <c r="D706" i="5"/>
  <c r="K698" i="5"/>
  <c r="I694" i="5"/>
  <c r="I696" i="5"/>
  <c r="K706" i="5"/>
  <c r="F698" i="5"/>
  <c r="H696" i="5"/>
  <c r="I706" i="5"/>
  <c r="J698" i="5"/>
  <c r="G696" i="5"/>
  <c r="J706" i="5"/>
  <c r="K696" i="5"/>
  <c r="E694" i="5"/>
  <c r="E706" i="5"/>
  <c r="D698" i="5"/>
  <c r="D707" i="5"/>
  <c r="F707" i="5"/>
  <c r="E704" i="5"/>
  <c r="D695" i="5"/>
  <c r="I707" i="5"/>
  <c r="K695" i="5"/>
  <c r="K704" i="5"/>
  <c r="C707" i="5"/>
  <c r="D704" i="5"/>
  <c r="H695" i="5"/>
  <c r="E707" i="5"/>
  <c r="F694" i="5"/>
  <c r="H707" i="5"/>
  <c r="K694" i="5"/>
  <c r="C695" i="5"/>
  <c r="J704" i="5"/>
  <c r="F704" i="5"/>
  <c r="G694" i="5"/>
  <c r="J694" i="5"/>
  <c r="I695" i="5"/>
  <c r="G704" i="5"/>
  <c r="H694" i="5"/>
  <c r="D1188" i="44"/>
  <c r="D1187" i="44"/>
  <c r="D1129" i="44"/>
  <c r="D1118" i="44"/>
  <c r="F1110" i="44"/>
  <c r="C1118" i="44"/>
  <c r="J1188" i="44"/>
  <c r="J1187" i="44"/>
  <c r="E1188" i="44"/>
  <c r="C1130" i="44"/>
  <c r="F1188" i="44" l="1"/>
  <c r="D1130" i="44"/>
  <c r="D1119" i="44"/>
  <c r="F1111" i="44"/>
  <c r="B33" i="7" l="1"/>
  <c r="D1120" i="44"/>
  <c r="F1112" i="44"/>
  <c r="C1131" i="44"/>
  <c r="C1120" i="44"/>
  <c r="C1119" i="44"/>
  <c r="C744" i="5" l="1"/>
  <c r="B34" i="7"/>
  <c r="C743" i="5" s="1"/>
  <c r="D1131" i="44"/>
  <c r="F1113" i="44"/>
  <c r="C1121" i="44"/>
  <c r="C1132" i="44"/>
  <c r="D1132" i="44" l="1"/>
  <c r="F1114" i="44"/>
  <c r="F1115" i="44" l="1"/>
  <c r="F1116" i="44" l="1"/>
  <c r="F1117" i="44" l="1"/>
  <c r="F1118" i="44" l="1"/>
  <c r="F1119" i="44" l="1"/>
  <c r="F1120" i="44" l="1"/>
  <c r="F1121" i="44" l="1"/>
  <c r="F1122" i="44" l="1"/>
  <c r="F1123" i="44" l="1"/>
  <c r="F1124" i="44" l="1"/>
  <c r="F1125" i="44" l="1"/>
  <c r="F1126" i="44" l="1"/>
  <c r="F1127" i="44" l="1"/>
  <c r="F1128" i="44" l="1"/>
  <c r="F1129" i="44" l="1"/>
  <c r="F1130" i="44" l="1"/>
  <c r="F1131" i="44" l="1"/>
  <c r="F1132" i="44" l="1"/>
  <c r="D1137" i="44" l="1"/>
  <c r="B1138" i="44"/>
  <c r="J1138" i="44"/>
  <c r="E1137" i="44"/>
  <c r="C1137" i="44"/>
  <c r="C1138" i="44"/>
  <c r="J1137" i="44"/>
  <c r="D1138" i="44" l="1"/>
  <c r="B1139" i="44"/>
  <c r="J1139" i="44"/>
  <c r="C1139" i="44"/>
  <c r="E1138" i="44"/>
  <c r="D1139" i="44" l="1"/>
  <c r="B1140" i="44"/>
  <c r="C1140" i="44"/>
  <c r="E1139" i="44"/>
  <c r="J1140" i="44"/>
  <c r="D1140" i="44" l="1"/>
  <c r="B1141" i="44"/>
  <c r="C1141" i="44"/>
  <c r="E1140" i="44"/>
  <c r="J1141" i="44"/>
  <c r="D1141" i="44" l="1"/>
  <c r="B1143" i="44"/>
  <c r="C1143" i="44"/>
  <c r="E1141" i="44"/>
  <c r="J1143" i="44"/>
  <c r="E1142" i="44"/>
  <c r="C1142" i="44"/>
  <c r="D1143" i="44" l="1"/>
  <c r="B1144" i="44"/>
  <c r="C1144" i="44"/>
  <c r="E1143" i="44"/>
  <c r="D1144" i="44" l="1"/>
  <c r="B1145" i="44"/>
  <c r="J1145" i="44"/>
  <c r="J1144" i="44"/>
  <c r="C1145" i="44"/>
  <c r="E1144" i="44"/>
  <c r="D1145" i="44" l="1"/>
  <c r="B1146" i="44"/>
  <c r="C1146" i="44"/>
  <c r="E1145" i="44"/>
  <c r="J1146" i="44"/>
  <c r="D1146" i="44" l="1"/>
  <c r="B1147" i="44"/>
  <c r="J1147" i="44"/>
  <c r="E1146" i="44"/>
  <c r="C1147" i="44"/>
  <c r="D1147" i="44" l="1"/>
  <c r="B1148" i="44"/>
  <c r="E1147" i="44"/>
  <c r="J1148" i="44"/>
  <c r="C1148" i="44"/>
  <c r="D1148" i="44" l="1"/>
  <c r="B1149" i="44"/>
  <c r="E1148" i="44"/>
  <c r="C1149" i="44"/>
  <c r="D1149" i="44" l="1"/>
  <c r="B1150" i="44"/>
  <c r="E1149" i="44"/>
  <c r="J1150" i="44"/>
  <c r="C1150" i="44"/>
  <c r="J1149" i="44"/>
  <c r="D1150" i="44" l="1"/>
  <c r="E1150" i="44"/>
  <c r="E1151" i="44"/>
  <c r="C1151" i="44"/>
  <c r="F1151" i="44" l="1"/>
  <c r="B1152" i="44"/>
  <c r="J1152" i="44"/>
  <c r="C1152" i="44"/>
  <c r="D1152" i="44" l="1"/>
  <c r="F1152" i="44" s="1"/>
  <c r="B1153" i="44"/>
  <c r="J1153" i="44"/>
  <c r="C1153" i="44"/>
  <c r="D1153" i="44" l="1"/>
  <c r="B1154" i="44"/>
  <c r="E1152" i="44"/>
  <c r="C1154" i="44"/>
  <c r="E1153" i="44"/>
  <c r="D1154" i="44" l="1"/>
  <c r="B1155" i="44"/>
  <c r="E1154" i="44"/>
  <c r="J1154" i="44"/>
  <c r="C1155" i="44"/>
  <c r="J1155" i="44"/>
  <c r="D1155" i="44" l="1"/>
  <c r="B1156" i="44"/>
  <c r="C1156" i="44"/>
  <c r="E1155" i="44"/>
  <c r="D1156" i="44" l="1"/>
  <c r="B1157" i="44"/>
  <c r="E1156" i="44"/>
  <c r="J1156" i="44"/>
  <c r="C1157" i="44"/>
  <c r="D1157" i="44" l="1"/>
  <c r="B1158" i="44"/>
  <c r="J1157" i="44"/>
  <c r="J1158" i="44"/>
  <c r="E1157" i="44"/>
  <c r="C1158" i="44"/>
  <c r="D1158" i="44" l="1"/>
  <c r="B1159" i="44"/>
  <c r="E1158" i="44"/>
  <c r="C1160" i="44"/>
  <c r="E1160" i="44"/>
  <c r="C1159" i="44"/>
  <c r="J1159" i="44"/>
  <c r="D1159" i="44" l="1"/>
  <c r="B1161" i="44"/>
  <c r="C1161" i="44"/>
  <c r="E1159" i="44"/>
  <c r="J1161" i="44"/>
  <c r="D1161" i="44" l="1"/>
  <c r="B1162" i="44"/>
  <c r="J1162" i="44"/>
  <c r="C1162" i="44"/>
  <c r="E1161" i="44"/>
  <c r="D1162" i="44" l="1"/>
  <c r="B1163" i="44"/>
  <c r="C1163" i="44"/>
  <c r="E1162" i="44"/>
  <c r="J1163" i="44"/>
  <c r="D1163" i="44" l="1"/>
  <c r="B1164" i="44"/>
  <c r="C1164" i="44"/>
  <c r="E1163" i="44"/>
  <c r="D1164" i="44" l="1"/>
  <c r="B1165" i="44"/>
  <c r="J1164" i="44"/>
  <c r="J1165" i="44"/>
  <c r="C1165" i="44"/>
  <c r="E1164" i="44"/>
  <c r="D1165" i="44" l="1"/>
  <c r="B1166" i="44"/>
  <c r="C1166" i="44"/>
  <c r="E1165" i="44"/>
  <c r="J1166" i="44"/>
  <c r="D1166" i="44" l="1"/>
  <c r="B1167" i="44"/>
  <c r="J1167" i="44"/>
  <c r="E1166" i="44"/>
  <c r="C1167" i="44"/>
  <c r="D1167" i="44" l="1"/>
  <c r="B1168" i="44"/>
  <c r="C1168" i="44"/>
  <c r="E1167" i="44"/>
  <c r="J1168" i="44"/>
  <c r="E1169" i="44"/>
  <c r="C1169" i="44"/>
  <c r="D1168" i="44" l="1"/>
  <c r="B1170" i="44"/>
  <c r="J1170" i="44"/>
  <c r="E1168" i="44"/>
  <c r="C1170" i="44"/>
  <c r="D1170" i="44" l="1"/>
  <c r="B1171" i="44"/>
  <c r="E1170" i="44"/>
  <c r="C1171" i="44"/>
  <c r="J1171" i="44"/>
  <c r="D1171" i="44" l="1"/>
  <c r="B1172" i="44"/>
  <c r="J1172" i="44"/>
  <c r="E1171" i="44"/>
  <c r="C1172" i="44"/>
  <c r="D1172" i="44" l="1"/>
  <c r="B1173" i="44"/>
  <c r="J1173" i="44"/>
  <c r="E1172" i="44"/>
  <c r="D1173" i="44" l="1"/>
  <c r="B1174" i="44"/>
  <c r="J1174" i="44"/>
  <c r="E1173" i="44"/>
  <c r="C1174" i="44"/>
  <c r="C1173" i="44"/>
  <c r="D1174" i="44" l="1"/>
  <c r="B1175" i="44"/>
  <c r="J1175" i="44"/>
  <c r="C1175" i="44"/>
  <c r="E1174" i="44"/>
  <c r="D1175" i="44" l="1"/>
  <c r="B1176" i="44"/>
  <c r="B1177" i="44" s="1"/>
  <c r="E1185" i="44"/>
  <c r="E1182" i="44"/>
  <c r="E1187" i="44"/>
  <c r="C1182" i="44"/>
  <c r="E1181" i="44"/>
  <c r="E1179" i="44"/>
  <c r="C1187" i="44"/>
  <c r="C1186" i="44"/>
  <c r="C1185" i="44"/>
  <c r="E1180" i="44"/>
  <c r="J1176" i="44"/>
  <c r="C1177" i="44"/>
  <c r="E1175" i="44"/>
  <c r="C1179" i="44"/>
  <c r="C1180" i="44"/>
  <c r="E1183" i="44"/>
  <c r="E1178" i="44"/>
  <c r="E1186" i="44"/>
  <c r="J1177" i="44"/>
  <c r="C1184" i="44"/>
  <c r="C1181" i="44"/>
  <c r="E1184" i="44"/>
  <c r="C1178" i="44"/>
  <c r="C1183" i="44"/>
  <c r="D1177" i="44" l="1"/>
  <c r="D1176" i="44"/>
  <c r="C1176" i="44"/>
  <c r="E1177" i="44"/>
  <c r="C1189" i="44"/>
  <c r="E1176" i="44"/>
  <c r="J1189" i="44"/>
  <c r="D1189" i="44" l="1"/>
  <c r="B1190" i="44"/>
  <c r="J1190" i="44"/>
  <c r="E1189" i="44"/>
  <c r="C1190" i="44"/>
  <c r="D1190" i="44" l="1"/>
  <c r="B1191" i="44"/>
  <c r="J1191" i="44"/>
  <c r="E1190" i="44"/>
  <c r="C1191" i="44"/>
  <c r="D1191" i="44" l="1"/>
  <c r="B1192" i="44"/>
  <c r="E1191" i="44"/>
  <c r="J1192" i="44"/>
  <c r="C1192" i="44"/>
  <c r="D1192" i="44" l="1"/>
  <c r="B1193" i="44"/>
  <c r="J1193" i="44"/>
  <c r="C1193" i="44"/>
  <c r="E1192" i="44"/>
  <c r="D1193" i="44" l="1"/>
  <c r="B1194" i="44"/>
  <c r="J1194" i="44"/>
  <c r="E1193" i="44"/>
  <c r="C1194" i="44"/>
  <c r="D1194" i="44" l="1"/>
  <c r="B1195" i="44"/>
  <c r="E1194" i="44"/>
  <c r="C1195" i="44"/>
  <c r="J1195" i="44"/>
  <c r="D1195" i="44" l="1"/>
  <c r="B1196" i="44"/>
  <c r="E1195" i="44"/>
  <c r="C1196" i="44"/>
  <c r="J1196" i="44"/>
  <c r="D1196" i="44" l="1"/>
  <c r="B1197" i="44"/>
  <c r="B1198" i="44" s="1"/>
  <c r="C1198" i="44"/>
  <c r="C1197" i="44"/>
  <c r="J1198" i="44"/>
  <c r="E1196" i="44"/>
  <c r="B1199" i="44" l="1"/>
  <c r="D1198" i="44"/>
  <c r="D1197" i="44"/>
  <c r="C1199" i="44"/>
  <c r="E1198" i="44"/>
  <c r="C1200" i="44"/>
  <c r="E1197" i="44"/>
  <c r="J1200" i="44"/>
  <c r="J1199" i="44"/>
  <c r="J1197" i="44"/>
  <c r="D1199" i="44" l="1"/>
  <c r="F1198" i="44"/>
  <c r="D1200" i="44"/>
  <c r="B1201" i="44"/>
  <c r="C1201" i="44"/>
  <c r="E1200" i="44"/>
  <c r="J1201" i="44"/>
  <c r="E1199" i="44"/>
  <c r="F1199" i="44" l="1"/>
  <c r="D1201" i="44"/>
  <c r="B1202" i="44"/>
  <c r="E1201" i="44"/>
  <c r="C1202" i="44"/>
  <c r="D1202" i="44" l="1"/>
  <c r="B1203" i="44"/>
  <c r="C1203" i="44"/>
  <c r="E1202" i="44"/>
  <c r="J1202" i="44"/>
  <c r="D1203" i="44" l="1"/>
  <c r="B1204" i="44"/>
  <c r="J1204" i="44"/>
  <c r="J1203" i="44"/>
  <c r="E1203" i="44"/>
  <c r="C1204" i="44"/>
  <c r="D1204" i="44" l="1"/>
  <c r="B1205" i="44"/>
  <c r="E1204" i="44"/>
  <c r="C1205" i="44"/>
  <c r="J1205" i="44"/>
  <c r="D1205" i="44" l="1"/>
  <c r="B1206" i="44"/>
  <c r="C1206" i="44"/>
  <c r="E1205" i="44"/>
  <c r="J1206" i="44"/>
  <c r="D1206" i="44" l="1"/>
  <c r="B1207" i="44"/>
  <c r="J1207" i="44"/>
  <c r="E1206" i="44"/>
  <c r="C1207" i="44"/>
  <c r="D1207" i="44" l="1"/>
  <c r="B1208" i="44"/>
  <c r="C1208" i="44"/>
  <c r="J1208" i="44"/>
  <c r="E1207" i="44"/>
  <c r="D1208" i="44" l="1"/>
  <c r="J1209" i="44"/>
  <c r="E1208" i="44"/>
  <c r="C1209" i="44"/>
  <c r="D1209" i="44" l="1"/>
  <c r="B1210" i="44"/>
  <c r="E1209" i="44"/>
  <c r="J1210" i="44"/>
  <c r="C1210" i="44"/>
  <c r="D1210" i="44" l="1"/>
  <c r="B1211" i="44"/>
  <c r="E1210" i="44"/>
  <c r="J1211" i="44"/>
  <c r="C1211" i="44"/>
  <c r="D1211" i="44" l="1"/>
  <c r="B1212" i="44"/>
  <c r="J1212" i="44"/>
  <c r="C1212" i="44"/>
  <c r="E1211" i="44"/>
  <c r="D1212" i="44" l="1"/>
  <c r="B1213" i="44"/>
  <c r="J1213" i="44"/>
  <c r="C1213" i="44"/>
  <c r="E1212" i="44"/>
  <c r="D1213" i="44" l="1"/>
  <c r="B1214" i="44"/>
  <c r="J1214" i="44"/>
  <c r="C1214" i="44"/>
  <c r="E1213" i="44"/>
  <c r="D1214" i="44" l="1"/>
  <c r="B1215" i="44"/>
  <c r="J1215" i="44"/>
  <c r="C1215" i="44"/>
  <c r="E1214" i="44"/>
  <c r="D1215" i="44" l="1"/>
  <c r="B1216" i="44"/>
  <c r="E1215" i="44"/>
  <c r="J1216" i="44"/>
  <c r="C1216" i="44"/>
  <c r="D1216" i="44" l="1"/>
  <c r="B1217" i="44"/>
  <c r="E1216" i="44"/>
  <c r="C1217" i="44"/>
  <c r="J1217" i="44"/>
  <c r="D1217" i="44" l="1"/>
  <c r="E1217" i="44"/>
  <c r="C1218" i="44"/>
  <c r="D1218" i="44" l="1"/>
  <c r="B1219" i="44"/>
  <c r="E1218" i="44"/>
  <c r="C1219" i="44"/>
  <c r="J1219" i="44"/>
  <c r="J1218" i="44"/>
  <c r="D1219" i="44" l="1"/>
  <c r="B1220" i="44"/>
  <c r="E1219" i="44"/>
  <c r="C1220" i="44"/>
  <c r="J1220" i="44"/>
  <c r="D1220" i="44" l="1"/>
  <c r="B1221" i="44"/>
  <c r="J1221" i="44"/>
  <c r="E1220" i="44"/>
  <c r="C1221" i="44"/>
  <c r="D1221" i="44" l="1"/>
  <c r="B1222" i="44"/>
  <c r="E1221" i="44"/>
  <c r="C1222" i="44"/>
  <c r="J1222" i="44"/>
  <c r="D1222" i="44" l="1"/>
  <c r="B1223" i="44"/>
  <c r="E1222" i="44"/>
  <c r="C1223" i="44"/>
  <c r="D1223" i="44" l="1"/>
  <c r="B1224" i="44"/>
  <c r="C1224" i="44"/>
  <c r="J1224" i="44"/>
  <c r="J1223" i="44"/>
  <c r="E1223" i="44"/>
  <c r="D1224" i="44" l="1"/>
  <c r="B1225" i="44"/>
  <c r="J1225" i="44"/>
  <c r="C1225" i="44"/>
  <c r="E1224" i="44"/>
  <c r="D1225" i="44" l="1"/>
  <c r="B1226" i="44"/>
  <c r="C1226" i="44"/>
  <c r="J1226" i="44"/>
  <c r="E1225" i="44"/>
  <c r="D1226" i="44" l="1"/>
  <c r="E1226" i="44"/>
  <c r="J1227" i="44"/>
  <c r="C1227" i="44"/>
  <c r="D1227" i="44" l="1"/>
  <c r="B1228" i="44"/>
  <c r="J1228" i="44"/>
  <c r="E1227" i="44"/>
  <c r="C1228" i="44"/>
  <c r="D1228" i="44" l="1"/>
  <c r="B1229" i="44"/>
  <c r="E1228" i="44"/>
  <c r="C1229" i="44"/>
  <c r="J1229" i="44"/>
  <c r="D1229" i="44" l="1"/>
  <c r="B1230" i="44"/>
  <c r="J1230" i="44"/>
  <c r="C1230" i="44"/>
  <c r="E1229" i="44"/>
  <c r="D1230" i="44" l="1"/>
  <c r="B1231" i="44"/>
  <c r="J1231" i="44"/>
  <c r="E1230" i="44"/>
  <c r="C1231" i="44"/>
  <c r="D1231" i="44" l="1"/>
  <c r="B1232" i="44"/>
  <c r="E1231" i="44"/>
  <c r="J1232" i="44"/>
  <c r="C1232" i="44"/>
  <c r="D1232" i="44" l="1"/>
  <c r="B1233" i="44"/>
  <c r="C1233" i="44"/>
  <c r="E1232" i="44"/>
  <c r="J1233" i="44"/>
  <c r="D1233" i="44" l="1"/>
  <c r="B1234" i="44"/>
  <c r="C1234" i="44"/>
  <c r="E1233" i="44"/>
  <c r="D1234" i="44" l="1"/>
  <c r="B1235" i="44"/>
  <c r="J1234" i="44"/>
  <c r="E1234" i="44"/>
  <c r="C1235" i="44"/>
  <c r="J1235" i="44"/>
  <c r="D1235" i="44" l="1"/>
  <c r="J1236" i="44"/>
  <c r="E1235" i="44"/>
  <c r="C1236" i="44"/>
  <c r="D1236" i="44" l="1"/>
  <c r="B1237" i="44"/>
  <c r="E1236" i="44"/>
  <c r="C1237" i="44"/>
  <c r="J1237" i="44"/>
  <c r="D1237" i="44" l="1"/>
  <c r="B1238" i="44"/>
  <c r="J1238" i="44"/>
  <c r="E1237" i="44"/>
  <c r="C1238" i="44"/>
  <c r="D1238" i="44" l="1"/>
  <c r="B1239" i="44"/>
  <c r="J1239" i="44"/>
  <c r="E1238" i="44"/>
  <c r="C1239" i="44"/>
  <c r="D1239" i="44" l="1"/>
  <c r="B1240" i="44"/>
  <c r="C1240" i="44"/>
  <c r="E1239" i="44"/>
  <c r="D1240" i="44" l="1"/>
  <c r="B1241" i="44"/>
  <c r="J1241" i="44"/>
  <c r="C1241" i="44"/>
  <c r="E1240" i="44"/>
  <c r="J1240" i="44"/>
  <c r="D1241" i="44" l="1"/>
  <c r="B1242" i="44"/>
  <c r="E1241" i="44"/>
  <c r="C1242" i="44"/>
  <c r="D1242" i="44" l="1"/>
  <c r="B1243" i="44"/>
  <c r="J1243" i="44"/>
  <c r="C1243" i="44"/>
  <c r="J1242" i="44"/>
  <c r="E1242" i="44"/>
  <c r="D1243" i="44" l="1"/>
  <c r="B1244" i="44"/>
  <c r="J1244" i="44"/>
  <c r="C1244" i="44"/>
  <c r="E1243" i="44"/>
  <c r="D1244" i="44" l="1"/>
  <c r="J1245" i="44"/>
  <c r="E1244" i="44"/>
  <c r="C1245" i="44"/>
  <c r="D1245" i="44" l="1"/>
  <c r="B1246" i="44"/>
  <c r="J1246" i="44"/>
  <c r="C1246" i="44"/>
  <c r="E1245" i="44"/>
  <c r="D1246" i="44" l="1"/>
  <c r="B1247" i="44"/>
  <c r="C1247" i="44"/>
  <c r="E1246" i="44"/>
  <c r="J1247" i="44"/>
  <c r="D1247" i="44" l="1"/>
  <c r="B1248" i="44"/>
  <c r="J1248" i="44"/>
  <c r="E1247" i="44"/>
  <c r="C1248" i="44"/>
  <c r="D1248" i="44" l="1"/>
  <c r="B1249" i="44"/>
  <c r="C1249" i="44"/>
  <c r="E1248" i="44"/>
  <c r="D1249" i="44" l="1"/>
  <c r="B1250" i="44"/>
  <c r="E1249" i="44"/>
  <c r="J1249" i="44"/>
  <c r="C1250" i="44"/>
  <c r="D1250" i="44" l="1"/>
  <c r="B1251" i="44"/>
  <c r="J1251" i="44"/>
  <c r="J1250" i="44"/>
  <c r="C1251" i="44"/>
  <c r="E1250" i="44"/>
  <c r="D1251" i="44" l="1"/>
  <c r="B1252" i="44"/>
  <c r="C1252" i="44"/>
  <c r="E1251" i="44"/>
  <c r="D1252" i="44" l="1"/>
  <c r="B1253" i="44"/>
  <c r="E1252" i="44"/>
  <c r="J1252" i="44"/>
  <c r="C1253" i="44"/>
  <c r="D1253" i="44" l="1"/>
  <c r="E1253" i="44"/>
  <c r="J1253" i="44"/>
  <c r="J1254" i="44"/>
  <c r="C1254" i="44"/>
  <c r="D1254" i="44" l="1"/>
  <c r="B1255" i="44"/>
  <c r="C1255" i="44"/>
  <c r="J1255" i="44"/>
  <c r="E1254" i="44"/>
  <c r="D1255" i="44" l="1"/>
  <c r="B1256" i="44"/>
  <c r="E1255" i="44"/>
  <c r="J1256" i="44"/>
  <c r="C1256" i="44"/>
  <c r="D1256" i="44" l="1"/>
  <c r="B1257" i="44"/>
  <c r="E1256" i="44"/>
  <c r="J1257" i="44"/>
  <c r="C1257" i="44"/>
  <c r="D1257" i="44" l="1"/>
  <c r="B1258" i="44"/>
  <c r="J1258" i="44"/>
  <c r="E1257" i="44"/>
  <c r="C1258" i="44"/>
  <c r="D1258" i="44" l="1"/>
  <c r="B1259" i="44"/>
  <c r="C1259" i="44"/>
  <c r="E1258" i="44"/>
  <c r="D1259" i="44" l="1"/>
  <c r="B1260" i="44"/>
  <c r="E1259" i="44"/>
  <c r="J1259" i="44"/>
  <c r="J1260" i="44"/>
  <c r="C1260" i="44"/>
  <c r="D1260" i="44" l="1"/>
  <c r="B1261" i="44"/>
  <c r="C1261" i="44"/>
  <c r="J1261" i="44"/>
  <c r="E1260" i="44"/>
  <c r="D1261" i="44" l="1"/>
  <c r="B1262" i="44"/>
  <c r="C1262" i="44"/>
  <c r="J1262" i="44"/>
  <c r="E1261" i="44"/>
  <c r="D1262" i="44" l="1"/>
  <c r="E1262" i="44"/>
  <c r="C1263" i="44"/>
  <c r="J1263" i="44"/>
  <c r="D1263" i="44" l="1"/>
  <c r="B1264" i="44"/>
  <c r="C1264" i="44"/>
  <c r="E1263" i="44"/>
  <c r="J1264" i="44"/>
  <c r="D1264" i="44" l="1"/>
  <c r="B1265" i="44"/>
  <c r="E1264" i="44"/>
  <c r="C1265" i="44"/>
  <c r="J1265" i="44"/>
  <c r="D1265" i="44" l="1"/>
  <c r="B1266" i="44"/>
  <c r="C1266" i="44"/>
  <c r="E1265" i="44"/>
  <c r="J1266" i="44"/>
  <c r="D1266" i="44" l="1"/>
  <c r="B1267" i="44"/>
  <c r="C1267" i="44"/>
  <c r="E1266" i="44"/>
  <c r="J1267" i="44"/>
  <c r="D1267" i="44" l="1"/>
  <c r="B1268" i="44"/>
  <c r="E1267" i="44"/>
  <c r="C1268" i="44"/>
  <c r="J1268" i="44"/>
  <c r="D1268" i="44" l="1"/>
  <c r="B1269" i="44"/>
  <c r="C1269" i="44"/>
  <c r="J1269" i="44"/>
  <c r="E1268" i="44"/>
  <c r="D1269" i="44" l="1"/>
  <c r="B1270" i="44"/>
  <c r="E1269" i="44"/>
  <c r="C1270" i="44"/>
  <c r="J1270" i="44"/>
  <c r="D1270" i="44" l="1"/>
  <c r="B1271" i="44"/>
  <c r="C1271" i="44"/>
  <c r="E1270" i="44"/>
  <c r="D1271" i="44" l="1"/>
  <c r="C1272" i="44"/>
  <c r="J1272" i="44"/>
  <c r="J1271" i="44"/>
  <c r="E1271" i="44"/>
  <c r="D1272" i="44" l="1"/>
  <c r="B1273" i="44"/>
  <c r="C1273" i="44"/>
  <c r="E1272" i="44"/>
  <c r="J1273" i="44"/>
  <c r="D1273" i="44" l="1"/>
  <c r="B1274" i="44"/>
  <c r="C1274" i="44"/>
  <c r="E1273" i="44"/>
  <c r="J1274" i="44"/>
  <c r="D1274" i="44" l="1"/>
  <c r="B1275" i="44"/>
  <c r="J1275" i="44"/>
  <c r="E1274" i="44"/>
  <c r="C1275" i="44"/>
  <c r="D1275" i="44" l="1"/>
  <c r="B1276" i="44"/>
  <c r="C1276" i="44"/>
  <c r="E1275" i="44"/>
  <c r="J1276" i="44"/>
  <c r="D1276" i="44" l="1"/>
  <c r="B1277" i="44"/>
  <c r="E1276" i="44"/>
  <c r="J1277" i="44"/>
  <c r="C1277" i="44"/>
  <c r="D1277" i="44" l="1"/>
  <c r="B1278" i="44"/>
  <c r="E1277" i="44"/>
  <c r="C1278" i="44"/>
  <c r="J1278" i="44"/>
  <c r="D1278" i="44" l="1"/>
  <c r="B1279" i="44"/>
  <c r="C1279" i="44"/>
  <c r="J1279" i="44"/>
  <c r="E1278" i="44"/>
  <c r="D1279" i="44" l="1"/>
  <c r="B1280" i="44"/>
  <c r="C1280" i="44"/>
  <c r="E1279" i="44"/>
  <c r="D1280" i="44" l="1"/>
  <c r="E1280" i="44"/>
  <c r="J1281" i="44"/>
  <c r="J1280" i="44"/>
  <c r="C1281" i="44"/>
  <c r="D1281" i="44" l="1"/>
  <c r="B1282" i="44"/>
  <c r="E1281" i="44"/>
  <c r="C1282" i="44"/>
  <c r="J1282" i="44"/>
  <c r="D1282" i="44" l="1"/>
  <c r="B1283" i="44"/>
  <c r="C1283" i="44"/>
  <c r="E1282" i="44"/>
  <c r="D1283" i="44" l="1"/>
  <c r="B1284" i="44"/>
  <c r="J1283" i="44"/>
  <c r="J1284" i="44"/>
  <c r="E1283" i="44"/>
  <c r="C1284" i="44"/>
  <c r="D1284" i="44" l="1"/>
  <c r="B1285" i="44"/>
  <c r="E1284" i="44"/>
  <c r="J1285" i="44"/>
  <c r="C1285" i="44"/>
  <c r="D1285" i="44" l="1"/>
  <c r="B1286" i="44"/>
  <c r="E1285" i="44"/>
  <c r="C1286" i="44"/>
  <c r="J1286" i="44"/>
  <c r="D1286" i="44" l="1"/>
  <c r="B1287" i="44"/>
  <c r="C1287" i="44"/>
  <c r="E1286" i="44"/>
  <c r="D1287" i="44" l="1"/>
  <c r="B1288" i="44"/>
  <c r="J1287" i="44"/>
  <c r="J1288" i="44"/>
  <c r="E1287" i="44"/>
  <c r="C1288" i="44"/>
  <c r="D1288" i="44" l="1"/>
  <c r="B1289" i="44"/>
  <c r="E1290" i="44"/>
  <c r="E1288" i="44"/>
  <c r="C1289" i="44"/>
  <c r="C1290" i="44"/>
  <c r="J1289" i="44"/>
  <c r="D1289" i="44" l="1"/>
  <c r="B1291" i="44"/>
  <c r="J1291" i="44"/>
  <c r="C1291" i="44"/>
  <c r="E1289" i="44"/>
  <c r="D1291" i="44" l="1"/>
  <c r="B1292" i="44"/>
  <c r="E1291" i="44"/>
  <c r="J1292" i="44"/>
  <c r="C1292" i="44"/>
  <c r="D1292" i="44" l="1"/>
  <c r="B1293" i="44"/>
  <c r="C1293" i="44"/>
  <c r="E1292" i="44"/>
  <c r="D1293" i="44" l="1"/>
  <c r="B1294" i="44"/>
  <c r="C1294" i="44"/>
  <c r="E1293" i="44"/>
  <c r="J1293" i="44"/>
  <c r="D1294" i="44" l="1"/>
  <c r="B1295" i="44"/>
  <c r="J1294" i="44"/>
  <c r="E1294" i="44"/>
  <c r="J1295" i="44"/>
  <c r="C1295" i="44"/>
  <c r="D1295" i="44" l="1"/>
  <c r="B1296" i="44"/>
  <c r="J1296" i="44"/>
  <c r="C1296" i="44"/>
  <c r="E1295" i="44"/>
  <c r="D1296" i="44" l="1"/>
  <c r="B1297" i="44"/>
  <c r="J1297" i="44"/>
  <c r="C1297" i="44"/>
  <c r="E1296" i="44"/>
  <c r="D1297" i="44" l="1"/>
  <c r="B1298" i="44"/>
  <c r="C1298" i="44"/>
  <c r="J1298" i="44"/>
  <c r="E1297" i="44"/>
  <c r="D1298" i="44" l="1"/>
  <c r="J1299" i="44"/>
  <c r="C1299" i="44"/>
  <c r="E1298" i="44"/>
  <c r="D1299" i="44" l="1"/>
  <c r="B1300" i="44"/>
  <c r="E1299" i="44"/>
  <c r="J1300" i="44"/>
  <c r="C1300" i="44"/>
  <c r="D1300" i="44" l="1"/>
  <c r="B1301" i="44"/>
  <c r="C1301" i="44"/>
  <c r="E1300" i="44"/>
  <c r="J1301" i="44"/>
  <c r="D1301" i="44" l="1"/>
  <c r="B1302" i="44"/>
  <c r="C1302" i="44"/>
  <c r="E1301" i="44"/>
  <c r="D1302" i="44" l="1"/>
  <c r="B1303" i="44"/>
  <c r="J1302" i="44"/>
  <c r="E1302" i="44"/>
  <c r="C1303" i="44"/>
  <c r="J1303" i="44"/>
  <c r="D1303" i="44" l="1"/>
  <c r="B1304" i="44"/>
  <c r="C1304" i="44"/>
  <c r="E1303" i="44"/>
  <c r="J1304" i="44"/>
  <c r="D1304" i="44" l="1"/>
  <c r="B1305" i="44"/>
  <c r="E1304" i="44"/>
  <c r="C1305" i="44"/>
  <c r="J1305" i="44"/>
  <c r="D1305" i="44" l="1"/>
  <c r="B1306" i="44"/>
  <c r="E1305" i="44"/>
  <c r="C1306" i="44"/>
  <c r="D1306" i="44" l="1"/>
  <c r="B1307" i="44"/>
  <c r="E1306" i="44"/>
  <c r="J1307" i="44"/>
  <c r="C1307" i="44"/>
  <c r="J1306" i="44"/>
  <c r="D1307" i="44" l="1"/>
  <c r="E1307" i="44"/>
  <c r="C1308" i="44"/>
  <c r="D1308" i="44" l="1"/>
  <c r="B1309" i="44"/>
  <c r="C1309" i="44"/>
  <c r="J1308" i="44"/>
  <c r="E1308" i="44"/>
  <c r="D1309" i="44" l="1"/>
  <c r="B1310" i="44"/>
  <c r="J1310" i="44"/>
  <c r="J1309" i="44"/>
  <c r="C1310" i="44"/>
  <c r="E1309" i="44"/>
  <c r="D1310" i="44" l="1"/>
  <c r="B1311" i="44"/>
  <c r="J1311" i="44"/>
  <c r="C1311" i="44"/>
  <c r="E1310" i="44"/>
  <c r="D1311" i="44" l="1"/>
  <c r="B1312" i="44"/>
  <c r="J1312" i="44"/>
  <c r="E1311" i="44"/>
  <c r="C1312" i="44"/>
  <c r="D1312" i="44" l="1"/>
  <c r="B1313" i="44"/>
  <c r="E1312" i="44"/>
  <c r="C1313" i="44"/>
  <c r="D1313" i="44" l="1"/>
  <c r="B1314" i="44"/>
  <c r="C1314" i="44"/>
  <c r="E1313" i="44"/>
  <c r="J1313" i="44"/>
  <c r="J1314" i="44"/>
  <c r="D1314" i="44" l="1"/>
  <c r="B1315" i="44"/>
  <c r="J1315" i="44"/>
  <c r="E1314" i="44"/>
  <c r="C1315" i="44"/>
  <c r="D1315" i="44" l="1"/>
  <c r="B1316" i="44"/>
  <c r="J1316" i="44"/>
  <c r="C1317" i="44"/>
  <c r="E1317" i="44"/>
  <c r="C1316" i="44"/>
  <c r="E1315" i="44"/>
  <c r="D1316" i="44" l="1"/>
  <c r="B1318" i="44"/>
  <c r="C1318" i="44"/>
  <c r="E1316" i="44"/>
  <c r="J1318" i="44"/>
  <c r="D1318" i="44" l="1"/>
  <c r="B1319" i="44"/>
  <c r="J1319" i="44"/>
  <c r="C1319" i="44"/>
  <c r="E1318" i="44"/>
  <c r="D1319" i="44" l="1"/>
  <c r="B1320" i="44"/>
  <c r="J1320" i="44"/>
  <c r="E1319" i="44"/>
  <c r="C1320" i="44"/>
  <c r="D1320" i="44" l="1"/>
  <c r="B1321" i="44"/>
  <c r="E1320" i="44"/>
  <c r="C1321" i="44"/>
  <c r="J1321" i="44"/>
  <c r="D1321" i="44" l="1"/>
  <c r="B1322" i="44"/>
  <c r="E1321" i="44"/>
  <c r="C1322" i="44"/>
  <c r="J1322" i="44"/>
  <c r="D1322" i="44" l="1"/>
  <c r="B1323" i="44"/>
  <c r="E1322" i="44"/>
  <c r="C1323" i="44"/>
  <c r="J1323" i="44"/>
  <c r="D1323" i="44" l="1"/>
  <c r="B1324" i="44"/>
  <c r="E1323" i="44"/>
  <c r="C1324" i="44"/>
  <c r="D1324" i="44" l="1"/>
  <c r="B1325" i="44"/>
  <c r="C1326" i="44"/>
  <c r="E1326" i="44"/>
  <c r="J1324" i="44"/>
  <c r="E1324" i="44"/>
  <c r="C1325" i="44"/>
  <c r="J1325" i="44"/>
  <c r="D1325" i="44" l="1"/>
  <c r="B1327" i="44"/>
  <c r="C1327" i="44"/>
  <c r="E1325" i="44"/>
  <c r="J1327" i="44"/>
  <c r="D1327" i="44" l="1"/>
  <c r="B1328" i="44"/>
  <c r="E1327" i="44"/>
  <c r="J1328" i="44"/>
  <c r="C1328" i="44"/>
  <c r="D1328" i="44" l="1"/>
  <c r="B1329" i="44"/>
  <c r="J1329" i="44"/>
  <c r="E1328" i="44"/>
  <c r="C1329" i="44"/>
  <c r="D1329" i="44" l="1"/>
  <c r="B1330" i="44"/>
  <c r="C1330" i="44"/>
  <c r="E1329" i="44"/>
  <c r="J1330" i="44"/>
  <c r="D1330" i="44" l="1"/>
  <c r="B1331" i="44"/>
  <c r="E1330" i="44"/>
  <c r="C1331" i="44"/>
  <c r="J1331" i="44"/>
  <c r="D1331" i="44" l="1"/>
  <c r="B1332" i="44"/>
  <c r="E1331" i="44"/>
  <c r="C1332" i="44"/>
  <c r="J1332" i="44"/>
  <c r="D1332" i="44" l="1"/>
  <c r="B1333" i="44"/>
  <c r="C1333" i="44"/>
  <c r="E1332" i="44"/>
  <c r="D1333" i="44" l="1"/>
  <c r="B1334" i="44"/>
  <c r="C1334" i="44"/>
  <c r="J1334" i="44"/>
  <c r="E1333" i="44"/>
  <c r="J1333" i="44"/>
  <c r="E1335" i="44"/>
  <c r="C1335" i="44"/>
  <c r="D1334" i="44" l="1"/>
  <c r="B1336" i="44"/>
  <c r="E1334" i="44"/>
  <c r="C1336" i="44"/>
  <c r="D1336" i="44" l="1"/>
  <c r="B1337" i="44"/>
  <c r="J1337" i="44"/>
  <c r="J1336" i="44"/>
  <c r="C1337" i="44"/>
  <c r="E1336" i="44"/>
  <c r="D1337" i="44" l="1"/>
  <c r="B1338" i="44"/>
  <c r="C1338" i="44"/>
  <c r="E1337" i="44"/>
  <c r="D1338" i="44" l="1"/>
  <c r="B1339" i="44"/>
  <c r="E1338" i="44"/>
  <c r="J1338" i="44"/>
  <c r="C1339" i="44"/>
  <c r="J1339" i="44"/>
  <c r="D1339" i="44" l="1"/>
  <c r="B1340" i="44"/>
  <c r="E1339" i="44"/>
  <c r="C1340" i="44"/>
  <c r="D1340" i="44" l="1"/>
  <c r="B1341" i="44"/>
  <c r="C1341" i="44"/>
  <c r="J1340" i="44"/>
  <c r="E1340" i="44"/>
  <c r="D1341" i="44" l="1"/>
  <c r="B1342" i="44"/>
  <c r="C1342" i="44"/>
  <c r="E1341" i="44"/>
  <c r="J1341" i="44"/>
  <c r="D1342" i="44" l="1"/>
  <c r="B1343" i="44"/>
  <c r="J1342" i="44"/>
  <c r="E1344" i="44"/>
  <c r="E1342" i="44"/>
  <c r="C1343" i="44"/>
  <c r="J1343" i="44"/>
  <c r="C1344" i="44"/>
  <c r="D1343" i="44" l="1"/>
  <c r="B1345" i="44"/>
  <c r="E1343" i="44"/>
  <c r="J1345" i="44"/>
  <c r="C1345" i="44"/>
  <c r="D1345" i="44" l="1"/>
  <c r="B1346" i="44"/>
  <c r="C1346" i="44"/>
  <c r="E1345" i="44"/>
  <c r="J1346" i="44"/>
  <c r="D1346" i="44" l="1"/>
  <c r="B1347" i="44"/>
  <c r="J1347" i="44"/>
  <c r="E1346" i="44"/>
  <c r="C1347" i="44"/>
  <c r="D1347" i="44" l="1"/>
  <c r="B1348" i="44"/>
  <c r="C1348" i="44"/>
  <c r="J1348" i="44"/>
  <c r="E1347" i="44"/>
  <c r="D1348" i="44" l="1"/>
  <c r="B1349" i="44"/>
  <c r="J1349" i="44"/>
  <c r="E1348" i="44"/>
  <c r="C1349" i="44"/>
  <c r="D1349" i="44" l="1"/>
  <c r="B1350" i="44"/>
  <c r="E1349" i="44"/>
  <c r="J1350" i="44"/>
  <c r="C1350" i="44"/>
  <c r="D1350" i="44" l="1"/>
  <c r="B1351" i="44"/>
  <c r="E1350" i="44"/>
  <c r="C1351" i="44"/>
  <c r="J1351" i="44"/>
  <c r="D1351" i="44" l="1"/>
  <c r="B1352" i="44"/>
  <c r="C1353" i="44"/>
  <c r="J1352" i="44"/>
  <c r="E1351" i="44"/>
  <c r="C1352" i="44"/>
  <c r="E1353" i="44"/>
  <c r="D1352" i="44" l="1"/>
  <c r="B1354" i="44"/>
  <c r="E1352" i="44"/>
  <c r="J1363" i="44"/>
  <c r="C1354" i="44"/>
  <c r="J1354" i="44"/>
  <c r="D1354" i="44" l="1"/>
  <c r="B1355" i="44"/>
  <c r="J1355" i="44"/>
  <c r="E1354" i="44"/>
  <c r="C1355" i="44"/>
  <c r="D1355" i="44" l="1"/>
  <c r="B1356" i="44"/>
  <c r="C1356" i="44"/>
  <c r="E1355" i="44"/>
  <c r="J1356" i="44"/>
  <c r="D1356" i="44" l="1"/>
  <c r="B1357" i="44"/>
  <c r="E1356" i="44"/>
  <c r="C1357" i="44"/>
  <c r="J1357" i="44"/>
  <c r="D1357" i="44" l="1"/>
  <c r="B1358" i="44"/>
  <c r="C1358" i="44"/>
  <c r="J1358" i="44"/>
  <c r="E1357" i="44"/>
  <c r="D1358" i="44" l="1"/>
  <c r="B1359" i="44"/>
  <c r="C1359" i="44"/>
  <c r="E1358" i="44"/>
  <c r="J1359" i="44"/>
  <c r="D1359" i="44" l="1"/>
  <c r="B1360" i="44"/>
  <c r="C1360" i="44"/>
  <c r="E1359" i="44"/>
  <c r="D1360" i="44" l="1"/>
  <c r="B1361" i="44"/>
  <c r="B1362" i="44" s="1"/>
  <c r="C1361" i="44"/>
  <c r="E1360" i="44"/>
  <c r="J1362" i="44"/>
  <c r="J1360" i="44"/>
  <c r="C1362" i="44"/>
  <c r="J1361" i="44"/>
  <c r="D1362" i="44" l="1"/>
  <c r="D1361" i="44"/>
  <c r="E1361" i="44"/>
  <c r="C1363" i="44"/>
  <c r="E1362" i="44"/>
  <c r="F1362" i="44" l="1"/>
  <c r="B1364" i="44"/>
  <c r="C1364" i="44"/>
  <c r="J1364" i="44"/>
  <c r="D1363" i="44" l="1"/>
  <c r="B1365" i="44"/>
  <c r="E1363" i="44"/>
  <c r="C1365" i="44"/>
  <c r="J1372" i="44"/>
  <c r="J1365" i="44"/>
  <c r="D1364" i="44" l="1"/>
  <c r="B1366" i="44"/>
  <c r="E1364" i="44"/>
  <c r="C1366" i="44"/>
  <c r="J1366" i="44"/>
  <c r="J1381" i="44"/>
  <c r="D1365" i="44" l="1"/>
  <c r="B1367" i="44"/>
  <c r="J1390" i="44"/>
  <c r="E1365" i="44"/>
  <c r="C1367" i="44"/>
  <c r="J1367" i="44"/>
  <c r="D1366" i="44" l="1"/>
  <c r="B1368" i="44"/>
  <c r="E1366" i="44"/>
  <c r="C1368" i="44"/>
  <c r="J1368" i="44"/>
  <c r="D1367" i="44" l="1"/>
  <c r="B1369" i="44"/>
  <c r="J1369" i="44"/>
  <c r="E1367" i="44"/>
  <c r="C1369" i="44"/>
  <c r="J1408" i="44"/>
  <c r="D1408" i="44" l="1"/>
  <c r="D1368" i="44"/>
  <c r="B1370" i="44"/>
  <c r="J1370" i="44"/>
  <c r="C1370" i="44"/>
  <c r="E1368" i="44"/>
  <c r="J1417" i="44"/>
  <c r="D1417" i="44" l="1"/>
  <c r="D1369" i="44"/>
  <c r="B1371" i="44"/>
  <c r="J1426" i="44"/>
  <c r="E1369" i="44"/>
  <c r="J1371" i="44"/>
  <c r="C1371" i="44"/>
  <c r="D1426" i="44" l="1"/>
  <c r="D1370" i="44"/>
  <c r="C1444" i="44"/>
  <c r="E1370" i="44"/>
  <c r="J1444" i="44"/>
  <c r="D1444" i="44" l="1"/>
  <c r="B1445" i="44"/>
  <c r="D1435" i="44"/>
  <c r="D1371" i="44"/>
  <c r="C1453" i="44"/>
  <c r="J1435" i="44"/>
  <c r="E1371" i="44"/>
  <c r="E1444" i="44"/>
  <c r="C1372" i="44"/>
  <c r="C1445" i="44"/>
  <c r="J1445" i="44"/>
  <c r="B1454" i="44" l="1"/>
  <c r="D1453" i="44"/>
  <c r="B1446" i="44"/>
  <c r="D1445" i="44"/>
  <c r="F1444" i="44"/>
  <c r="B1373" i="44"/>
  <c r="J1453" i="44"/>
  <c r="C1373" i="44"/>
  <c r="C1454" i="44"/>
  <c r="J1454" i="44"/>
  <c r="J1446" i="44"/>
  <c r="E1445" i="44"/>
  <c r="E1453" i="44"/>
  <c r="B1447" i="44" l="1"/>
  <c r="D1446" i="44"/>
  <c r="F1445" i="44"/>
  <c r="D1454" i="44"/>
  <c r="B1455" i="44"/>
  <c r="F1453" i="44"/>
  <c r="D1372" i="44"/>
  <c r="B1374" i="44"/>
  <c r="E1372" i="44"/>
  <c r="E1446" i="44"/>
  <c r="J1373" i="44"/>
  <c r="C1447" i="44"/>
  <c r="J1455" i="44"/>
  <c r="J1374" i="44"/>
  <c r="C1446" i="44"/>
  <c r="J1447" i="44"/>
  <c r="E1454" i="44"/>
  <c r="F1454" i="44" l="1"/>
  <c r="B1456" i="44"/>
  <c r="D1455" i="44"/>
  <c r="B1448" i="44"/>
  <c r="D1447" i="44"/>
  <c r="F1446" i="44"/>
  <c r="D1373" i="44"/>
  <c r="B1375" i="44"/>
  <c r="J1456" i="44"/>
  <c r="E1447" i="44"/>
  <c r="C1374" i="44"/>
  <c r="E1455" i="44"/>
  <c r="C1375" i="44"/>
  <c r="E1373" i="44"/>
  <c r="C1456" i="44"/>
  <c r="C1455" i="44"/>
  <c r="C1448" i="44"/>
  <c r="D1448" i="44" l="1"/>
  <c r="B1449" i="44"/>
  <c r="D1456" i="44"/>
  <c r="B1457" i="44"/>
  <c r="F1447" i="44"/>
  <c r="F1455" i="44"/>
  <c r="D1374" i="44"/>
  <c r="B1376" i="44"/>
  <c r="C1376" i="44"/>
  <c r="J1375" i="44"/>
  <c r="E1374" i="44"/>
  <c r="J1457" i="44"/>
  <c r="J1449" i="44"/>
  <c r="C1449" i="44"/>
  <c r="E1448" i="44"/>
  <c r="E1456" i="44"/>
  <c r="C1457" i="44"/>
  <c r="J1448" i="44"/>
  <c r="B1450" i="44" l="1"/>
  <c r="D1449" i="44"/>
  <c r="F1456" i="44"/>
  <c r="D1457" i="44"/>
  <c r="B1458" i="44"/>
  <c r="F1448" i="44"/>
  <c r="D1375" i="44"/>
  <c r="B1377" i="44"/>
  <c r="J1450" i="44"/>
  <c r="E1375" i="44"/>
  <c r="J1376" i="44"/>
  <c r="C1450" i="44"/>
  <c r="E1457" i="44"/>
  <c r="J1458" i="44"/>
  <c r="E1449" i="44"/>
  <c r="J1377" i="44"/>
  <c r="F1457" i="44" l="1"/>
  <c r="B1459" i="44"/>
  <c r="D1458" i="44"/>
  <c r="D1450" i="44"/>
  <c r="B1451" i="44"/>
  <c r="F1449" i="44"/>
  <c r="D1376" i="44"/>
  <c r="B1378" i="44"/>
  <c r="J1451" i="44"/>
  <c r="C1459" i="44"/>
  <c r="C1458" i="44"/>
  <c r="J1459" i="44"/>
  <c r="E1376" i="44"/>
  <c r="C1378" i="44"/>
  <c r="C1377" i="44"/>
  <c r="E1450" i="44"/>
  <c r="E1458" i="44"/>
  <c r="B1452" i="44" l="1"/>
  <c r="D1451" i="44"/>
  <c r="B1460" i="44"/>
  <c r="D1459" i="44"/>
  <c r="F1450" i="44"/>
  <c r="F1458" i="44"/>
  <c r="D1377" i="44"/>
  <c r="B1379" i="44"/>
  <c r="C1460" i="44"/>
  <c r="C1379" i="44"/>
  <c r="E1377" i="44"/>
  <c r="C1451" i="44"/>
  <c r="E1451" i="44"/>
  <c r="J1460" i="44"/>
  <c r="J1452" i="44"/>
  <c r="C1452" i="44"/>
  <c r="E1459" i="44"/>
  <c r="J1378" i="44"/>
  <c r="D1460" i="44" l="1"/>
  <c r="B1461" i="44"/>
  <c r="F1459" i="44"/>
  <c r="D1452" i="44"/>
  <c r="F1452" i="44" s="1"/>
  <c r="F1451" i="44"/>
  <c r="D1378" i="44"/>
  <c r="B1380" i="44"/>
  <c r="E1378" i="44"/>
  <c r="E1460" i="44"/>
  <c r="J1380" i="44"/>
  <c r="C1461" i="44"/>
  <c r="J1379" i="44"/>
  <c r="D1461" i="44" l="1"/>
  <c r="F1460" i="44"/>
  <c r="D1379" i="44"/>
  <c r="D1380" i="44"/>
  <c r="E1461" i="44"/>
  <c r="J1461" i="44"/>
  <c r="E1380" i="44"/>
  <c r="E1379" i="44"/>
  <c r="C1381" i="44"/>
  <c r="C1380" i="44"/>
  <c r="E1452" i="44"/>
  <c r="F1461" i="44" l="1"/>
  <c r="D1381" i="44"/>
  <c r="B1382" i="44"/>
  <c r="J1382" i="44"/>
  <c r="E1381" i="44"/>
  <c r="C1382" i="44"/>
  <c r="D1382" i="44" l="1"/>
  <c r="B1383" i="44"/>
  <c r="J1383" i="44"/>
  <c r="E1382" i="44"/>
  <c r="C1383" i="44"/>
  <c r="D1383" i="44" l="1"/>
  <c r="B1384" i="44"/>
  <c r="C1384" i="44"/>
  <c r="E1383" i="44"/>
  <c r="J1384" i="44"/>
  <c r="D1384" i="44" l="1"/>
  <c r="B1385" i="44"/>
  <c r="J1385" i="44"/>
  <c r="E1384" i="44"/>
  <c r="C1385" i="44"/>
  <c r="D1385" i="44" l="1"/>
  <c r="B1386" i="44"/>
  <c r="J1386" i="44"/>
  <c r="E1385" i="44"/>
  <c r="C1386" i="44"/>
  <c r="D1386" i="44" l="1"/>
  <c r="B1387" i="44"/>
  <c r="C1387" i="44"/>
  <c r="E1386" i="44"/>
  <c r="J1387" i="44"/>
  <c r="D1387" i="44" l="1"/>
  <c r="B1388" i="44"/>
  <c r="C1388" i="44"/>
  <c r="E1387" i="44"/>
  <c r="J1388" i="44"/>
  <c r="D1388" i="44" l="1"/>
  <c r="B1389" i="44"/>
  <c r="C1389" i="44"/>
  <c r="E1388" i="44"/>
  <c r="J1389" i="44"/>
  <c r="D1389" i="44" l="1"/>
  <c r="E1389" i="44"/>
  <c r="C1390" i="44"/>
  <c r="D1390" i="44" l="1"/>
  <c r="B1391" i="44"/>
  <c r="C1391" i="44"/>
  <c r="J1391" i="44"/>
  <c r="E1390" i="44"/>
  <c r="D1391" i="44" l="1"/>
  <c r="B1392" i="44"/>
  <c r="E1391" i="44"/>
  <c r="C1392" i="44"/>
  <c r="J1392" i="44"/>
  <c r="D1392" i="44" l="1"/>
  <c r="B1393" i="44"/>
  <c r="E1392" i="44"/>
  <c r="J1393" i="44"/>
  <c r="C1393" i="44"/>
  <c r="D1393" i="44" l="1"/>
  <c r="B1394" i="44"/>
  <c r="E1393" i="44"/>
  <c r="J1394" i="44"/>
  <c r="C1394" i="44"/>
  <c r="D1394" i="44" l="1"/>
  <c r="B1395" i="44"/>
  <c r="J1395" i="44"/>
  <c r="C1395" i="44"/>
  <c r="E1394" i="44"/>
  <c r="D1395" i="44" l="1"/>
  <c r="B1396" i="44"/>
  <c r="E1395" i="44"/>
  <c r="C1396" i="44"/>
  <c r="J1396" i="44"/>
  <c r="D1396" i="44" l="1"/>
  <c r="B1397" i="44"/>
  <c r="B1398" i="44" s="1"/>
  <c r="E1396" i="44"/>
  <c r="J1397" i="44"/>
  <c r="C1399" i="44"/>
  <c r="D1399" i="44" l="1"/>
  <c r="B1400" i="44"/>
  <c r="D1397" i="44"/>
  <c r="C1397" i="44"/>
  <c r="E1399" i="44"/>
  <c r="E1397" i="44"/>
  <c r="C1398" i="44"/>
  <c r="C1400" i="44"/>
  <c r="J1400" i="44"/>
  <c r="J1398" i="44"/>
  <c r="D1400" i="44" l="1"/>
  <c r="B1401" i="44"/>
  <c r="F1399" i="44"/>
  <c r="D1398" i="44"/>
  <c r="J1401" i="44"/>
  <c r="E1400" i="44"/>
  <c r="E1398" i="44"/>
  <c r="C1401" i="44"/>
  <c r="E1408" i="44"/>
  <c r="D1401" i="44" l="1"/>
  <c r="B1402" i="44"/>
  <c r="F1400" i="44"/>
  <c r="B1409" i="44"/>
  <c r="J1409" i="44"/>
  <c r="J1402" i="44"/>
  <c r="E1401" i="44"/>
  <c r="C1409" i="44"/>
  <c r="C1402" i="44"/>
  <c r="D1402" i="44" l="1"/>
  <c r="B1403" i="44"/>
  <c r="F1401" i="44"/>
  <c r="D1409" i="44"/>
  <c r="B1410" i="44"/>
  <c r="J1403" i="44"/>
  <c r="C1410" i="44"/>
  <c r="E1402" i="44"/>
  <c r="E1409" i="44"/>
  <c r="C1403" i="44"/>
  <c r="D1403" i="44" l="1"/>
  <c r="B1404" i="44"/>
  <c r="F1402" i="44"/>
  <c r="D1410" i="44"/>
  <c r="B1411" i="44"/>
  <c r="E1410" i="44"/>
  <c r="C1411" i="44"/>
  <c r="C1404" i="44"/>
  <c r="J1404" i="44"/>
  <c r="J1410" i="44"/>
  <c r="E1403" i="44"/>
  <c r="D1404" i="44" l="1"/>
  <c r="B1405" i="44"/>
  <c r="F1403" i="44"/>
  <c r="D1411" i="44"/>
  <c r="B1412" i="44"/>
  <c r="C1412" i="44"/>
  <c r="C1405" i="44"/>
  <c r="E1411" i="44"/>
  <c r="J1411" i="44"/>
  <c r="E1404" i="44"/>
  <c r="J1405" i="44"/>
  <c r="J1412" i="44"/>
  <c r="D1405" i="44" l="1"/>
  <c r="B1406" i="44"/>
  <c r="F1404" i="44"/>
  <c r="D1412" i="44"/>
  <c r="B1413" i="44"/>
  <c r="J1406" i="44"/>
  <c r="E1412" i="44"/>
  <c r="C1406" i="44"/>
  <c r="E1405" i="44"/>
  <c r="J1413" i="44"/>
  <c r="D1406" i="44" l="1"/>
  <c r="B1407" i="44"/>
  <c r="F1405" i="44"/>
  <c r="D1413" i="44"/>
  <c r="B1414" i="44"/>
  <c r="E1413" i="44"/>
  <c r="C1413" i="44"/>
  <c r="J1407" i="44"/>
  <c r="J1414" i="44"/>
  <c r="C1407" i="44"/>
  <c r="C1414" i="44"/>
  <c r="E1406" i="44"/>
  <c r="D1407" i="44" l="1"/>
  <c r="F1406" i="44"/>
  <c r="D1414" i="44"/>
  <c r="B1415" i="44"/>
  <c r="E1407" i="44"/>
  <c r="C1415" i="44"/>
  <c r="J1415" i="44"/>
  <c r="E1414" i="44"/>
  <c r="F1407" i="44" l="1"/>
  <c r="D1415" i="44"/>
  <c r="B1416" i="44"/>
  <c r="E1417" i="44"/>
  <c r="E1415" i="44"/>
  <c r="J1416" i="44"/>
  <c r="C1416" i="44"/>
  <c r="C1417" i="44"/>
  <c r="D1416" i="44" l="1"/>
  <c r="B1418" i="44"/>
  <c r="C1418" i="44"/>
  <c r="E1416" i="44"/>
  <c r="D1418" i="44" l="1"/>
  <c r="B1419" i="44"/>
  <c r="J1419" i="44"/>
  <c r="C1419" i="44"/>
  <c r="J1418" i="44"/>
  <c r="E1418" i="44"/>
  <c r="D1419" i="44" l="1"/>
  <c r="B1420" i="44"/>
  <c r="C1420" i="44"/>
  <c r="E1419" i="44"/>
  <c r="J1420" i="44"/>
  <c r="D1420" i="44" l="1"/>
  <c r="B1421" i="44"/>
  <c r="J1421" i="44"/>
  <c r="E1420" i="44"/>
  <c r="C1421" i="44"/>
  <c r="D1421" i="44" l="1"/>
  <c r="B1422" i="44"/>
  <c r="J1422" i="44"/>
  <c r="E1421" i="44"/>
  <c r="C1422" i="44"/>
  <c r="D1422" i="44" l="1"/>
  <c r="B1423" i="44"/>
  <c r="E1422" i="44"/>
  <c r="C1423" i="44"/>
  <c r="J1423" i="44"/>
  <c r="D1423" i="44" l="1"/>
  <c r="B1424" i="44"/>
  <c r="J1424" i="44"/>
  <c r="E1423" i="44"/>
  <c r="C1424" i="44"/>
  <c r="D1424" i="44" l="1"/>
  <c r="B1425" i="44"/>
  <c r="C1425" i="44"/>
  <c r="E1426" i="44"/>
  <c r="E1424" i="44"/>
  <c r="J1425" i="44"/>
  <c r="C1426" i="44"/>
  <c r="D1425" i="44" l="1"/>
  <c r="B1427" i="44"/>
  <c r="J1427" i="44"/>
  <c r="C1427" i="44"/>
  <c r="E1425" i="44"/>
  <c r="D1427" i="44" l="1"/>
  <c r="B1428" i="44"/>
  <c r="C1428" i="44"/>
  <c r="E1427" i="44"/>
  <c r="J1428" i="44"/>
  <c r="D1428" i="44" l="1"/>
  <c r="B1429" i="44"/>
  <c r="J1429" i="44"/>
  <c r="C1429" i="44"/>
  <c r="E1428" i="44"/>
  <c r="D1429" i="44" l="1"/>
  <c r="B1430" i="44"/>
  <c r="C1430" i="44"/>
  <c r="E1429" i="44"/>
  <c r="J1430" i="44"/>
  <c r="D1430" i="44" l="1"/>
  <c r="B1431" i="44"/>
  <c r="C1431" i="44"/>
  <c r="J1431" i="44"/>
  <c r="E1430" i="44"/>
  <c r="D1431" i="44" l="1"/>
  <c r="B1432" i="44"/>
  <c r="C1432" i="44"/>
  <c r="J1432" i="44"/>
  <c r="E1431" i="44"/>
  <c r="D1432" i="44" l="1"/>
  <c r="B1433" i="44"/>
  <c r="C1433" i="44"/>
  <c r="E1432" i="44"/>
  <c r="J1433" i="44"/>
  <c r="D1433" i="44" l="1"/>
  <c r="B1434" i="44"/>
  <c r="E1433" i="44"/>
  <c r="E1435" i="44"/>
  <c r="C1435" i="44"/>
  <c r="J1434" i="44"/>
  <c r="C1434" i="44"/>
  <c r="D1434" i="44" l="1"/>
  <c r="B1436" i="44"/>
  <c r="J1436" i="44"/>
  <c r="E1434" i="44"/>
  <c r="C1436" i="44"/>
  <c r="D1436" i="44" l="1"/>
  <c r="B1437" i="44"/>
  <c r="J1437" i="44"/>
  <c r="E1436" i="44"/>
  <c r="C1437" i="44"/>
  <c r="D1437" i="44" l="1"/>
  <c r="B1438" i="44"/>
  <c r="E1437" i="44"/>
  <c r="J1438" i="44"/>
  <c r="C1438" i="44"/>
  <c r="D1438" i="44" l="1"/>
  <c r="B1439" i="44"/>
  <c r="C1439" i="44"/>
  <c r="E1438" i="44"/>
  <c r="J1439" i="44"/>
  <c r="D1439" i="44" l="1"/>
  <c r="B1440" i="44"/>
  <c r="E1439" i="44"/>
  <c r="C1440" i="44"/>
  <c r="J1440" i="44"/>
  <c r="D1440" i="44" l="1"/>
  <c r="B1441" i="44"/>
  <c r="C1441" i="44"/>
  <c r="E1440" i="44"/>
  <c r="J1441" i="44"/>
  <c r="D1441" i="44" l="1"/>
  <c r="B1442" i="44"/>
  <c r="J1442" i="44"/>
  <c r="E1441" i="44"/>
  <c r="C1442" i="44"/>
  <c r="D1442" i="44" l="1"/>
  <c r="B1443" i="44"/>
  <c r="C1443" i="44"/>
  <c r="E1442" i="44"/>
  <c r="J1443" i="44"/>
  <c r="D1443" i="44" l="1"/>
  <c r="D1462" i="44"/>
  <c r="E1443" i="44"/>
  <c r="E1462" i="44"/>
  <c r="C1462" i="44"/>
  <c r="F1462" i="44" l="1"/>
  <c r="A1462" i="44" s="1"/>
  <c r="E1463" i="44"/>
  <c r="F1463" i="44" l="1"/>
  <c r="A1463" i="44" s="1"/>
  <c r="E1464" i="44"/>
  <c r="A1464" i="44" l="1"/>
  <c r="F1464" i="44"/>
  <c r="F1477" i="44" l="1"/>
  <c r="E1479" i="44"/>
  <c r="F1479" i="44" l="1"/>
  <c r="A1479" i="44" s="1"/>
  <c r="E1480" i="44"/>
  <c r="F1480" i="44" l="1"/>
  <c r="A1480" i="44" s="1"/>
  <c r="E1481" i="44"/>
  <c r="F1481" i="44" l="1"/>
  <c r="A1481" i="44" s="1"/>
  <c r="E1482" i="44"/>
  <c r="F1482" i="44" l="1"/>
  <c r="A1482" i="44" s="1"/>
  <c r="E1485" i="44"/>
  <c r="C1485" i="44"/>
  <c r="A1485" i="44" l="1"/>
  <c r="F1485" i="44"/>
  <c r="E1489" i="44"/>
  <c r="C1489" i="44"/>
  <c r="A1489" i="44" l="1"/>
  <c r="F1489" i="44"/>
  <c r="L1103" i="44" l="1"/>
  <c r="K1103" i="44"/>
  <c r="L1104" i="44" l="1"/>
  <c r="J1104" i="44"/>
  <c r="J1103" i="44"/>
  <c r="E1103" i="44" l="1"/>
  <c r="L1105" i="44"/>
  <c r="K1104" i="44"/>
  <c r="K1105" i="44"/>
  <c r="A1253" i="44" l="1"/>
  <c r="A1362" i="44"/>
  <c r="A1103" i="44"/>
  <c r="A1184" i="44"/>
  <c r="A1183" i="44"/>
  <c r="A1176" i="44"/>
  <c r="A1174" i="44"/>
  <c r="A1222" i="44"/>
  <c r="A1225" i="44"/>
  <c r="A1285" i="44"/>
  <c r="A1423" i="44"/>
  <c r="A1424" i="44"/>
  <c r="A1217" i="44"/>
  <c r="A1298" i="44"/>
  <c r="A1182" i="44"/>
  <c r="A1185" i="44"/>
  <c r="A1186" i="44"/>
  <c r="A1197" i="44"/>
  <c r="A1147" i="44"/>
  <c r="A1175" i="44"/>
  <c r="A1288" i="44"/>
  <c r="A1289" i="44"/>
  <c r="A1226" i="44"/>
  <c r="A1231" i="44"/>
  <c r="A1232" i="44"/>
  <c r="A1297" i="44"/>
  <c r="A1224" i="44"/>
  <c r="A1233" i="44"/>
  <c r="A1151" i="44"/>
  <c r="A1146" i="44"/>
  <c r="A1148" i="44"/>
  <c r="A1145" i="44"/>
  <c r="A1304" i="44"/>
  <c r="A1305" i="44"/>
  <c r="A1276" i="44"/>
  <c r="A1250" i="44"/>
  <c r="A1368" i="44"/>
  <c r="A1215" i="44"/>
  <c r="A1167" i="44"/>
  <c r="A1187" i="44"/>
  <c r="A1149" i="44"/>
  <c r="A1321" i="44"/>
  <c r="A1277" i="44"/>
  <c r="A1278" i="44"/>
  <c r="A1279" i="44"/>
  <c r="A1280" i="44"/>
  <c r="A1150" i="44"/>
  <c r="A1143" i="44"/>
  <c r="A1214" i="44"/>
  <c r="A1199" i="44"/>
  <c r="A1196" i="44"/>
  <c r="A1166" i="44"/>
  <c r="A1177" i="44"/>
  <c r="A1223" i="44"/>
  <c r="A1369" i="44"/>
  <c r="A1306" i="44"/>
  <c r="A1323" i="44"/>
  <c r="A1294" i="44"/>
  <c r="A1295" i="44"/>
  <c r="A1296" i="44"/>
  <c r="A1164" i="44"/>
  <c r="A1216" i="44"/>
  <c r="A1195" i="44"/>
  <c r="A1152" i="44"/>
  <c r="A1165" i="44"/>
  <c r="A1188" i="44"/>
  <c r="A1144" i="44"/>
  <c r="A1193" i="44"/>
  <c r="A1287" i="44"/>
  <c r="A1370" i="44"/>
  <c r="A1322" i="44"/>
  <c r="A1324" i="44"/>
  <c r="A1312" i="44"/>
  <c r="A1286" i="44"/>
  <c r="A1213" i="44"/>
  <c r="A1168" i="44"/>
  <c r="A1198" i="44"/>
  <c r="A1142" i="44"/>
  <c r="A1194" i="44"/>
  <c r="A1303" i="44"/>
  <c r="A1421" i="44"/>
  <c r="A1422" i="44"/>
  <c r="A1234" i="44"/>
  <c r="A1235" i="44"/>
  <c r="A1251" i="44"/>
  <c r="A1315" i="44"/>
  <c r="A1249" i="44"/>
  <c r="A1313" i="44"/>
  <c r="A1314" i="44"/>
  <c r="A1252" i="44"/>
  <c r="E1104" i="44"/>
  <c r="A1104" i="44" s="1"/>
  <c r="L1106" i="44"/>
  <c r="K1106" i="44"/>
  <c r="J1105" i="44"/>
  <c r="E1105" i="44" l="1"/>
  <c r="A1105" i="44" s="1"/>
  <c r="L1107" i="44"/>
  <c r="J1107" i="44"/>
  <c r="J1106" i="44"/>
  <c r="E1106" i="44" l="1"/>
  <c r="A1106" i="44" s="1"/>
  <c r="L1108" i="44"/>
  <c r="K1108" i="44"/>
  <c r="K1107" i="44"/>
  <c r="E1107" i="44" l="1"/>
  <c r="A1107" i="44" s="1"/>
  <c r="L1109" i="44"/>
  <c r="J1109" i="44"/>
  <c r="J1108" i="44"/>
  <c r="E1108" i="44" l="1"/>
  <c r="A1108" i="44" s="1"/>
  <c r="L1110" i="44"/>
  <c r="K1109" i="44"/>
  <c r="J1110" i="44"/>
  <c r="E1109" i="44" l="1"/>
  <c r="L1111" i="44"/>
  <c r="K1110" i="44"/>
  <c r="K1111" i="44"/>
  <c r="E1110" i="44" l="1"/>
  <c r="A1110" i="44" s="1"/>
  <c r="L1112" i="44"/>
  <c r="J1111" i="44"/>
  <c r="K1112" i="44"/>
  <c r="E1111" i="44" l="1"/>
  <c r="A1111" i="44" s="1"/>
  <c r="L1113" i="44"/>
  <c r="J1112" i="44"/>
  <c r="K1113" i="44"/>
  <c r="E1112" i="44" l="1"/>
  <c r="A1112" i="44" s="1"/>
  <c r="L1114" i="44"/>
  <c r="J1113" i="44"/>
  <c r="K1114" i="44"/>
  <c r="E1113" i="44" l="1"/>
  <c r="L1115" i="44"/>
  <c r="J1114" i="44"/>
  <c r="J1115" i="44"/>
  <c r="E1114" i="44" l="1"/>
  <c r="A1114" i="44" s="1"/>
  <c r="L1116" i="44"/>
  <c r="K1115" i="44"/>
  <c r="K1116" i="44"/>
  <c r="E1115" i="44" l="1"/>
  <c r="L1117" i="44"/>
  <c r="K1117" i="44"/>
  <c r="J1116" i="44"/>
  <c r="E1116" i="44" l="1"/>
  <c r="L1118" i="44"/>
  <c r="K1118" i="44"/>
  <c r="J1117" i="44"/>
  <c r="E1117" i="44" l="1"/>
  <c r="A1117" i="44" s="1"/>
  <c r="L1119" i="44"/>
  <c r="J1118" i="44"/>
  <c r="J1119" i="44"/>
  <c r="E1118" i="44" l="1"/>
  <c r="A1118" i="44" s="1"/>
  <c r="L1120" i="44"/>
  <c r="J1120" i="44"/>
  <c r="K1119" i="44"/>
  <c r="E1119" i="44" l="1"/>
  <c r="A1119" i="44" s="1"/>
  <c r="L1121" i="44"/>
  <c r="K1120" i="44"/>
  <c r="J1121" i="44"/>
  <c r="E1120" i="44" l="1"/>
  <c r="A1120" i="44" s="1"/>
  <c r="L1122" i="44"/>
  <c r="K1121" i="44"/>
  <c r="K1122" i="44"/>
  <c r="E1121" i="44" l="1"/>
  <c r="A1121" i="44" s="1"/>
  <c r="L1123" i="44"/>
  <c r="J1122" i="44"/>
  <c r="J1123" i="44"/>
  <c r="E1122" i="44" l="1"/>
  <c r="A1122" i="44" s="1"/>
  <c r="L1124" i="44"/>
  <c r="J1124" i="44"/>
  <c r="K1123" i="44"/>
  <c r="E1123" i="44" l="1"/>
  <c r="L1125" i="44"/>
  <c r="K1125" i="44"/>
  <c r="K1124" i="44"/>
  <c r="E1124" i="44" l="1"/>
  <c r="L1126" i="44"/>
  <c r="K1126" i="44"/>
  <c r="J1125" i="44"/>
  <c r="E1125" i="44" l="1"/>
  <c r="L1127" i="44"/>
  <c r="J1127" i="44"/>
  <c r="J1126" i="44"/>
  <c r="E1126" i="44" l="1"/>
  <c r="A1126" i="44" s="1"/>
  <c r="L1128" i="44"/>
  <c r="K1128" i="44"/>
  <c r="K1127" i="44"/>
  <c r="E1127" i="44" l="1"/>
  <c r="A1127" i="44" s="1"/>
  <c r="L1129" i="44"/>
  <c r="J1129" i="44"/>
  <c r="J1128" i="44"/>
  <c r="E1128" i="44" l="1"/>
  <c r="L1130" i="44"/>
  <c r="K1129" i="44"/>
  <c r="K1130" i="44"/>
  <c r="E1129" i="44" l="1"/>
  <c r="J1130" i="44"/>
  <c r="E1130" i="44" l="1"/>
  <c r="L1131" i="44"/>
  <c r="K1131" i="44"/>
  <c r="L1132" i="44" l="1"/>
  <c r="K1132" i="44"/>
  <c r="J1131" i="44"/>
  <c r="E1131" i="44" l="1"/>
  <c r="J1132" i="44"/>
  <c r="K1467" i="44"/>
  <c r="J1467" i="44"/>
  <c r="E1132" i="44" l="1"/>
  <c r="A1132" i="44" s="1"/>
  <c r="F1161" i="44"/>
  <c r="A1161" i="44" s="1"/>
  <c r="F1159" i="44"/>
  <c r="A1159" i="44" s="1"/>
  <c r="F1155" i="44"/>
  <c r="A1155" i="44" s="1"/>
  <c r="F1154" i="44"/>
  <c r="A1154" i="44" s="1"/>
  <c r="F1153" i="44"/>
  <c r="A1153" i="44" s="1"/>
  <c r="F1173" i="44"/>
  <c r="A1173" i="44" s="1"/>
  <c r="F1172" i="44"/>
  <c r="A1172" i="44" s="1"/>
  <c r="F1171" i="44"/>
  <c r="A1171" i="44" s="1"/>
  <c r="F1170" i="44"/>
  <c r="A1170" i="44" s="1"/>
  <c r="F1168" i="44"/>
  <c r="F1164" i="44"/>
  <c r="F1163" i="44"/>
  <c r="A1163" i="44" s="1"/>
  <c r="F1162" i="44"/>
  <c r="A1162" i="44" s="1"/>
  <c r="F1280" i="44"/>
  <c r="F1249" i="44"/>
  <c r="F1221" i="44"/>
  <c r="A1221" i="44" s="1"/>
  <c r="F1191" i="44"/>
  <c r="A1191" i="44" s="1"/>
  <c r="F1276" i="44"/>
  <c r="F1248" i="44"/>
  <c r="A1248" i="44" s="1"/>
  <c r="F1220" i="44"/>
  <c r="A1220" i="44" s="1"/>
  <c r="F1190" i="44"/>
  <c r="A1190" i="44" s="1"/>
  <c r="F1364" i="44"/>
  <c r="A1364" i="44" s="1"/>
  <c r="F1247" i="44"/>
  <c r="A1247" i="44" s="1"/>
  <c r="F1219" i="44"/>
  <c r="A1219" i="44" s="1"/>
  <c r="F1186" i="44"/>
  <c r="F1330" i="44"/>
  <c r="F1246" i="44"/>
  <c r="A1246" i="44" s="1"/>
  <c r="F1217" i="44"/>
  <c r="F1182" i="44"/>
  <c r="F1309" i="44"/>
  <c r="A1309" i="44" s="1"/>
  <c r="F1244" i="44"/>
  <c r="F1213" i="44"/>
  <c r="F1181" i="44"/>
  <c r="A1181" i="44" s="1"/>
  <c r="F1366" i="44"/>
  <c r="A1366" i="44" s="1"/>
  <c r="F1356" i="44"/>
  <c r="A1356" i="44" s="1"/>
  <c r="F1240" i="44"/>
  <c r="F1212" i="44"/>
  <c r="A1212" i="44" s="1"/>
  <c r="F1180" i="44"/>
  <c r="A1180" i="44" s="1"/>
  <c r="F1337" i="44"/>
  <c r="F1392" i="44"/>
  <c r="F1273" i="44"/>
  <c r="A1273" i="44" s="1"/>
  <c r="F1267" i="44"/>
  <c r="F1239" i="44"/>
  <c r="F1211" i="44"/>
  <c r="A1211" i="44" s="1"/>
  <c r="F1179" i="44"/>
  <c r="A1179" i="44" s="1"/>
  <c r="F1150" i="44"/>
  <c r="F1393" i="44"/>
  <c r="F1361" i="44"/>
  <c r="A1361" i="44" s="1"/>
  <c r="F1271" i="44"/>
  <c r="F1266" i="44"/>
  <c r="F1238" i="44"/>
  <c r="F1210" i="44"/>
  <c r="A1210" i="44" s="1"/>
  <c r="F1177" i="44"/>
  <c r="F1146" i="44"/>
  <c r="F1336" i="44"/>
  <c r="F1391" i="44"/>
  <c r="F1300" i="44"/>
  <c r="A1300" i="44" s="1"/>
  <c r="F1439" i="44"/>
  <c r="F1321" i="44"/>
  <c r="F1293" i="44"/>
  <c r="A1293" i="44" s="1"/>
  <c r="F1265" i="44"/>
  <c r="F1237" i="44"/>
  <c r="F1208" i="44"/>
  <c r="F1145" i="44"/>
  <c r="F1365" i="44"/>
  <c r="A1365" i="44" s="1"/>
  <c r="F1302" i="44"/>
  <c r="A1302" i="44" s="1"/>
  <c r="F1416" i="44"/>
  <c r="F1327" i="44"/>
  <c r="F1409" i="44"/>
  <c r="F1292" i="44"/>
  <c r="A1292" i="44" s="1"/>
  <c r="F1264" i="44"/>
  <c r="F1235" i="44"/>
  <c r="F1204" i="44"/>
  <c r="F1144" i="44"/>
  <c r="F1394" i="44"/>
  <c r="F1420" i="44"/>
  <c r="A1420" i="44" s="1"/>
  <c r="F1301" i="44"/>
  <c r="A1301" i="44" s="1"/>
  <c r="F1412" i="44"/>
  <c r="F1354" i="44"/>
  <c r="A1354" i="44" s="1"/>
  <c r="F1382" i="44"/>
  <c r="F1347" i="44"/>
  <c r="F1319" i="44"/>
  <c r="A1319" i="44" s="1"/>
  <c r="F1291" i="44"/>
  <c r="A1291" i="44" s="1"/>
  <c r="F1262" i="44"/>
  <c r="F1231" i="44"/>
  <c r="F1203" i="44"/>
  <c r="F1143" i="44"/>
  <c r="F1307" i="44"/>
  <c r="A1307" i="44" s="1"/>
  <c r="F1419" i="44"/>
  <c r="A1419" i="44" s="1"/>
  <c r="F1329" i="44"/>
  <c r="F1355" i="44"/>
  <c r="A1355" i="44" s="1"/>
  <c r="F1383" i="44"/>
  <c r="F1352" i="44"/>
  <c r="F1434" i="44"/>
  <c r="F1375" i="44"/>
  <c r="F1346" i="44"/>
  <c r="F1318" i="44"/>
  <c r="A1318" i="44" s="1"/>
  <c r="F1289" i="44"/>
  <c r="F1258" i="44"/>
  <c r="F1230" i="44"/>
  <c r="A1230" i="44" s="1"/>
  <c r="F1202" i="44"/>
  <c r="F1425" i="44"/>
  <c r="A1425" i="44" s="1"/>
  <c r="F1303" i="44"/>
  <c r="F1389" i="44"/>
  <c r="F1298" i="44"/>
  <c r="F1410" i="44"/>
  <c r="F1437" i="44"/>
  <c r="F1436" i="44"/>
  <c r="F1374" i="44"/>
  <c r="F1345" i="44"/>
  <c r="F1316" i="44"/>
  <c r="A1316" i="44" s="1"/>
  <c r="F1285" i="44"/>
  <c r="F1257" i="44"/>
  <c r="F1229" i="44"/>
  <c r="A1229" i="44" s="1"/>
  <c r="F1201" i="44"/>
  <c r="F1141" i="44"/>
  <c r="A1141" i="44" s="1"/>
  <c r="F1334" i="44"/>
  <c r="F1418" i="44"/>
  <c r="A1418" i="44" s="1"/>
  <c r="F1385" i="44"/>
  <c r="F1384" i="44"/>
  <c r="F1411" i="44"/>
  <c r="F1438" i="44"/>
  <c r="F1348" i="44"/>
  <c r="F1373" i="44"/>
  <c r="F1343" i="44"/>
  <c r="F1312" i="44"/>
  <c r="F1284" i="44"/>
  <c r="A1284" i="44" s="1"/>
  <c r="F1256" i="44"/>
  <c r="F1228" i="44"/>
  <c r="A1228" i="44" s="1"/>
  <c r="F1197" i="44"/>
  <c r="F1140" i="44"/>
  <c r="A1140" i="44" s="1"/>
  <c r="F1421" i="44"/>
  <c r="F1274" i="44"/>
  <c r="A1274" i="44" s="1"/>
  <c r="F1328" i="44"/>
  <c r="F1294" i="44"/>
  <c r="F1380" i="44"/>
  <c r="F1376" i="44"/>
  <c r="F1428" i="44"/>
  <c r="F1371" i="44"/>
  <c r="A1371" i="44" s="1"/>
  <c r="F1339" i="44"/>
  <c r="F1311" i="44"/>
  <c r="A1311" i="44" s="1"/>
  <c r="F1283" i="44"/>
  <c r="A1283" i="44" s="1"/>
  <c r="F1255" i="44"/>
  <c r="F1226" i="44"/>
  <c r="F1193" i="44"/>
  <c r="F1139" i="44"/>
  <c r="A1139" i="44" s="1"/>
  <c r="F1275" i="44"/>
  <c r="A1275" i="44" s="1"/>
  <c r="F1357" i="44"/>
  <c r="A1357" i="44" s="1"/>
  <c r="F1443" i="44"/>
  <c r="F1325" i="44"/>
  <c r="A1325" i="44" s="1"/>
  <c r="F1320" i="44"/>
  <c r="A1320" i="44" s="1"/>
  <c r="F1430" i="44"/>
  <c r="F1429" i="44"/>
  <c r="F1427" i="44"/>
  <c r="F1398" i="44"/>
  <c r="F1367" i="44"/>
  <c r="A1367" i="44" s="1"/>
  <c r="F1338" i="44"/>
  <c r="F1310" i="44"/>
  <c r="A1310" i="44" s="1"/>
  <c r="F1282" i="44"/>
  <c r="A1282" i="44" s="1"/>
  <c r="F1253" i="44"/>
  <c r="F1222" i="44"/>
  <c r="F1192" i="44"/>
  <c r="A1192" i="44" s="1"/>
  <c r="F1138" i="44"/>
  <c r="A1138" i="44" s="1"/>
  <c r="E1467" i="44"/>
  <c r="A1467" i="44" s="1"/>
  <c r="J1468" i="44"/>
  <c r="K1468" i="44"/>
  <c r="E1468" i="44" l="1"/>
  <c r="A1468" i="44" s="1"/>
  <c r="K1469" i="44"/>
  <c r="J1469" i="44"/>
  <c r="E1469" i="44" l="1"/>
  <c r="A1469" i="44" s="1"/>
  <c r="K1470" i="44"/>
  <c r="J1470" i="44"/>
  <c r="E1470" i="44" l="1"/>
  <c r="A1470" i="44" s="1"/>
  <c r="J1473" i="44"/>
  <c r="J1472" i="44"/>
  <c r="K1472" i="44"/>
  <c r="E1472" i="44" l="1"/>
  <c r="A1472" i="44" s="1"/>
  <c r="J1474" i="44"/>
  <c r="K1473" i="44"/>
  <c r="E1473" i="44" l="1"/>
  <c r="A1473" i="44" s="1"/>
  <c r="J1477" i="44"/>
  <c r="K1474" i="44"/>
  <c r="E1474" i="44" l="1"/>
  <c r="A1474" i="44" s="1"/>
  <c r="E1477" i="44" l="1"/>
  <c r="A1477" i="44" s="1"/>
  <c r="F168" i="3"/>
  <c r="B48" i="44"/>
  <c r="C48" i="44"/>
  <c r="D48" i="44" l="1"/>
  <c r="K1102" i="44"/>
  <c r="J1102" i="44"/>
  <c r="E48" i="44"/>
  <c r="F1156" i="44" l="1"/>
  <c r="A1156" i="44" s="1"/>
  <c r="F1165" i="44"/>
  <c r="F1166" i="44"/>
  <c r="F1174" i="44"/>
  <c r="F1158" i="44"/>
  <c r="A1158" i="44" s="1"/>
  <c r="F1167" i="44"/>
  <c r="F1160" i="44"/>
  <c r="A1160" i="44" s="1"/>
  <c r="F1169" i="44"/>
  <c r="A1169" i="44" s="1"/>
  <c r="F1157" i="44"/>
  <c r="A1157" i="44" s="1"/>
  <c r="E1102" i="44"/>
  <c r="F1142" i="44"/>
  <c r="F1178" i="44"/>
  <c r="A1178" i="44" s="1"/>
  <c r="F1189" i="44"/>
  <c r="A1189" i="44" s="1"/>
  <c r="F1200" i="44"/>
  <c r="F1209" i="44"/>
  <c r="A1209" i="44" s="1"/>
  <c r="F1218" i="44"/>
  <c r="A1218" i="44" s="1"/>
  <c r="F1227" i="44"/>
  <c r="A1227" i="44" s="1"/>
  <c r="F1236" i="44"/>
  <c r="F1245" i="44"/>
  <c r="A1245" i="44" s="1"/>
  <c r="F1254" i="44"/>
  <c r="F1263" i="44"/>
  <c r="F1272" i="44"/>
  <c r="A1272" i="44" s="1"/>
  <c r="F1281" i="44"/>
  <c r="A1281" i="44" s="1"/>
  <c r="F1290" i="44"/>
  <c r="A1290" i="44" s="1"/>
  <c r="F1299" i="44"/>
  <c r="A1299" i="44" s="1"/>
  <c r="F1308" i="44"/>
  <c r="A1308" i="44" s="1"/>
  <c r="F1317" i="44"/>
  <c r="A1317" i="44" s="1"/>
  <c r="F1326" i="44"/>
  <c r="F1335" i="44"/>
  <c r="F1344" i="44"/>
  <c r="F1353" i="44"/>
  <c r="A1353" i="44" s="1"/>
  <c r="F1363" i="44"/>
  <c r="A1363" i="44" s="1"/>
  <c r="F1372" i="44"/>
  <c r="F1381" i="44"/>
  <c r="F1390" i="44"/>
  <c r="F1408" i="44"/>
  <c r="F1417" i="44"/>
  <c r="A1417" i="44" s="1"/>
  <c r="F1426" i="44"/>
  <c r="F1435" i="44"/>
  <c r="F1148" i="44"/>
  <c r="F1175" i="44"/>
  <c r="F1184" i="44"/>
  <c r="F1195" i="44"/>
  <c r="F1206" i="44"/>
  <c r="F1215" i="44"/>
  <c r="F1224" i="44"/>
  <c r="F1233" i="44"/>
  <c r="F1242" i="44"/>
  <c r="F1251" i="44"/>
  <c r="F1260" i="44"/>
  <c r="F1269" i="44"/>
  <c r="F1278" i="44"/>
  <c r="F1287" i="44"/>
  <c r="F1296" i="44"/>
  <c r="F1305" i="44"/>
  <c r="F1314" i="44"/>
  <c r="F1323" i="44"/>
  <c r="F1332" i="44"/>
  <c r="F1341" i="44"/>
  <c r="F1350" i="44"/>
  <c r="F1359" i="44"/>
  <c r="A1359" i="44" s="1"/>
  <c r="F1369" i="44"/>
  <c r="F1378" i="44"/>
  <c r="F1387" i="44"/>
  <c r="F1396" i="44"/>
  <c r="F1414" i="44"/>
  <c r="F1423" i="44"/>
  <c r="F1432" i="44"/>
  <c r="F1441" i="44"/>
  <c r="F1187" i="44"/>
  <c r="F1147" i="44"/>
  <c r="F1183" i="44"/>
  <c r="F1194" i="44"/>
  <c r="F1205" i="44"/>
  <c r="F1214" i="44"/>
  <c r="F1223" i="44"/>
  <c r="F1232" i="44"/>
  <c r="F1241" i="44"/>
  <c r="F1250" i="44"/>
  <c r="F1259" i="44"/>
  <c r="F1268" i="44"/>
  <c r="F1277" i="44"/>
  <c r="F1286" i="44"/>
  <c r="F1295" i="44"/>
  <c r="F1304" i="44"/>
  <c r="F1313" i="44"/>
  <c r="F1322" i="44"/>
  <c r="F1331" i="44"/>
  <c r="F1340" i="44"/>
  <c r="F1349" i="44"/>
  <c r="F1358" i="44"/>
  <c r="A1358" i="44" s="1"/>
  <c r="F1368" i="44"/>
  <c r="F1377" i="44"/>
  <c r="F1386" i="44"/>
  <c r="F1395" i="44"/>
  <c r="F1413" i="44"/>
  <c r="F1422" i="44"/>
  <c r="F1431" i="44"/>
  <c r="F1440" i="44"/>
  <c r="F1149" i="44"/>
  <c r="F1176" i="44"/>
  <c r="F1185" i="44"/>
  <c r="F1196" i="44"/>
  <c r="F1207" i="44"/>
  <c r="F1216" i="44"/>
  <c r="F1225" i="44"/>
  <c r="F1234" i="44"/>
  <c r="F1243" i="44"/>
  <c r="F1252" i="44"/>
  <c r="F1261" i="44"/>
  <c r="F1270" i="44"/>
  <c r="F1279" i="44"/>
  <c r="F1288" i="44"/>
  <c r="F1297" i="44"/>
  <c r="F1306" i="44"/>
  <c r="F1315" i="44"/>
  <c r="F1324" i="44"/>
  <c r="F1333" i="44"/>
  <c r="F1342" i="44"/>
  <c r="F1351" i="44"/>
  <c r="F1360" i="44"/>
  <c r="A1360" i="44" s="1"/>
  <c r="F1370" i="44"/>
  <c r="F1379" i="44"/>
  <c r="F1388" i="44"/>
  <c r="F1397" i="44"/>
  <c r="F1415" i="44"/>
  <c r="F1424" i="44"/>
  <c r="F1433" i="44"/>
  <c r="F1442" i="44"/>
  <c r="F48" i="44"/>
  <c r="A48" i="44" s="1"/>
  <c r="B3427" i="44"/>
  <c r="D3427" i="44" s="1"/>
  <c r="E3427" i="44"/>
  <c r="A1102" i="44" l="1"/>
  <c r="G1102" i="44" s="1"/>
  <c r="G1103" i="44" s="1"/>
  <c r="D549" i="3"/>
  <c r="C416" i="3"/>
  <c r="B326" i="5"/>
  <c r="C3427" i="44"/>
  <c r="F3427" i="44" l="1"/>
  <c r="A3427" i="44" s="1"/>
  <c r="B343" i="5"/>
  <c r="B342" i="5"/>
  <c r="B341" i="5"/>
  <c r="B340" i="5"/>
  <c r="B339" i="5"/>
  <c r="B338" i="5"/>
  <c r="B337" i="5"/>
  <c r="B336" i="5"/>
  <c r="B335" i="5"/>
  <c r="B334" i="5"/>
  <c r="B333" i="5"/>
  <c r="B332" i="5"/>
  <c r="B331" i="5"/>
  <c r="B330" i="5"/>
  <c r="B329" i="5"/>
  <c r="B328" i="5"/>
  <c r="B327" i="5" l="1"/>
  <c r="C261" i="5" l="1"/>
  <c r="B47" i="44"/>
  <c r="D47" i="44" s="1"/>
  <c r="E47" i="44"/>
  <c r="C292" i="5" l="1"/>
  <c r="B68" i="20"/>
  <c r="B38" i="44"/>
  <c r="B34" i="44"/>
  <c r="D34" i="44" s="1"/>
  <c r="B35" i="44"/>
  <c r="D35" i="44" s="1"/>
  <c r="B36" i="44"/>
  <c r="E35" i="44"/>
  <c r="C36" i="44"/>
  <c r="C47" i="44"/>
  <c r="E34" i="44"/>
  <c r="C38" i="44"/>
  <c r="F47" i="44" l="1"/>
  <c r="A47" i="44" s="1"/>
  <c r="C219" i="5"/>
  <c r="D38" i="44"/>
  <c r="D36" i="44"/>
  <c r="E36" i="44"/>
  <c r="C34" i="44"/>
  <c r="C35" i="44"/>
  <c r="E38" i="44"/>
  <c r="F34" i="44" l="1"/>
  <c r="A34" i="44" s="1"/>
  <c r="F35" i="44"/>
  <c r="A35" i="44" s="1"/>
  <c r="F38" i="44"/>
  <c r="A38" i="44" s="1"/>
  <c r="F36" i="44"/>
  <c r="A36" i="44" s="1"/>
  <c r="F661" i="3"/>
  <c r="H126" i="3" l="1"/>
  <c r="H111" i="44" l="1"/>
  <c r="F789" i="3"/>
  <c r="B10" i="3" l="1"/>
  <c r="F124" i="32"/>
  <c r="G124" i="32"/>
  <c r="H124" i="32"/>
  <c r="I124" i="32"/>
  <c r="J124" i="32"/>
  <c r="K124" i="32"/>
  <c r="E124" i="32"/>
  <c r="C546" i="3" l="1"/>
  <c r="C545" i="3"/>
  <c r="F543" i="3"/>
  <c r="C552" i="3"/>
  <c r="F542" i="3"/>
  <c r="C524" i="3"/>
  <c r="F540" i="3"/>
  <c r="C547" i="3"/>
  <c r="C550" i="3"/>
  <c r="F541" i="3"/>
  <c r="C549" i="3"/>
  <c r="C548" i="3"/>
  <c r="F539" i="3"/>
  <c r="F538" i="3"/>
  <c r="F537" i="3"/>
  <c r="C518" i="3"/>
  <c r="C534" i="3"/>
  <c r="C525" i="3"/>
  <c r="C533" i="3"/>
  <c r="C532" i="3"/>
  <c r="C528" i="3"/>
  <c r="B793" i="3"/>
  <c r="F39" i="43"/>
  <c r="B798" i="3"/>
  <c r="G789" i="3" s="1"/>
  <c r="C115" i="25"/>
  <c r="B53" i="25"/>
  <c r="D906" i="5" l="1"/>
  <c r="D115" i="25"/>
  <c r="B50" i="25"/>
  <c r="B47" i="25"/>
  <c r="B44" i="25"/>
  <c r="B43" i="25"/>
  <c r="B42" i="25"/>
  <c r="B41" i="25"/>
  <c r="B40" i="25"/>
  <c r="B39" i="25"/>
  <c r="B36" i="25"/>
  <c r="B27" i="25"/>
  <c r="C313" i="3" l="1"/>
  <c r="B313" i="3" s="1"/>
  <c r="J44" i="25" s="1"/>
  <c r="H71" i="24" l="1"/>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10" i="5"/>
  <c r="A344" i="5"/>
  <c r="A345" i="5"/>
  <c r="A346" i="5"/>
  <c r="A347" i="5"/>
  <c r="A348" i="5"/>
  <c r="A349" i="5"/>
  <c r="A350" i="5"/>
  <c r="A351" i="5"/>
  <c r="A352" i="5"/>
  <c r="A353" i="5"/>
  <c r="A354" i="5"/>
  <c r="A355" i="5"/>
  <c r="A356" i="5"/>
  <c r="A357" i="5"/>
  <c r="A358" i="5"/>
  <c r="A359" i="5"/>
  <c r="A363" i="5"/>
  <c r="A364" i="5"/>
  <c r="A365" i="5"/>
  <c r="A366" i="5"/>
  <c r="A367" i="5"/>
  <c r="A368" i="5"/>
  <c r="A369" i="5"/>
  <c r="A370" i="5"/>
  <c r="A371" i="5"/>
  <c r="A372" i="5"/>
  <c r="A373" i="5"/>
  <c r="A377" i="5"/>
  <c r="A378" i="5"/>
  <c r="A379" i="5"/>
  <c r="A380" i="5"/>
  <c r="A381" i="5"/>
  <c r="A382" i="5"/>
  <c r="A383" i="5"/>
  <c r="A384" i="5"/>
  <c r="A385" i="5"/>
  <c r="A386" i="5"/>
  <c r="A387" i="5"/>
  <c r="A388" i="5"/>
  <c r="A389" i="5"/>
  <c r="A390" i="5"/>
  <c r="A395" i="5"/>
  <c r="A396" i="5"/>
  <c r="A397" i="5"/>
  <c r="A398" i="5"/>
  <c r="A399" i="5"/>
  <c r="A400" i="5"/>
  <c r="A401" i="5"/>
  <c r="A402" i="5"/>
  <c r="A403" i="5"/>
  <c r="A404" i="5"/>
  <c r="A405" i="5"/>
  <c r="A409" i="5"/>
  <c r="A410" i="5"/>
  <c r="A411" i="5"/>
  <c r="A412" i="5"/>
  <c r="A413" i="5"/>
  <c r="A414" i="5"/>
  <c r="A415" i="5"/>
  <c r="A416" i="5"/>
  <c r="A417" i="5"/>
  <c r="A418" i="5"/>
  <c r="A419" i="5"/>
  <c r="A420" i="5"/>
  <c r="A421" i="5"/>
  <c r="A422" i="5"/>
  <c r="A426" i="5"/>
  <c r="A427" i="5"/>
  <c r="A428" i="5"/>
  <c r="A432" i="5"/>
  <c r="A433" i="5"/>
  <c r="A434" i="5"/>
  <c r="A435" i="5"/>
  <c r="A436" i="5"/>
  <c r="A437" i="5"/>
  <c r="A438" i="5"/>
  <c r="A439" i="5"/>
  <c r="A440" i="5"/>
  <c r="A441" i="5"/>
  <c r="A442" i="5"/>
  <c r="A731" i="5"/>
  <c r="A732"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802" i="5"/>
  <c r="A806" i="5"/>
  <c r="A807" i="5"/>
  <c r="A808" i="5"/>
  <c r="A809" i="5"/>
  <c r="A811" i="5"/>
  <c r="A812" i="5"/>
  <c r="A813" i="5"/>
  <c r="A814" i="5"/>
  <c r="A815" i="5"/>
  <c r="A816" i="5"/>
  <c r="F188" i="24" l="1"/>
  <c r="G188" i="24"/>
  <c r="H188" i="24"/>
  <c r="I188" i="24"/>
  <c r="J188" i="24"/>
  <c r="E188" i="24"/>
  <c r="C178" i="3"/>
  <c r="B178" i="3"/>
  <c r="D20" i="41" l="1"/>
  <c r="B68" i="19"/>
  <c r="B131" i="44" l="1"/>
  <c r="B127" i="44"/>
  <c r="D127" i="44" s="1"/>
  <c r="B128" i="44"/>
  <c r="D128" i="44" s="1"/>
  <c r="B129" i="44"/>
  <c r="D129" i="44" s="1"/>
  <c r="B130" i="44"/>
  <c r="D130" i="44" s="1"/>
  <c r="B126" i="44"/>
  <c r="D126" i="44" s="1"/>
  <c r="B123" i="44"/>
  <c r="D123" i="44" s="1"/>
  <c r="B124" i="44"/>
  <c r="D124" i="44" s="1"/>
  <c r="B125" i="44"/>
  <c r="D125" i="44" s="1"/>
  <c r="B120" i="44"/>
  <c r="E127" i="44"/>
  <c r="E128" i="44"/>
  <c r="C131" i="44"/>
  <c r="C120" i="44"/>
  <c r="E129" i="44"/>
  <c r="C128" i="44"/>
  <c r="E130" i="44"/>
  <c r="C125" i="44"/>
  <c r="D131" i="44" l="1"/>
  <c r="F128" i="44"/>
  <c r="A128" i="44" s="1"/>
  <c r="D120" i="44"/>
  <c r="B121" i="44"/>
  <c r="E131" i="44"/>
  <c r="C121" i="44"/>
  <c r="C123" i="44"/>
  <c r="C126" i="44"/>
  <c r="C127" i="44"/>
  <c r="C130" i="44"/>
  <c r="C124" i="44"/>
  <c r="C129" i="44"/>
  <c r="F130" i="44" l="1"/>
  <c r="A130" i="44" s="1"/>
  <c r="F127" i="44"/>
  <c r="A127" i="44" s="1"/>
  <c r="F129" i="44"/>
  <c r="A129" i="44" s="1"/>
  <c r="F131" i="44"/>
  <c r="A131" i="44" s="1"/>
  <c r="D121" i="44"/>
  <c r="B122" i="44"/>
  <c r="D122" i="44" s="1"/>
  <c r="E120" i="44"/>
  <c r="C515" i="5" l="1"/>
  <c r="C122" i="44"/>
  <c r="B353" i="3" l="1"/>
  <c r="D3" i="32" l="1"/>
  <c r="B413" i="3" l="1"/>
  <c r="B100" i="44" l="1"/>
  <c r="B99" i="44"/>
  <c r="D99" i="44" s="1"/>
  <c r="C100" i="44"/>
  <c r="E99" i="44"/>
  <c r="D100" i="44" l="1"/>
  <c r="C99" i="44"/>
  <c r="E100" i="44"/>
  <c r="F99" i="44" l="1"/>
  <c r="A99" i="44" s="1"/>
  <c r="H129" i="3"/>
  <c r="B101" i="44" l="1"/>
  <c r="C101" i="44"/>
  <c r="D101" i="44" l="1"/>
  <c r="E101" i="44"/>
  <c r="A101" i="44" l="1"/>
  <c r="F101" i="44"/>
  <c r="B93" i="44" l="1"/>
  <c r="C93" i="44"/>
  <c r="D93" i="44" l="1"/>
  <c r="E93" i="44"/>
  <c r="F93" i="44" l="1"/>
  <c r="A93" i="44" s="1"/>
  <c r="B88" i="44" l="1"/>
  <c r="D88" i="44" s="1"/>
  <c r="B89" i="44"/>
  <c r="D89" i="44" s="1"/>
  <c r="C285" i="5"/>
  <c r="C251" i="5"/>
  <c r="B324" i="3"/>
  <c r="E88" i="44"/>
  <c r="E89" i="44"/>
  <c r="C88" i="44"/>
  <c r="F88" i="44" l="1"/>
  <c r="A88" i="44" s="1"/>
  <c r="C89" i="44"/>
  <c r="F89" i="44" l="1"/>
  <c r="A89" i="44" s="1"/>
  <c r="B77" i="44" l="1"/>
  <c r="B72" i="44" l="1"/>
  <c r="D72" i="44" s="1"/>
  <c r="B73" i="44"/>
  <c r="D73" i="44" s="1"/>
  <c r="B61" i="44"/>
  <c r="C61" i="44"/>
  <c r="E73" i="44"/>
  <c r="E72" i="44"/>
  <c r="D61" i="44" l="1"/>
  <c r="E61" i="44"/>
  <c r="C72" i="44"/>
  <c r="C73" i="44"/>
  <c r="F73" i="44" l="1"/>
  <c r="F72" i="44"/>
  <c r="F61" i="44"/>
  <c r="A61" i="44" s="1"/>
  <c r="B51" i="44"/>
  <c r="D51" i="44" s="1"/>
  <c r="B53" i="44"/>
  <c r="B55" i="44"/>
  <c r="B56" i="44"/>
  <c r="B57" i="44"/>
  <c r="B58" i="44"/>
  <c r="B59" i="44"/>
  <c r="B60" i="44"/>
  <c r="B62" i="44"/>
  <c r="B63" i="44"/>
  <c r="B64" i="44"/>
  <c r="B65" i="44"/>
  <c r="B66" i="44"/>
  <c r="B67" i="44"/>
  <c r="B68" i="44"/>
  <c r="B70" i="44"/>
  <c r="B71" i="44"/>
  <c r="B69" i="44"/>
  <c r="B76" i="44"/>
  <c r="B78" i="44"/>
  <c r="B79" i="44"/>
  <c r="B80" i="44"/>
  <c r="B81" i="44"/>
  <c r="B82" i="44"/>
  <c r="B83" i="44"/>
  <c r="B90" i="44"/>
  <c r="B91" i="44"/>
  <c r="B92" i="44"/>
  <c r="B94" i="44"/>
  <c r="B95" i="44"/>
  <c r="B96" i="44"/>
  <c r="B97" i="44"/>
  <c r="B98" i="44"/>
  <c r="B102" i="44"/>
  <c r="B103" i="44"/>
  <c r="B104" i="44"/>
  <c r="B105" i="44"/>
  <c r="B106" i="44"/>
  <c r="B107" i="44"/>
  <c r="B110" i="44"/>
  <c r="B111" i="44"/>
  <c r="B112" i="44"/>
  <c r="B113" i="44"/>
  <c r="B114" i="44"/>
  <c r="B115" i="44"/>
  <c r="B116" i="44"/>
  <c r="B117" i="44"/>
  <c r="B118" i="44"/>
  <c r="B119" i="44"/>
  <c r="B819" i="3"/>
  <c r="C449" i="5" s="1"/>
  <c r="E51" i="44"/>
  <c r="C226" i="5" l="1"/>
  <c r="C227" i="5"/>
  <c r="C51" i="44"/>
  <c r="F51" i="44" l="1"/>
  <c r="A51" i="44" s="1"/>
  <c r="C231" i="5"/>
  <c r="C217" i="5" l="1"/>
  <c r="B3426" i="44"/>
  <c r="D3426" i="44" s="1"/>
  <c r="E3426" i="44"/>
  <c r="C281" i="5" l="1"/>
  <c r="C3426" i="44"/>
  <c r="F3426" i="44" l="1"/>
  <c r="A3426" i="44" s="1"/>
  <c r="C1409" i="5" l="1"/>
  <c r="D1409" i="5" s="1"/>
  <c r="B33" i="3"/>
  <c r="B34" i="3"/>
  <c r="B35" i="3"/>
  <c r="B36" i="3"/>
  <c r="B37" i="3"/>
  <c r="B38" i="3"/>
  <c r="B39" i="3"/>
  <c r="B42" i="3"/>
  <c r="E197" i="24" s="1"/>
  <c r="B43" i="3"/>
  <c r="E198" i="24" s="1"/>
  <c r="C33" i="3"/>
  <c r="C34" i="3"/>
  <c r="C35" i="3"/>
  <c r="C36" i="3"/>
  <c r="C37" i="3"/>
  <c r="C38" i="3"/>
  <c r="C39" i="3"/>
  <c r="C42" i="3"/>
  <c r="F197" i="24" s="1"/>
  <c r="C43" i="3"/>
  <c r="F198" i="24" s="1"/>
  <c r="D33" i="3"/>
  <c r="D34" i="3"/>
  <c r="D35" i="3"/>
  <c r="D36" i="3"/>
  <c r="D37" i="3"/>
  <c r="D38" i="3"/>
  <c r="D39" i="3"/>
  <c r="D42" i="3"/>
  <c r="G197" i="24" s="1"/>
  <c r="D43" i="3"/>
  <c r="G198" i="24" s="1"/>
  <c r="E33" i="3"/>
  <c r="E34" i="3"/>
  <c r="E35" i="3"/>
  <c r="E36" i="3"/>
  <c r="E37" i="3"/>
  <c r="E38" i="3"/>
  <c r="E39" i="3"/>
  <c r="E42" i="3"/>
  <c r="H197" i="24" s="1"/>
  <c r="E43" i="3"/>
  <c r="H198" i="24" s="1"/>
  <c r="F33" i="3"/>
  <c r="F34" i="3"/>
  <c r="F35" i="3"/>
  <c r="F36" i="3"/>
  <c r="F37" i="3"/>
  <c r="F38" i="3"/>
  <c r="F39" i="3"/>
  <c r="F42" i="3"/>
  <c r="I197" i="24" s="1"/>
  <c r="F43" i="3"/>
  <c r="I198" i="24" s="1"/>
  <c r="G33" i="3"/>
  <c r="G34" i="3"/>
  <c r="G35" i="3"/>
  <c r="G36" i="3"/>
  <c r="G37" i="3"/>
  <c r="G38" i="3"/>
  <c r="G39" i="3"/>
  <c r="G42" i="3"/>
  <c r="J197" i="24" s="1"/>
  <c r="G43" i="3"/>
  <c r="J198" i="24" s="1"/>
  <c r="B1505" i="44"/>
  <c r="D1505" i="44" s="1"/>
  <c r="B1506" i="44"/>
  <c r="D1506" i="44" s="1"/>
  <c r="B13" i="3"/>
  <c r="B15" i="3"/>
  <c r="C15" i="3" s="1"/>
  <c r="B16" i="3"/>
  <c r="B18" i="3" s="1"/>
  <c r="B219" i="44"/>
  <c r="D219" i="44" s="1"/>
  <c r="B220" i="44"/>
  <c r="D220" i="44" s="1"/>
  <c r="B221" i="44"/>
  <c r="D221" i="44" s="1"/>
  <c r="B222" i="44"/>
  <c r="D222" i="44" s="1"/>
  <c r="F222" i="44" s="1"/>
  <c r="B223" i="44"/>
  <c r="D223" i="44" s="1"/>
  <c r="F223" i="44" s="1"/>
  <c r="B224" i="44"/>
  <c r="D224" i="44" s="1"/>
  <c r="F224" i="44" s="1"/>
  <c r="B225" i="44"/>
  <c r="D225" i="44" s="1"/>
  <c r="F225" i="44" s="1"/>
  <c r="B226" i="44"/>
  <c r="D226" i="44" s="1"/>
  <c r="F226" i="44" s="1"/>
  <c r="B227" i="44"/>
  <c r="D227" i="44" s="1"/>
  <c r="F227" i="44" s="1"/>
  <c r="B228" i="44"/>
  <c r="D228" i="44" s="1"/>
  <c r="F228" i="44" s="1"/>
  <c r="B229" i="44"/>
  <c r="D229" i="44" s="1"/>
  <c r="F229" i="44" s="1"/>
  <c r="B230" i="44"/>
  <c r="D230" i="44" s="1"/>
  <c r="B231" i="44"/>
  <c r="D231" i="44" s="1"/>
  <c r="B6" i="3"/>
  <c r="B304" i="3"/>
  <c r="C300" i="3"/>
  <c r="D300" i="3" s="1"/>
  <c r="C301" i="3"/>
  <c r="D301" i="3" s="1"/>
  <c r="C302" i="3"/>
  <c r="B302" i="3" s="1"/>
  <c r="C307" i="3"/>
  <c r="D307" i="3" s="1"/>
  <c r="C308" i="3"/>
  <c r="B308" i="3" s="1"/>
  <c r="C309" i="3"/>
  <c r="B309" i="3" s="1"/>
  <c r="C310" i="3"/>
  <c r="B310" i="3" s="1"/>
  <c r="C311" i="3"/>
  <c r="B311" i="3" s="1"/>
  <c r="C537" i="5" s="1"/>
  <c r="C312" i="3"/>
  <c r="B312" i="3" s="1"/>
  <c r="C314" i="3"/>
  <c r="B314" i="3" s="1"/>
  <c r="C315" i="3"/>
  <c r="C316" i="3"/>
  <c r="B316" i="3" s="1"/>
  <c r="B2" i="3"/>
  <c r="B272" i="3"/>
  <c r="B275" i="3"/>
  <c r="B169" i="3"/>
  <c r="D11" i="41" s="1"/>
  <c r="B281" i="3"/>
  <c r="D91" i="41" s="1"/>
  <c r="C398" i="3"/>
  <c r="C147" i="5"/>
  <c r="C148" i="5"/>
  <c r="C149" i="5"/>
  <c r="C150" i="5"/>
  <c r="C151" i="5"/>
  <c r="C152" i="5"/>
  <c r="C153" i="5"/>
  <c r="C154" i="5"/>
  <c r="C155" i="5"/>
  <c r="C324" i="5"/>
  <c r="C323" i="5"/>
  <c r="C322" i="5"/>
  <c r="C234" i="5"/>
  <c r="C572" i="5"/>
  <c r="C571" i="5"/>
  <c r="C299" i="5"/>
  <c r="B299" i="5"/>
  <c r="B69" i="19"/>
  <c r="C441" i="3" s="1"/>
  <c r="D441" i="3" s="1"/>
  <c r="B441" i="3"/>
  <c r="F61" i="25" s="1"/>
  <c r="B139" i="3"/>
  <c r="B390" i="3" s="1"/>
  <c r="C549" i="5"/>
  <c r="C548" i="5"/>
  <c r="C545" i="5"/>
  <c r="C541" i="5"/>
  <c r="D541" i="5" s="1"/>
  <c r="C233" i="5"/>
  <c r="G304" i="5"/>
  <c r="F304" i="5"/>
  <c r="C48" i="3"/>
  <c r="B112" i="24"/>
  <c r="B113" i="24"/>
  <c r="D66" i="32"/>
  <c r="B25" i="3"/>
  <c r="C754" i="5" s="1"/>
  <c r="B232" i="3"/>
  <c r="B34" i="9"/>
  <c r="B35" i="9"/>
  <c r="F211" i="44"/>
  <c r="F210" i="44"/>
  <c r="I211" i="44"/>
  <c r="B818" i="3"/>
  <c r="D32" i="24"/>
  <c r="C356" i="5"/>
  <c r="D77" i="44"/>
  <c r="C53" i="3"/>
  <c r="C54" i="3"/>
  <c r="C311" i="5"/>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70" i="24"/>
  <c r="H69" i="24"/>
  <c r="H68" i="24"/>
  <c r="H67" i="24"/>
  <c r="H66" i="24"/>
  <c r="H65" i="24"/>
  <c r="H64" i="24"/>
  <c r="H63" i="24"/>
  <c r="H62" i="24"/>
  <c r="B142" i="24"/>
  <c r="C435" i="5"/>
  <c r="D107" i="44"/>
  <c r="F100" i="44" s="1"/>
  <c r="C7" i="24"/>
  <c r="C8" i="24"/>
  <c r="C6" i="24"/>
  <c r="C3" i="24"/>
  <c r="C5"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L68" i="3"/>
  <c r="D106" i="25" s="1"/>
  <c r="G62" i="3"/>
  <c r="F62" i="3"/>
  <c r="E62" i="3"/>
  <c r="G67" i="3"/>
  <c r="G68" i="3"/>
  <c r="F67" i="3"/>
  <c r="F68" i="3"/>
  <c r="E67" i="3"/>
  <c r="E68" i="3"/>
  <c r="D67" i="3"/>
  <c r="D68" i="3"/>
  <c r="C67" i="3"/>
  <c r="C68" i="3"/>
  <c r="C62" i="3"/>
  <c r="D62" i="3"/>
  <c r="B67" i="3"/>
  <c r="B68" i="3"/>
  <c r="B62" i="3"/>
  <c r="G53" i="3"/>
  <c r="G54" i="3"/>
  <c r="G48" i="3"/>
  <c r="G49" i="3"/>
  <c r="F53" i="3"/>
  <c r="F54" i="3"/>
  <c r="F48" i="3"/>
  <c r="E53" i="3"/>
  <c r="E54" i="3"/>
  <c r="E48" i="3"/>
  <c r="D53" i="3"/>
  <c r="D54" i="3"/>
  <c r="D48" i="3"/>
  <c r="B53" i="3"/>
  <c r="B54" i="3"/>
  <c r="B48" i="3"/>
  <c r="I112" i="30"/>
  <c r="C275" i="3"/>
  <c r="C112" i="30" s="1"/>
  <c r="D275" i="3"/>
  <c r="D112" i="30" s="1"/>
  <c r="B15" i="44"/>
  <c r="D15" i="44" s="1"/>
  <c r="B40" i="44"/>
  <c r="D40" i="44" s="1"/>
  <c r="B42" i="44"/>
  <c r="D42" i="44" s="1"/>
  <c r="B49" i="44"/>
  <c r="D49" i="44" s="1"/>
  <c r="B370" i="3"/>
  <c r="B243" i="44"/>
  <c r="D243" i="44" s="1"/>
  <c r="C1410" i="5"/>
  <c r="D1410" i="5" s="1"/>
  <c r="C1411" i="5"/>
  <c r="D1411" i="5" s="1"/>
  <c r="F124" i="10"/>
  <c r="B141" i="3"/>
  <c r="C205" i="5" s="1"/>
  <c r="C1388" i="5"/>
  <c r="D1388" i="5" s="1"/>
  <c r="C1447" i="5"/>
  <c r="D1447" i="5" s="1"/>
  <c r="C1448" i="5"/>
  <c r="D1448" i="5" s="1"/>
  <c r="C1449" i="5"/>
  <c r="D1449" i="5" s="1"/>
  <c r="C1450" i="5"/>
  <c r="D1450" i="5" s="1"/>
  <c r="C1451" i="5"/>
  <c r="D1451" i="5" s="1"/>
  <c r="C1446" i="5"/>
  <c r="D1446" i="5" s="1"/>
  <c r="C1443" i="5"/>
  <c r="D1443" i="5" s="1"/>
  <c r="C1439" i="5"/>
  <c r="D1439" i="5" s="1"/>
  <c r="C1440" i="5"/>
  <c r="D1440" i="5" s="1"/>
  <c r="C1441" i="5"/>
  <c r="D1441" i="5" s="1"/>
  <c r="C1442" i="5"/>
  <c r="D1442" i="5" s="1"/>
  <c r="C1438" i="5"/>
  <c r="D1438" i="5" s="1"/>
  <c r="C1436" i="5"/>
  <c r="D1436" i="5" s="1"/>
  <c r="C1435" i="5"/>
  <c r="D1435" i="5" s="1"/>
  <c r="C1428" i="5"/>
  <c r="D1428" i="5" s="1"/>
  <c r="C1429" i="5"/>
  <c r="D1429" i="5" s="1"/>
  <c r="C1430" i="5"/>
  <c r="D1430" i="5" s="1"/>
  <c r="C1427" i="5"/>
  <c r="D1427" i="5" s="1"/>
  <c r="C1412" i="5"/>
  <c r="D1412" i="5" s="1"/>
  <c r="C1413" i="5"/>
  <c r="D1413" i="5" s="1"/>
  <c r="C1414" i="5"/>
  <c r="D1414" i="5" s="1"/>
  <c r="C1415" i="5"/>
  <c r="D1415" i="5" s="1"/>
  <c r="C1416" i="5"/>
  <c r="D1416" i="5" s="1"/>
  <c r="C1417" i="5"/>
  <c r="D1417" i="5" s="1"/>
  <c r="C1418" i="5"/>
  <c r="D1418" i="5" s="1"/>
  <c r="C1419" i="5"/>
  <c r="D1419" i="5" s="1"/>
  <c r="C1420" i="5"/>
  <c r="D1420" i="5" s="1"/>
  <c r="C1403" i="5"/>
  <c r="D1403" i="5" s="1"/>
  <c r="C1404" i="5"/>
  <c r="D1404" i="5" s="1"/>
  <c r="C1405" i="5"/>
  <c r="D1405" i="5" s="1"/>
  <c r="C1406" i="5"/>
  <c r="D1406" i="5" s="1"/>
  <c r="C1402" i="5"/>
  <c r="D1402" i="5" s="1"/>
  <c r="D1365" i="5"/>
  <c r="C1354" i="5"/>
  <c r="D1354" i="5" s="1"/>
  <c r="C1376" i="5"/>
  <c r="D1376" i="5" s="1"/>
  <c r="C1377" i="5"/>
  <c r="D1377" i="5" s="1"/>
  <c r="C1378" i="5"/>
  <c r="D1378" i="5" s="1"/>
  <c r="C1379" i="5"/>
  <c r="D1379" i="5" s="1"/>
  <c r="C1380" i="5"/>
  <c r="D1380" i="5" s="1"/>
  <c r="C1384" i="5"/>
  <c r="D1384" i="5" s="1"/>
  <c r="C1385" i="5"/>
  <c r="D1385" i="5" s="1"/>
  <c r="C1386" i="5"/>
  <c r="D1386" i="5" s="1"/>
  <c r="C1387" i="5"/>
  <c r="D1387" i="5" s="1"/>
  <c r="C1389" i="5"/>
  <c r="D1389" i="5" s="1"/>
  <c r="C1390" i="5"/>
  <c r="D1390" i="5" s="1"/>
  <c r="C1391" i="5"/>
  <c r="D1391" i="5" s="1"/>
  <c r="C1392" i="5"/>
  <c r="D1392" i="5" s="1"/>
  <c r="C1393" i="5"/>
  <c r="D1393" i="5" s="1"/>
  <c r="C1394" i="5"/>
  <c r="D1394" i="5" s="1"/>
  <c r="C1400" i="5"/>
  <c r="D1400" i="5" s="1"/>
  <c r="C1375" i="5"/>
  <c r="D1375" i="5" s="1"/>
  <c r="C1373" i="5"/>
  <c r="D1373" i="5" s="1"/>
  <c r="C1372" i="5"/>
  <c r="D1372" i="5" s="1"/>
  <c r="C1371" i="5"/>
  <c r="D1371" i="5" s="1"/>
  <c r="C1370" i="5"/>
  <c r="D1370" i="5" s="1"/>
  <c r="C1369" i="5"/>
  <c r="D1369" i="5" s="1"/>
  <c r="C1368" i="5"/>
  <c r="D1368" i="5" s="1"/>
  <c r="C1367" i="5"/>
  <c r="D1367" i="5" s="1"/>
  <c r="C1366" i="5"/>
  <c r="D1366" i="5" s="1"/>
  <c r="C1364" i="5"/>
  <c r="D1364" i="5" s="1"/>
  <c r="C1363" i="5"/>
  <c r="D1363" i="5" s="1"/>
  <c r="C1362" i="5"/>
  <c r="D1362" i="5" s="1"/>
  <c r="C1361" i="5"/>
  <c r="D1361" i="5" s="1"/>
  <c r="C1360" i="5"/>
  <c r="D1360" i="5" s="1"/>
  <c r="C1359" i="5"/>
  <c r="D1359" i="5" s="1"/>
  <c r="C1358" i="5"/>
  <c r="D1358" i="5" s="1"/>
  <c r="C1357" i="5"/>
  <c r="D1357" i="5" s="1"/>
  <c r="C1356" i="5"/>
  <c r="D1356" i="5" s="1"/>
  <c r="C1355" i="5"/>
  <c r="D1355" i="5" s="1"/>
  <c r="B21" i="3"/>
  <c r="B583" i="3" s="1"/>
  <c r="D178" i="3"/>
  <c r="D15" i="30" s="1"/>
  <c r="B7" i="3"/>
  <c r="B452" i="3" s="1"/>
  <c r="B49" i="3"/>
  <c r="B50" i="3"/>
  <c r="B51" i="3"/>
  <c r="B52" i="3"/>
  <c r="B57" i="3"/>
  <c r="B58" i="3"/>
  <c r="C49" i="3"/>
  <c r="C50" i="3"/>
  <c r="C51" i="3"/>
  <c r="C52" i="3"/>
  <c r="C57" i="3"/>
  <c r="C58" i="3"/>
  <c r="D49" i="3"/>
  <c r="D50" i="3"/>
  <c r="D51" i="3"/>
  <c r="D52" i="3"/>
  <c r="D57" i="3"/>
  <c r="D58" i="3"/>
  <c r="E49" i="3"/>
  <c r="E50" i="3"/>
  <c r="E51" i="3"/>
  <c r="E52" i="3"/>
  <c r="E57" i="3"/>
  <c r="E58" i="3"/>
  <c r="F49" i="3"/>
  <c r="F50" i="3"/>
  <c r="F51" i="3"/>
  <c r="F52" i="3"/>
  <c r="F57" i="3"/>
  <c r="F58" i="3"/>
  <c r="G50" i="3"/>
  <c r="G51" i="3"/>
  <c r="G52" i="3"/>
  <c r="G57" i="3"/>
  <c r="G58" i="3"/>
  <c r="B611" i="3"/>
  <c r="B122" i="3"/>
  <c r="E14" i="43" s="1"/>
  <c r="B474" i="3"/>
  <c r="F74" i="25" s="1"/>
  <c r="B588" i="3"/>
  <c r="B170" i="3"/>
  <c r="B171" i="3"/>
  <c r="B174" i="3"/>
  <c r="B175" i="3"/>
  <c r="B179" i="3"/>
  <c r="B180" i="3"/>
  <c r="B17" i="30" s="1"/>
  <c r="B181" i="3"/>
  <c r="B182" i="3"/>
  <c r="B183" i="3"/>
  <c r="B184" i="3"/>
  <c r="B185" i="3"/>
  <c r="B186" i="3"/>
  <c r="B187" i="3"/>
  <c r="B188" i="3"/>
  <c r="B189" i="3"/>
  <c r="B26" i="30" s="1"/>
  <c r="B190" i="3"/>
  <c r="B27" i="30" s="1"/>
  <c r="B191" i="3"/>
  <c r="B28" i="30" s="1"/>
  <c r="B194" i="3"/>
  <c r="B195" i="3"/>
  <c r="B196" i="3"/>
  <c r="B197" i="3"/>
  <c r="B198" i="3"/>
  <c r="B199" i="3"/>
  <c r="B200" i="3"/>
  <c r="B201" i="3"/>
  <c r="B202" i="3"/>
  <c r="B203" i="3"/>
  <c r="B40" i="30" s="1"/>
  <c r="B204" i="3"/>
  <c r="B205" i="3"/>
  <c r="B206" i="3"/>
  <c r="B43" i="30" s="1"/>
  <c r="B207" i="3"/>
  <c r="B44" i="30" s="1"/>
  <c r="B47" i="30"/>
  <c r="B211" i="3"/>
  <c r="B212" i="3"/>
  <c r="B213" i="3"/>
  <c r="B214" i="3"/>
  <c r="B215" i="3"/>
  <c r="B216" i="3"/>
  <c r="B53" i="30" s="1"/>
  <c r="B217" i="3"/>
  <c r="B218" i="3"/>
  <c r="B219" i="3"/>
  <c r="B220" i="3"/>
  <c r="B221" i="3"/>
  <c r="B222" i="3"/>
  <c r="B223" i="3"/>
  <c r="B224" i="3"/>
  <c r="B61" i="30" s="1"/>
  <c r="B225" i="3"/>
  <c r="B62" i="30" s="1"/>
  <c r="B226" i="3"/>
  <c r="B63" i="30" s="1"/>
  <c r="B229" i="3"/>
  <c r="B230" i="3"/>
  <c r="B231" i="3"/>
  <c r="B233" i="3"/>
  <c r="B234" i="3"/>
  <c r="B235" i="3"/>
  <c r="B236" i="3"/>
  <c r="B237" i="3"/>
  <c r="B238" i="3"/>
  <c r="B75" i="30" s="1"/>
  <c r="B239" i="3"/>
  <c r="B76" i="30" s="1"/>
  <c r="B240" i="3"/>
  <c r="B241" i="3"/>
  <c r="B78" i="30" s="1"/>
  <c r="B242" i="3"/>
  <c r="B79" i="30" s="1"/>
  <c r="B245" i="3"/>
  <c r="B246" i="3"/>
  <c r="B247" i="3"/>
  <c r="B248" i="3"/>
  <c r="B249" i="3"/>
  <c r="B250" i="3"/>
  <c r="B251" i="3"/>
  <c r="B252" i="3"/>
  <c r="B253" i="3"/>
  <c r="B254" i="3"/>
  <c r="B255" i="3"/>
  <c r="B256" i="3"/>
  <c r="B257" i="3"/>
  <c r="B258" i="3"/>
  <c r="B259" i="3"/>
  <c r="B260" i="3"/>
  <c r="B97" i="30" s="1"/>
  <c r="B261" i="3"/>
  <c r="B98" i="30" s="1"/>
  <c r="B264" i="3"/>
  <c r="B265" i="3"/>
  <c r="B266" i="3"/>
  <c r="B267" i="3"/>
  <c r="B268" i="3"/>
  <c r="B105" i="30" s="1"/>
  <c r="B269" i="3"/>
  <c r="B106" i="30" s="1"/>
  <c r="B273" i="3"/>
  <c r="B110" i="30" s="1"/>
  <c r="B274" i="3"/>
  <c r="B276" i="3"/>
  <c r="D84" i="41" s="1"/>
  <c r="B277" i="3"/>
  <c r="B278" i="3"/>
  <c r="B118" i="30"/>
  <c r="B282" i="3"/>
  <c r="B283" i="3"/>
  <c r="B284" i="3"/>
  <c r="B285" i="3"/>
  <c r="B286" i="3"/>
  <c r="D169" i="3"/>
  <c r="D6" i="30" s="1"/>
  <c r="D174" i="3"/>
  <c r="D11" i="30" s="1"/>
  <c r="D175" i="3"/>
  <c r="D12" i="30" s="1"/>
  <c r="D179" i="3"/>
  <c r="D16" i="30" s="1"/>
  <c r="D180" i="3"/>
  <c r="D17" i="30" s="1"/>
  <c r="D181" i="3"/>
  <c r="D18" i="30" s="1"/>
  <c r="D182" i="3"/>
  <c r="D19" i="30" s="1"/>
  <c r="D183" i="3"/>
  <c r="D20" i="30" s="1"/>
  <c r="D184" i="3"/>
  <c r="D21" i="30" s="1"/>
  <c r="D185" i="3"/>
  <c r="D22" i="30" s="1"/>
  <c r="D186" i="3"/>
  <c r="D23" i="30" s="1"/>
  <c r="D187" i="3"/>
  <c r="D24" i="30" s="1"/>
  <c r="D188" i="3"/>
  <c r="D25" i="30" s="1"/>
  <c r="D189" i="3"/>
  <c r="D26" i="30" s="1"/>
  <c r="D190" i="3"/>
  <c r="D27" i="30" s="1"/>
  <c r="D191" i="3"/>
  <c r="D28" i="30" s="1"/>
  <c r="D194" i="3"/>
  <c r="D31" i="30" s="1"/>
  <c r="D195" i="3"/>
  <c r="D32" i="30" s="1"/>
  <c r="D196" i="3"/>
  <c r="D33" i="30" s="1"/>
  <c r="D197" i="3"/>
  <c r="D34" i="30" s="1"/>
  <c r="D198" i="3"/>
  <c r="D35" i="30" s="1"/>
  <c r="D199" i="3"/>
  <c r="D36" i="30" s="1"/>
  <c r="D200" i="3"/>
  <c r="D37" i="30" s="1"/>
  <c r="D201" i="3"/>
  <c r="D38" i="30" s="1"/>
  <c r="D202" i="3"/>
  <c r="D39" i="30" s="1"/>
  <c r="D203" i="3"/>
  <c r="D40" i="30" s="1"/>
  <c r="D204" i="3"/>
  <c r="D41" i="30" s="1"/>
  <c r="D205" i="3"/>
  <c r="D42" i="30" s="1"/>
  <c r="D206" i="3"/>
  <c r="D43" i="30" s="1"/>
  <c r="D207" i="3"/>
  <c r="D44" i="30" s="1"/>
  <c r="D210" i="3"/>
  <c r="D47" i="30" s="1"/>
  <c r="D211" i="3"/>
  <c r="D48" i="30" s="1"/>
  <c r="D212" i="3"/>
  <c r="D49" i="30" s="1"/>
  <c r="D213" i="3"/>
  <c r="D50" i="30" s="1"/>
  <c r="D214" i="3"/>
  <c r="D51" i="30" s="1"/>
  <c r="D215" i="3"/>
  <c r="D52" i="30" s="1"/>
  <c r="D216" i="3"/>
  <c r="D53" i="30" s="1"/>
  <c r="D217" i="3"/>
  <c r="D54" i="30" s="1"/>
  <c r="D218" i="3"/>
  <c r="D55" i="30" s="1"/>
  <c r="D219" i="3"/>
  <c r="D56" i="30" s="1"/>
  <c r="D220" i="3"/>
  <c r="D57" i="30" s="1"/>
  <c r="D221" i="3"/>
  <c r="D58" i="30" s="1"/>
  <c r="D222" i="3"/>
  <c r="D59" i="30" s="1"/>
  <c r="D223" i="3"/>
  <c r="D60" i="30" s="1"/>
  <c r="D224" i="3"/>
  <c r="D61" i="30" s="1"/>
  <c r="D225" i="3"/>
  <c r="D62" i="30" s="1"/>
  <c r="D226" i="3"/>
  <c r="D63" i="30" s="1"/>
  <c r="D246" i="3"/>
  <c r="D83" i="30" s="1"/>
  <c r="D247" i="3"/>
  <c r="D84" i="30" s="1"/>
  <c r="D248" i="3"/>
  <c r="D85" i="30" s="1"/>
  <c r="D249" i="3"/>
  <c r="D86" i="30" s="1"/>
  <c r="D250" i="3"/>
  <c r="D87" i="30" s="1"/>
  <c r="D251" i="3"/>
  <c r="D88" i="30" s="1"/>
  <c r="D254" i="3"/>
  <c r="D91" i="30" s="1"/>
  <c r="D255" i="3"/>
  <c r="D92" i="30" s="1"/>
  <c r="D256" i="3"/>
  <c r="D93" i="30" s="1"/>
  <c r="D257" i="3"/>
  <c r="D94" i="30" s="1"/>
  <c r="D258" i="3"/>
  <c r="D95" i="30" s="1"/>
  <c r="D259" i="3"/>
  <c r="D96" i="30" s="1"/>
  <c r="D260" i="3"/>
  <c r="D97" i="30" s="1"/>
  <c r="D261" i="3"/>
  <c r="D98" i="30" s="1"/>
  <c r="D272" i="3"/>
  <c r="D109" i="30" s="1"/>
  <c r="D273" i="3"/>
  <c r="D110" i="30" s="1"/>
  <c r="D274" i="3"/>
  <c r="D111" i="30" s="1"/>
  <c r="D276" i="3"/>
  <c r="D113" i="30" s="1"/>
  <c r="D277" i="3"/>
  <c r="D114" i="30" s="1"/>
  <c r="D278" i="3"/>
  <c r="D115" i="30" s="1"/>
  <c r="C170" i="3"/>
  <c r="C7" i="30" s="1"/>
  <c r="B465" i="3"/>
  <c r="B123" i="3"/>
  <c r="E22" i="43" s="1"/>
  <c r="B124" i="3"/>
  <c r="E30" i="43" s="1"/>
  <c r="B128" i="3"/>
  <c r="B129" i="3"/>
  <c r="B130" i="3"/>
  <c r="B131" i="3"/>
  <c r="B132" i="3"/>
  <c r="B133" i="3"/>
  <c r="B138" i="3"/>
  <c r="D53" i="32" s="1"/>
  <c r="B140" i="3"/>
  <c r="B480" i="3"/>
  <c r="C485" i="3" s="1"/>
  <c r="B498" i="3"/>
  <c r="B574" i="3"/>
  <c r="E68" i="24" s="1"/>
  <c r="M52" i="3"/>
  <c r="I10" i="41" s="1"/>
  <c r="M53" i="3"/>
  <c r="C10" i="3"/>
  <c r="C301" i="5"/>
  <c r="B3453" i="44"/>
  <c r="D3453" i="44" s="1"/>
  <c r="B3452" i="44"/>
  <c r="D3452" i="44" s="1"/>
  <c r="B3451" i="44"/>
  <c r="D3451" i="44" s="1"/>
  <c r="B3425" i="44"/>
  <c r="D3425" i="44" s="1"/>
  <c r="B3424" i="44"/>
  <c r="D3424" i="44" s="1"/>
  <c r="B3423" i="44"/>
  <c r="D3423" i="44" s="1"/>
  <c r="B3422" i="44"/>
  <c r="D3422" i="44" s="1"/>
  <c r="B3421" i="44"/>
  <c r="D3421" i="44" s="1"/>
  <c r="B3420" i="44"/>
  <c r="D3420" i="44" s="1"/>
  <c r="B3384" i="44"/>
  <c r="D3384" i="44" s="1"/>
  <c r="B3383" i="44"/>
  <c r="D3383" i="44" s="1"/>
  <c r="B3382" i="44"/>
  <c r="D3382" i="44" s="1"/>
  <c r="B112" i="32"/>
  <c r="B111" i="32"/>
  <c r="B104" i="32"/>
  <c r="B105" i="32"/>
  <c r="B106" i="32"/>
  <c r="B107" i="32"/>
  <c r="B108" i="32"/>
  <c r="B109" i="32"/>
  <c r="B110" i="32"/>
  <c r="B103" i="32"/>
  <c r="B87" i="32"/>
  <c r="B88" i="32"/>
  <c r="B89" i="32"/>
  <c r="B90" i="32"/>
  <c r="B91" i="32"/>
  <c r="B92" i="32"/>
  <c r="B93" i="32"/>
  <c r="B94" i="32"/>
  <c r="B95" i="32"/>
  <c r="B86" i="32"/>
  <c r="B141" i="24"/>
  <c r="B143" i="24"/>
  <c r="B144" i="24"/>
  <c r="B139" i="24"/>
  <c r="B138" i="24"/>
  <c r="B130" i="24"/>
  <c r="B131" i="24"/>
  <c r="B132" i="24"/>
  <c r="B133" i="24"/>
  <c r="B134" i="24"/>
  <c r="B135" i="24"/>
  <c r="B136" i="24"/>
  <c r="B129" i="24"/>
  <c r="B121" i="24"/>
  <c r="B120" i="24"/>
  <c r="B114" i="24"/>
  <c r="B115" i="24"/>
  <c r="B116" i="24"/>
  <c r="B117" i="24"/>
  <c r="B118" i="24"/>
  <c r="B111" i="24"/>
  <c r="B273" i="24"/>
  <c r="C273" i="24"/>
  <c r="D273" i="24"/>
  <c r="E273" i="24"/>
  <c r="F273" i="24"/>
  <c r="G273"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A835" i="3"/>
  <c r="B835" i="3"/>
  <c r="A836" i="3"/>
  <c r="B836" i="3"/>
  <c r="A837" i="3"/>
  <c r="B217" i="24" s="1"/>
  <c r="B837" i="3"/>
  <c r="A838" i="3"/>
  <c r="C16" i="42" s="1"/>
  <c r="B838" i="3"/>
  <c r="C218" i="24" s="1"/>
  <c r="A839" i="3"/>
  <c r="B157" i="32" s="1"/>
  <c r="B839" i="3"/>
  <c r="A840" i="3"/>
  <c r="C18" i="42" s="1"/>
  <c r="B840" i="3"/>
  <c r="A841" i="3"/>
  <c r="C19" i="42" s="1"/>
  <c r="B841" i="3"/>
  <c r="C221" i="24" s="1"/>
  <c r="A842" i="3"/>
  <c r="C20" i="42" s="1"/>
  <c r="B842" i="3"/>
  <c r="A843" i="3"/>
  <c r="B843" i="3"/>
  <c r="A844" i="3"/>
  <c r="C22" i="42" s="1"/>
  <c r="B844" i="3"/>
  <c r="A845" i="3"/>
  <c r="C23" i="42" s="1"/>
  <c r="B845" i="3"/>
  <c r="C225" i="24" s="1"/>
  <c r="A846" i="3"/>
  <c r="C24" i="42" s="1"/>
  <c r="B846" i="3"/>
  <c r="B24" i="42" s="1"/>
  <c r="A847" i="3"/>
  <c r="C25" i="42" s="1"/>
  <c r="B847" i="3"/>
  <c r="B25" i="42" s="1"/>
  <c r="A848" i="3"/>
  <c r="C26" i="42" s="1"/>
  <c r="B848" i="3"/>
  <c r="B26" i="42" s="1"/>
  <c r="A849" i="3"/>
  <c r="C27" i="42" s="1"/>
  <c r="B849" i="3"/>
  <c r="A850" i="3"/>
  <c r="C28" i="42" s="1"/>
  <c r="B850" i="3"/>
  <c r="B28" i="42" s="1"/>
  <c r="A851" i="3"/>
  <c r="C29" i="42" s="1"/>
  <c r="B851" i="3"/>
  <c r="B29" i="42" s="1"/>
  <c r="A852" i="3"/>
  <c r="C30" i="42" s="1"/>
  <c r="B852" i="3"/>
  <c r="B30" i="42" s="1"/>
  <c r="A853" i="3"/>
  <c r="C31" i="42" s="1"/>
  <c r="B853" i="3"/>
  <c r="A854" i="3"/>
  <c r="C32" i="42" s="1"/>
  <c r="B854" i="3"/>
  <c r="B32" i="42" s="1"/>
  <c r="A855" i="3"/>
  <c r="B855" i="3"/>
  <c r="B33" i="42" s="1"/>
  <c r="A856" i="3"/>
  <c r="C34" i="42" s="1"/>
  <c r="B856" i="3"/>
  <c r="A857" i="3"/>
  <c r="B857" i="3"/>
  <c r="A858" i="3"/>
  <c r="C36" i="42" s="1"/>
  <c r="B858" i="3"/>
  <c r="A859" i="3"/>
  <c r="B859" i="3"/>
  <c r="A860" i="3"/>
  <c r="C38" i="42" s="1"/>
  <c r="B860" i="3"/>
  <c r="A861" i="3"/>
  <c r="B861" i="3"/>
  <c r="A862" i="3"/>
  <c r="C40" i="42" s="1"/>
  <c r="B862" i="3"/>
  <c r="A863" i="3"/>
  <c r="B863" i="3"/>
  <c r="A864" i="3"/>
  <c r="C42" i="42" s="1"/>
  <c r="B864" i="3"/>
  <c r="A865" i="3"/>
  <c r="B183" i="32" s="1"/>
  <c r="B865" i="3"/>
  <c r="C183" i="32" s="1"/>
  <c r="A866" i="3"/>
  <c r="B866" i="3"/>
  <c r="C184" i="32" s="1"/>
  <c r="A867" i="3"/>
  <c r="B185" i="32" s="1"/>
  <c r="B867" i="3"/>
  <c r="C185" i="32" s="1"/>
  <c r="A868" i="3"/>
  <c r="B868" i="3"/>
  <c r="C186" i="32" s="1"/>
  <c r="A869" i="3"/>
  <c r="B249" i="24" s="1"/>
  <c r="B869" i="3"/>
  <c r="C187" i="32" s="1"/>
  <c r="A870" i="3"/>
  <c r="B188" i="32" s="1"/>
  <c r="B870" i="3"/>
  <c r="C188" i="32" s="1"/>
  <c r="A871" i="3"/>
  <c r="B251" i="24" s="1"/>
  <c r="B871" i="3"/>
  <c r="C189" i="32" s="1"/>
  <c r="A872" i="3"/>
  <c r="B872" i="3"/>
  <c r="C190" i="32" s="1"/>
  <c r="A873" i="3"/>
  <c r="B253" i="24" s="1"/>
  <c r="B873" i="3"/>
  <c r="C191" i="32" s="1"/>
  <c r="A874" i="3"/>
  <c r="B192" i="32" s="1"/>
  <c r="B874" i="3"/>
  <c r="C192" i="32" s="1"/>
  <c r="A875" i="3"/>
  <c r="B193" i="32" s="1"/>
  <c r="B875" i="3"/>
  <c r="C193" i="32" s="1"/>
  <c r="A876" i="3"/>
  <c r="B876" i="3"/>
  <c r="C194" i="32" s="1"/>
  <c r="A877" i="3"/>
  <c r="B257" i="24" s="1"/>
  <c r="B877" i="3"/>
  <c r="C195" i="32" s="1"/>
  <c r="A878" i="3"/>
  <c r="B878" i="3"/>
  <c r="C196" i="32" s="1"/>
  <c r="A879" i="3"/>
  <c r="B259" i="24" s="1"/>
  <c r="B879" i="3"/>
  <c r="C197" i="32" s="1"/>
  <c r="A880" i="3"/>
  <c r="B880" i="3"/>
  <c r="C198" i="32" s="1"/>
  <c r="A881" i="3"/>
  <c r="B261" i="24" s="1"/>
  <c r="B881" i="3"/>
  <c r="C199" i="32" s="1"/>
  <c r="A882" i="3"/>
  <c r="B262" i="24" s="1"/>
  <c r="B882" i="3"/>
  <c r="C200" i="32" s="1"/>
  <c r="A883" i="3"/>
  <c r="B201" i="32" s="1"/>
  <c r="B883" i="3"/>
  <c r="C201" i="32" s="1"/>
  <c r="A884" i="3"/>
  <c r="B884" i="3"/>
  <c r="C202" i="32" s="1"/>
  <c r="A885" i="3"/>
  <c r="B203" i="32" s="1"/>
  <c r="B885" i="3"/>
  <c r="C203" i="32" s="1"/>
  <c r="A886" i="3"/>
  <c r="B886" i="3"/>
  <c r="C204" i="32" s="1"/>
  <c r="A887" i="3"/>
  <c r="B887" i="3"/>
  <c r="C205" i="32" s="1"/>
  <c r="A888" i="3"/>
  <c r="B888" i="3"/>
  <c r="C206" i="32" s="1"/>
  <c r="A889" i="3"/>
  <c r="B889" i="3"/>
  <c r="C207" i="32" s="1"/>
  <c r="A890" i="3"/>
  <c r="B890" i="3"/>
  <c r="C208" i="32" s="1"/>
  <c r="A891" i="3"/>
  <c r="B271" i="24" s="1"/>
  <c r="B891" i="3"/>
  <c r="C209" i="32" s="1"/>
  <c r="A892" i="3"/>
  <c r="B892" i="3"/>
  <c r="C210" i="32" s="1"/>
  <c r="A834" i="3"/>
  <c r="B834" i="3"/>
  <c r="B833" i="3"/>
  <c r="B11" i="42" s="1"/>
  <c r="A833" i="3"/>
  <c r="E834" i="3"/>
  <c r="E835" i="3"/>
  <c r="E836" i="3"/>
  <c r="F14" i="42" s="1"/>
  <c r="G14" i="42" s="1"/>
  <c r="E837" i="3"/>
  <c r="E838" i="3"/>
  <c r="F16" i="42" s="1"/>
  <c r="G16" i="42" s="1"/>
  <c r="E839" i="3"/>
  <c r="E840" i="3"/>
  <c r="E841" i="3"/>
  <c r="F19" i="42" s="1"/>
  <c r="G19" i="42" s="1"/>
  <c r="E842" i="3"/>
  <c r="E843" i="3"/>
  <c r="E844" i="3"/>
  <c r="E845" i="3"/>
  <c r="E846" i="3"/>
  <c r="E847" i="3"/>
  <c r="F25" i="42" s="1"/>
  <c r="G25" i="42" s="1"/>
  <c r="E848" i="3"/>
  <c r="E849" i="3"/>
  <c r="F27" i="42" s="1"/>
  <c r="G27" i="42" s="1"/>
  <c r="E850" i="3"/>
  <c r="F28" i="42" s="1"/>
  <c r="G28" i="42" s="1"/>
  <c r="E851" i="3"/>
  <c r="F29" i="42" s="1"/>
  <c r="G29" i="42" s="1"/>
  <c r="E852" i="3"/>
  <c r="F30" i="42" s="1"/>
  <c r="G30" i="42" s="1"/>
  <c r="E853" i="3"/>
  <c r="F31" i="42" s="1"/>
  <c r="G31" i="42" s="1"/>
  <c r="E854" i="3"/>
  <c r="F32" i="42" s="1"/>
  <c r="G32" i="42" s="1"/>
  <c r="E855" i="3"/>
  <c r="E856" i="3"/>
  <c r="E857" i="3"/>
  <c r="G175" i="32" s="1"/>
  <c r="E858" i="3"/>
  <c r="F238" i="24" s="1"/>
  <c r="E859" i="3"/>
  <c r="G177" i="32" s="1"/>
  <c r="E860" i="3"/>
  <c r="G178" i="32" s="1"/>
  <c r="E861" i="3"/>
  <c r="G179" i="32" s="1"/>
  <c r="E862" i="3"/>
  <c r="G180" i="32" s="1"/>
  <c r="E863" i="3"/>
  <c r="G181" i="32" s="1"/>
  <c r="E864" i="3"/>
  <c r="F244" i="24" s="1"/>
  <c r="E865" i="3"/>
  <c r="G183" i="32" s="1"/>
  <c r="E866" i="3"/>
  <c r="G184" i="32" s="1"/>
  <c r="E867" i="3"/>
  <c r="G185" i="32" s="1"/>
  <c r="E868" i="3"/>
  <c r="G186" i="32" s="1"/>
  <c r="E869" i="3"/>
  <c r="G187" i="32" s="1"/>
  <c r="E870" i="3"/>
  <c r="F250" i="24" s="1"/>
  <c r="E871" i="3"/>
  <c r="G189" i="32" s="1"/>
  <c r="E872" i="3"/>
  <c r="E873" i="3"/>
  <c r="G191" i="32" s="1"/>
  <c r="E874" i="3"/>
  <c r="F254" i="24" s="1"/>
  <c r="E875" i="3"/>
  <c r="G193" i="32" s="1"/>
  <c r="E876" i="3"/>
  <c r="E877" i="3"/>
  <c r="G195" i="32" s="1"/>
  <c r="E878" i="3"/>
  <c r="G196" i="32" s="1"/>
  <c r="E879" i="3"/>
  <c r="G197" i="32" s="1"/>
  <c r="E880" i="3"/>
  <c r="E881" i="3"/>
  <c r="G199" i="32" s="1"/>
  <c r="E882" i="3"/>
  <c r="G200" i="32" s="1"/>
  <c r="E883" i="3"/>
  <c r="G201" i="32" s="1"/>
  <c r="E884" i="3"/>
  <c r="G202" i="32" s="1"/>
  <c r="E885" i="3"/>
  <c r="G203" i="32" s="1"/>
  <c r="E886" i="3"/>
  <c r="G204" i="32" s="1"/>
  <c r="E887" i="3"/>
  <c r="G205" i="32" s="1"/>
  <c r="E888" i="3"/>
  <c r="E889" i="3"/>
  <c r="G207" i="32" s="1"/>
  <c r="E890" i="3"/>
  <c r="F270" i="24" s="1"/>
  <c r="E891" i="3"/>
  <c r="G209" i="32" s="1"/>
  <c r="E892" i="3"/>
  <c r="G210" i="32" s="1"/>
  <c r="E833" i="3"/>
  <c r="D834" i="3"/>
  <c r="D835" i="3"/>
  <c r="E215" i="24" s="1"/>
  <c r="D836" i="3"/>
  <c r="D837" i="3"/>
  <c r="E217" i="24" s="1"/>
  <c r="D838" i="3"/>
  <c r="D839" i="3"/>
  <c r="D840" i="3"/>
  <c r="D841" i="3"/>
  <c r="D842" i="3"/>
  <c r="E222" i="24" s="1"/>
  <c r="D843" i="3"/>
  <c r="D844" i="3"/>
  <c r="D22" i="42" s="1"/>
  <c r="D845" i="3"/>
  <c r="D846" i="3"/>
  <c r="D24" i="42" s="1"/>
  <c r="D847" i="3"/>
  <c r="D25" i="42" s="1"/>
  <c r="D848" i="3"/>
  <c r="D26" i="42" s="1"/>
  <c r="D849" i="3"/>
  <c r="D27" i="42" s="1"/>
  <c r="D850" i="3"/>
  <c r="D28" i="42" s="1"/>
  <c r="D851" i="3"/>
  <c r="D29" i="42" s="1"/>
  <c r="D852" i="3"/>
  <c r="D30" i="42" s="1"/>
  <c r="D853" i="3"/>
  <c r="D31" i="42" s="1"/>
  <c r="D854" i="3"/>
  <c r="D32" i="42" s="1"/>
  <c r="D855" i="3"/>
  <c r="D33" i="42" s="1"/>
  <c r="D856" i="3"/>
  <c r="D34" i="42" s="1"/>
  <c r="D857" i="3"/>
  <c r="D35" i="42" s="1"/>
  <c r="D858" i="3"/>
  <c r="D859" i="3"/>
  <c r="D860" i="3"/>
  <c r="D38" i="42" s="1"/>
  <c r="D861" i="3"/>
  <c r="D862" i="3"/>
  <c r="D863" i="3"/>
  <c r="D864" i="3"/>
  <c r="D42" i="42" s="1"/>
  <c r="D865" i="3"/>
  <c r="F183" i="32" s="1"/>
  <c r="D866" i="3"/>
  <c r="F184" i="32" s="1"/>
  <c r="D867" i="3"/>
  <c r="D868" i="3"/>
  <c r="F186" i="32" s="1"/>
  <c r="D869" i="3"/>
  <c r="F187" i="32" s="1"/>
  <c r="D870" i="3"/>
  <c r="E250" i="24" s="1"/>
  <c r="D871" i="3"/>
  <c r="F189" i="32" s="1"/>
  <c r="D872" i="3"/>
  <c r="F190" i="32" s="1"/>
  <c r="D873" i="3"/>
  <c r="E253" i="24" s="1"/>
  <c r="D874" i="3"/>
  <c r="F192" i="32" s="1"/>
  <c r="D875" i="3"/>
  <c r="D876" i="3"/>
  <c r="F194" i="32" s="1"/>
  <c r="D877" i="3"/>
  <c r="F195" i="32" s="1"/>
  <c r="D878" i="3"/>
  <c r="D879" i="3"/>
  <c r="D880" i="3"/>
  <c r="F198" i="32" s="1"/>
  <c r="D881" i="3"/>
  <c r="D882" i="3"/>
  <c r="F200" i="32" s="1"/>
  <c r="D883" i="3"/>
  <c r="D884" i="3"/>
  <c r="F202" i="32" s="1"/>
  <c r="D885" i="3"/>
  <c r="E265" i="24" s="1"/>
  <c r="D886" i="3"/>
  <c r="F204" i="32" s="1"/>
  <c r="D887" i="3"/>
  <c r="F205" i="32" s="1"/>
  <c r="D888" i="3"/>
  <c r="F206" i="32" s="1"/>
  <c r="D889" i="3"/>
  <c r="D890" i="3"/>
  <c r="F208" i="32" s="1"/>
  <c r="D891" i="3"/>
  <c r="D892" i="3"/>
  <c r="F210" i="32" s="1"/>
  <c r="D833" i="3"/>
  <c r="D11" i="42" s="1"/>
  <c r="C834" i="3"/>
  <c r="E12" i="42" s="1"/>
  <c r="C835" i="3"/>
  <c r="C836" i="3"/>
  <c r="C837" i="3"/>
  <c r="E15" i="42" s="1"/>
  <c r="C838" i="3"/>
  <c r="D218" i="24" s="1"/>
  <c r="C839" i="3"/>
  <c r="E17" i="42" s="1"/>
  <c r="C840" i="3"/>
  <c r="E18" i="42" s="1"/>
  <c r="C841" i="3"/>
  <c r="E19" i="42" s="1"/>
  <c r="C842" i="3"/>
  <c r="C843" i="3"/>
  <c r="C844" i="3"/>
  <c r="E22" i="42" s="1"/>
  <c r="C845" i="3"/>
  <c r="C846" i="3"/>
  <c r="C847" i="3"/>
  <c r="E25" i="42" s="1"/>
  <c r="C848" i="3"/>
  <c r="C849" i="3"/>
  <c r="C850" i="3"/>
  <c r="E28" i="42" s="1"/>
  <c r="C851" i="3"/>
  <c r="C852" i="3"/>
  <c r="C853" i="3"/>
  <c r="E31" i="42" s="1"/>
  <c r="C854" i="3"/>
  <c r="C855" i="3"/>
  <c r="C856" i="3"/>
  <c r="C857" i="3"/>
  <c r="C858" i="3"/>
  <c r="D238" i="24" s="1"/>
  <c r="C859" i="3"/>
  <c r="D239" i="24" s="1"/>
  <c r="C860" i="3"/>
  <c r="C861" i="3"/>
  <c r="D241" i="24" s="1"/>
  <c r="C862" i="3"/>
  <c r="D242" i="24" s="1"/>
  <c r="C863" i="3"/>
  <c r="D243" i="24" s="1"/>
  <c r="C864" i="3"/>
  <c r="C865" i="3"/>
  <c r="C866" i="3"/>
  <c r="D246" i="24" s="1"/>
  <c r="C867" i="3"/>
  <c r="D247" i="24" s="1"/>
  <c r="C868" i="3"/>
  <c r="C869" i="3"/>
  <c r="C870" i="3"/>
  <c r="D250" i="24" s="1"/>
  <c r="C871" i="3"/>
  <c r="D251" i="24" s="1"/>
  <c r="C872" i="3"/>
  <c r="C873" i="3"/>
  <c r="E191" i="32" s="1"/>
  <c r="C874" i="3"/>
  <c r="D254" i="24" s="1"/>
  <c r="C875" i="3"/>
  <c r="D255" i="24" s="1"/>
  <c r="C876" i="3"/>
  <c r="C877" i="3"/>
  <c r="C878" i="3"/>
  <c r="D258" i="24" s="1"/>
  <c r="C879" i="3"/>
  <c r="D259" i="24" s="1"/>
  <c r="C880" i="3"/>
  <c r="C881" i="3"/>
  <c r="E199" i="32" s="1"/>
  <c r="C882" i="3"/>
  <c r="D262" i="24" s="1"/>
  <c r="C883" i="3"/>
  <c r="C884" i="3"/>
  <c r="C885" i="3"/>
  <c r="C886" i="3"/>
  <c r="E204" i="32" s="1"/>
  <c r="C887" i="3"/>
  <c r="D267" i="24" s="1"/>
  <c r="C888" i="3"/>
  <c r="C889" i="3"/>
  <c r="D269" i="24" s="1"/>
  <c r="C890" i="3"/>
  <c r="D270" i="24" s="1"/>
  <c r="C891" i="3"/>
  <c r="D271" i="24" s="1"/>
  <c r="C892" i="3"/>
  <c r="C833" i="3"/>
  <c r="D6" i="32"/>
  <c r="D5" i="32"/>
  <c r="D4" i="32"/>
  <c r="C72" i="12"/>
  <c r="E766" i="5"/>
  <c r="C766" i="5" s="1"/>
  <c r="B12" i="44"/>
  <c r="D12" i="44" s="1"/>
  <c r="B77" i="6"/>
  <c r="B71" i="6"/>
  <c r="B41" i="6"/>
  <c r="C216" i="5"/>
  <c r="K654" i="3"/>
  <c r="K5" i="34" s="1"/>
  <c r="A709" i="3"/>
  <c r="B3320" i="44" s="1"/>
  <c r="F3320" i="44" s="1"/>
  <c r="A711" i="3"/>
  <c r="B3223" i="44" s="1"/>
  <c r="F3223" i="44" s="1"/>
  <c r="C220" i="5"/>
  <c r="G50" i="24"/>
  <c r="C561" i="5"/>
  <c r="C557" i="5"/>
  <c r="C556" i="5"/>
  <c r="C555" i="5"/>
  <c r="C554" i="5"/>
  <c r="C553" i="5"/>
  <c r="C552" i="5"/>
  <c r="C560" i="5"/>
  <c r="C558" i="5"/>
  <c r="G66" i="3"/>
  <c r="F66" i="3"/>
  <c r="C268" i="5"/>
  <c r="C266" i="5"/>
  <c r="G72" i="3"/>
  <c r="F72" i="3"/>
  <c r="E72" i="3"/>
  <c r="D72" i="3"/>
  <c r="C72" i="3"/>
  <c r="B72" i="3"/>
  <c r="G71" i="3"/>
  <c r="F71" i="3"/>
  <c r="E71" i="3"/>
  <c r="D71" i="3"/>
  <c r="C71" i="3"/>
  <c r="B71" i="3"/>
  <c r="F835" i="5"/>
  <c r="E835" i="5"/>
  <c r="D835" i="5"/>
  <c r="G835" i="5" s="1"/>
  <c r="C835" i="5"/>
  <c r="B835" i="5"/>
  <c r="A835" i="5" s="1"/>
  <c r="F834" i="5"/>
  <c r="E834" i="5"/>
  <c r="D834" i="5"/>
  <c r="C834" i="5"/>
  <c r="B834" i="5"/>
  <c r="C321" i="5"/>
  <c r="C320" i="5"/>
  <c r="C319" i="5"/>
  <c r="C581" i="5"/>
  <c r="C773" i="5"/>
  <c r="E145" i="44"/>
  <c r="B145" i="44"/>
  <c r="C246" i="5"/>
  <c r="C318" i="5"/>
  <c r="C242" i="5"/>
  <c r="C290" i="5"/>
  <c r="C280" i="5"/>
  <c r="C252" i="5"/>
  <c r="C253" i="5"/>
  <c r="D98" i="44"/>
  <c r="D97" i="44"/>
  <c r="B3450" i="44"/>
  <c r="D3450" i="44" s="1"/>
  <c r="B3449" i="44"/>
  <c r="D3449" i="44" s="1"/>
  <c r="B3448" i="44"/>
  <c r="D3448" i="44" s="1"/>
  <c r="B3447" i="44"/>
  <c r="D3447" i="44" s="1"/>
  <c r="B3446" i="44"/>
  <c r="D3446" i="44" s="1"/>
  <c r="B3445" i="44"/>
  <c r="D3445" i="44" s="1"/>
  <c r="B3444" i="44"/>
  <c r="D3444" i="44" s="1"/>
  <c r="B3443" i="44"/>
  <c r="D3443" i="44" s="1"/>
  <c r="B3442" i="44"/>
  <c r="D3442" i="44" s="1"/>
  <c r="B3441" i="44"/>
  <c r="D3441" i="44" s="1"/>
  <c r="B3440" i="44"/>
  <c r="D3440" i="44" s="1"/>
  <c r="B3439" i="44"/>
  <c r="D3439" i="44" s="1"/>
  <c r="B3438" i="44"/>
  <c r="D3438" i="44" s="1"/>
  <c r="B3436" i="44"/>
  <c r="D3436" i="44" s="1"/>
  <c r="B3435" i="44"/>
  <c r="D3435" i="44" s="1"/>
  <c r="B3434" i="44"/>
  <c r="D3434" i="44" s="1"/>
  <c r="B3433" i="44"/>
  <c r="D3433" i="44" s="1"/>
  <c r="B3432" i="44"/>
  <c r="D3432" i="44" s="1"/>
  <c r="B3431" i="44"/>
  <c r="D3431" i="44" s="1"/>
  <c r="B3430" i="44"/>
  <c r="D3430" i="44" s="1"/>
  <c r="B3429" i="44"/>
  <c r="D3429" i="44" s="1"/>
  <c r="B3428" i="44"/>
  <c r="D3428" i="44" s="1"/>
  <c r="B3419" i="44"/>
  <c r="D3419" i="44" s="1"/>
  <c r="B3418" i="44"/>
  <c r="D3418" i="44" s="1"/>
  <c r="B3417" i="44"/>
  <c r="D3417" i="44" s="1"/>
  <c r="B3416" i="44"/>
  <c r="D3416" i="44" s="1"/>
  <c r="B3415" i="44"/>
  <c r="D3415" i="44" s="1"/>
  <c r="B3414" i="44"/>
  <c r="D3414" i="44" s="1"/>
  <c r="B3413" i="44"/>
  <c r="D3413"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5" i="44"/>
  <c r="D3385" i="44" s="1"/>
  <c r="B3381" i="44"/>
  <c r="D3381" i="44" s="1"/>
  <c r="B3380" i="44"/>
  <c r="D3380" i="44" s="1"/>
  <c r="B3379" i="44"/>
  <c r="D3379" i="44" s="1"/>
  <c r="B3378" i="44"/>
  <c r="D3378" i="44" s="1"/>
  <c r="B3377" i="44"/>
  <c r="D3377" i="44" s="1"/>
  <c r="B3376" i="44"/>
  <c r="D3376" i="44" s="1"/>
  <c r="B3375" i="44"/>
  <c r="D3375" i="44" s="1"/>
  <c r="B3374" i="44"/>
  <c r="D3374" i="44" s="1"/>
  <c r="B3150" i="44"/>
  <c r="J3150" i="44" s="1"/>
  <c r="B3134" i="44"/>
  <c r="B3135" i="44" s="1"/>
  <c r="B3136" i="44" s="1"/>
  <c r="B3118" i="44"/>
  <c r="B3119" i="44" s="1"/>
  <c r="D3119" i="44" s="1"/>
  <c r="B3102" i="44"/>
  <c r="J3102" i="44" s="1"/>
  <c r="B3086" i="44"/>
  <c r="D3086" i="44" s="1"/>
  <c r="B3070" i="44"/>
  <c r="J3070" i="44" s="1"/>
  <c r="B3054" i="44"/>
  <c r="B3038" i="44"/>
  <c r="D3038" i="44" s="1"/>
  <c r="B3022" i="44"/>
  <c r="B3023" i="44" s="1"/>
  <c r="B3006" i="44"/>
  <c r="D3006" i="44" s="1"/>
  <c r="B2990" i="44"/>
  <c r="D2990" i="44" s="1"/>
  <c r="B2974" i="44"/>
  <c r="J2974" i="44" s="1"/>
  <c r="B2958" i="44"/>
  <c r="D2958" i="44" s="1"/>
  <c r="B2942" i="44"/>
  <c r="B2943" i="44" s="1"/>
  <c r="D2943" i="44" s="1"/>
  <c r="B2926" i="44"/>
  <c r="B2910" i="44"/>
  <c r="B2911" i="44" s="1"/>
  <c r="D2911" i="44" s="1"/>
  <c r="B2894" i="44"/>
  <c r="B2878" i="44"/>
  <c r="D2878" i="44" s="1"/>
  <c r="B2862" i="44"/>
  <c r="B2846" i="44"/>
  <c r="D2846" i="44" s="1"/>
  <c r="B2830" i="44"/>
  <c r="D2830" i="44" s="1"/>
  <c r="B2814" i="44"/>
  <c r="D2814" i="44" s="1"/>
  <c r="B2798" i="44"/>
  <c r="J2798" i="44" s="1"/>
  <c r="B2782" i="44"/>
  <c r="B2783" i="44" s="1"/>
  <c r="B2784" i="44" s="1"/>
  <c r="B2785" i="44" s="1"/>
  <c r="B2786" i="44" s="1"/>
  <c r="B2766" i="44"/>
  <c r="J2766" i="44" s="1"/>
  <c r="B2750" i="44"/>
  <c r="D2750" i="44" s="1"/>
  <c r="B2734" i="44"/>
  <c r="B2735" i="44" s="1"/>
  <c r="B2736" i="44" s="1"/>
  <c r="B2718" i="44"/>
  <c r="J2718" i="44" s="1"/>
  <c r="B2702" i="44"/>
  <c r="J2702" i="44" s="1"/>
  <c r="B2686" i="44"/>
  <c r="B2687" i="44" s="1"/>
  <c r="B2688" i="44" s="1"/>
  <c r="D2688" i="44" s="1"/>
  <c r="B2670" i="44"/>
  <c r="J2670" i="44" s="1"/>
  <c r="B2654" i="44"/>
  <c r="D2654" i="44" s="1"/>
  <c r="B2638" i="44"/>
  <c r="B2622" i="44"/>
  <c r="J2622" i="44" s="1"/>
  <c r="B2606" i="44"/>
  <c r="B2590" i="44"/>
  <c r="J2590" i="44" s="1"/>
  <c r="B2574" i="44"/>
  <c r="B2575" i="44" s="1"/>
  <c r="B2576" i="44" s="1"/>
  <c r="B2558" i="44"/>
  <c r="B2559" i="44" s="1"/>
  <c r="B2560" i="44" s="1"/>
  <c r="D2560" i="44" s="1"/>
  <c r="B2542" i="44"/>
  <c r="B2543" i="44" s="1"/>
  <c r="D2543" i="44" s="1"/>
  <c r="B2526" i="44"/>
  <c r="D2526" i="44" s="1"/>
  <c r="B2510" i="44"/>
  <c r="J2510" i="44" s="1"/>
  <c r="B2494" i="44"/>
  <c r="B2495" i="44" s="1"/>
  <c r="D2495" i="44" s="1"/>
  <c r="B2478" i="44"/>
  <c r="B2462" i="44"/>
  <c r="B2463" i="44" s="1"/>
  <c r="B2464" i="44" s="1"/>
  <c r="B2465" i="44" s="1"/>
  <c r="B2446" i="44"/>
  <c r="B2430" i="44"/>
  <c r="B2431" i="44" s="1"/>
  <c r="D2431" i="44" s="1"/>
  <c r="B2414" i="44"/>
  <c r="B2415" i="44" s="1"/>
  <c r="B2416" i="44" s="1"/>
  <c r="B2398" i="44"/>
  <c r="D2398" i="44" s="1"/>
  <c r="B2382" i="44"/>
  <c r="B2383" i="44" s="1"/>
  <c r="B2366" i="44"/>
  <c r="B2367" i="44" s="1"/>
  <c r="D2367" i="44" s="1"/>
  <c r="B2350" i="44"/>
  <c r="J2350" i="44" s="1"/>
  <c r="B2334" i="44"/>
  <c r="D2334" i="44" s="1"/>
  <c r="B2318" i="44"/>
  <c r="B2302" i="44"/>
  <c r="B2303" i="44" s="1"/>
  <c r="B2304" i="44" s="1"/>
  <c r="B2286" i="44"/>
  <c r="B2270" i="44"/>
  <c r="J2270" i="44" s="1"/>
  <c r="B2254" i="44"/>
  <c r="J2254" i="44" s="1"/>
  <c r="B2238" i="44"/>
  <c r="B2239" i="44" s="1"/>
  <c r="B2240" i="44" s="1"/>
  <c r="B2222" i="44"/>
  <c r="B2206" i="44"/>
  <c r="B2207" i="44" s="1"/>
  <c r="B2190" i="44"/>
  <c r="D2190" i="44" s="1"/>
  <c r="B2174" i="44"/>
  <c r="B2158" i="44"/>
  <c r="D2158" i="44" s="1"/>
  <c r="B2142" i="44"/>
  <c r="B2126" i="44"/>
  <c r="B2127" i="44" s="1"/>
  <c r="B2110" i="44"/>
  <c r="B2094" i="44"/>
  <c r="B2095" i="44" s="1"/>
  <c r="B2078" i="44"/>
  <c r="B2062" i="44"/>
  <c r="B2063" i="44" s="1"/>
  <c r="B2064" i="44" s="1"/>
  <c r="B2046" i="44"/>
  <c r="B2030" i="44"/>
  <c r="D2030" i="44" s="1"/>
  <c r="B2014" i="44"/>
  <c r="B2015" i="44" s="1"/>
  <c r="D2015" i="44" s="1"/>
  <c r="B1998" i="44"/>
  <c r="J1998" i="44" s="1"/>
  <c r="B1982" i="44"/>
  <c r="B1966" i="44"/>
  <c r="J1966" i="44" s="1"/>
  <c r="B1950" i="44"/>
  <c r="J1950" i="44" s="1"/>
  <c r="B1934" i="44"/>
  <c r="B1918" i="44"/>
  <c r="B1919" i="44" s="1"/>
  <c r="B1902" i="44"/>
  <c r="B1903" i="44" s="1"/>
  <c r="D1903" i="44" s="1"/>
  <c r="B1886" i="44"/>
  <c r="D1886" i="44" s="1"/>
  <c r="B1870" i="44"/>
  <c r="B1871" i="44" s="1"/>
  <c r="D1871" i="44" s="1"/>
  <c r="B1854" i="44"/>
  <c r="B1855" i="44" s="1"/>
  <c r="B1856" i="44" s="1"/>
  <c r="B1857" i="44" s="1"/>
  <c r="B1858" i="44" s="1"/>
  <c r="B1859" i="44" s="1"/>
  <c r="D1859" i="44" s="1"/>
  <c r="B1838" i="44"/>
  <c r="B1839" i="44" s="1"/>
  <c r="B1822" i="44"/>
  <c r="D1822" i="44" s="1"/>
  <c r="B1806" i="44"/>
  <c r="B1790" i="44"/>
  <c r="D1790" i="44" s="1"/>
  <c r="B1774" i="44"/>
  <c r="B1775" i="44" s="1"/>
  <c r="B1776" i="44" s="1"/>
  <c r="D1776" i="44" s="1"/>
  <c r="B1758" i="44"/>
  <c r="B1759" i="44" s="1"/>
  <c r="D1759" i="44" s="1"/>
  <c r="B1742" i="44"/>
  <c r="B1743" i="44" s="1"/>
  <c r="B1744" i="44" s="1"/>
  <c r="B1745" i="44" s="1"/>
  <c r="B1746" i="44" s="1"/>
  <c r="D1746" i="44" s="1"/>
  <c r="B1726" i="44"/>
  <c r="B1727" i="44" s="1"/>
  <c r="B1710" i="44"/>
  <c r="J1710" i="44" s="1"/>
  <c r="B1694" i="44"/>
  <c r="D1694" i="44" s="1"/>
  <c r="B1678" i="44"/>
  <c r="B1662" i="44"/>
  <c r="B1663" i="44" s="1"/>
  <c r="D1663" i="44" s="1"/>
  <c r="B1646" i="44"/>
  <c r="D1646" i="44" s="1"/>
  <c r="B1630" i="44"/>
  <c r="B1614" i="44"/>
  <c r="B1598" i="44"/>
  <c r="D1598" i="44" s="1"/>
  <c r="B1582" i="44"/>
  <c r="B1581" i="44"/>
  <c r="D1581" i="44" s="1"/>
  <c r="B1580" i="44"/>
  <c r="D1580" i="44" s="1"/>
  <c r="C1579" i="44"/>
  <c r="B1579" i="44"/>
  <c r="D1579" i="44" s="1"/>
  <c r="C1578" i="44"/>
  <c r="B1578" i="44"/>
  <c r="D1578" i="44" s="1"/>
  <c r="C1577" i="44"/>
  <c r="B1577" i="44"/>
  <c r="D1577" i="44" s="1"/>
  <c r="C1576" i="44"/>
  <c r="B1576" i="44"/>
  <c r="D1576" i="44" s="1"/>
  <c r="C1575" i="44"/>
  <c r="B1575" i="44"/>
  <c r="D1575" i="44" s="1"/>
  <c r="C1574" i="44"/>
  <c r="B1574" i="44"/>
  <c r="D1574" i="44" s="1"/>
  <c r="F1573" i="44"/>
  <c r="F1572" i="44"/>
  <c r="F1571" i="44"/>
  <c r="F1570" i="44"/>
  <c r="F1569" i="44"/>
  <c r="F1568" i="44"/>
  <c r="A1566" i="44"/>
  <c r="G1566" i="44" s="1"/>
  <c r="B1555" i="44"/>
  <c r="D1555" i="44" s="1"/>
  <c r="B1554" i="44"/>
  <c r="D1554" i="44" s="1"/>
  <c r="B1553" i="44"/>
  <c r="D1553" i="44" s="1"/>
  <c r="B1552" i="44"/>
  <c r="D1552" i="44" s="1"/>
  <c r="B1551" i="44"/>
  <c r="D1551" i="44" s="1"/>
  <c r="B1550" i="44"/>
  <c r="D1550" i="44" s="1"/>
  <c r="B1548" i="44"/>
  <c r="D1548" i="44" s="1"/>
  <c r="B1547" i="44"/>
  <c r="D1547" i="44" s="1"/>
  <c r="B1546" i="44"/>
  <c r="D1546" i="44" s="1"/>
  <c r="B1545" i="44"/>
  <c r="D1545" i="44" s="1"/>
  <c r="B1544" i="44"/>
  <c r="D1544" i="44" s="1"/>
  <c r="B1542" i="44"/>
  <c r="D1542" i="44" s="1"/>
  <c r="B1540" i="44"/>
  <c r="D1540" i="44" s="1"/>
  <c r="B1538" i="44"/>
  <c r="D1539" i="44" s="1"/>
  <c r="B1537" i="44"/>
  <c r="D1537" i="44" s="1"/>
  <c r="B1535" i="44"/>
  <c r="D1535" i="44" s="1"/>
  <c r="B1533" i="44"/>
  <c r="D1534" i="44" s="1"/>
  <c r="B1532" i="44"/>
  <c r="D1532" i="44" s="1"/>
  <c r="B1531" i="44"/>
  <c r="D1531" i="44" s="1"/>
  <c r="B1530" i="44"/>
  <c r="D1530" i="44" s="1"/>
  <c r="B1529" i="44"/>
  <c r="D1529" i="44" s="1"/>
  <c r="B1528" i="44"/>
  <c r="D1528" i="44" s="1"/>
  <c r="B1527" i="44"/>
  <c r="D1527" i="44" s="1"/>
  <c r="B1526" i="44"/>
  <c r="D1526"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B1507" i="44"/>
  <c r="D1507" i="44" s="1"/>
  <c r="F1507" i="44" s="1"/>
  <c r="B1093" i="44"/>
  <c r="B1090" i="44"/>
  <c r="B1087" i="44"/>
  <c r="B1088" i="44" s="1"/>
  <c r="D1089" i="44" s="1"/>
  <c r="B1085" i="44"/>
  <c r="D1085" i="44" s="1"/>
  <c r="B1083" i="44"/>
  <c r="D1084" i="44" s="1"/>
  <c r="B1081" i="44"/>
  <c r="D1081" i="44" s="1"/>
  <c r="B1079" i="44"/>
  <c r="D1079" i="44" s="1"/>
  <c r="B1077" i="44"/>
  <c r="B1078" i="44" s="1"/>
  <c r="B1074" i="44"/>
  <c r="B1071" i="44"/>
  <c r="D1071" i="44" s="1"/>
  <c r="B1068" i="44"/>
  <c r="D1068" i="44" s="1"/>
  <c r="B1066" i="44"/>
  <c r="B1067" i="44" s="1"/>
  <c r="B1064" i="44"/>
  <c r="D1065" i="44" s="1"/>
  <c r="B1062" i="44"/>
  <c r="B1060" i="44"/>
  <c r="D1060" i="44" s="1"/>
  <c r="B1058" i="44"/>
  <c r="D1058" i="44" s="1"/>
  <c r="B1056" i="44"/>
  <c r="D1056" i="44" s="1"/>
  <c r="B1054" i="44"/>
  <c r="B1055" i="44" s="1"/>
  <c r="B1052" i="44"/>
  <c r="D1053" i="44" s="1"/>
  <c r="B1050" i="44"/>
  <c r="D1050" i="44" s="1"/>
  <c r="B1047" i="44"/>
  <c r="B1044" i="44"/>
  <c r="D1045" i="44" s="1"/>
  <c r="B1041" i="44"/>
  <c r="D1041" i="44" s="1"/>
  <c r="B1038" i="44"/>
  <c r="B1039" i="44" s="1"/>
  <c r="D1040" i="44" s="1"/>
  <c r="B1036" i="44"/>
  <c r="B1037" i="44" s="1"/>
  <c r="B1034" i="44"/>
  <c r="B1032" i="44"/>
  <c r="D1032" i="44" s="1"/>
  <c r="B1030" i="44"/>
  <c r="D1030" i="44" s="1"/>
  <c r="B1028" i="44"/>
  <c r="D1028" i="44" s="1"/>
  <c r="B1026" i="44"/>
  <c r="D1026" i="44" s="1"/>
  <c r="B1024" i="44"/>
  <c r="B1025" i="44" s="1"/>
  <c r="B1022" i="44"/>
  <c r="D1022" i="44" s="1"/>
  <c r="B1019" i="44"/>
  <c r="B1020" i="44" s="1"/>
  <c r="D1021" i="44" s="1"/>
  <c r="B1016" i="44"/>
  <c r="B1013" i="44"/>
  <c r="B1011" i="44"/>
  <c r="B1012" i="44" s="1"/>
  <c r="B1009" i="44"/>
  <c r="D1009" i="44" s="1"/>
  <c r="B1007" i="44"/>
  <c r="B1008" i="44" s="1"/>
  <c r="B1005" i="44"/>
  <c r="B1003" i="44"/>
  <c r="D1003" i="44" s="1"/>
  <c r="B1001" i="44"/>
  <c r="D1002" i="44" s="1"/>
  <c r="B999" i="44"/>
  <c r="B997" i="44"/>
  <c r="B995" i="44"/>
  <c r="B996" i="44" s="1"/>
  <c r="B993" i="44"/>
  <c r="B994" i="44" s="1"/>
  <c r="B992" i="44"/>
  <c r="D992" i="44" s="1"/>
  <c r="B989" i="44"/>
  <c r="B986" i="44"/>
  <c r="D986" i="44" s="1"/>
  <c r="B984" i="44"/>
  <c r="D985" i="44" s="1"/>
  <c r="B982" i="44"/>
  <c r="B967" i="44"/>
  <c r="B968" i="44" s="1"/>
  <c r="B969" i="44" s="1"/>
  <c r="B970" i="44" s="1"/>
  <c r="B971" i="44" s="1"/>
  <c r="B972" i="44" s="1"/>
  <c r="B973" i="44" s="1"/>
  <c r="B974" i="44" s="1"/>
  <c r="B975" i="44" s="1"/>
  <c r="B976" i="44" s="1"/>
  <c r="B977" i="44" s="1"/>
  <c r="B978" i="44" s="1"/>
  <c r="B979" i="44" s="1"/>
  <c r="B980" i="44" s="1"/>
  <c r="B981" i="44" s="1"/>
  <c r="B937" i="44"/>
  <c r="B938" i="44" s="1"/>
  <c r="B939" i="44" s="1"/>
  <c r="B940" i="44" s="1"/>
  <c r="B941" i="44" s="1"/>
  <c r="B942" i="44" s="1"/>
  <c r="B943" i="44" s="1"/>
  <c r="B944" i="44" s="1"/>
  <c r="B945" i="44" s="1"/>
  <c r="B946" i="44" s="1"/>
  <c r="B947" i="44" s="1"/>
  <c r="B948" i="44" s="1"/>
  <c r="B949" i="44" s="1"/>
  <c r="B950" i="44" s="1"/>
  <c r="B951" i="44" s="1"/>
  <c r="B922" i="44"/>
  <c r="B903" i="44"/>
  <c r="B894" i="44"/>
  <c r="D895" i="44" s="1"/>
  <c r="B880" i="44"/>
  <c r="D881" i="44" s="1"/>
  <c r="B859" i="44"/>
  <c r="D860" i="44" s="1"/>
  <c r="D858" i="44"/>
  <c r="D857" i="44"/>
  <c r="B832" i="44"/>
  <c r="D832" i="44" s="1"/>
  <c r="B799" i="44"/>
  <c r="B801" i="44" s="1"/>
  <c r="B781" i="44"/>
  <c r="B756" i="44"/>
  <c r="D757" i="44" s="1"/>
  <c r="B752" i="44"/>
  <c r="D753" i="44" s="1"/>
  <c r="B746" i="44"/>
  <c r="B745" i="44"/>
  <c r="D745" i="44" s="1"/>
  <c r="F745" i="44" s="1"/>
  <c r="Q744" i="44"/>
  <c r="P744" i="44"/>
  <c r="O744" i="44"/>
  <c r="N744" i="44"/>
  <c r="M744" i="44"/>
  <c r="L744" i="44"/>
  <c r="K744" i="44"/>
  <c r="J744" i="44"/>
  <c r="I744" i="44"/>
  <c r="H744" i="44"/>
  <c r="F744" i="44"/>
  <c r="Q743" i="44"/>
  <c r="P743" i="44"/>
  <c r="O743" i="44"/>
  <c r="N743" i="44"/>
  <c r="M743" i="44"/>
  <c r="L743" i="44"/>
  <c r="K743" i="44"/>
  <c r="J743" i="44"/>
  <c r="I743" i="44"/>
  <c r="H743" i="44"/>
  <c r="F743" i="44"/>
  <c r="A739" i="44"/>
  <c r="B722" i="44"/>
  <c r="B692" i="44"/>
  <c r="D692" i="44" s="1"/>
  <c r="B677" i="44"/>
  <c r="B596" i="44"/>
  <c r="D597" i="44" s="1"/>
  <c r="B564" i="44"/>
  <c r="D565" i="44" s="1"/>
  <c r="B471" i="44"/>
  <c r="D472" i="44" s="1"/>
  <c r="B398" i="44"/>
  <c r="D401" i="44" s="1"/>
  <c r="B393" i="44"/>
  <c r="D394" i="44" s="1"/>
  <c r="D392" i="44"/>
  <c r="D391" i="44"/>
  <c r="D390" i="44"/>
  <c r="D389" i="44"/>
  <c r="D388" i="44"/>
  <c r="B315" i="44"/>
  <c r="B308" i="44"/>
  <c r="B313" i="44" s="1"/>
  <c r="B299" i="44"/>
  <c r="B298" i="44"/>
  <c r="D298" i="44" s="1"/>
  <c r="F298" i="44" s="1"/>
  <c r="S297" i="44"/>
  <c r="R297" i="44"/>
  <c r="Q297" i="44"/>
  <c r="P297" i="44"/>
  <c r="O297" i="44"/>
  <c r="N297" i="44"/>
  <c r="M297" i="44"/>
  <c r="L297" i="44"/>
  <c r="K297" i="44"/>
  <c r="J297" i="44"/>
  <c r="F297" i="44"/>
  <c r="S296" i="44"/>
  <c r="R296" i="44"/>
  <c r="Q296" i="44"/>
  <c r="P296" i="44"/>
  <c r="O296" i="44"/>
  <c r="N296" i="44"/>
  <c r="M296" i="44"/>
  <c r="L296" i="44"/>
  <c r="K296" i="44"/>
  <c r="J296" i="44"/>
  <c r="F296" i="44"/>
  <c r="S295" i="44"/>
  <c r="R295" i="44"/>
  <c r="Q295" i="44"/>
  <c r="P295" i="44"/>
  <c r="O295" i="44"/>
  <c r="N295" i="44"/>
  <c r="M295" i="44"/>
  <c r="L295" i="44"/>
  <c r="K295" i="44"/>
  <c r="J295" i="44"/>
  <c r="F295" i="44"/>
  <c r="S294" i="44"/>
  <c r="R294" i="44"/>
  <c r="Q294" i="44"/>
  <c r="P294" i="44"/>
  <c r="O294" i="44"/>
  <c r="N294" i="44"/>
  <c r="J294" i="44"/>
  <c r="K294" i="44"/>
  <c r="L294" i="44"/>
  <c r="M294" i="44"/>
  <c r="F294" i="44"/>
  <c r="S293" i="44"/>
  <c r="R293" i="44"/>
  <c r="Q293" i="44"/>
  <c r="P293" i="44"/>
  <c r="O293" i="44"/>
  <c r="N293" i="44"/>
  <c r="M293" i="44"/>
  <c r="L293" i="44"/>
  <c r="K293" i="44"/>
  <c r="J293" i="44"/>
  <c r="F293" i="44"/>
  <c r="F283" i="44"/>
  <c r="F282" i="44"/>
  <c r="B281" i="44"/>
  <c r="D281" i="44" s="1"/>
  <c r="B280" i="44"/>
  <c r="D280" i="44" s="1"/>
  <c r="B279" i="44"/>
  <c r="B278" i="44"/>
  <c r="B277" i="44"/>
  <c r="F277" i="44" s="1"/>
  <c r="B276" i="44"/>
  <c r="D276" i="44" s="1"/>
  <c r="B275" i="44"/>
  <c r="F275" i="44" s="1"/>
  <c r="B274" i="44"/>
  <c r="D274" i="44" s="1"/>
  <c r="B273" i="44"/>
  <c r="F273" i="44" s="1"/>
  <c r="H272" i="44"/>
  <c r="B272" i="44"/>
  <c r="D272" i="44" s="1"/>
  <c r="H271" i="44"/>
  <c r="B271" i="44"/>
  <c r="H270" i="44"/>
  <c r="B270" i="44"/>
  <c r="D270" i="44" s="1"/>
  <c r="H269" i="44"/>
  <c r="B269" i="44"/>
  <c r="D269" i="44" s="1"/>
  <c r="H268" i="44"/>
  <c r="B268" i="44"/>
  <c r="H267" i="44"/>
  <c r="B267" i="44"/>
  <c r="H266" i="44"/>
  <c r="B266" i="44"/>
  <c r="D266" i="44" s="1"/>
  <c r="H265" i="44"/>
  <c r="B265" i="44"/>
  <c r="D265" i="44" s="1"/>
  <c r="H264" i="44"/>
  <c r="B264" i="44"/>
  <c r="D264" i="44" s="1"/>
  <c r="B263" i="44"/>
  <c r="D263" i="44" s="1"/>
  <c r="B262" i="44"/>
  <c r="D262" i="44" s="1"/>
  <c r="B261" i="44"/>
  <c r="D261" i="44" s="1"/>
  <c r="B260" i="44"/>
  <c r="F260" i="44" s="1"/>
  <c r="B259" i="44"/>
  <c r="D259" i="44" s="1"/>
  <c r="B258" i="44"/>
  <c r="D258" i="44" s="1"/>
  <c r="B257" i="44"/>
  <c r="B256" i="44"/>
  <c r="F256" i="44" s="1"/>
  <c r="B255" i="44"/>
  <c r="D255" i="44" s="1"/>
  <c r="B254" i="44"/>
  <c r="F254" i="44" s="1"/>
  <c r="B253" i="44"/>
  <c r="H252" i="44"/>
  <c r="B252" i="44"/>
  <c r="H251" i="44"/>
  <c r="B251" i="44"/>
  <c r="D251" i="44" s="1"/>
  <c r="H250" i="44"/>
  <c r="B250" i="44"/>
  <c r="D250" i="44" s="1"/>
  <c r="H249" i="44"/>
  <c r="B249" i="44"/>
  <c r="D249" i="44" s="1"/>
  <c r="H248" i="44"/>
  <c r="B248" i="44"/>
  <c r="D248" i="44" s="1"/>
  <c r="H247" i="44"/>
  <c r="B247" i="44"/>
  <c r="D247" i="44" s="1"/>
  <c r="H246" i="44"/>
  <c r="B246" i="44"/>
  <c r="D246" i="44" s="1"/>
  <c r="H245" i="44"/>
  <c r="B245" i="44"/>
  <c r="D245" i="44" s="1"/>
  <c r="H244" i="44"/>
  <c r="B244" i="44"/>
  <c r="B242" i="44"/>
  <c r="D242" i="44" s="1"/>
  <c r="B241" i="44"/>
  <c r="D241" i="44" s="1"/>
  <c r="E208" i="44"/>
  <c r="A208" i="44" s="1"/>
  <c r="B208" i="44"/>
  <c r="B209" i="44" s="1"/>
  <c r="D209" i="44" s="1"/>
  <c r="E206" i="44"/>
  <c r="A206" i="44" s="1"/>
  <c r="B206" i="44"/>
  <c r="B207" i="44" s="1"/>
  <c r="D207" i="44" s="1"/>
  <c r="E204" i="44"/>
  <c r="A204" i="44" s="1"/>
  <c r="B204" i="44"/>
  <c r="F206" i="44" s="1"/>
  <c r="E202" i="44"/>
  <c r="A202" i="44" s="1"/>
  <c r="B202" i="44"/>
  <c r="E200" i="44"/>
  <c r="A200" i="44" s="1"/>
  <c r="B200" i="44"/>
  <c r="E198" i="44"/>
  <c r="A198" i="44" s="1"/>
  <c r="B198" i="44"/>
  <c r="F200" i="44" s="1"/>
  <c r="E196" i="44"/>
  <c r="A196" i="44" s="1"/>
  <c r="B196" i="44"/>
  <c r="B197" i="44" s="1"/>
  <c r="D197" i="44" s="1"/>
  <c r="E194" i="44"/>
  <c r="A194" i="44" s="1"/>
  <c r="B194" i="44"/>
  <c r="F196" i="44" s="1"/>
  <c r="E192" i="44"/>
  <c r="A192" i="44" s="1"/>
  <c r="B192" i="44"/>
  <c r="E190" i="44"/>
  <c r="A190" i="44" s="1"/>
  <c r="B190" i="44"/>
  <c r="E188" i="44"/>
  <c r="A188" i="44" s="1"/>
  <c r="B188" i="44"/>
  <c r="E186" i="44"/>
  <c r="A186" i="44" s="1"/>
  <c r="B186" i="44"/>
  <c r="E184" i="44"/>
  <c r="A184" i="44" s="1"/>
  <c r="B184" i="44"/>
  <c r="E182" i="44"/>
  <c r="A182" i="44" s="1"/>
  <c r="B182" i="44"/>
  <c r="F184" i="44" s="1"/>
  <c r="E180" i="44"/>
  <c r="A180" i="44" s="1"/>
  <c r="B180" i="44"/>
  <c r="B181" i="44" s="1"/>
  <c r="D181" i="44" s="1"/>
  <c r="E178" i="44"/>
  <c r="A178" i="44" s="1"/>
  <c r="B178" i="44"/>
  <c r="E176" i="44"/>
  <c r="A176" i="44" s="1"/>
  <c r="B176" i="44"/>
  <c r="B177" i="44" s="1"/>
  <c r="D177" i="44" s="1"/>
  <c r="E174" i="44"/>
  <c r="A174" i="44" s="1"/>
  <c r="B174" i="44"/>
  <c r="E172" i="44"/>
  <c r="A172" i="44" s="1"/>
  <c r="B172" i="44"/>
  <c r="E170" i="44"/>
  <c r="A170" i="44" s="1"/>
  <c r="B170" i="44"/>
  <c r="B171" i="44" s="1"/>
  <c r="D171" i="44" s="1"/>
  <c r="E168" i="44"/>
  <c r="A168" i="44" s="1"/>
  <c r="B168" i="44"/>
  <c r="F170" i="44" s="1"/>
  <c r="E166" i="44"/>
  <c r="A166" i="44" s="1"/>
  <c r="B166" i="44"/>
  <c r="E164" i="44"/>
  <c r="A164" i="44" s="1"/>
  <c r="B164" i="44"/>
  <c r="F166" i="44" s="1"/>
  <c r="E162" i="44"/>
  <c r="A162" i="44" s="1"/>
  <c r="B162" i="44"/>
  <c r="E160" i="44"/>
  <c r="A160" i="44" s="1"/>
  <c r="B160" i="44"/>
  <c r="E158" i="44"/>
  <c r="A158" i="44" s="1"/>
  <c r="B158" i="44"/>
  <c r="B159" i="44" s="1"/>
  <c r="D159" i="44" s="1"/>
  <c r="E156" i="44"/>
  <c r="A156" i="44" s="1"/>
  <c r="B156" i="44"/>
  <c r="E154" i="44"/>
  <c r="A154" i="44" s="1"/>
  <c r="B154" i="44"/>
  <c r="B155" i="44" s="1"/>
  <c r="D155" i="44" s="1"/>
  <c r="E152" i="44"/>
  <c r="A152" i="44" s="1"/>
  <c r="B152" i="44"/>
  <c r="F154" i="44" s="1"/>
  <c r="E150" i="44"/>
  <c r="A150" i="44" s="1"/>
  <c r="B150" i="44"/>
  <c r="E148" i="44"/>
  <c r="A148" i="44" s="1"/>
  <c r="B148" i="44"/>
  <c r="B149" i="44" s="1"/>
  <c r="D149" i="44" s="1"/>
  <c r="E146" i="44"/>
  <c r="B146" i="44"/>
  <c r="F148" i="44" s="1"/>
  <c r="B144" i="44"/>
  <c r="F146" i="44" s="1"/>
  <c r="B143" i="44"/>
  <c r="F145" i="44" s="1"/>
  <c r="B142" i="44"/>
  <c r="D142" i="44" s="1"/>
  <c r="B141" i="44"/>
  <c r="D141" i="44" s="1"/>
  <c r="B140" i="44"/>
  <c r="D140" i="44" s="1"/>
  <c r="B139" i="44"/>
  <c r="D139" i="44" s="1"/>
  <c r="B138" i="44"/>
  <c r="D138" i="44" s="1"/>
  <c r="B137" i="44"/>
  <c r="D137" i="44" s="1"/>
  <c r="B136" i="44"/>
  <c r="D136" i="44" s="1"/>
  <c r="D119" i="44"/>
  <c r="D118" i="44"/>
  <c r="D117" i="44"/>
  <c r="D116" i="44"/>
  <c r="D115" i="44"/>
  <c r="D114" i="44"/>
  <c r="D113" i="44"/>
  <c r="D112" i="44"/>
  <c r="D111" i="44"/>
  <c r="D110" i="44"/>
  <c r="D106" i="44"/>
  <c r="D105" i="44"/>
  <c r="D104" i="44"/>
  <c r="D103" i="44"/>
  <c r="D102" i="44"/>
  <c r="D96" i="44"/>
  <c r="D95" i="44"/>
  <c r="D94" i="44"/>
  <c r="D92" i="44"/>
  <c r="D91" i="44"/>
  <c r="D90" i="44"/>
  <c r="D83" i="44"/>
  <c r="D82" i="44"/>
  <c r="D81" i="44"/>
  <c r="D80" i="44"/>
  <c r="D79" i="44"/>
  <c r="D78" i="44"/>
  <c r="D76" i="44"/>
  <c r="D69" i="44"/>
  <c r="D71" i="44"/>
  <c r="D70" i="44"/>
  <c r="D68" i="44"/>
  <c r="D67" i="44"/>
  <c r="D66" i="44"/>
  <c r="D65" i="44"/>
  <c r="D64" i="44"/>
  <c r="D63" i="44"/>
  <c r="D62" i="44"/>
  <c r="D60" i="44"/>
  <c r="D59" i="44"/>
  <c r="D58" i="44"/>
  <c r="D57" i="44"/>
  <c r="D56" i="44"/>
  <c r="D55" i="44"/>
  <c r="D53" i="44"/>
  <c r="B50" i="44"/>
  <c r="D50" i="44" s="1"/>
  <c r="B39" i="44"/>
  <c r="D39" i="44" s="1"/>
  <c r="B37" i="44"/>
  <c r="D37"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20" i="44"/>
  <c r="D20" i="44" s="1"/>
  <c r="B19" i="44"/>
  <c r="D19" i="44" s="1"/>
  <c r="B18" i="44"/>
  <c r="D18" i="44" s="1"/>
  <c r="B17" i="44"/>
  <c r="D17" i="44" s="1"/>
  <c r="B16" i="44"/>
  <c r="D16" i="44" s="1"/>
  <c r="B14" i="44"/>
  <c r="D14" i="44" s="1"/>
  <c r="B13" i="44"/>
  <c r="D13" i="44" s="1"/>
  <c r="B11" i="44"/>
  <c r="D11" i="44" s="1"/>
  <c r="F11" i="44" s="1"/>
  <c r="B10" i="44"/>
  <c r="D10" i="44" s="1"/>
  <c r="F10" i="44" s="1"/>
  <c r="B9" i="44"/>
  <c r="D9" i="44" s="1"/>
  <c r="B8" i="44"/>
  <c r="D8" i="44" s="1"/>
  <c r="B7" i="44"/>
  <c r="D7" i="44" s="1"/>
  <c r="B6" i="44"/>
  <c r="D6" i="44" s="1"/>
  <c r="B5" i="44"/>
  <c r="D5" i="44" s="1"/>
  <c r="C441" i="5"/>
  <c r="E1177" i="5"/>
  <c r="D1177" i="5"/>
  <c r="C1177" i="5"/>
  <c r="E1176" i="5"/>
  <c r="D1176" i="5"/>
  <c r="C1176" i="5"/>
  <c r="B8" i="3"/>
  <c r="E1175" i="5"/>
  <c r="D1175" i="5"/>
  <c r="C1175" i="5"/>
  <c r="E1174" i="5"/>
  <c r="D1174" i="5"/>
  <c r="C1174" i="5"/>
  <c r="E1173" i="5"/>
  <c r="D1173" i="5"/>
  <c r="C1173" i="5"/>
  <c r="E1172" i="5"/>
  <c r="D1172" i="5"/>
  <c r="C1172" i="5"/>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E1161" i="5"/>
  <c r="D1161" i="5"/>
  <c r="C1161" i="5"/>
  <c r="E1160" i="5"/>
  <c r="D1160" i="5"/>
  <c r="C1160" i="5"/>
  <c r="E1159" i="5"/>
  <c r="D1159" i="5"/>
  <c r="C1159" i="5"/>
  <c r="E1158" i="5"/>
  <c r="D1158" i="5"/>
  <c r="C1158" i="5"/>
  <c r="E1157" i="5"/>
  <c r="D1157" i="5"/>
  <c r="C1157" i="5"/>
  <c r="E1156" i="5"/>
  <c r="D1156" i="5"/>
  <c r="C1156" i="5"/>
  <c r="B9" i="3"/>
  <c r="E1155" i="5"/>
  <c r="D1155" i="5"/>
  <c r="C1155" i="5"/>
  <c r="E1154" i="5"/>
  <c r="D1154" i="5"/>
  <c r="C1154" i="5"/>
  <c r="E1153" i="5"/>
  <c r="D1153" i="5"/>
  <c r="C1153" i="5"/>
  <c r="E1152" i="5"/>
  <c r="D1152" i="5"/>
  <c r="C1152" i="5"/>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C1101" i="5"/>
  <c r="E1100" i="5"/>
  <c r="D1100" i="5"/>
  <c r="C1100" i="5"/>
  <c r="E1099" i="5"/>
  <c r="D1099" i="5"/>
  <c r="C1099" i="5"/>
  <c r="E1098" i="5"/>
  <c r="D1098" i="5"/>
  <c r="C1098" i="5"/>
  <c r="E1097" i="5"/>
  <c r="D1097" i="5"/>
  <c r="C1097" i="5"/>
  <c r="E1096" i="5"/>
  <c r="D1096" i="5"/>
  <c r="C1096" i="5"/>
  <c r="E1095" i="5"/>
  <c r="D1095" i="5"/>
  <c r="C1095" i="5"/>
  <c r="E1094" i="5"/>
  <c r="D1094" i="5"/>
  <c r="C1094" i="5"/>
  <c r="E1093" i="5"/>
  <c r="D1093" i="5"/>
  <c r="C1093" i="5"/>
  <c r="E1092" i="5"/>
  <c r="D1092" i="5"/>
  <c r="C1092" i="5"/>
  <c r="E1091" i="5"/>
  <c r="D1091" i="5"/>
  <c r="C1091" i="5"/>
  <c r="E1090" i="5"/>
  <c r="D1090" i="5"/>
  <c r="C1090" i="5"/>
  <c r="E1089" i="5"/>
  <c r="D1089" i="5"/>
  <c r="C1089" i="5"/>
  <c r="E1088" i="5"/>
  <c r="D1088" i="5"/>
  <c r="C1088" i="5"/>
  <c r="E1087" i="5"/>
  <c r="D1087" i="5"/>
  <c r="C1087" i="5"/>
  <c r="E1086" i="5"/>
  <c r="D1086" i="5"/>
  <c r="C1086" i="5"/>
  <c r="E1085" i="5"/>
  <c r="D1085" i="5"/>
  <c r="C1085" i="5"/>
  <c r="E1084" i="5"/>
  <c r="D1084" i="5"/>
  <c r="C1084" i="5"/>
  <c r="E1083" i="5"/>
  <c r="D1083" i="5"/>
  <c r="C1083" i="5"/>
  <c r="E1082" i="5"/>
  <c r="D1082" i="5"/>
  <c r="C1082" i="5"/>
  <c r="E1081" i="5"/>
  <c r="D1081" i="5"/>
  <c r="C1081" i="5"/>
  <c r="E1080" i="5"/>
  <c r="D1080" i="5"/>
  <c r="C1080" i="5"/>
  <c r="E1079" i="5"/>
  <c r="D1079" i="5"/>
  <c r="A1079" i="5" s="1"/>
  <c r="C1079" i="5"/>
  <c r="F989" i="5"/>
  <c r="E989" i="5"/>
  <c r="D989" i="5"/>
  <c r="C989" i="5"/>
  <c r="B989" i="5"/>
  <c r="A989" i="5" s="1"/>
  <c r="F988" i="5"/>
  <c r="E988" i="5"/>
  <c r="D988" i="5"/>
  <c r="C988" i="5"/>
  <c r="B988" i="5"/>
  <c r="A988" i="5" s="1"/>
  <c r="F987" i="5"/>
  <c r="E987" i="5"/>
  <c r="D987" i="5"/>
  <c r="C987" i="5"/>
  <c r="B987" i="5"/>
  <c r="A987" i="5" s="1"/>
  <c r="F986" i="5"/>
  <c r="E986" i="5"/>
  <c r="D986" i="5"/>
  <c r="C986" i="5"/>
  <c r="B986" i="5"/>
  <c r="A986" i="5" s="1"/>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A960" i="5" s="1"/>
  <c r="F959" i="5"/>
  <c r="E959" i="5"/>
  <c r="D959" i="5"/>
  <c r="C959" i="5"/>
  <c r="B959" i="5"/>
  <c r="A959" i="5" s="1"/>
  <c r="F958" i="5"/>
  <c r="E958" i="5"/>
  <c r="D958" i="5"/>
  <c r="C958" i="5"/>
  <c r="B958" i="5"/>
  <c r="A958" i="5" s="1"/>
  <c r="F957" i="5"/>
  <c r="E957" i="5"/>
  <c r="D957" i="5"/>
  <c r="C957" i="5"/>
  <c r="B957" i="5"/>
  <c r="A957" i="5" s="1"/>
  <c r="F956" i="5"/>
  <c r="E956" i="5"/>
  <c r="D956" i="5"/>
  <c r="C956" i="5"/>
  <c r="B956" i="5"/>
  <c r="A956" i="5" s="1"/>
  <c r="F955" i="5"/>
  <c r="E955" i="5"/>
  <c r="D955" i="5"/>
  <c r="C955" i="5"/>
  <c r="B955" i="5"/>
  <c r="A955" i="5" s="1"/>
  <c r="F954" i="5"/>
  <c r="E954" i="5"/>
  <c r="D954" i="5"/>
  <c r="C954" i="5"/>
  <c r="B954" i="5"/>
  <c r="A954" i="5" s="1"/>
  <c r="F953" i="5"/>
  <c r="E953" i="5"/>
  <c r="D953" i="5"/>
  <c r="C953" i="5"/>
  <c r="B953" i="5"/>
  <c r="A953" i="5" s="1"/>
  <c r="F952" i="5"/>
  <c r="E952" i="5"/>
  <c r="D952" i="5"/>
  <c r="C952" i="5"/>
  <c r="B952" i="5"/>
  <c r="A952" i="5" s="1"/>
  <c r="F951" i="5"/>
  <c r="E951" i="5"/>
  <c r="D951" i="5"/>
  <c r="C951" i="5"/>
  <c r="B951" i="5"/>
  <c r="A951" i="5" s="1"/>
  <c r="F950" i="5"/>
  <c r="E950" i="5"/>
  <c r="D950" i="5"/>
  <c r="C950" i="5"/>
  <c r="B950" i="5"/>
  <c r="A950" i="5" s="1"/>
  <c r="F949" i="5"/>
  <c r="E949" i="5"/>
  <c r="D949" i="5"/>
  <c r="C949" i="5"/>
  <c r="B949" i="5"/>
  <c r="A949" i="5" s="1"/>
  <c r="F948" i="5"/>
  <c r="E948" i="5"/>
  <c r="D948" i="5"/>
  <c r="C948" i="5"/>
  <c r="B948" i="5"/>
  <c r="A948" i="5" s="1"/>
  <c r="F947" i="5"/>
  <c r="E947" i="5"/>
  <c r="D947" i="5"/>
  <c r="C947" i="5"/>
  <c r="B947" i="5"/>
  <c r="A947" i="5" s="1"/>
  <c r="F946" i="5"/>
  <c r="E946" i="5"/>
  <c r="D946" i="5"/>
  <c r="C946" i="5"/>
  <c r="B946" i="5"/>
  <c r="A946" i="5" s="1"/>
  <c r="F945" i="5"/>
  <c r="E945" i="5"/>
  <c r="D945" i="5"/>
  <c r="C945" i="5"/>
  <c r="B945" i="5"/>
  <c r="A945" i="5" s="1"/>
  <c r="F944" i="5"/>
  <c r="E944" i="5"/>
  <c r="D944" i="5"/>
  <c r="C944" i="5"/>
  <c r="B944" i="5"/>
  <c r="A944" i="5" s="1"/>
  <c r="F943" i="5"/>
  <c r="E943" i="5"/>
  <c r="D943" i="5"/>
  <c r="C943" i="5"/>
  <c r="B943" i="5"/>
  <c r="A943" i="5" s="1"/>
  <c r="F942" i="5"/>
  <c r="E942" i="5"/>
  <c r="D942" i="5"/>
  <c r="C942" i="5"/>
  <c r="B942" i="5"/>
  <c r="A942" i="5" s="1"/>
  <c r="F941" i="5"/>
  <c r="E941" i="5"/>
  <c r="D941" i="5"/>
  <c r="C941" i="5"/>
  <c r="B941" i="5"/>
  <c r="A941" i="5" s="1"/>
  <c r="F940" i="5"/>
  <c r="E940" i="5"/>
  <c r="D940" i="5"/>
  <c r="C940" i="5"/>
  <c r="B940" i="5"/>
  <c r="A940" i="5" s="1"/>
  <c r="F939" i="5"/>
  <c r="E939" i="5"/>
  <c r="D939" i="5"/>
  <c r="C939" i="5"/>
  <c r="B939" i="5"/>
  <c r="A939" i="5" s="1"/>
  <c r="F938" i="5"/>
  <c r="E938" i="5"/>
  <c r="D938" i="5"/>
  <c r="C938" i="5"/>
  <c r="B938" i="5"/>
  <c r="A938" i="5" s="1"/>
  <c r="F937" i="5"/>
  <c r="E937" i="5"/>
  <c r="D937" i="5"/>
  <c r="C937" i="5"/>
  <c r="B937" i="5"/>
  <c r="A937" i="5" s="1"/>
  <c r="F936" i="5"/>
  <c r="E936" i="5"/>
  <c r="D936" i="5"/>
  <c r="C936" i="5"/>
  <c r="B936" i="5"/>
  <c r="A936" i="5" s="1"/>
  <c r="F935" i="5"/>
  <c r="E935" i="5"/>
  <c r="D935" i="5"/>
  <c r="C935" i="5"/>
  <c r="B935" i="5"/>
  <c r="A935" i="5" s="1"/>
  <c r="F934" i="5"/>
  <c r="E934" i="5"/>
  <c r="D934" i="5"/>
  <c r="C934" i="5"/>
  <c r="B934" i="5"/>
  <c r="A934" i="5" s="1"/>
  <c r="F933" i="5"/>
  <c r="E933" i="5"/>
  <c r="D933" i="5"/>
  <c r="C933" i="5"/>
  <c r="B933" i="5"/>
  <c r="A933" i="5" s="1"/>
  <c r="F932" i="5"/>
  <c r="E932" i="5"/>
  <c r="D932" i="5"/>
  <c r="C932" i="5"/>
  <c r="B932" i="5"/>
  <c r="F931" i="5"/>
  <c r="E931" i="5"/>
  <c r="D931" i="5"/>
  <c r="C931" i="5"/>
  <c r="B931" i="5"/>
  <c r="A930" i="5"/>
  <c r="F930" i="5"/>
  <c r="E930" i="5"/>
  <c r="D930" i="5"/>
  <c r="C930" i="5"/>
  <c r="C865" i="5"/>
  <c r="B865" i="5"/>
  <c r="A865" i="5" s="1"/>
  <c r="C864" i="5"/>
  <c r="B864" i="5"/>
  <c r="A864" i="5" s="1"/>
  <c r="C863" i="5"/>
  <c r="B863" i="5"/>
  <c r="C862" i="5"/>
  <c r="B862" i="5"/>
  <c r="C861" i="5"/>
  <c r="B861" i="5"/>
  <c r="A861" i="5" s="1"/>
  <c r="C860" i="5"/>
  <c r="B860" i="5"/>
  <c r="A860" i="5" s="1"/>
  <c r="C859" i="5"/>
  <c r="B859" i="5"/>
  <c r="A859" i="5" s="1"/>
  <c r="C858" i="5"/>
  <c r="B858" i="5"/>
  <c r="E841" i="5"/>
  <c r="D841" i="5"/>
  <c r="C841" i="5"/>
  <c r="B841" i="5"/>
  <c r="E840" i="5"/>
  <c r="D840" i="5"/>
  <c r="C840" i="5"/>
  <c r="B840" i="5"/>
  <c r="E839" i="5"/>
  <c r="D839" i="5"/>
  <c r="C839" i="5"/>
  <c r="B839" i="5"/>
  <c r="E838" i="5"/>
  <c r="D838" i="5"/>
  <c r="C838" i="5"/>
  <c r="B838" i="5"/>
  <c r="A838" i="5" s="1"/>
  <c r="E837" i="5"/>
  <c r="D837" i="5"/>
  <c r="C837" i="5"/>
  <c r="B837" i="5"/>
  <c r="A837" i="5" s="1"/>
  <c r="E836" i="5"/>
  <c r="D836" i="5"/>
  <c r="C836" i="5"/>
  <c r="B836" i="5"/>
  <c r="A836" i="5" s="1"/>
  <c r="F833" i="5"/>
  <c r="E833" i="5"/>
  <c r="D833" i="5"/>
  <c r="C833" i="5"/>
  <c r="B833" i="5"/>
  <c r="A833" i="5" s="1"/>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63" i="5"/>
  <c r="C757" i="5"/>
  <c r="C756" i="5"/>
  <c r="C748" i="5"/>
  <c r="C747" i="5"/>
  <c r="C746" i="5"/>
  <c r="C745" i="5"/>
  <c r="C740" i="5"/>
  <c r="C739" i="5"/>
  <c r="C738" i="5"/>
  <c r="C579" i="5"/>
  <c r="C578" i="5"/>
  <c r="C576" i="5"/>
  <c r="C574" i="5"/>
  <c r="C570" i="5"/>
  <c r="C568" i="5"/>
  <c r="C511" i="5"/>
  <c r="C505" i="5"/>
  <c r="C503" i="5"/>
  <c r="C500" i="5"/>
  <c r="C499" i="5"/>
  <c r="C498" i="5"/>
  <c r="C497" i="5"/>
  <c r="C496" i="5"/>
  <c r="C495" i="5"/>
  <c r="C494" i="5"/>
  <c r="C444" i="5"/>
  <c r="C443" i="5"/>
  <c r="C442" i="5"/>
  <c r="C440" i="5"/>
  <c r="C439" i="5"/>
  <c r="C438" i="5"/>
  <c r="C437" i="5"/>
  <c r="C436"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5" i="5"/>
  <c r="C354" i="5"/>
  <c r="C353" i="5"/>
  <c r="C352" i="5"/>
  <c r="C351" i="5"/>
  <c r="C350" i="5"/>
  <c r="C349" i="5"/>
  <c r="C348" i="5"/>
  <c r="C347" i="5"/>
  <c r="C346" i="5"/>
  <c r="C345" i="5"/>
  <c r="C344" i="5"/>
  <c r="C317" i="5"/>
  <c r="C316" i="5"/>
  <c r="C315" i="5"/>
  <c r="C310"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183" i="5"/>
  <c r="C9" i="3"/>
  <c r="B330" i="3"/>
  <c r="C331" i="3" s="1"/>
  <c r="D347" i="3" s="1"/>
  <c r="F11" i="10"/>
  <c r="C304" i="3"/>
  <c r="B345" i="3"/>
  <c r="C194" i="5" s="1"/>
  <c r="E73" i="12"/>
  <c r="E72" i="12"/>
  <c r="E63" i="12"/>
  <c r="E49" i="12"/>
  <c r="E35" i="12"/>
  <c r="C73" i="12"/>
  <c r="B73" i="12"/>
  <c r="B792" i="3"/>
  <c r="C296" i="3"/>
  <c r="B15" i="25" s="1"/>
  <c r="A50" i="11"/>
  <c r="K215" i="3" s="1"/>
  <c r="A178" i="30" s="1"/>
  <c r="B24" i="3"/>
  <c r="B5" i="3"/>
  <c r="E393" i="3"/>
  <c r="D36" i="24" s="1"/>
  <c r="G86" i="3"/>
  <c r="F86" i="3"/>
  <c r="C69" i="42" s="1"/>
  <c r="E86" i="3"/>
  <c r="C68" i="42" s="1"/>
  <c r="D86" i="3"/>
  <c r="C67" i="42" s="1"/>
  <c r="E66" i="3"/>
  <c r="B780" i="3"/>
  <c r="D77" i="24"/>
  <c r="D6" i="25"/>
  <c r="D5" i="25"/>
  <c r="D4" i="25"/>
  <c r="D3" i="25"/>
  <c r="H76" i="3"/>
  <c r="C8" i="3"/>
  <c r="C7" i="3"/>
  <c r="C6" i="3"/>
  <c r="C5" i="3"/>
  <c r="B4" i="3"/>
  <c r="B3" i="3"/>
  <c r="H189" i="3" s="1"/>
  <c r="H26" i="30" s="1"/>
  <c r="C4" i="3"/>
  <c r="C3" i="3"/>
  <c r="C2" i="3"/>
  <c r="A22" i="11"/>
  <c r="K187" i="3" s="1"/>
  <c r="A150" i="30" s="1"/>
  <c r="A21" i="11"/>
  <c r="K186" i="3" s="1"/>
  <c r="A149" i="30" s="1"/>
  <c r="A49" i="11"/>
  <c r="K214" i="3" s="1"/>
  <c r="A177" i="30" s="1"/>
  <c r="A48" i="11"/>
  <c r="K213" i="3" s="1"/>
  <c r="A176" i="30" s="1"/>
  <c r="A61" i="11"/>
  <c r="K226" i="3" s="1"/>
  <c r="A189" i="30" s="1"/>
  <c r="A62" i="11"/>
  <c r="K227" i="3" s="1"/>
  <c r="A190" i="30" s="1"/>
  <c r="A63" i="11"/>
  <c r="K228" i="3" s="1"/>
  <c r="A191" i="30" s="1"/>
  <c r="A73" i="11"/>
  <c r="K238" i="3" s="1"/>
  <c r="A201" i="30" s="1"/>
  <c r="A74" i="11"/>
  <c r="K239" i="3" s="1"/>
  <c r="A202" i="30" s="1"/>
  <c r="A75" i="11"/>
  <c r="K240" i="3" s="1"/>
  <c r="A203" i="30" s="1"/>
  <c r="A81" i="11"/>
  <c r="K246" i="3" s="1"/>
  <c r="A209" i="30" s="1"/>
  <c r="A82" i="11"/>
  <c r="K247" i="3" s="1"/>
  <c r="A210" i="30" s="1"/>
  <c r="A96" i="11"/>
  <c r="K261" i="3" s="1"/>
  <c r="A224" i="30" s="1"/>
  <c r="A60" i="10"/>
  <c r="A392" i="5" s="1"/>
  <c r="A78" i="10"/>
  <c r="A408" i="5" s="1"/>
  <c r="A77" i="10"/>
  <c r="A407" i="5" s="1"/>
  <c r="A96" i="10"/>
  <c r="A424" i="5" s="1"/>
  <c r="A95" i="10"/>
  <c r="A423" i="5" s="1"/>
  <c r="A122" i="10"/>
  <c r="A444" i="5" s="1"/>
  <c r="E758" i="3"/>
  <c r="E757" i="3"/>
  <c r="E759" i="3"/>
  <c r="E755" i="3"/>
  <c r="E760" i="3"/>
  <c r="E756"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3" i="3"/>
  <c r="M261" i="3"/>
  <c r="E224" i="30" s="1"/>
  <c r="L261" i="3"/>
  <c r="B224" i="30" s="1"/>
  <c r="M260" i="3"/>
  <c r="E223" i="30" s="1"/>
  <c r="L260" i="3"/>
  <c r="B223" i="30" s="1"/>
  <c r="K260" i="3"/>
  <c r="A223" i="30" s="1"/>
  <c r="M259" i="3"/>
  <c r="E222" i="30" s="1"/>
  <c r="L259" i="3"/>
  <c r="B222" i="30" s="1"/>
  <c r="K259" i="3"/>
  <c r="A222" i="30" s="1"/>
  <c r="M258" i="3"/>
  <c r="E221" i="30" s="1"/>
  <c r="L258" i="3"/>
  <c r="B221" i="30" s="1"/>
  <c r="K258" i="3"/>
  <c r="A221" i="30" s="1"/>
  <c r="M257" i="3"/>
  <c r="E220" i="30" s="1"/>
  <c r="L257" i="3"/>
  <c r="B220" i="30" s="1"/>
  <c r="K257" i="3"/>
  <c r="A220" i="30" s="1"/>
  <c r="K256" i="3"/>
  <c r="A219" i="30" s="1"/>
  <c r="M254" i="3"/>
  <c r="E217" i="30" s="1"/>
  <c r="L254" i="3"/>
  <c r="B217" i="30" s="1"/>
  <c r="M253" i="3"/>
  <c r="E216" i="30" s="1"/>
  <c r="L253" i="3"/>
  <c r="B216" i="30" s="1"/>
  <c r="K253" i="3"/>
  <c r="A216" i="30" s="1"/>
  <c r="M252" i="3"/>
  <c r="E215" i="30" s="1"/>
  <c r="L252" i="3"/>
  <c r="B215" i="30" s="1"/>
  <c r="K252" i="3"/>
  <c r="A215" i="30" s="1"/>
  <c r="M251" i="3"/>
  <c r="E214" i="30" s="1"/>
  <c r="L251" i="3"/>
  <c r="B214" i="30" s="1"/>
  <c r="K251" i="3"/>
  <c r="A214" i="30" s="1"/>
  <c r="K250" i="3"/>
  <c r="A213" i="30" s="1"/>
  <c r="M248" i="3"/>
  <c r="L248" i="3"/>
  <c r="B211" i="30" s="1"/>
  <c r="K248" i="3"/>
  <c r="A211" i="30" s="1"/>
  <c r="M247" i="3"/>
  <c r="E210" i="30" s="1"/>
  <c r="L247" i="3"/>
  <c r="B210" i="30" s="1"/>
  <c r="M246" i="3"/>
  <c r="E209" i="30" s="1"/>
  <c r="L246" i="3"/>
  <c r="B209" i="30" s="1"/>
  <c r="M245" i="3"/>
  <c r="E208" i="30" s="1"/>
  <c r="L245" i="3"/>
  <c r="K245" i="3"/>
  <c r="A208" i="30" s="1"/>
  <c r="M244" i="3"/>
  <c r="E207" i="30" s="1"/>
  <c r="L244" i="3"/>
  <c r="B207" i="30" s="1"/>
  <c r="K244" i="3"/>
  <c r="A207" i="30" s="1"/>
  <c r="M243" i="3"/>
  <c r="E206" i="30" s="1"/>
  <c r="L243" i="3"/>
  <c r="B206" i="30" s="1"/>
  <c r="K243" i="3"/>
  <c r="A206" i="30" s="1"/>
  <c r="K242" i="3"/>
  <c r="A205" i="30" s="1"/>
  <c r="M240" i="3"/>
  <c r="E203" i="30" s="1"/>
  <c r="L240" i="3"/>
  <c r="B203" i="30" s="1"/>
  <c r="M239" i="3"/>
  <c r="E202" i="30" s="1"/>
  <c r="L239" i="3"/>
  <c r="B202" i="30" s="1"/>
  <c r="M238" i="3"/>
  <c r="E201" i="30" s="1"/>
  <c r="L238" i="3"/>
  <c r="B201" i="30" s="1"/>
  <c r="M237" i="3"/>
  <c r="E200" i="30" s="1"/>
  <c r="L237" i="3"/>
  <c r="B200" i="30" s="1"/>
  <c r="K237" i="3"/>
  <c r="A200" i="30" s="1"/>
  <c r="M236" i="3"/>
  <c r="E199" i="30" s="1"/>
  <c r="L236" i="3"/>
  <c r="B199" i="30" s="1"/>
  <c r="K236" i="3"/>
  <c r="A199" i="30" s="1"/>
  <c r="M235" i="3"/>
  <c r="E198" i="30" s="1"/>
  <c r="L235" i="3"/>
  <c r="B198" i="30" s="1"/>
  <c r="K235" i="3"/>
  <c r="A198" i="30" s="1"/>
  <c r="M234" i="3"/>
  <c r="E197" i="30" s="1"/>
  <c r="L234" i="3"/>
  <c r="B197" i="30" s="1"/>
  <c r="K234" i="3"/>
  <c r="A197" i="30" s="1"/>
  <c r="M233" i="3"/>
  <c r="E196" i="30" s="1"/>
  <c r="L233" i="3"/>
  <c r="B196" i="30" s="1"/>
  <c r="K233" i="3"/>
  <c r="A196" i="30" s="1"/>
  <c r="M232" i="3"/>
  <c r="E195" i="30" s="1"/>
  <c r="L232" i="3"/>
  <c r="B195" i="30" s="1"/>
  <c r="K232" i="3"/>
  <c r="A195" i="30" s="1"/>
  <c r="M231" i="3"/>
  <c r="E194" i="30" s="1"/>
  <c r="L231" i="3"/>
  <c r="B194" i="30" s="1"/>
  <c r="K231" i="3"/>
  <c r="A194" i="30" s="1"/>
  <c r="K230" i="3"/>
  <c r="A193" i="30" s="1"/>
  <c r="M228" i="3"/>
  <c r="E191" i="30" s="1"/>
  <c r="L228" i="3"/>
  <c r="B191" i="30" s="1"/>
  <c r="M227" i="3"/>
  <c r="E190" i="30" s="1"/>
  <c r="L227" i="3"/>
  <c r="B190" i="30" s="1"/>
  <c r="M226" i="3"/>
  <c r="E189" i="30" s="1"/>
  <c r="L226" i="3"/>
  <c r="B189" i="30" s="1"/>
  <c r="M225" i="3"/>
  <c r="E188" i="30" s="1"/>
  <c r="L225" i="3"/>
  <c r="B188" i="30" s="1"/>
  <c r="K225" i="3"/>
  <c r="A188" i="30" s="1"/>
  <c r="M224" i="3"/>
  <c r="E187" i="30" s="1"/>
  <c r="L224" i="3"/>
  <c r="B187" i="30" s="1"/>
  <c r="K224" i="3"/>
  <c r="A187" i="30" s="1"/>
  <c r="M223" i="3"/>
  <c r="E186" i="30" s="1"/>
  <c r="L223" i="3"/>
  <c r="B186" i="30" s="1"/>
  <c r="K223" i="3"/>
  <c r="A186" i="30" s="1"/>
  <c r="M222" i="3"/>
  <c r="E185" i="30" s="1"/>
  <c r="L222" i="3"/>
  <c r="B185" i="30" s="1"/>
  <c r="K222" i="3"/>
  <c r="A185" i="30" s="1"/>
  <c r="M221" i="3"/>
  <c r="E184" i="30" s="1"/>
  <c r="L221" i="3"/>
  <c r="B184" i="30" s="1"/>
  <c r="K221" i="3"/>
  <c r="A184" i="30" s="1"/>
  <c r="M220" i="3"/>
  <c r="L220" i="3"/>
  <c r="B183" i="30" s="1"/>
  <c r="K220" i="3"/>
  <c r="A183" i="30" s="1"/>
  <c r="M219" i="3"/>
  <c r="E182" i="30" s="1"/>
  <c r="L219" i="3"/>
  <c r="B182" i="30" s="1"/>
  <c r="K219" i="3"/>
  <c r="A182" i="30" s="1"/>
  <c r="M218" i="3"/>
  <c r="E181" i="30" s="1"/>
  <c r="L218" i="3"/>
  <c r="B181" i="30" s="1"/>
  <c r="K218" i="3"/>
  <c r="A181" i="30" s="1"/>
  <c r="K217" i="3"/>
  <c r="A180" i="30" s="1"/>
  <c r="M215" i="3"/>
  <c r="E178" i="30" s="1"/>
  <c r="L215" i="3"/>
  <c r="B178" i="30" s="1"/>
  <c r="M214" i="3"/>
  <c r="E177" i="30" s="1"/>
  <c r="L214" i="3"/>
  <c r="B177" i="30" s="1"/>
  <c r="M213" i="3"/>
  <c r="E176" i="30" s="1"/>
  <c r="L213" i="3"/>
  <c r="B176" i="30" s="1"/>
  <c r="M212" i="3"/>
  <c r="E175" i="30" s="1"/>
  <c r="L212" i="3"/>
  <c r="B175" i="30" s="1"/>
  <c r="K212" i="3"/>
  <c r="A175" i="30" s="1"/>
  <c r="M211" i="3"/>
  <c r="E174" i="30" s="1"/>
  <c r="L211" i="3"/>
  <c r="B174" i="30" s="1"/>
  <c r="K211" i="3"/>
  <c r="A174" i="30" s="1"/>
  <c r="M210" i="3"/>
  <c r="E173" i="30" s="1"/>
  <c r="L210" i="3"/>
  <c r="B173" i="30" s="1"/>
  <c r="K210" i="3"/>
  <c r="A173" i="30" s="1"/>
  <c r="M209" i="3"/>
  <c r="E172" i="30" s="1"/>
  <c r="L209" i="3"/>
  <c r="B172" i="30" s="1"/>
  <c r="K209" i="3"/>
  <c r="A172" i="30" s="1"/>
  <c r="M208" i="3"/>
  <c r="E171" i="30" s="1"/>
  <c r="L208" i="3"/>
  <c r="B171" i="30" s="1"/>
  <c r="K208" i="3"/>
  <c r="A171" i="30" s="1"/>
  <c r="M207" i="3"/>
  <c r="E170" i="30" s="1"/>
  <c r="L207" i="3"/>
  <c r="B170" i="30" s="1"/>
  <c r="K207" i="3"/>
  <c r="A170" i="30" s="1"/>
  <c r="M206" i="3"/>
  <c r="E169" i="30" s="1"/>
  <c r="L206" i="3"/>
  <c r="B169" i="30" s="1"/>
  <c r="K206" i="3"/>
  <c r="A169" i="30" s="1"/>
  <c r="M205" i="3"/>
  <c r="E168" i="30" s="1"/>
  <c r="L205" i="3"/>
  <c r="B168" i="30" s="1"/>
  <c r="K205" i="3"/>
  <c r="A168" i="30" s="1"/>
  <c r="M204" i="3"/>
  <c r="E167" i="30" s="1"/>
  <c r="L204" i="3"/>
  <c r="B167" i="30" s="1"/>
  <c r="K204" i="3"/>
  <c r="A167" i="30" s="1"/>
  <c r="M203" i="3"/>
  <c r="E166" i="30" s="1"/>
  <c r="L203" i="3"/>
  <c r="B166" i="30" s="1"/>
  <c r="K203" i="3"/>
  <c r="A166" i="30" s="1"/>
  <c r="M202" i="3"/>
  <c r="E165" i="30" s="1"/>
  <c r="L202" i="3"/>
  <c r="B165" i="30" s="1"/>
  <c r="K202" i="3"/>
  <c r="A165" i="30" s="1"/>
  <c r="M201" i="3"/>
  <c r="E164" i="30" s="1"/>
  <c r="L201" i="3"/>
  <c r="B164" i="30" s="1"/>
  <c r="K201" i="3"/>
  <c r="A164" i="30" s="1"/>
  <c r="K200" i="3"/>
  <c r="A163" i="30" s="1"/>
  <c r="M198" i="3"/>
  <c r="E161" i="30" s="1"/>
  <c r="L198" i="3"/>
  <c r="B161" i="30" s="1"/>
  <c r="K198" i="3"/>
  <c r="A161" i="30" s="1"/>
  <c r="M197" i="3"/>
  <c r="E160" i="30" s="1"/>
  <c r="L197" i="3"/>
  <c r="B160" i="30" s="1"/>
  <c r="M196" i="3"/>
  <c r="E159" i="30" s="1"/>
  <c r="L196" i="3"/>
  <c r="B159" i="30" s="1"/>
  <c r="M195" i="3"/>
  <c r="E158" i="30" s="1"/>
  <c r="L195" i="3"/>
  <c r="B158" i="30" s="1"/>
  <c r="K195" i="3"/>
  <c r="A158" i="30" s="1"/>
  <c r="M194" i="3"/>
  <c r="E157" i="30" s="1"/>
  <c r="L194" i="3"/>
  <c r="B157" i="30" s="1"/>
  <c r="K194" i="3"/>
  <c r="A157" i="30" s="1"/>
  <c r="M193" i="3"/>
  <c r="E156" i="30" s="1"/>
  <c r="L193" i="3"/>
  <c r="B156" i="30" s="1"/>
  <c r="K193" i="3"/>
  <c r="A156" i="30" s="1"/>
  <c r="M192" i="3"/>
  <c r="E155" i="30" s="1"/>
  <c r="L192" i="3"/>
  <c r="B155" i="30" s="1"/>
  <c r="K192" i="3"/>
  <c r="A155" i="30" s="1"/>
  <c r="M191" i="3"/>
  <c r="E154" i="30" s="1"/>
  <c r="L191" i="3"/>
  <c r="B154" i="30" s="1"/>
  <c r="K191" i="3"/>
  <c r="A154" i="30" s="1"/>
  <c r="K190" i="3"/>
  <c r="A153" i="30" s="1"/>
  <c r="M188" i="3"/>
  <c r="E151" i="30" s="1"/>
  <c r="L188" i="3"/>
  <c r="B151" i="30" s="1"/>
  <c r="M187" i="3"/>
  <c r="E150" i="30" s="1"/>
  <c r="L187" i="3"/>
  <c r="B150" i="30" s="1"/>
  <c r="M186" i="3"/>
  <c r="E149" i="30" s="1"/>
  <c r="L186" i="3"/>
  <c r="B149" i="30" s="1"/>
  <c r="M185" i="3"/>
  <c r="E148" i="30" s="1"/>
  <c r="L185" i="3"/>
  <c r="B148" i="30" s="1"/>
  <c r="K185" i="3"/>
  <c r="A148" i="30" s="1"/>
  <c r="M184" i="3"/>
  <c r="E147" i="30" s="1"/>
  <c r="L184" i="3"/>
  <c r="B147" i="30" s="1"/>
  <c r="K184" i="3"/>
  <c r="A147" i="30" s="1"/>
  <c r="M183" i="3"/>
  <c r="E146" i="30" s="1"/>
  <c r="L183" i="3"/>
  <c r="B146" i="30" s="1"/>
  <c r="K183" i="3"/>
  <c r="A146" i="30" s="1"/>
  <c r="M182" i="3"/>
  <c r="E145" i="30" s="1"/>
  <c r="L182" i="3"/>
  <c r="B145" i="30" s="1"/>
  <c r="K182" i="3"/>
  <c r="A145" i="30" s="1"/>
  <c r="M181" i="3"/>
  <c r="E144" i="30" s="1"/>
  <c r="L181" i="3"/>
  <c r="B144" i="30" s="1"/>
  <c r="K181" i="3"/>
  <c r="A144" i="30" s="1"/>
  <c r="M180" i="3"/>
  <c r="E143" i="30" s="1"/>
  <c r="L180" i="3"/>
  <c r="B143" i="30" s="1"/>
  <c r="K180" i="3"/>
  <c r="A143" i="30" s="1"/>
  <c r="M179" i="3"/>
  <c r="E142" i="30" s="1"/>
  <c r="L179" i="3"/>
  <c r="B142" i="30" s="1"/>
  <c r="K179" i="3"/>
  <c r="A142" i="30" s="1"/>
  <c r="M178" i="3"/>
  <c r="E141" i="30" s="1"/>
  <c r="L178" i="3"/>
  <c r="B141" i="30" s="1"/>
  <c r="K178" i="3"/>
  <c r="A141" i="30" s="1"/>
  <c r="K177" i="3"/>
  <c r="A140" i="30" s="1"/>
  <c r="M175" i="3"/>
  <c r="E138" i="30" s="1"/>
  <c r="L175" i="3"/>
  <c r="B138" i="30" s="1"/>
  <c r="K175" i="3"/>
  <c r="A138" i="30" s="1"/>
  <c r="M174" i="3"/>
  <c r="E137" i="30" s="1"/>
  <c r="L174" i="3"/>
  <c r="B137" i="30" s="1"/>
  <c r="K174" i="3"/>
  <c r="A137" i="30" s="1"/>
  <c r="K173" i="3"/>
  <c r="A136" i="30" s="1"/>
  <c r="M171" i="3"/>
  <c r="E134" i="30" s="1"/>
  <c r="L171" i="3"/>
  <c r="B134" i="30" s="1"/>
  <c r="K171" i="3"/>
  <c r="A134" i="30" s="1"/>
  <c r="M170" i="3"/>
  <c r="E133" i="30" s="1"/>
  <c r="L170" i="3"/>
  <c r="B133" i="30" s="1"/>
  <c r="K170" i="3"/>
  <c r="A133" i="30" s="1"/>
  <c r="M169" i="3"/>
  <c r="E132" i="30" s="1"/>
  <c r="L169" i="3"/>
  <c r="B132" i="30" s="1"/>
  <c r="K169" i="3"/>
  <c r="A132" i="30" s="1"/>
  <c r="M168" i="3"/>
  <c r="E131" i="30" s="1"/>
  <c r="L168" i="3"/>
  <c r="B131" i="30" s="1"/>
  <c r="K168"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752" i="3"/>
  <c r="U103" i="34" s="1"/>
  <c r="U751" i="3"/>
  <c r="U102" i="34" s="1"/>
  <c r="U750" i="3"/>
  <c r="U101" i="34" s="1"/>
  <c r="U749" i="3"/>
  <c r="U100" i="34" s="1"/>
  <c r="U748" i="3"/>
  <c r="U99" i="34" s="1"/>
  <c r="U747" i="3"/>
  <c r="U98" i="34" s="1"/>
  <c r="U746" i="3"/>
  <c r="U97" i="34" s="1"/>
  <c r="U745" i="3"/>
  <c r="U96" i="34" s="1"/>
  <c r="U744" i="3"/>
  <c r="U95" i="34" s="1"/>
  <c r="U743" i="3"/>
  <c r="U94" i="34" s="1"/>
  <c r="U742" i="3"/>
  <c r="U93" i="34" s="1"/>
  <c r="U741" i="3"/>
  <c r="U92" i="34" s="1"/>
  <c r="U740" i="3"/>
  <c r="U91" i="34" s="1"/>
  <c r="U739" i="3"/>
  <c r="U90" i="34" s="1"/>
  <c r="U738" i="3"/>
  <c r="U89" i="34" s="1"/>
  <c r="U737" i="3"/>
  <c r="U88" i="34" s="1"/>
  <c r="U736" i="3"/>
  <c r="U87" i="34" s="1"/>
  <c r="U735" i="3"/>
  <c r="U86" i="34" s="1"/>
  <c r="U734" i="3"/>
  <c r="U85" i="34" s="1"/>
  <c r="U733" i="3"/>
  <c r="U84" i="34" s="1"/>
  <c r="U732" i="3"/>
  <c r="U83" i="34" s="1"/>
  <c r="U731" i="3"/>
  <c r="U82" i="34" s="1"/>
  <c r="U730" i="3"/>
  <c r="U81" i="34" s="1"/>
  <c r="U729" i="3"/>
  <c r="U80" i="34" s="1"/>
  <c r="U728" i="3"/>
  <c r="U79" i="34" s="1"/>
  <c r="U727" i="3"/>
  <c r="U78" i="34" s="1"/>
  <c r="U726" i="3"/>
  <c r="U77" i="34" s="1"/>
  <c r="U725" i="3"/>
  <c r="U76" i="34" s="1"/>
  <c r="U724" i="3"/>
  <c r="U75" i="34" s="1"/>
  <c r="U723" i="3"/>
  <c r="U74" i="34" s="1"/>
  <c r="U722" i="3"/>
  <c r="U73" i="34" s="1"/>
  <c r="U721" i="3"/>
  <c r="U72" i="34" s="1"/>
  <c r="U720" i="3"/>
  <c r="U71" i="34" s="1"/>
  <c r="U719" i="3"/>
  <c r="U70" i="34" s="1"/>
  <c r="U718" i="3"/>
  <c r="U69" i="34" s="1"/>
  <c r="U717" i="3"/>
  <c r="U68" i="34" s="1"/>
  <c r="U716" i="3"/>
  <c r="U67" i="34" s="1"/>
  <c r="U715" i="3"/>
  <c r="U66" i="34" s="1"/>
  <c r="U714" i="3"/>
  <c r="U65" i="34" s="1"/>
  <c r="U713" i="3"/>
  <c r="U64" i="34" s="1"/>
  <c r="U712" i="3"/>
  <c r="U63" i="34" s="1"/>
  <c r="U711" i="3"/>
  <c r="U62" i="34" s="1"/>
  <c r="U710" i="3"/>
  <c r="U61" i="34" s="1"/>
  <c r="U709" i="3"/>
  <c r="U60" i="34" s="1"/>
  <c r="U708" i="3"/>
  <c r="U59" i="34" s="1"/>
  <c r="U707" i="3"/>
  <c r="U58" i="34" s="1"/>
  <c r="U706" i="3"/>
  <c r="U57" i="34" s="1"/>
  <c r="U705" i="3"/>
  <c r="U56" i="34" s="1"/>
  <c r="U704" i="3"/>
  <c r="U55" i="34" s="1"/>
  <c r="U703" i="3"/>
  <c r="U54" i="34" s="1"/>
  <c r="U702" i="3"/>
  <c r="U53" i="34" s="1"/>
  <c r="U701" i="3"/>
  <c r="U52" i="34" s="1"/>
  <c r="U700" i="3"/>
  <c r="U51" i="34" s="1"/>
  <c r="U699" i="3"/>
  <c r="U50" i="34" s="1"/>
  <c r="U698" i="3"/>
  <c r="U49" i="34" s="1"/>
  <c r="U697" i="3"/>
  <c r="U48" i="34" s="1"/>
  <c r="U696" i="3"/>
  <c r="U47" i="34" s="1"/>
  <c r="U695" i="3"/>
  <c r="U46" i="34" s="1"/>
  <c r="U694" i="3"/>
  <c r="U45" i="34" s="1"/>
  <c r="U693" i="3"/>
  <c r="U44" i="34" s="1"/>
  <c r="U692" i="3"/>
  <c r="U43" i="34" s="1"/>
  <c r="U691" i="3"/>
  <c r="U42" i="34" s="1"/>
  <c r="U690" i="3"/>
  <c r="U41" i="34" s="1"/>
  <c r="U689" i="3"/>
  <c r="U40" i="34" s="1"/>
  <c r="U688" i="3"/>
  <c r="U39" i="34" s="1"/>
  <c r="U687" i="3"/>
  <c r="U38" i="34" s="1"/>
  <c r="U686" i="3"/>
  <c r="U37" i="34" s="1"/>
  <c r="U685" i="3"/>
  <c r="U36" i="34" s="1"/>
  <c r="U684" i="3"/>
  <c r="U35" i="34" s="1"/>
  <c r="U683" i="3"/>
  <c r="U34" i="34" s="1"/>
  <c r="U682" i="3"/>
  <c r="U33" i="34" s="1"/>
  <c r="U681" i="3"/>
  <c r="U32" i="34" s="1"/>
  <c r="U680" i="3"/>
  <c r="U31" i="34" s="1"/>
  <c r="U679" i="3"/>
  <c r="U30" i="34" s="1"/>
  <c r="U678" i="3"/>
  <c r="U29" i="34" s="1"/>
  <c r="U677" i="3"/>
  <c r="U28" i="34" s="1"/>
  <c r="U676" i="3"/>
  <c r="U27" i="34" s="1"/>
  <c r="U675" i="3"/>
  <c r="U26" i="34" s="1"/>
  <c r="U674" i="3"/>
  <c r="U25" i="34" s="1"/>
  <c r="U673" i="3"/>
  <c r="U24" i="34" s="1"/>
  <c r="U672" i="3"/>
  <c r="U23" i="34" s="1"/>
  <c r="U671" i="3"/>
  <c r="U22" i="34" s="1"/>
  <c r="U670" i="3"/>
  <c r="U21" i="34" s="1"/>
  <c r="U669" i="3"/>
  <c r="U20" i="34" s="1"/>
  <c r="U668" i="3"/>
  <c r="U19" i="34" s="1"/>
  <c r="U667" i="3"/>
  <c r="U18" i="34" s="1"/>
  <c r="U666" i="3"/>
  <c r="U17" i="34" s="1"/>
  <c r="U665" i="3"/>
  <c r="U16" i="34" s="1"/>
  <c r="U664" i="3"/>
  <c r="U15" i="34" s="1"/>
  <c r="U663" i="3"/>
  <c r="U14" i="34" s="1"/>
  <c r="U662" i="3"/>
  <c r="U13" i="34" s="1"/>
  <c r="U661" i="3"/>
  <c r="U12" i="34" s="1"/>
  <c r="U660" i="3"/>
  <c r="U11" i="34" s="1"/>
  <c r="U659" i="3"/>
  <c r="U10" i="34" s="1"/>
  <c r="U658" i="3"/>
  <c r="U9" i="34" s="1"/>
  <c r="U657" i="3"/>
  <c r="U8" i="34" s="1"/>
  <c r="U656" i="3"/>
  <c r="U7" i="34" s="1"/>
  <c r="U655" i="3"/>
  <c r="U6" i="34" s="1"/>
  <c r="U654" i="3"/>
  <c r="U5" i="34" s="1"/>
  <c r="Q752" i="3"/>
  <c r="Q103" i="34" s="1"/>
  <c r="Q751" i="3"/>
  <c r="Q102" i="34" s="1"/>
  <c r="Q750" i="3"/>
  <c r="Q101" i="34" s="1"/>
  <c r="Q749" i="3"/>
  <c r="Q100" i="34" s="1"/>
  <c r="Q748" i="3"/>
  <c r="Q99" i="34" s="1"/>
  <c r="Q747" i="3"/>
  <c r="Q98" i="34" s="1"/>
  <c r="Q746" i="3"/>
  <c r="Q97" i="34" s="1"/>
  <c r="Q745" i="3"/>
  <c r="Q96" i="34" s="1"/>
  <c r="Q744" i="3"/>
  <c r="Q95" i="34" s="1"/>
  <c r="Q743" i="3"/>
  <c r="Q94" i="34" s="1"/>
  <c r="Q742" i="3"/>
  <c r="Q93" i="34" s="1"/>
  <c r="Q741" i="3"/>
  <c r="Q92" i="34" s="1"/>
  <c r="Q740" i="3"/>
  <c r="Q91" i="34" s="1"/>
  <c r="Q739" i="3"/>
  <c r="Q90" i="34" s="1"/>
  <c r="Q738" i="3"/>
  <c r="Q89" i="34" s="1"/>
  <c r="Q737" i="3"/>
  <c r="Q88" i="34" s="1"/>
  <c r="Q736" i="3"/>
  <c r="Q87" i="34" s="1"/>
  <c r="Q735" i="3"/>
  <c r="Q86" i="34" s="1"/>
  <c r="Q734" i="3"/>
  <c r="Q85" i="34" s="1"/>
  <c r="Q733" i="3"/>
  <c r="Q84" i="34" s="1"/>
  <c r="Q732" i="3"/>
  <c r="Q83" i="34" s="1"/>
  <c r="Q731" i="3"/>
  <c r="Q82" i="34" s="1"/>
  <c r="Q730" i="3"/>
  <c r="Q81" i="34" s="1"/>
  <c r="Q729" i="3"/>
  <c r="Q80" i="34" s="1"/>
  <c r="Q728" i="3"/>
  <c r="Q79" i="34" s="1"/>
  <c r="Q727" i="3"/>
  <c r="Q78" i="34" s="1"/>
  <c r="Q726" i="3"/>
  <c r="Q77" i="34" s="1"/>
  <c r="Q725" i="3"/>
  <c r="Q76" i="34" s="1"/>
  <c r="Q724" i="3"/>
  <c r="Q75" i="34" s="1"/>
  <c r="Q723" i="3"/>
  <c r="Q74" i="34" s="1"/>
  <c r="Q722" i="3"/>
  <c r="Q73" i="34" s="1"/>
  <c r="Q721" i="3"/>
  <c r="Q72" i="34" s="1"/>
  <c r="Q720" i="3"/>
  <c r="Q71" i="34" s="1"/>
  <c r="Q719" i="3"/>
  <c r="Q70" i="34" s="1"/>
  <c r="Q718" i="3"/>
  <c r="Q69" i="34" s="1"/>
  <c r="Q717" i="3"/>
  <c r="Q68" i="34" s="1"/>
  <c r="Q716" i="3"/>
  <c r="Q67" i="34" s="1"/>
  <c r="Q715" i="3"/>
  <c r="Q66" i="34" s="1"/>
  <c r="Q714" i="3"/>
  <c r="Q65" i="34" s="1"/>
  <c r="Q713" i="3"/>
  <c r="Q64" i="34" s="1"/>
  <c r="Q712" i="3"/>
  <c r="Q63" i="34" s="1"/>
  <c r="Q711" i="3"/>
  <c r="Q62" i="34" s="1"/>
  <c r="Q710" i="3"/>
  <c r="Q61" i="34" s="1"/>
  <c r="Q709" i="3"/>
  <c r="Q60" i="34" s="1"/>
  <c r="Q708" i="3"/>
  <c r="Q59" i="34" s="1"/>
  <c r="Q707" i="3"/>
  <c r="Q58" i="34" s="1"/>
  <c r="Q706" i="3"/>
  <c r="Q57" i="34" s="1"/>
  <c r="Q705" i="3"/>
  <c r="Q56" i="34" s="1"/>
  <c r="Q704" i="3"/>
  <c r="Q55" i="34" s="1"/>
  <c r="Q703" i="3"/>
  <c r="Q54" i="34" s="1"/>
  <c r="Q702" i="3"/>
  <c r="Q53" i="34" s="1"/>
  <c r="Q701" i="3"/>
  <c r="Q52" i="34" s="1"/>
  <c r="Q700" i="3"/>
  <c r="Q51" i="34" s="1"/>
  <c r="Q699" i="3"/>
  <c r="Q50" i="34" s="1"/>
  <c r="Q698" i="3"/>
  <c r="Q49" i="34" s="1"/>
  <c r="Q697" i="3"/>
  <c r="Q48" i="34" s="1"/>
  <c r="Q696" i="3"/>
  <c r="Q47" i="34" s="1"/>
  <c r="Q695" i="3"/>
  <c r="Q46" i="34" s="1"/>
  <c r="Q694" i="3"/>
  <c r="Q45" i="34" s="1"/>
  <c r="Q693" i="3"/>
  <c r="Q44" i="34" s="1"/>
  <c r="Q692" i="3"/>
  <c r="Q43" i="34" s="1"/>
  <c r="Q691" i="3"/>
  <c r="Q42" i="34" s="1"/>
  <c r="Q690" i="3"/>
  <c r="Q41" i="34" s="1"/>
  <c r="Q689" i="3"/>
  <c r="Q40" i="34" s="1"/>
  <c r="Q688" i="3"/>
  <c r="Q39" i="34" s="1"/>
  <c r="Q687" i="3"/>
  <c r="Q38" i="34" s="1"/>
  <c r="Q686" i="3"/>
  <c r="Q37" i="34" s="1"/>
  <c r="Q685" i="3"/>
  <c r="Q36" i="34" s="1"/>
  <c r="Q684" i="3"/>
  <c r="Q35" i="34" s="1"/>
  <c r="Q683" i="3"/>
  <c r="Q34" i="34" s="1"/>
  <c r="Q682" i="3"/>
  <c r="Q33" i="34" s="1"/>
  <c r="Q681" i="3"/>
  <c r="Q32" i="34" s="1"/>
  <c r="Q680" i="3"/>
  <c r="Q31" i="34" s="1"/>
  <c r="Q679" i="3"/>
  <c r="Q30" i="34" s="1"/>
  <c r="Q678" i="3"/>
  <c r="Q29" i="34" s="1"/>
  <c r="Q677" i="3"/>
  <c r="Q28" i="34" s="1"/>
  <c r="Q676" i="3"/>
  <c r="Q27" i="34" s="1"/>
  <c r="Q675" i="3"/>
  <c r="Q26" i="34" s="1"/>
  <c r="Q674" i="3"/>
  <c r="Q25" i="34" s="1"/>
  <c r="Q673" i="3"/>
  <c r="Q24" i="34" s="1"/>
  <c r="Q672" i="3"/>
  <c r="Q23" i="34" s="1"/>
  <c r="Q671" i="3"/>
  <c r="Q22" i="34" s="1"/>
  <c r="Q670" i="3"/>
  <c r="Q21" i="34" s="1"/>
  <c r="Q669" i="3"/>
  <c r="Q20" i="34" s="1"/>
  <c r="Q668" i="3"/>
  <c r="Q19" i="34" s="1"/>
  <c r="Q667" i="3"/>
  <c r="Q18" i="34" s="1"/>
  <c r="Q666" i="3"/>
  <c r="Q17" i="34" s="1"/>
  <c r="Q665" i="3"/>
  <c r="Q16" i="34" s="1"/>
  <c r="Q664" i="3"/>
  <c r="Q15" i="34" s="1"/>
  <c r="Q663" i="3"/>
  <c r="Q14" i="34" s="1"/>
  <c r="Q662" i="3"/>
  <c r="Q13" i="34" s="1"/>
  <c r="Q661" i="3"/>
  <c r="Q12" i="34" s="1"/>
  <c r="Q660" i="3"/>
  <c r="Q11" i="34" s="1"/>
  <c r="Q659" i="3"/>
  <c r="Q10" i="34" s="1"/>
  <c r="Q658" i="3"/>
  <c r="Q9" i="34" s="1"/>
  <c r="Q657" i="3"/>
  <c r="Q8" i="34" s="1"/>
  <c r="Q656" i="3"/>
  <c r="Q7" i="34" s="1"/>
  <c r="Q655" i="3"/>
  <c r="Q6" i="34" s="1"/>
  <c r="Q654" i="3"/>
  <c r="Q5" i="34" s="1"/>
  <c r="B369" i="3"/>
  <c r="B368" i="3"/>
  <c r="A284" i="3"/>
  <c r="A121" i="30" s="1"/>
  <c r="B813" i="3"/>
  <c r="B814" i="3" s="1"/>
  <c r="F356" i="3"/>
  <c r="F358" i="3" s="1"/>
  <c r="H124" i="3"/>
  <c r="H123" i="3"/>
  <c r="E116" i="25"/>
  <c r="C116" i="25"/>
  <c r="B84" i="25"/>
  <c r="B83" i="25"/>
  <c r="B82" i="25"/>
  <c r="B81" i="25"/>
  <c r="B80" i="25"/>
  <c r="B79" i="25"/>
  <c r="F20" i="25"/>
  <c r="C9" i="24"/>
  <c r="C10" i="24"/>
  <c r="C11" i="24"/>
  <c r="C4" i="24"/>
  <c r="D827" i="3"/>
  <c r="C27" i="24" s="1"/>
  <c r="D826" i="3"/>
  <c r="C26" i="24" s="1"/>
  <c r="D824" i="3"/>
  <c r="C24" i="24" s="1"/>
  <c r="D823" i="3"/>
  <c r="C22" i="24" s="1"/>
  <c r="D66" i="3"/>
  <c r="C66" i="3"/>
  <c r="B66" i="3"/>
  <c r="G65" i="3"/>
  <c r="F65" i="3"/>
  <c r="E65" i="3"/>
  <c r="D65" i="3"/>
  <c r="C65" i="3"/>
  <c r="B65" i="3"/>
  <c r="G64" i="3"/>
  <c r="F64" i="3"/>
  <c r="E64" i="3"/>
  <c r="D64" i="3"/>
  <c r="C64" i="3"/>
  <c r="B64" i="3"/>
  <c r="G63" i="3"/>
  <c r="F63" i="3"/>
  <c r="E63" i="3"/>
  <c r="D63" i="3"/>
  <c r="C63" i="3"/>
  <c r="B63" i="3"/>
  <c r="H168" i="3"/>
  <c r="H5" i="30" s="1"/>
  <c r="A283" i="3"/>
  <c r="A120" i="30" s="1"/>
  <c r="A282" i="3"/>
  <c r="A119" i="30" s="1"/>
  <c r="E281" i="3"/>
  <c r="A281" i="3"/>
  <c r="A118" i="30" s="1"/>
  <c r="C278" i="3"/>
  <c r="C115" i="30" s="1"/>
  <c r="A278" i="3"/>
  <c r="A115" i="30" s="1"/>
  <c r="C277" i="3"/>
  <c r="C114" i="30" s="1"/>
  <c r="A277" i="3"/>
  <c r="A114" i="30" s="1"/>
  <c r="C276" i="3"/>
  <c r="C113" i="30" s="1"/>
  <c r="A276" i="3"/>
  <c r="A113" i="30" s="1"/>
  <c r="C274" i="3"/>
  <c r="C111" i="30" s="1"/>
  <c r="A274" i="3"/>
  <c r="A111" i="30" s="1"/>
  <c r="C273" i="3"/>
  <c r="C110" i="30" s="1"/>
  <c r="A273" i="3"/>
  <c r="A110" i="30" s="1"/>
  <c r="E272" i="3"/>
  <c r="C272" i="3"/>
  <c r="C109" i="30" s="1"/>
  <c r="A272" i="3"/>
  <c r="A109" i="30" s="1"/>
  <c r="A266" i="3"/>
  <c r="A103" i="30" s="1"/>
  <c r="A265" i="3"/>
  <c r="A102" i="30" s="1"/>
  <c r="E264" i="3"/>
  <c r="A264" i="3"/>
  <c r="A101" i="30" s="1"/>
  <c r="C261" i="3"/>
  <c r="C98" i="30" s="1"/>
  <c r="C260" i="3"/>
  <c r="C97" i="30" s="1"/>
  <c r="C259" i="3"/>
  <c r="C96" i="30" s="1"/>
  <c r="C258" i="3"/>
  <c r="C95" i="30" s="1"/>
  <c r="A258" i="3"/>
  <c r="A95" i="30" s="1"/>
  <c r="C257" i="3"/>
  <c r="C94" i="30" s="1"/>
  <c r="A257" i="3"/>
  <c r="A94" i="30" s="1"/>
  <c r="C256" i="3"/>
  <c r="C93" i="30" s="1"/>
  <c r="A256" i="3"/>
  <c r="A93" i="30" s="1"/>
  <c r="E255" i="3"/>
  <c r="C255" i="3"/>
  <c r="C92" i="30" s="1"/>
  <c r="A255" i="3"/>
  <c r="A92" i="30" s="1"/>
  <c r="E254" i="3"/>
  <c r="C254" i="3"/>
  <c r="C91" i="30" s="1"/>
  <c r="A254" i="3"/>
  <c r="A91" i="30" s="1"/>
  <c r="E253" i="3"/>
  <c r="E90" i="30" s="1"/>
  <c r="A253" i="3"/>
  <c r="A90" i="30" s="1"/>
  <c r="E252" i="3"/>
  <c r="A252" i="3"/>
  <c r="A89" i="30" s="1"/>
  <c r="E251" i="3"/>
  <c r="C251" i="3"/>
  <c r="C88" i="30" s="1"/>
  <c r="A251" i="3"/>
  <c r="A88" i="30" s="1"/>
  <c r="E250" i="3"/>
  <c r="C250" i="3"/>
  <c r="C87" i="30" s="1"/>
  <c r="A250" i="3"/>
  <c r="A87" i="30" s="1"/>
  <c r="E249" i="3"/>
  <c r="C249" i="3"/>
  <c r="C86" i="30" s="1"/>
  <c r="A249" i="3"/>
  <c r="A86" i="30" s="1"/>
  <c r="E248" i="3"/>
  <c r="C248" i="3"/>
  <c r="C85" i="30" s="1"/>
  <c r="A248" i="3"/>
  <c r="A85" i="30" s="1"/>
  <c r="E247" i="3"/>
  <c r="C247" i="3"/>
  <c r="C84" i="30" s="1"/>
  <c r="A247" i="3"/>
  <c r="A84" i="30" s="1"/>
  <c r="E246" i="3"/>
  <c r="C246" i="3"/>
  <c r="C83" i="30" s="1"/>
  <c r="A246" i="3"/>
  <c r="A83" i="30" s="1"/>
  <c r="E245" i="3"/>
  <c r="A245" i="3"/>
  <c r="A82" i="30" s="1"/>
  <c r="A239" i="3"/>
  <c r="A76" i="30" s="1"/>
  <c r="A238" i="3"/>
  <c r="A75" i="30" s="1"/>
  <c r="E237" i="3"/>
  <c r="A237" i="3"/>
  <c r="A74" i="30" s="1"/>
  <c r="E236" i="3"/>
  <c r="A236" i="3"/>
  <c r="A73" i="30" s="1"/>
  <c r="E235" i="3"/>
  <c r="A235" i="3"/>
  <c r="A72" i="30" s="1"/>
  <c r="E234" i="3"/>
  <c r="A234" i="3"/>
  <c r="A71" i="30" s="1"/>
  <c r="E233" i="3"/>
  <c r="A233" i="3"/>
  <c r="A70" i="30" s="1"/>
  <c r="E232" i="3"/>
  <c r="A232" i="3"/>
  <c r="A69" i="30" s="1"/>
  <c r="E231" i="3"/>
  <c r="A231" i="3"/>
  <c r="A68" i="30" s="1"/>
  <c r="E230" i="3"/>
  <c r="A230" i="3"/>
  <c r="A67" i="30" s="1"/>
  <c r="E229" i="3"/>
  <c r="A229" i="3"/>
  <c r="A66" i="30" s="1"/>
  <c r="C226" i="3"/>
  <c r="C63" i="30" s="1"/>
  <c r="C225" i="3"/>
  <c r="C62" i="30" s="1"/>
  <c r="C224" i="3"/>
  <c r="C61" i="30" s="1"/>
  <c r="C223" i="3"/>
  <c r="C60" i="30" s="1"/>
  <c r="A223" i="3"/>
  <c r="A60" i="30" s="1"/>
  <c r="C222" i="3"/>
  <c r="C59" i="30" s="1"/>
  <c r="A222" i="3"/>
  <c r="A59" i="30" s="1"/>
  <c r="E221" i="3"/>
  <c r="C221" i="3"/>
  <c r="C58" i="30" s="1"/>
  <c r="A221" i="3"/>
  <c r="A58" i="30" s="1"/>
  <c r="E220" i="3"/>
  <c r="C220" i="3"/>
  <c r="C57" i="30" s="1"/>
  <c r="A220" i="3"/>
  <c r="A57" i="30" s="1"/>
  <c r="E219" i="3"/>
  <c r="C219" i="3"/>
  <c r="C56" i="30" s="1"/>
  <c r="A219" i="3"/>
  <c r="A56" i="30" s="1"/>
  <c r="E218" i="3"/>
  <c r="C218" i="3"/>
  <c r="C55" i="30" s="1"/>
  <c r="A218" i="3"/>
  <c r="A55" i="30" s="1"/>
  <c r="E217" i="3"/>
  <c r="C217" i="3"/>
  <c r="C54" i="30" s="1"/>
  <c r="A217" i="3"/>
  <c r="A54" i="30" s="1"/>
  <c r="E216" i="3"/>
  <c r="C216" i="3"/>
  <c r="C53" i="30" s="1"/>
  <c r="A216" i="3"/>
  <c r="A53" i="30" s="1"/>
  <c r="E215" i="3"/>
  <c r="C215" i="3"/>
  <c r="C52" i="30" s="1"/>
  <c r="A215" i="3"/>
  <c r="A52" i="30" s="1"/>
  <c r="E214" i="3"/>
  <c r="C214" i="3"/>
  <c r="C51" i="30" s="1"/>
  <c r="A214" i="3"/>
  <c r="A51" i="30" s="1"/>
  <c r="E213" i="3"/>
  <c r="C213" i="3"/>
  <c r="A213" i="3"/>
  <c r="A50" i="30" s="1"/>
  <c r="E212" i="3"/>
  <c r="C212" i="3"/>
  <c r="C49" i="30" s="1"/>
  <c r="A212" i="3"/>
  <c r="A49" i="30" s="1"/>
  <c r="E211" i="3"/>
  <c r="C211" i="3"/>
  <c r="C48" i="30" s="1"/>
  <c r="A211" i="3"/>
  <c r="A48" i="30" s="1"/>
  <c r="E210" i="3"/>
  <c r="G210" i="3" s="1"/>
  <c r="C210" i="3"/>
  <c r="C47" i="30" s="1"/>
  <c r="A210" i="3"/>
  <c r="A47" i="30" s="1"/>
  <c r="C207" i="3"/>
  <c r="C44" i="30" s="1"/>
  <c r="C206" i="3"/>
  <c r="C43" i="30" s="1"/>
  <c r="C205" i="3"/>
  <c r="C42" i="30" s="1"/>
  <c r="C204" i="3"/>
  <c r="C41" i="30" s="1"/>
  <c r="A204" i="3"/>
  <c r="A41" i="30" s="1"/>
  <c r="C203" i="3"/>
  <c r="C40" i="30" s="1"/>
  <c r="A203" i="3"/>
  <c r="A40" i="30" s="1"/>
  <c r="E202" i="3"/>
  <c r="C202" i="3"/>
  <c r="C39" i="30" s="1"/>
  <c r="A202" i="3"/>
  <c r="A39" i="30" s="1"/>
  <c r="E201" i="3"/>
  <c r="C201" i="3"/>
  <c r="C38" i="30" s="1"/>
  <c r="A201" i="3"/>
  <c r="A38" i="30" s="1"/>
  <c r="E200" i="3"/>
  <c r="C200" i="3"/>
  <c r="C37" i="30" s="1"/>
  <c r="A200" i="3"/>
  <c r="A37" i="30" s="1"/>
  <c r="E199" i="3"/>
  <c r="C199" i="3"/>
  <c r="C36" i="30" s="1"/>
  <c r="A199" i="3"/>
  <c r="A36" i="30" s="1"/>
  <c r="E198" i="3"/>
  <c r="C198" i="3"/>
  <c r="C35" i="30" s="1"/>
  <c r="A198" i="3"/>
  <c r="A35" i="30" s="1"/>
  <c r="E197" i="3"/>
  <c r="C197" i="3"/>
  <c r="C34" i="30" s="1"/>
  <c r="A197" i="3"/>
  <c r="A34" i="30" s="1"/>
  <c r="E196" i="3"/>
  <c r="C196" i="3"/>
  <c r="C33" i="30" s="1"/>
  <c r="A196" i="3"/>
  <c r="A33" i="30" s="1"/>
  <c r="E195" i="3"/>
  <c r="C195" i="3"/>
  <c r="C32" i="30" s="1"/>
  <c r="A195" i="3"/>
  <c r="A32" i="30" s="1"/>
  <c r="E194" i="3"/>
  <c r="C194" i="3"/>
  <c r="C31" i="30" s="1"/>
  <c r="A194" i="3"/>
  <c r="A31" i="30" s="1"/>
  <c r="C191" i="3"/>
  <c r="C28" i="30" s="1"/>
  <c r="C190" i="3"/>
  <c r="C27" i="30" s="1"/>
  <c r="C189" i="3"/>
  <c r="C26" i="30" s="1"/>
  <c r="C188" i="3"/>
  <c r="C25" i="30" s="1"/>
  <c r="A188" i="3"/>
  <c r="A25" i="30" s="1"/>
  <c r="C187" i="3"/>
  <c r="C24" i="30" s="1"/>
  <c r="A187" i="3"/>
  <c r="A24" i="30" s="1"/>
  <c r="E186" i="3"/>
  <c r="C186" i="3"/>
  <c r="C23" i="30" s="1"/>
  <c r="A186" i="3"/>
  <c r="A23" i="30" s="1"/>
  <c r="E185" i="3"/>
  <c r="C185" i="3"/>
  <c r="C22" i="30" s="1"/>
  <c r="A185" i="3"/>
  <c r="A22" i="30" s="1"/>
  <c r="E184" i="3"/>
  <c r="C184" i="3"/>
  <c r="C21" i="30" s="1"/>
  <c r="A184" i="3"/>
  <c r="A21" i="30" s="1"/>
  <c r="E183" i="3"/>
  <c r="C183" i="3"/>
  <c r="C20" i="30" s="1"/>
  <c r="A183" i="3"/>
  <c r="A20" i="30" s="1"/>
  <c r="E182" i="3"/>
  <c r="C182" i="3"/>
  <c r="C19" i="30" s="1"/>
  <c r="A182" i="3"/>
  <c r="A19" i="30" s="1"/>
  <c r="E181" i="3"/>
  <c r="C181" i="3"/>
  <c r="C18" i="30" s="1"/>
  <c r="A181" i="3"/>
  <c r="A18" i="30" s="1"/>
  <c r="E180" i="3"/>
  <c r="C180" i="3"/>
  <c r="C17" i="30" s="1"/>
  <c r="A180" i="3"/>
  <c r="A17" i="30" s="1"/>
  <c r="E179" i="3"/>
  <c r="C179" i="3"/>
  <c r="C16" i="30" s="1"/>
  <c r="A179" i="3"/>
  <c r="A16" i="30" s="1"/>
  <c r="E178" i="3"/>
  <c r="G178" i="3" s="1"/>
  <c r="C15" i="30"/>
  <c r="B15" i="30"/>
  <c r="A178" i="3"/>
  <c r="A15" i="30" s="1"/>
  <c r="E175" i="3"/>
  <c r="C175" i="3"/>
  <c r="C12" i="30" s="1"/>
  <c r="A175" i="3"/>
  <c r="A12" i="30" s="1"/>
  <c r="E174" i="3"/>
  <c r="C174" i="3"/>
  <c r="C11" i="30" s="1"/>
  <c r="A174" i="3"/>
  <c r="A11" i="30" s="1"/>
  <c r="E171" i="3"/>
  <c r="A171" i="3"/>
  <c r="A8" i="30" s="1"/>
  <c r="E170" i="3"/>
  <c r="A170" i="3"/>
  <c r="A7" i="30" s="1"/>
  <c r="E169" i="3"/>
  <c r="E6" i="30" s="1"/>
  <c r="A169" i="3"/>
  <c r="A6" i="30" s="1"/>
  <c r="E168" i="3"/>
  <c r="E5" i="30" s="1"/>
  <c r="D168" i="3"/>
  <c r="D5" i="30" s="1"/>
  <c r="C168" i="3"/>
  <c r="C5" i="30" s="1"/>
  <c r="B168" i="3"/>
  <c r="B5" i="30" s="1"/>
  <c r="M752" i="3"/>
  <c r="M103" i="34" s="1"/>
  <c r="M751" i="3"/>
  <c r="M102" i="34" s="1"/>
  <c r="M750" i="3"/>
  <c r="M101" i="34" s="1"/>
  <c r="M749" i="3"/>
  <c r="M100" i="34" s="1"/>
  <c r="M748" i="3"/>
  <c r="M99" i="34" s="1"/>
  <c r="M747" i="3"/>
  <c r="M98" i="34" s="1"/>
  <c r="M746" i="3"/>
  <c r="M97" i="34" s="1"/>
  <c r="M745" i="3"/>
  <c r="M96" i="34" s="1"/>
  <c r="M744" i="3"/>
  <c r="M95" i="34" s="1"/>
  <c r="M743" i="3"/>
  <c r="M94" i="34" s="1"/>
  <c r="M742" i="3"/>
  <c r="M93" i="34" s="1"/>
  <c r="M741" i="3"/>
  <c r="M92" i="34" s="1"/>
  <c r="M740" i="3"/>
  <c r="M91" i="34" s="1"/>
  <c r="M739" i="3"/>
  <c r="M90" i="34" s="1"/>
  <c r="M738" i="3"/>
  <c r="M89" i="34" s="1"/>
  <c r="M737" i="3"/>
  <c r="M88" i="34" s="1"/>
  <c r="M736" i="3"/>
  <c r="M87" i="34" s="1"/>
  <c r="M735" i="3"/>
  <c r="M86" i="34" s="1"/>
  <c r="M734" i="3"/>
  <c r="M85" i="34" s="1"/>
  <c r="M733" i="3"/>
  <c r="M84" i="34" s="1"/>
  <c r="M732" i="3"/>
  <c r="M83" i="34" s="1"/>
  <c r="M731" i="3"/>
  <c r="M82" i="34" s="1"/>
  <c r="M730" i="3"/>
  <c r="M81" i="34" s="1"/>
  <c r="M729" i="3"/>
  <c r="M80" i="34" s="1"/>
  <c r="M728" i="3"/>
  <c r="M79" i="34" s="1"/>
  <c r="M727" i="3"/>
  <c r="M78" i="34" s="1"/>
  <c r="M726" i="3"/>
  <c r="M77" i="34" s="1"/>
  <c r="M725" i="3"/>
  <c r="M76" i="34" s="1"/>
  <c r="M724" i="3"/>
  <c r="M75" i="34" s="1"/>
  <c r="M723" i="3"/>
  <c r="M74" i="34" s="1"/>
  <c r="M722" i="3"/>
  <c r="M73" i="34" s="1"/>
  <c r="M721" i="3"/>
  <c r="M72" i="34" s="1"/>
  <c r="M720" i="3"/>
  <c r="M71" i="34" s="1"/>
  <c r="M719" i="3"/>
  <c r="M70" i="34" s="1"/>
  <c r="M718" i="3"/>
  <c r="M69" i="34" s="1"/>
  <c r="M717" i="3"/>
  <c r="M68" i="34" s="1"/>
  <c r="M716" i="3"/>
  <c r="M67" i="34" s="1"/>
  <c r="M715" i="3"/>
  <c r="M66" i="34" s="1"/>
  <c r="M714" i="3"/>
  <c r="M65" i="34" s="1"/>
  <c r="M713" i="3"/>
  <c r="M64" i="34" s="1"/>
  <c r="M712" i="3"/>
  <c r="M63" i="34" s="1"/>
  <c r="M711" i="3"/>
  <c r="M62" i="34" s="1"/>
  <c r="M710" i="3"/>
  <c r="M61" i="34" s="1"/>
  <c r="M709" i="3"/>
  <c r="M60" i="34" s="1"/>
  <c r="M708" i="3"/>
  <c r="M59" i="34" s="1"/>
  <c r="M707" i="3"/>
  <c r="M58" i="34" s="1"/>
  <c r="M706" i="3"/>
  <c r="M57" i="34" s="1"/>
  <c r="M705" i="3"/>
  <c r="M56" i="34" s="1"/>
  <c r="M704" i="3"/>
  <c r="M55" i="34" s="1"/>
  <c r="M703" i="3"/>
  <c r="M54" i="34" s="1"/>
  <c r="M702" i="3"/>
  <c r="M53" i="34" s="1"/>
  <c r="M701" i="3"/>
  <c r="M52" i="34" s="1"/>
  <c r="M700" i="3"/>
  <c r="M51" i="34" s="1"/>
  <c r="M699" i="3"/>
  <c r="M50" i="34" s="1"/>
  <c r="M698" i="3"/>
  <c r="M49" i="34" s="1"/>
  <c r="M697" i="3"/>
  <c r="M48" i="34" s="1"/>
  <c r="M696" i="3"/>
  <c r="M47" i="34" s="1"/>
  <c r="M695" i="3"/>
  <c r="M46" i="34" s="1"/>
  <c r="M694" i="3"/>
  <c r="M45" i="34" s="1"/>
  <c r="M693" i="3"/>
  <c r="M44" i="34" s="1"/>
  <c r="M692" i="3"/>
  <c r="M43" i="34" s="1"/>
  <c r="M691" i="3"/>
  <c r="M42" i="34" s="1"/>
  <c r="M690" i="3"/>
  <c r="M41" i="34" s="1"/>
  <c r="M689" i="3"/>
  <c r="M40" i="34" s="1"/>
  <c r="M688" i="3"/>
  <c r="M39" i="34" s="1"/>
  <c r="M687" i="3"/>
  <c r="M38" i="34" s="1"/>
  <c r="M686" i="3"/>
  <c r="M37" i="34" s="1"/>
  <c r="M685" i="3"/>
  <c r="M36" i="34" s="1"/>
  <c r="M684" i="3"/>
  <c r="M35" i="34" s="1"/>
  <c r="M683" i="3"/>
  <c r="M34" i="34" s="1"/>
  <c r="M682" i="3"/>
  <c r="M33" i="34" s="1"/>
  <c r="M681" i="3"/>
  <c r="M32" i="34" s="1"/>
  <c r="M680" i="3"/>
  <c r="M31" i="34" s="1"/>
  <c r="M679" i="3"/>
  <c r="M30" i="34" s="1"/>
  <c r="M678" i="3"/>
  <c r="M29" i="34" s="1"/>
  <c r="M677" i="3"/>
  <c r="M28" i="34" s="1"/>
  <c r="M676" i="3"/>
  <c r="M27" i="34" s="1"/>
  <c r="M675" i="3"/>
  <c r="M26" i="34" s="1"/>
  <c r="M674" i="3"/>
  <c r="M25" i="34" s="1"/>
  <c r="M673" i="3"/>
  <c r="M24" i="34" s="1"/>
  <c r="M672" i="3"/>
  <c r="M23" i="34" s="1"/>
  <c r="M671" i="3"/>
  <c r="M22" i="34" s="1"/>
  <c r="M670" i="3"/>
  <c r="M21" i="34" s="1"/>
  <c r="M669" i="3"/>
  <c r="M20" i="34" s="1"/>
  <c r="M668" i="3"/>
  <c r="M19" i="34" s="1"/>
  <c r="M667" i="3"/>
  <c r="M18" i="34" s="1"/>
  <c r="M666" i="3"/>
  <c r="M17" i="34" s="1"/>
  <c r="M665" i="3"/>
  <c r="M16" i="34" s="1"/>
  <c r="M664" i="3"/>
  <c r="M15" i="34" s="1"/>
  <c r="M663" i="3"/>
  <c r="M14" i="34" s="1"/>
  <c r="M662" i="3"/>
  <c r="M13" i="34" s="1"/>
  <c r="M661" i="3"/>
  <c r="M12" i="34" s="1"/>
  <c r="M660" i="3"/>
  <c r="M11" i="34" s="1"/>
  <c r="M659" i="3"/>
  <c r="M10" i="34" s="1"/>
  <c r="M658" i="3"/>
  <c r="M9" i="34" s="1"/>
  <c r="M657" i="3"/>
  <c r="M8" i="34" s="1"/>
  <c r="M656" i="3"/>
  <c r="M7" i="34" s="1"/>
  <c r="M655" i="3"/>
  <c r="M6" i="34" s="1"/>
  <c r="S752" i="3"/>
  <c r="S103" i="34" s="1"/>
  <c r="K752" i="3"/>
  <c r="K103" i="34" s="1"/>
  <c r="G752" i="3"/>
  <c r="G103" i="34" s="1"/>
  <c r="F752" i="3"/>
  <c r="F103" i="34" s="1"/>
  <c r="E752" i="3"/>
  <c r="E103" i="34" s="1"/>
  <c r="D752" i="3"/>
  <c r="D103" i="34" s="1"/>
  <c r="C752" i="3"/>
  <c r="C103" i="34" s="1"/>
  <c r="B752" i="3"/>
  <c r="B103" i="34" s="1"/>
  <c r="A752" i="3"/>
  <c r="B3264" i="44" s="1"/>
  <c r="F3264" i="44" s="1"/>
  <c r="S751" i="3"/>
  <c r="S102" i="34" s="1"/>
  <c r="K751" i="3"/>
  <c r="K102" i="34" s="1"/>
  <c r="G751" i="3"/>
  <c r="G102" i="34" s="1"/>
  <c r="F751" i="3"/>
  <c r="F102" i="34" s="1"/>
  <c r="E751" i="3"/>
  <c r="E102" i="34" s="1"/>
  <c r="D751" i="3"/>
  <c r="D102" i="34" s="1"/>
  <c r="C751" i="3"/>
  <c r="C102" i="34" s="1"/>
  <c r="B751" i="3"/>
  <c r="B102" i="34" s="1"/>
  <c r="A751" i="3"/>
  <c r="B3263" i="44" s="1"/>
  <c r="F3263" i="44" s="1"/>
  <c r="S750" i="3"/>
  <c r="S101" i="34" s="1"/>
  <c r="K750" i="3"/>
  <c r="K101" i="34" s="1"/>
  <c r="G750" i="3"/>
  <c r="G101" i="34" s="1"/>
  <c r="F750" i="3"/>
  <c r="E750" i="3"/>
  <c r="E101" i="34" s="1"/>
  <c r="D750" i="3"/>
  <c r="D101" i="34" s="1"/>
  <c r="C750" i="3"/>
  <c r="C101" i="34" s="1"/>
  <c r="B750" i="3"/>
  <c r="B101" i="34" s="1"/>
  <c r="A750" i="3"/>
  <c r="B3361" i="44" s="1"/>
  <c r="F3361" i="44" s="1"/>
  <c r="S749" i="3"/>
  <c r="S100" i="34" s="1"/>
  <c r="K749" i="3"/>
  <c r="K100" i="34" s="1"/>
  <c r="G749" i="3"/>
  <c r="G100" i="34" s="1"/>
  <c r="F749" i="3"/>
  <c r="E749" i="3"/>
  <c r="E100" i="34" s="1"/>
  <c r="D749" i="3"/>
  <c r="D100" i="34" s="1"/>
  <c r="C749" i="3"/>
  <c r="C100" i="34" s="1"/>
  <c r="B749" i="3"/>
  <c r="B100" i="34" s="1"/>
  <c r="A749" i="3"/>
  <c r="B3261" i="44" s="1"/>
  <c r="F3261" i="44" s="1"/>
  <c r="S748" i="3"/>
  <c r="S99" i="34" s="1"/>
  <c r="K748" i="3"/>
  <c r="K99" i="34" s="1"/>
  <c r="G748" i="3"/>
  <c r="G99" i="34" s="1"/>
  <c r="F748" i="3"/>
  <c r="F99" i="34" s="1"/>
  <c r="E748" i="3"/>
  <c r="E99" i="34" s="1"/>
  <c r="D748" i="3"/>
  <c r="D99" i="34" s="1"/>
  <c r="C748" i="3"/>
  <c r="C99" i="34" s="1"/>
  <c r="B748" i="3"/>
  <c r="A748" i="3"/>
  <c r="B3359" i="44" s="1"/>
  <c r="F3359" i="44" s="1"/>
  <c r="S747" i="3"/>
  <c r="S98" i="34" s="1"/>
  <c r="K747" i="3"/>
  <c r="K98" i="34" s="1"/>
  <c r="G747" i="3"/>
  <c r="G98" i="34" s="1"/>
  <c r="F747" i="3"/>
  <c r="E747" i="3"/>
  <c r="E98" i="34" s="1"/>
  <c r="D747" i="3"/>
  <c r="D98" i="34" s="1"/>
  <c r="C747" i="3"/>
  <c r="C98" i="34" s="1"/>
  <c r="B747" i="3"/>
  <c r="A747" i="3"/>
  <c r="B3358" i="44" s="1"/>
  <c r="F3358" i="44" s="1"/>
  <c r="S746" i="3"/>
  <c r="S97" i="34" s="1"/>
  <c r="K746" i="3"/>
  <c r="K97" i="34" s="1"/>
  <c r="G746" i="3"/>
  <c r="G97" i="34" s="1"/>
  <c r="F746" i="3"/>
  <c r="F97" i="34" s="1"/>
  <c r="E746" i="3"/>
  <c r="E97" i="34" s="1"/>
  <c r="D746" i="3"/>
  <c r="D97" i="34" s="1"/>
  <c r="C746" i="3"/>
  <c r="C97" i="34" s="1"/>
  <c r="B746" i="3"/>
  <c r="B97" i="34" s="1"/>
  <c r="A746" i="3"/>
  <c r="A97" i="34" s="1"/>
  <c r="S745" i="3"/>
  <c r="S96" i="34" s="1"/>
  <c r="K745" i="3"/>
  <c r="K96" i="34" s="1"/>
  <c r="G745" i="3"/>
  <c r="G96" i="34" s="1"/>
  <c r="F745" i="3"/>
  <c r="F96" i="34" s="1"/>
  <c r="E745" i="3"/>
  <c r="E96" i="34" s="1"/>
  <c r="D745" i="3"/>
  <c r="D96" i="34" s="1"/>
  <c r="C745" i="3"/>
  <c r="C96" i="34" s="1"/>
  <c r="B745" i="3"/>
  <c r="B96" i="34" s="1"/>
  <c r="A745" i="3"/>
  <c r="B3257" i="44" s="1"/>
  <c r="F3257" i="44" s="1"/>
  <c r="S744" i="3"/>
  <c r="S95" i="34" s="1"/>
  <c r="K744" i="3"/>
  <c r="K95" i="34" s="1"/>
  <c r="G744" i="3"/>
  <c r="G95" i="34" s="1"/>
  <c r="F744" i="3"/>
  <c r="E744" i="3"/>
  <c r="E95" i="34" s="1"/>
  <c r="D744" i="3"/>
  <c r="D95" i="34" s="1"/>
  <c r="C744" i="3"/>
  <c r="C95" i="34" s="1"/>
  <c r="B744" i="3"/>
  <c r="B95" i="34" s="1"/>
  <c r="A744" i="3"/>
  <c r="S743" i="3"/>
  <c r="S94" i="34" s="1"/>
  <c r="K743" i="3"/>
  <c r="K94" i="34" s="1"/>
  <c r="G743" i="3"/>
  <c r="G94" i="34" s="1"/>
  <c r="F743" i="3"/>
  <c r="F94" i="34" s="1"/>
  <c r="E743" i="3"/>
  <c r="E94" i="34" s="1"/>
  <c r="D743" i="3"/>
  <c r="D94" i="34" s="1"/>
  <c r="C743" i="3"/>
  <c r="C94" i="34" s="1"/>
  <c r="B743" i="3"/>
  <c r="A743" i="3"/>
  <c r="B3255" i="44" s="1"/>
  <c r="F3255" i="44" s="1"/>
  <c r="S742" i="3"/>
  <c r="S93" i="34" s="1"/>
  <c r="K742" i="3"/>
  <c r="K93" i="34" s="1"/>
  <c r="G742" i="3"/>
  <c r="G93" i="34" s="1"/>
  <c r="F742" i="3"/>
  <c r="F93" i="34" s="1"/>
  <c r="E742" i="3"/>
  <c r="E93" i="34" s="1"/>
  <c r="D742" i="3"/>
  <c r="D93" i="34" s="1"/>
  <c r="C742" i="3"/>
  <c r="B742" i="3"/>
  <c r="B93" i="34" s="1"/>
  <c r="A742" i="3"/>
  <c r="B3353" i="44" s="1"/>
  <c r="F3353" i="44" s="1"/>
  <c r="S741" i="3"/>
  <c r="S92" i="34" s="1"/>
  <c r="K741" i="3"/>
  <c r="K92" i="34" s="1"/>
  <c r="G741" i="3"/>
  <c r="G92" i="34" s="1"/>
  <c r="F741" i="3"/>
  <c r="F92" i="34" s="1"/>
  <c r="E741" i="3"/>
  <c r="E92" i="34" s="1"/>
  <c r="D741" i="3"/>
  <c r="D92" i="34" s="1"/>
  <c r="C741" i="3"/>
  <c r="C92" i="34" s="1"/>
  <c r="B741" i="3"/>
  <c r="B92" i="34" s="1"/>
  <c r="A741" i="3"/>
  <c r="B3352" i="44" s="1"/>
  <c r="F3352" i="44" s="1"/>
  <c r="S740" i="3"/>
  <c r="S91" i="34" s="1"/>
  <c r="K740" i="3"/>
  <c r="K91" i="34" s="1"/>
  <c r="G740" i="3"/>
  <c r="G91" i="34" s="1"/>
  <c r="F740" i="3"/>
  <c r="F91" i="34" s="1"/>
  <c r="E740" i="3"/>
  <c r="E91" i="34" s="1"/>
  <c r="D740" i="3"/>
  <c r="D91" i="34" s="1"/>
  <c r="C740" i="3"/>
  <c r="C91" i="34" s="1"/>
  <c r="B740" i="3"/>
  <c r="B91" i="34" s="1"/>
  <c r="A740" i="3"/>
  <c r="B3351" i="44" s="1"/>
  <c r="F3351" i="44" s="1"/>
  <c r="S739" i="3"/>
  <c r="S90" i="34" s="1"/>
  <c r="K739" i="3"/>
  <c r="K90" i="34" s="1"/>
  <c r="G739" i="3"/>
  <c r="G90" i="34" s="1"/>
  <c r="F739" i="3"/>
  <c r="F90" i="34" s="1"/>
  <c r="E739" i="3"/>
  <c r="E90" i="34" s="1"/>
  <c r="D739" i="3"/>
  <c r="D90" i="34" s="1"/>
  <c r="C739" i="3"/>
  <c r="C90" i="34" s="1"/>
  <c r="B739" i="3"/>
  <c r="B90" i="34" s="1"/>
  <c r="A739" i="3"/>
  <c r="A90" i="34" s="1"/>
  <c r="S738" i="3"/>
  <c r="S89" i="34" s="1"/>
  <c r="K738" i="3"/>
  <c r="K89" i="34" s="1"/>
  <c r="G738" i="3"/>
  <c r="G89" i="34" s="1"/>
  <c r="F738" i="3"/>
  <c r="F89" i="34" s="1"/>
  <c r="E738" i="3"/>
  <c r="E89" i="34" s="1"/>
  <c r="D738" i="3"/>
  <c r="D89" i="34" s="1"/>
  <c r="C738" i="3"/>
  <c r="B738" i="3"/>
  <c r="B89" i="34" s="1"/>
  <c r="A738" i="3"/>
  <c r="A89" i="34" s="1"/>
  <c r="S737" i="3"/>
  <c r="S88" i="34" s="1"/>
  <c r="K737" i="3"/>
  <c r="K88" i="34" s="1"/>
  <c r="G737" i="3"/>
  <c r="G88" i="34" s="1"/>
  <c r="F737" i="3"/>
  <c r="E737" i="3"/>
  <c r="E88" i="34" s="1"/>
  <c r="D737" i="3"/>
  <c r="D88" i="34" s="1"/>
  <c r="C737" i="3"/>
  <c r="C88" i="34" s="1"/>
  <c r="B737" i="3"/>
  <c r="B88" i="34" s="1"/>
  <c r="A737" i="3"/>
  <c r="B3348" i="44" s="1"/>
  <c r="F3348" i="44" s="1"/>
  <c r="S736" i="3"/>
  <c r="S87" i="34" s="1"/>
  <c r="K736" i="3"/>
  <c r="K87" i="34" s="1"/>
  <c r="G736" i="3"/>
  <c r="G87" i="34" s="1"/>
  <c r="F736" i="3"/>
  <c r="F87" i="34" s="1"/>
  <c r="E736" i="3"/>
  <c r="E87" i="34" s="1"/>
  <c r="D736" i="3"/>
  <c r="D87" i="34" s="1"/>
  <c r="C736" i="3"/>
  <c r="B736" i="3"/>
  <c r="B87" i="34" s="1"/>
  <c r="A736" i="3"/>
  <c r="B3347" i="44" s="1"/>
  <c r="F3347" i="44" s="1"/>
  <c r="S735" i="3"/>
  <c r="S86" i="34" s="1"/>
  <c r="K735" i="3"/>
  <c r="K86" i="34" s="1"/>
  <c r="G735" i="3"/>
  <c r="G86" i="34" s="1"/>
  <c r="F735" i="3"/>
  <c r="F86" i="34" s="1"/>
  <c r="E735" i="3"/>
  <c r="E86" i="34" s="1"/>
  <c r="D735" i="3"/>
  <c r="D86" i="34" s="1"/>
  <c r="C735" i="3"/>
  <c r="C86" i="34" s="1"/>
  <c r="B735" i="3"/>
  <c r="B86" i="34" s="1"/>
  <c r="A735" i="3"/>
  <c r="B3247" i="44" s="1"/>
  <c r="F3247" i="44" s="1"/>
  <c r="S734" i="3"/>
  <c r="S85" i="34" s="1"/>
  <c r="K734" i="3"/>
  <c r="K85" i="34" s="1"/>
  <c r="G734" i="3"/>
  <c r="G85" i="34" s="1"/>
  <c r="F734" i="3"/>
  <c r="F85" i="34" s="1"/>
  <c r="E734" i="3"/>
  <c r="E85" i="34" s="1"/>
  <c r="D734" i="3"/>
  <c r="D85" i="34" s="1"/>
  <c r="C734" i="3"/>
  <c r="B734" i="3"/>
  <c r="B85" i="34" s="1"/>
  <c r="A734" i="3"/>
  <c r="B3246" i="44" s="1"/>
  <c r="F3246" i="44" s="1"/>
  <c r="S733" i="3"/>
  <c r="S84" i="34" s="1"/>
  <c r="K733" i="3"/>
  <c r="K84" i="34" s="1"/>
  <c r="G733" i="3"/>
  <c r="G84" i="34" s="1"/>
  <c r="F733" i="3"/>
  <c r="F84" i="34" s="1"/>
  <c r="E733" i="3"/>
  <c r="E84" i="34" s="1"/>
  <c r="D733" i="3"/>
  <c r="D84" i="34" s="1"/>
  <c r="C733" i="3"/>
  <c r="B733" i="3"/>
  <c r="B84" i="34" s="1"/>
  <c r="A733" i="3"/>
  <c r="S732" i="3"/>
  <c r="S83" i="34" s="1"/>
  <c r="K732" i="3"/>
  <c r="K83" i="34" s="1"/>
  <c r="G732" i="3"/>
  <c r="G83" i="34" s="1"/>
  <c r="F732" i="3"/>
  <c r="F83" i="34" s="1"/>
  <c r="E732" i="3"/>
  <c r="E83" i="34" s="1"/>
  <c r="D732" i="3"/>
  <c r="D83" i="34" s="1"/>
  <c r="C732" i="3"/>
  <c r="C83" i="34" s="1"/>
  <c r="B732" i="3"/>
  <c r="B83" i="34" s="1"/>
  <c r="A732" i="3"/>
  <c r="B3343" i="44" s="1"/>
  <c r="F3343" i="44" s="1"/>
  <c r="S731" i="3"/>
  <c r="S82" i="34" s="1"/>
  <c r="K731" i="3"/>
  <c r="K82" i="34" s="1"/>
  <c r="G731" i="3"/>
  <c r="G82" i="34" s="1"/>
  <c r="F731" i="3"/>
  <c r="F82" i="34" s="1"/>
  <c r="E731" i="3"/>
  <c r="E82" i="34" s="1"/>
  <c r="D731" i="3"/>
  <c r="D82" i="34" s="1"/>
  <c r="C731" i="3"/>
  <c r="B731" i="3"/>
  <c r="B82" i="34" s="1"/>
  <c r="A731" i="3"/>
  <c r="B3243" i="44" s="1"/>
  <c r="F3243" i="44" s="1"/>
  <c r="S730" i="3"/>
  <c r="S81" i="34" s="1"/>
  <c r="K730" i="3"/>
  <c r="K81" i="34" s="1"/>
  <c r="G730" i="3"/>
  <c r="G81" i="34" s="1"/>
  <c r="F730" i="3"/>
  <c r="F81" i="34" s="1"/>
  <c r="E730" i="3"/>
  <c r="E81" i="34" s="1"/>
  <c r="D730" i="3"/>
  <c r="D81" i="34" s="1"/>
  <c r="C730" i="3"/>
  <c r="C81" i="34" s="1"/>
  <c r="B730" i="3"/>
  <c r="B81" i="34" s="1"/>
  <c r="A730" i="3"/>
  <c r="B3341" i="44" s="1"/>
  <c r="F3341" i="44" s="1"/>
  <c r="S729" i="3"/>
  <c r="S80" i="34" s="1"/>
  <c r="K729" i="3"/>
  <c r="K80" i="34" s="1"/>
  <c r="G729" i="3"/>
  <c r="G80" i="34" s="1"/>
  <c r="F729" i="3"/>
  <c r="F80" i="34" s="1"/>
  <c r="E729" i="3"/>
  <c r="E80" i="34" s="1"/>
  <c r="D729" i="3"/>
  <c r="D80" i="34" s="1"/>
  <c r="C729" i="3"/>
  <c r="C80" i="34" s="1"/>
  <c r="B729" i="3"/>
  <c r="B80" i="34" s="1"/>
  <c r="A729" i="3"/>
  <c r="B3241" i="44" s="1"/>
  <c r="F3241" i="44" s="1"/>
  <c r="S728" i="3"/>
  <c r="S79" i="34" s="1"/>
  <c r="K728" i="3"/>
  <c r="K79" i="34" s="1"/>
  <c r="G728" i="3"/>
  <c r="G79" i="34" s="1"/>
  <c r="F728" i="3"/>
  <c r="F79" i="34" s="1"/>
  <c r="E728" i="3"/>
  <c r="E79" i="34" s="1"/>
  <c r="D728" i="3"/>
  <c r="D79" i="34" s="1"/>
  <c r="C728" i="3"/>
  <c r="C79" i="34" s="1"/>
  <c r="B728" i="3"/>
  <c r="A728" i="3"/>
  <c r="B3240" i="44" s="1"/>
  <c r="F3240" i="44" s="1"/>
  <c r="S727" i="3"/>
  <c r="S78" i="34" s="1"/>
  <c r="K727" i="3"/>
  <c r="K78" i="34" s="1"/>
  <c r="G727" i="3"/>
  <c r="G78" i="34" s="1"/>
  <c r="F727" i="3"/>
  <c r="F78" i="34" s="1"/>
  <c r="E727" i="3"/>
  <c r="E78" i="34" s="1"/>
  <c r="D727" i="3"/>
  <c r="D78" i="34" s="1"/>
  <c r="C727" i="3"/>
  <c r="C78" i="34" s="1"/>
  <c r="B727" i="3"/>
  <c r="B78" i="34" s="1"/>
  <c r="A727" i="3"/>
  <c r="B3338" i="44" s="1"/>
  <c r="F3338" i="44" s="1"/>
  <c r="S726" i="3"/>
  <c r="S77" i="34" s="1"/>
  <c r="K726" i="3"/>
  <c r="K77" i="34" s="1"/>
  <c r="G726" i="3"/>
  <c r="G77" i="34" s="1"/>
  <c r="F726" i="3"/>
  <c r="F77" i="34" s="1"/>
  <c r="E726" i="3"/>
  <c r="E77" i="34" s="1"/>
  <c r="D726" i="3"/>
  <c r="D77" i="34" s="1"/>
  <c r="C726" i="3"/>
  <c r="C77" i="34" s="1"/>
  <c r="B726" i="3"/>
  <c r="B77" i="34" s="1"/>
  <c r="A726" i="3"/>
  <c r="B3238" i="44" s="1"/>
  <c r="F3238" i="44" s="1"/>
  <c r="S725" i="3"/>
  <c r="S76" i="34" s="1"/>
  <c r="K725" i="3"/>
  <c r="K76" i="34" s="1"/>
  <c r="G725" i="3"/>
  <c r="G76" i="34" s="1"/>
  <c r="F725" i="3"/>
  <c r="F76" i="34" s="1"/>
  <c r="E725" i="3"/>
  <c r="D725" i="3"/>
  <c r="D76" i="34" s="1"/>
  <c r="C725" i="3"/>
  <c r="B725" i="3"/>
  <c r="B76" i="34" s="1"/>
  <c r="A725" i="3"/>
  <c r="B3237" i="44" s="1"/>
  <c r="F3237" i="44" s="1"/>
  <c r="S724" i="3"/>
  <c r="S75" i="34" s="1"/>
  <c r="K724" i="3"/>
  <c r="K75" i="34" s="1"/>
  <c r="G724" i="3"/>
  <c r="G75" i="34" s="1"/>
  <c r="F724" i="3"/>
  <c r="F75" i="34" s="1"/>
  <c r="E724" i="3"/>
  <c r="E75" i="34" s="1"/>
  <c r="D724" i="3"/>
  <c r="D75" i="34" s="1"/>
  <c r="C724" i="3"/>
  <c r="C75" i="34" s="1"/>
  <c r="B724" i="3"/>
  <c r="B75" i="34" s="1"/>
  <c r="A724" i="3"/>
  <c r="B3236" i="44" s="1"/>
  <c r="F3236" i="44" s="1"/>
  <c r="S723" i="3"/>
  <c r="K723" i="3"/>
  <c r="K74" i="34" s="1"/>
  <c r="G723" i="3"/>
  <c r="G74" i="34" s="1"/>
  <c r="F723" i="3"/>
  <c r="F74" i="34" s="1"/>
  <c r="E723" i="3"/>
  <c r="E74" i="34" s="1"/>
  <c r="D723" i="3"/>
  <c r="D74" i="34" s="1"/>
  <c r="C723" i="3"/>
  <c r="C74" i="34" s="1"/>
  <c r="B723" i="3"/>
  <c r="B74" i="34" s="1"/>
  <c r="A723" i="3"/>
  <c r="B3334" i="44" s="1"/>
  <c r="F3334" i="44" s="1"/>
  <c r="S722" i="3"/>
  <c r="S73" i="34" s="1"/>
  <c r="K722" i="3"/>
  <c r="K73" i="34" s="1"/>
  <c r="G722" i="3"/>
  <c r="G73" i="34" s="1"/>
  <c r="F722" i="3"/>
  <c r="F73" i="34" s="1"/>
  <c r="E722" i="3"/>
  <c r="D722" i="3"/>
  <c r="D73" i="34" s="1"/>
  <c r="C722" i="3"/>
  <c r="B722" i="3"/>
  <c r="B73" i="34" s="1"/>
  <c r="A722" i="3"/>
  <c r="A73" i="34" s="1"/>
  <c r="S721" i="3"/>
  <c r="S72" i="34" s="1"/>
  <c r="K721" i="3"/>
  <c r="K72" i="34" s="1"/>
  <c r="G721" i="3"/>
  <c r="G72" i="34" s="1"/>
  <c r="F721" i="3"/>
  <c r="F72" i="34" s="1"/>
  <c r="E721" i="3"/>
  <c r="E72" i="34" s="1"/>
  <c r="D721" i="3"/>
  <c r="D72" i="34" s="1"/>
  <c r="C721" i="3"/>
  <c r="C72" i="34" s="1"/>
  <c r="B721" i="3"/>
  <c r="B72" i="34" s="1"/>
  <c r="A721" i="3"/>
  <c r="A72" i="34" s="1"/>
  <c r="S720" i="3"/>
  <c r="S71" i="34" s="1"/>
  <c r="K720" i="3"/>
  <c r="K71" i="34" s="1"/>
  <c r="G720" i="3"/>
  <c r="G71" i="34" s="1"/>
  <c r="F720" i="3"/>
  <c r="F71" i="34" s="1"/>
  <c r="E720" i="3"/>
  <c r="E71" i="34" s="1"/>
  <c r="D720" i="3"/>
  <c r="D71" i="34" s="1"/>
  <c r="C720" i="3"/>
  <c r="C71" i="34" s="1"/>
  <c r="B720" i="3"/>
  <c r="B71" i="34" s="1"/>
  <c r="A720" i="3"/>
  <c r="B3331" i="44" s="1"/>
  <c r="F3331" i="44" s="1"/>
  <c r="S719" i="3"/>
  <c r="S70" i="34" s="1"/>
  <c r="K719" i="3"/>
  <c r="K70" i="34" s="1"/>
  <c r="G719" i="3"/>
  <c r="G70" i="34" s="1"/>
  <c r="F719" i="3"/>
  <c r="F70" i="34" s="1"/>
  <c r="E719" i="3"/>
  <c r="E70" i="34" s="1"/>
  <c r="D719" i="3"/>
  <c r="D70" i="34" s="1"/>
  <c r="C719" i="3"/>
  <c r="C70" i="34" s="1"/>
  <c r="B719" i="3"/>
  <c r="B70" i="34" s="1"/>
  <c r="A719" i="3"/>
  <c r="B3330" i="44" s="1"/>
  <c r="F3330" i="44" s="1"/>
  <c r="S718" i="3"/>
  <c r="S69" i="34" s="1"/>
  <c r="K718" i="3"/>
  <c r="K69" i="34" s="1"/>
  <c r="G718" i="3"/>
  <c r="G69" i="34" s="1"/>
  <c r="F718" i="3"/>
  <c r="F69" i="34" s="1"/>
  <c r="E718" i="3"/>
  <c r="E69" i="34" s="1"/>
  <c r="D718" i="3"/>
  <c r="D69" i="34" s="1"/>
  <c r="C718" i="3"/>
  <c r="C69" i="34" s="1"/>
  <c r="B718" i="3"/>
  <c r="B69" i="34" s="1"/>
  <c r="A718" i="3"/>
  <c r="A69" i="34" s="1"/>
  <c r="S717" i="3"/>
  <c r="S68" i="34" s="1"/>
  <c r="K717" i="3"/>
  <c r="K68" i="34" s="1"/>
  <c r="G717" i="3"/>
  <c r="G68" i="34" s="1"/>
  <c r="F717" i="3"/>
  <c r="F68" i="34" s="1"/>
  <c r="E717" i="3"/>
  <c r="D717" i="3"/>
  <c r="D68" i="34" s="1"/>
  <c r="C717" i="3"/>
  <c r="C68" i="34" s="1"/>
  <c r="B717" i="3"/>
  <c r="B68" i="34" s="1"/>
  <c r="A717" i="3"/>
  <c r="A68" i="34" s="1"/>
  <c r="S716" i="3"/>
  <c r="S67" i="34" s="1"/>
  <c r="K716" i="3"/>
  <c r="K67" i="34" s="1"/>
  <c r="G716" i="3"/>
  <c r="G67" i="34" s="1"/>
  <c r="F716" i="3"/>
  <c r="F67" i="34" s="1"/>
  <c r="E716" i="3"/>
  <c r="E67" i="34" s="1"/>
  <c r="D716" i="3"/>
  <c r="D67" i="34" s="1"/>
  <c r="C716" i="3"/>
  <c r="C67" i="34" s="1"/>
  <c r="B716" i="3"/>
  <c r="A716" i="3"/>
  <c r="B3327" i="44" s="1"/>
  <c r="F3327" i="44" s="1"/>
  <c r="S715" i="3"/>
  <c r="K715" i="3"/>
  <c r="K66" i="34" s="1"/>
  <c r="G715" i="3"/>
  <c r="G66" i="34" s="1"/>
  <c r="F715" i="3"/>
  <c r="E715" i="3"/>
  <c r="E66" i="34" s="1"/>
  <c r="D715" i="3"/>
  <c r="D66" i="34" s="1"/>
  <c r="C715" i="3"/>
  <c r="C66" i="34" s="1"/>
  <c r="B715" i="3"/>
  <c r="B66" i="34" s="1"/>
  <c r="A715" i="3"/>
  <c r="B3227" i="44" s="1"/>
  <c r="F3227" i="44" s="1"/>
  <c r="S714" i="3"/>
  <c r="S65" i="34" s="1"/>
  <c r="K714" i="3"/>
  <c r="K65" i="34" s="1"/>
  <c r="G714" i="3"/>
  <c r="G65" i="34" s="1"/>
  <c r="F714" i="3"/>
  <c r="F65" i="34" s="1"/>
  <c r="E714" i="3"/>
  <c r="E65" i="34" s="1"/>
  <c r="D714" i="3"/>
  <c r="D65" i="34" s="1"/>
  <c r="C714" i="3"/>
  <c r="B714" i="3"/>
  <c r="B65" i="34" s="1"/>
  <c r="A714" i="3"/>
  <c r="B3325" i="44" s="1"/>
  <c r="F3325" i="44" s="1"/>
  <c r="S713" i="3"/>
  <c r="S64" i="34" s="1"/>
  <c r="K713" i="3"/>
  <c r="K64" i="34" s="1"/>
  <c r="G713" i="3"/>
  <c r="G64" i="34" s="1"/>
  <c r="F713" i="3"/>
  <c r="F64" i="34" s="1"/>
  <c r="E713" i="3"/>
  <c r="E64" i="34" s="1"/>
  <c r="D713" i="3"/>
  <c r="D64" i="34" s="1"/>
  <c r="C713" i="3"/>
  <c r="B713" i="3"/>
  <c r="B64" i="34" s="1"/>
  <c r="A713" i="3"/>
  <c r="B3225" i="44" s="1"/>
  <c r="F3225" i="44" s="1"/>
  <c r="S712" i="3"/>
  <c r="S63" i="34" s="1"/>
  <c r="K712" i="3"/>
  <c r="K63" i="34" s="1"/>
  <c r="G712" i="3"/>
  <c r="G63" i="34" s="1"/>
  <c r="F712" i="3"/>
  <c r="E712" i="3"/>
  <c r="E63" i="34" s="1"/>
  <c r="D712" i="3"/>
  <c r="D63" i="34" s="1"/>
  <c r="C712" i="3"/>
  <c r="C63" i="34" s="1"/>
  <c r="B712" i="3"/>
  <c r="B63" i="34" s="1"/>
  <c r="A712" i="3"/>
  <c r="B3323" i="44" s="1"/>
  <c r="F3323" i="44" s="1"/>
  <c r="S711" i="3"/>
  <c r="S62" i="34" s="1"/>
  <c r="K711" i="3"/>
  <c r="K62" i="34" s="1"/>
  <c r="G711" i="3"/>
  <c r="G62" i="34" s="1"/>
  <c r="F711" i="3"/>
  <c r="F62" i="34" s="1"/>
  <c r="E711" i="3"/>
  <c r="E62" i="34" s="1"/>
  <c r="D711" i="3"/>
  <c r="D62" i="34" s="1"/>
  <c r="C711" i="3"/>
  <c r="C62" i="34" s="1"/>
  <c r="B711" i="3"/>
  <c r="S710" i="3"/>
  <c r="S61" i="34" s="1"/>
  <c r="K710" i="3"/>
  <c r="K61" i="34" s="1"/>
  <c r="G710" i="3"/>
  <c r="G61" i="34" s="1"/>
  <c r="F710" i="3"/>
  <c r="F61" i="34" s="1"/>
  <c r="E710" i="3"/>
  <c r="E61" i="34" s="1"/>
  <c r="D710" i="3"/>
  <c r="D61" i="34" s="1"/>
  <c r="C710" i="3"/>
  <c r="C61" i="34" s="1"/>
  <c r="B710" i="3"/>
  <c r="B61" i="34" s="1"/>
  <c r="A710" i="3"/>
  <c r="B3222" i="44" s="1"/>
  <c r="F3222" i="44" s="1"/>
  <c r="S709" i="3"/>
  <c r="K709" i="3"/>
  <c r="K60" i="34" s="1"/>
  <c r="G709" i="3"/>
  <c r="G60" i="34" s="1"/>
  <c r="F709" i="3"/>
  <c r="F60" i="34" s="1"/>
  <c r="E709" i="3"/>
  <c r="D709" i="3"/>
  <c r="D60" i="34" s="1"/>
  <c r="C709" i="3"/>
  <c r="C60" i="34" s="1"/>
  <c r="B709" i="3"/>
  <c r="B60" i="34" s="1"/>
  <c r="S708" i="3"/>
  <c r="S59" i="34" s="1"/>
  <c r="K708" i="3"/>
  <c r="K59" i="34" s="1"/>
  <c r="G708" i="3"/>
  <c r="G59" i="34" s="1"/>
  <c r="F708" i="3"/>
  <c r="F59" i="34" s="1"/>
  <c r="E708" i="3"/>
  <c r="E59" i="34" s="1"/>
  <c r="D708" i="3"/>
  <c r="D59" i="34" s="1"/>
  <c r="C708" i="3"/>
  <c r="C59" i="34" s="1"/>
  <c r="B708" i="3"/>
  <c r="B59" i="34" s="1"/>
  <c r="A708" i="3"/>
  <c r="A59" i="34" s="1"/>
  <c r="S707" i="3"/>
  <c r="S58" i="34" s="1"/>
  <c r="K707" i="3"/>
  <c r="K58" i="34" s="1"/>
  <c r="G707" i="3"/>
  <c r="G58" i="34" s="1"/>
  <c r="F707" i="3"/>
  <c r="F58" i="34" s="1"/>
  <c r="E707" i="3"/>
  <c r="E58" i="34" s="1"/>
  <c r="D707" i="3"/>
  <c r="D58" i="34" s="1"/>
  <c r="C707" i="3"/>
  <c r="C58" i="34" s="1"/>
  <c r="B707" i="3"/>
  <c r="B58" i="34" s="1"/>
  <c r="A707" i="3"/>
  <c r="B3219" i="44" s="1"/>
  <c r="F3219" i="44" s="1"/>
  <c r="S706" i="3"/>
  <c r="S57" i="34" s="1"/>
  <c r="K706" i="3"/>
  <c r="K57" i="34" s="1"/>
  <c r="G706" i="3"/>
  <c r="G57" i="34" s="1"/>
  <c r="F706" i="3"/>
  <c r="F57" i="34" s="1"/>
  <c r="E706" i="3"/>
  <c r="E57" i="34" s="1"/>
  <c r="D706" i="3"/>
  <c r="D57" i="34" s="1"/>
  <c r="C706" i="3"/>
  <c r="C57" i="34" s="1"/>
  <c r="B706" i="3"/>
  <c r="B57" i="34" s="1"/>
  <c r="A706" i="3"/>
  <c r="B3317" i="44" s="1"/>
  <c r="F3317" i="44" s="1"/>
  <c r="S705" i="3"/>
  <c r="S56" i="34" s="1"/>
  <c r="K705" i="3"/>
  <c r="K56" i="34" s="1"/>
  <c r="G705" i="3"/>
  <c r="G56" i="34" s="1"/>
  <c r="F705" i="3"/>
  <c r="F56" i="34" s="1"/>
  <c r="E705" i="3"/>
  <c r="E56" i="34" s="1"/>
  <c r="D705" i="3"/>
  <c r="D56" i="34" s="1"/>
  <c r="C705" i="3"/>
  <c r="C56" i="34" s="1"/>
  <c r="B705" i="3"/>
  <c r="B56" i="34" s="1"/>
  <c r="A705" i="3"/>
  <c r="S704" i="3"/>
  <c r="S55" i="34" s="1"/>
  <c r="K704" i="3"/>
  <c r="K55" i="34" s="1"/>
  <c r="G704" i="3"/>
  <c r="G55" i="34" s="1"/>
  <c r="F704" i="3"/>
  <c r="E704" i="3"/>
  <c r="E55" i="34" s="1"/>
  <c r="D704" i="3"/>
  <c r="D55" i="34" s="1"/>
  <c r="C704" i="3"/>
  <c r="C55" i="34" s="1"/>
  <c r="B704" i="3"/>
  <c r="B55" i="34" s="1"/>
  <c r="A704" i="3"/>
  <c r="S703" i="3"/>
  <c r="S54" i="34" s="1"/>
  <c r="K703" i="3"/>
  <c r="K54" i="34" s="1"/>
  <c r="G703" i="3"/>
  <c r="G54" i="34" s="1"/>
  <c r="F703" i="3"/>
  <c r="F54" i="34" s="1"/>
  <c r="E703" i="3"/>
  <c r="E54" i="34" s="1"/>
  <c r="D703" i="3"/>
  <c r="D54" i="34" s="1"/>
  <c r="C703" i="3"/>
  <c r="C54" i="34" s="1"/>
  <c r="B703" i="3"/>
  <c r="B54" i="34" s="1"/>
  <c r="A703" i="3"/>
  <c r="B3314" i="44" s="1"/>
  <c r="F3314" i="44" s="1"/>
  <c r="S702" i="3"/>
  <c r="S53" i="34" s="1"/>
  <c r="K702" i="3"/>
  <c r="K53" i="34" s="1"/>
  <c r="G702" i="3"/>
  <c r="G53" i="34" s="1"/>
  <c r="F702" i="3"/>
  <c r="F53" i="34" s="1"/>
  <c r="E702" i="3"/>
  <c r="E53" i="34" s="1"/>
  <c r="D702" i="3"/>
  <c r="D53" i="34" s="1"/>
  <c r="C702" i="3"/>
  <c r="C53" i="34" s="1"/>
  <c r="B702" i="3"/>
  <c r="B53" i="34" s="1"/>
  <c r="A702" i="3"/>
  <c r="B3313" i="44" s="1"/>
  <c r="F3313" i="44" s="1"/>
  <c r="S701" i="3"/>
  <c r="S52" i="34" s="1"/>
  <c r="K701" i="3"/>
  <c r="K52" i="34" s="1"/>
  <c r="G701" i="3"/>
  <c r="G52" i="34" s="1"/>
  <c r="F701" i="3"/>
  <c r="F52" i="34" s="1"/>
  <c r="E701" i="3"/>
  <c r="E52" i="34" s="1"/>
  <c r="D701" i="3"/>
  <c r="D52" i="34" s="1"/>
  <c r="C701" i="3"/>
  <c r="C52" i="34" s="1"/>
  <c r="B701" i="3"/>
  <c r="B52" i="34" s="1"/>
  <c r="A701" i="3"/>
  <c r="S700" i="3"/>
  <c r="S51" i="34" s="1"/>
  <c r="K700" i="3"/>
  <c r="K51" i="34" s="1"/>
  <c r="G700" i="3"/>
  <c r="G51" i="34" s="1"/>
  <c r="F700" i="3"/>
  <c r="F51" i="34" s="1"/>
  <c r="E700" i="3"/>
  <c r="E51" i="34" s="1"/>
  <c r="D700" i="3"/>
  <c r="D51" i="34" s="1"/>
  <c r="C700" i="3"/>
  <c r="C51" i="34" s="1"/>
  <c r="B700" i="3"/>
  <c r="B51" i="34" s="1"/>
  <c r="A700" i="3"/>
  <c r="B3212" i="44" s="1"/>
  <c r="F3212" i="44" s="1"/>
  <c r="S699" i="3"/>
  <c r="S50" i="34" s="1"/>
  <c r="K699" i="3"/>
  <c r="K50" i="34" s="1"/>
  <c r="G699" i="3"/>
  <c r="G50" i="34" s="1"/>
  <c r="F699" i="3"/>
  <c r="E699" i="3"/>
  <c r="E50" i="34" s="1"/>
  <c r="D699" i="3"/>
  <c r="D50" i="34" s="1"/>
  <c r="C699" i="3"/>
  <c r="C50" i="34" s="1"/>
  <c r="B699" i="3"/>
  <c r="B50" i="34" s="1"/>
  <c r="A699" i="3"/>
  <c r="S698" i="3"/>
  <c r="K698" i="3"/>
  <c r="K49" i="34" s="1"/>
  <c r="G698" i="3"/>
  <c r="G49" i="34" s="1"/>
  <c r="F698" i="3"/>
  <c r="E698" i="3"/>
  <c r="E49" i="34" s="1"/>
  <c r="D698" i="3"/>
  <c r="D49" i="34" s="1"/>
  <c r="C698" i="3"/>
  <c r="C49" i="34" s="1"/>
  <c r="B698" i="3"/>
  <c r="B49" i="34" s="1"/>
  <c r="A698" i="3"/>
  <c r="B3210" i="44" s="1"/>
  <c r="F3210" i="44" s="1"/>
  <c r="S697" i="3"/>
  <c r="S48" i="34" s="1"/>
  <c r="K697" i="3"/>
  <c r="K48" i="34" s="1"/>
  <c r="G697" i="3"/>
  <c r="G48" i="34" s="1"/>
  <c r="F697" i="3"/>
  <c r="E697" i="3"/>
  <c r="E48" i="34" s="1"/>
  <c r="D697" i="3"/>
  <c r="D48" i="34" s="1"/>
  <c r="C697" i="3"/>
  <c r="C48" i="34" s="1"/>
  <c r="B697" i="3"/>
  <c r="B48" i="34" s="1"/>
  <c r="A697" i="3"/>
  <c r="A48" i="34" s="1"/>
  <c r="S696" i="3"/>
  <c r="S47" i="34" s="1"/>
  <c r="K696" i="3"/>
  <c r="K47" i="34" s="1"/>
  <c r="G696" i="3"/>
  <c r="G47" i="34" s="1"/>
  <c r="F696" i="3"/>
  <c r="F47" i="34" s="1"/>
  <c r="E696" i="3"/>
  <c r="E47" i="34" s="1"/>
  <c r="D696" i="3"/>
  <c r="D47" i="34" s="1"/>
  <c r="C696" i="3"/>
  <c r="C47" i="34" s="1"/>
  <c r="B696" i="3"/>
  <c r="B47" i="34" s="1"/>
  <c r="A696" i="3"/>
  <c r="B3307" i="44" s="1"/>
  <c r="F3307" i="44" s="1"/>
  <c r="S695" i="3"/>
  <c r="S46" i="34" s="1"/>
  <c r="K695" i="3"/>
  <c r="K46" i="34" s="1"/>
  <c r="G695" i="3"/>
  <c r="G46" i="34" s="1"/>
  <c r="F695" i="3"/>
  <c r="F46" i="34" s="1"/>
  <c r="E695" i="3"/>
  <c r="E46" i="34" s="1"/>
  <c r="D695" i="3"/>
  <c r="D46" i="34" s="1"/>
  <c r="C695" i="3"/>
  <c r="B695" i="3"/>
  <c r="B46" i="34" s="1"/>
  <c r="A695" i="3"/>
  <c r="B3207" i="44" s="1"/>
  <c r="F3207" i="44" s="1"/>
  <c r="S694" i="3"/>
  <c r="S45" i="34" s="1"/>
  <c r="K694" i="3"/>
  <c r="K45" i="34" s="1"/>
  <c r="G694" i="3"/>
  <c r="G45" i="34" s="1"/>
  <c r="F694" i="3"/>
  <c r="E694" i="3"/>
  <c r="E45" i="34" s="1"/>
  <c r="D694" i="3"/>
  <c r="D45" i="34" s="1"/>
  <c r="C694" i="3"/>
  <c r="C45" i="34" s="1"/>
  <c r="B694" i="3"/>
  <c r="B45" i="34" s="1"/>
  <c r="A694" i="3"/>
  <c r="S693" i="3"/>
  <c r="S44" i="34" s="1"/>
  <c r="K693" i="3"/>
  <c r="K44" i="34" s="1"/>
  <c r="G693" i="3"/>
  <c r="G44" i="34" s="1"/>
  <c r="F693" i="3"/>
  <c r="F44" i="34" s="1"/>
  <c r="E693" i="3"/>
  <c r="E44" i="34" s="1"/>
  <c r="D693" i="3"/>
  <c r="D44" i="34" s="1"/>
  <c r="C693" i="3"/>
  <c r="C44" i="34" s="1"/>
  <c r="B693" i="3"/>
  <c r="A693" i="3"/>
  <c r="B3205" i="44" s="1"/>
  <c r="F3205" i="44" s="1"/>
  <c r="S692" i="3"/>
  <c r="S43" i="34" s="1"/>
  <c r="K692" i="3"/>
  <c r="K43" i="34" s="1"/>
  <c r="G692" i="3"/>
  <c r="G43" i="34" s="1"/>
  <c r="F692" i="3"/>
  <c r="F43" i="34" s="1"/>
  <c r="E692" i="3"/>
  <c r="D692" i="3"/>
  <c r="D43" i="34" s="1"/>
  <c r="C692" i="3"/>
  <c r="C43" i="34" s="1"/>
  <c r="B692" i="3"/>
  <c r="B43" i="34" s="1"/>
  <c r="A692" i="3"/>
  <c r="B3303" i="44" s="1"/>
  <c r="F3303" i="44" s="1"/>
  <c r="S691" i="3"/>
  <c r="S42" i="34" s="1"/>
  <c r="K691" i="3"/>
  <c r="K42" i="34" s="1"/>
  <c r="G691" i="3"/>
  <c r="G42" i="34" s="1"/>
  <c r="F691" i="3"/>
  <c r="F42" i="34" s="1"/>
  <c r="E691" i="3"/>
  <c r="E42" i="34" s="1"/>
  <c r="D691" i="3"/>
  <c r="D42" i="34" s="1"/>
  <c r="C691" i="3"/>
  <c r="C42" i="34" s="1"/>
  <c r="B691" i="3"/>
  <c r="B42" i="34" s="1"/>
  <c r="A691" i="3"/>
  <c r="B3302" i="44" s="1"/>
  <c r="F3302" i="44" s="1"/>
  <c r="S690" i="3"/>
  <c r="S41" i="34" s="1"/>
  <c r="K690" i="3"/>
  <c r="K41" i="34" s="1"/>
  <c r="G690" i="3"/>
  <c r="G41" i="34" s="1"/>
  <c r="F690" i="3"/>
  <c r="F41" i="34" s="1"/>
  <c r="E690" i="3"/>
  <c r="E41" i="34" s="1"/>
  <c r="D690" i="3"/>
  <c r="D41" i="34" s="1"/>
  <c r="C690" i="3"/>
  <c r="C41" i="34" s="1"/>
  <c r="B690" i="3"/>
  <c r="B41" i="34" s="1"/>
  <c r="A690" i="3"/>
  <c r="S689" i="3"/>
  <c r="K689" i="3"/>
  <c r="K40" i="34" s="1"/>
  <c r="G689" i="3"/>
  <c r="G40" i="34" s="1"/>
  <c r="F689" i="3"/>
  <c r="E689" i="3"/>
  <c r="E40" i="34" s="1"/>
  <c r="D689" i="3"/>
  <c r="D40" i="34" s="1"/>
  <c r="C689" i="3"/>
  <c r="C40" i="34" s="1"/>
  <c r="B689" i="3"/>
  <c r="B40" i="34" s="1"/>
  <c r="A689" i="3"/>
  <c r="A40" i="34" s="1"/>
  <c r="S688" i="3"/>
  <c r="S39" i="34" s="1"/>
  <c r="K688" i="3"/>
  <c r="K39" i="34" s="1"/>
  <c r="G688" i="3"/>
  <c r="G39" i="34" s="1"/>
  <c r="F688" i="3"/>
  <c r="E688" i="3"/>
  <c r="E39" i="34" s="1"/>
  <c r="D688" i="3"/>
  <c r="D39" i="34" s="1"/>
  <c r="C688" i="3"/>
  <c r="C39" i="34" s="1"/>
  <c r="B688" i="3"/>
  <c r="B39" i="34" s="1"/>
  <c r="A688" i="3"/>
  <c r="B3200" i="44" s="1"/>
  <c r="F3200" i="44" s="1"/>
  <c r="S687" i="3"/>
  <c r="S38" i="34" s="1"/>
  <c r="K687" i="3"/>
  <c r="K38" i="34" s="1"/>
  <c r="G687" i="3"/>
  <c r="G38" i="34" s="1"/>
  <c r="F687" i="3"/>
  <c r="F38" i="34" s="1"/>
  <c r="E687" i="3"/>
  <c r="E38" i="34" s="1"/>
  <c r="D687" i="3"/>
  <c r="D38" i="34" s="1"/>
  <c r="C687" i="3"/>
  <c r="C38" i="34" s="1"/>
  <c r="B687" i="3"/>
  <c r="A687" i="3"/>
  <c r="S686" i="3"/>
  <c r="S37" i="34" s="1"/>
  <c r="K686" i="3"/>
  <c r="K37" i="34" s="1"/>
  <c r="G686" i="3"/>
  <c r="G37" i="34" s="1"/>
  <c r="F686" i="3"/>
  <c r="F37" i="34" s="1"/>
  <c r="E686" i="3"/>
  <c r="D686" i="3"/>
  <c r="D37" i="34" s="1"/>
  <c r="C686" i="3"/>
  <c r="C37" i="34" s="1"/>
  <c r="B686" i="3"/>
  <c r="B37" i="34" s="1"/>
  <c r="A686" i="3"/>
  <c r="B3198" i="44" s="1"/>
  <c r="F3198" i="44" s="1"/>
  <c r="S685" i="3"/>
  <c r="K685" i="3"/>
  <c r="K36" i="34" s="1"/>
  <c r="G685" i="3"/>
  <c r="G36" i="34" s="1"/>
  <c r="F685" i="3"/>
  <c r="F36" i="34" s="1"/>
  <c r="E685" i="3"/>
  <c r="E36" i="34" s="1"/>
  <c r="D685" i="3"/>
  <c r="D36" i="34" s="1"/>
  <c r="C685" i="3"/>
  <c r="C36" i="34" s="1"/>
  <c r="B685" i="3"/>
  <c r="B36" i="34" s="1"/>
  <c r="A685" i="3"/>
  <c r="A36" i="34" s="1"/>
  <c r="S684" i="3"/>
  <c r="S35" i="34" s="1"/>
  <c r="K684" i="3"/>
  <c r="K35" i="34" s="1"/>
  <c r="G684" i="3"/>
  <c r="G35" i="34" s="1"/>
  <c r="F684" i="3"/>
  <c r="F35" i="34" s="1"/>
  <c r="E684" i="3"/>
  <c r="E35" i="34" s="1"/>
  <c r="D684" i="3"/>
  <c r="D35" i="34" s="1"/>
  <c r="C684" i="3"/>
  <c r="C35" i="34" s="1"/>
  <c r="B684" i="3"/>
  <c r="B35" i="34" s="1"/>
  <c r="A684" i="3"/>
  <c r="A35" i="34" s="1"/>
  <c r="S683" i="3"/>
  <c r="S34" i="34" s="1"/>
  <c r="K683" i="3"/>
  <c r="K34" i="34" s="1"/>
  <c r="G683" i="3"/>
  <c r="G34" i="34" s="1"/>
  <c r="F683" i="3"/>
  <c r="F34" i="34" s="1"/>
  <c r="E683" i="3"/>
  <c r="E34" i="34" s="1"/>
  <c r="D683" i="3"/>
  <c r="D34" i="34" s="1"/>
  <c r="C683" i="3"/>
  <c r="C34" i="34" s="1"/>
  <c r="B683" i="3"/>
  <c r="A683" i="3"/>
  <c r="A34" i="34" s="1"/>
  <c r="S682" i="3"/>
  <c r="K682" i="3"/>
  <c r="K33" i="34" s="1"/>
  <c r="G682" i="3"/>
  <c r="G33" i="34" s="1"/>
  <c r="F682" i="3"/>
  <c r="F33" i="34" s="1"/>
  <c r="E682" i="3"/>
  <c r="E33" i="34" s="1"/>
  <c r="D682" i="3"/>
  <c r="D33" i="34" s="1"/>
  <c r="C682" i="3"/>
  <c r="C33" i="34" s="1"/>
  <c r="B682" i="3"/>
  <c r="B33" i="34" s="1"/>
  <c r="A682" i="3"/>
  <c r="B3293" i="44" s="1"/>
  <c r="F3293" i="44" s="1"/>
  <c r="S681" i="3"/>
  <c r="S32" i="34" s="1"/>
  <c r="K681" i="3"/>
  <c r="K32" i="34" s="1"/>
  <c r="G681" i="3"/>
  <c r="G32" i="34" s="1"/>
  <c r="F681" i="3"/>
  <c r="E681" i="3"/>
  <c r="E32" i="34" s="1"/>
  <c r="D681" i="3"/>
  <c r="D32" i="34" s="1"/>
  <c r="C681" i="3"/>
  <c r="B681" i="3"/>
  <c r="B32" i="34" s="1"/>
  <c r="A681" i="3"/>
  <c r="B3292" i="44" s="1"/>
  <c r="F3292" i="44" s="1"/>
  <c r="S680" i="3"/>
  <c r="K680" i="3"/>
  <c r="K31" i="34" s="1"/>
  <c r="G680" i="3"/>
  <c r="G31" i="34" s="1"/>
  <c r="F680" i="3"/>
  <c r="F31" i="34" s="1"/>
  <c r="E680" i="3"/>
  <c r="D680" i="3"/>
  <c r="D31" i="34" s="1"/>
  <c r="C680" i="3"/>
  <c r="B680" i="3"/>
  <c r="B31" i="34" s="1"/>
  <c r="A680" i="3"/>
  <c r="S679" i="3"/>
  <c r="S30" i="34" s="1"/>
  <c r="K679" i="3"/>
  <c r="K30" i="34" s="1"/>
  <c r="G679" i="3"/>
  <c r="G30" i="34" s="1"/>
  <c r="F679" i="3"/>
  <c r="E679" i="3"/>
  <c r="E30" i="34" s="1"/>
  <c r="D679" i="3"/>
  <c r="D30" i="34" s="1"/>
  <c r="C679" i="3"/>
  <c r="C30" i="34" s="1"/>
  <c r="B679" i="3"/>
  <c r="B30" i="34" s="1"/>
  <c r="A679" i="3"/>
  <c r="B3191" i="44" s="1"/>
  <c r="F3191" i="44" s="1"/>
  <c r="S678" i="3"/>
  <c r="S29" i="34" s="1"/>
  <c r="K678" i="3"/>
  <c r="K29" i="34" s="1"/>
  <c r="G678" i="3"/>
  <c r="G29" i="34" s="1"/>
  <c r="F678" i="3"/>
  <c r="F29" i="34" s="1"/>
  <c r="E678" i="3"/>
  <c r="E29" i="34" s="1"/>
  <c r="D678" i="3"/>
  <c r="D29" i="34" s="1"/>
  <c r="C678" i="3"/>
  <c r="C29" i="34" s="1"/>
  <c r="B678" i="3"/>
  <c r="A678" i="3"/>
  <c r="B3190" i="44" s="1"/>
  <c r="F3190" i="44" s="1"/>
  <c r="S677" i="3"/>
  <c r="S28" i="34" s="1"/>
  <c r="K677" i="3"/>
  <c r="K28" i="34" s="1"/>
  <c r="G677" i="3"/>
  <c r="G28" i="34" s="1"/>
  <c r="F677" i="3"/>
  <c r="F28" i="34" s="1"/>
  <c r="E677" i="3"/>
  <c r="E28" i="34" s="1"/>
  <c r="D677" i="3"/>
  <c r="D28" i="34" s="1"/>
  <c r="C677" i="3"/>
  <c r="C28" i="34" s="1"/>
  <c r="B677" i="3"/>
  <c r="B28" i="34" s="1"/>
  <c r="A677" i="3"/>
  <c r="A28" i="34" s="1"/>
  <c r="S676" i="3"/>
  <c r="S27" i="34" s="1"/>
  <c r="K676" i="3"/>
  <c r="K27" i="34" s="1"/>
  <c r="G676" i="3"/>
  <c r="G27" i="34" s="1"/>
  <c r="F676" i="3"/>
  <c r="F27" i="34" s="1"/>
  <c r="E676" i="3"/>
  <c r="E27" i="34" s="1"/>
  <c r="D676" i="3"/>
  <c r="D27" i="34" s="1"/>
  <c r="C676" i="3"/>
  <c r="C27" i="34" s="1"/>
  <c r="B676" i="3"/>
  <c r="B27" i="34" s="1"/>
  <c r="A676" i="3"/>
  <c r="S675" i="3"/>
  <c r="S26" i="34" s="1"/>
  <c r="K675" i="3"/>
  <c r="K26" i="34" s="1"/>
  <c r="G675" i="3"/>
  <c r="G26" i="34" s="1"/>
  <c r="F675" i="3"/>
  <c r="F26" i="34" s="1"/>
  <c r="E675" i="3"/>
  <c r="E26" i="34" s="1"/>
  <c r="D675" i="3"/>
  <c r="D26" i="34" s="1"/>
  <c r="C675" i="3"/>
  <c r="C26" i="34" s="1"/>
  <c r="B675" i="3"/>
  <c r="A675" i="3"/>
  <c r="B3286" i="44" s="1"/>
  <c r="F3286" i="44" s="1"/>
  <c r="S674" i="3"/>
  <c r="S25" i="34" s="1"/>
  <c r="K674" i="3"/>
  <c r="K25" i="34" s="1"/>
  <c r="G674" i="3"/>
  <c r="G25" i="34" s="1"/>
  <c r="F674" i="3"/>
  <c r="F25" i="34" s="1"/>
  <c r="E674" i="3"/>
  <c r="E25" i="34" s="1"/>
  <c r="D674" i="3"/>
  <c r="D25" i="34" s="1"/>
  <c r="C674" i="3"/>
  <c r="C25" i="34" s="1"/>
  <c r="B674" i="3"/>
  <c r="B25" i="34" s="1"/>
  <c r="A674" i="3"/>
  <c r="S673" i="3"/>
  <c r="S24" i="34" s="1"/>
  <c r="K673" i="3"/>
  <c r="K24" i="34" s="1"/>
  <c r="G673" i="3"/>
  <c r="G24" i="34" s="1"/>
  <c r="F673" i="3"/>
  <c r="F24" i="34" s="1"/>
  <c r="E673" i="3"/>
  <c r="E24" i="34" s="1"/>
  <c r="D673" i="3"/>
  <c r="D24" i="34" s="1"/>
  <c r="C673" i="3"/>
  <c r="C24" i="34" s="1"/>
  <c r="B673" i="3"/>
  <c r="B24" i="34" s="1"/>
  <c r="A673" i="3"/>
  <c r="B3284" i="44" s="1"/>
  <c r="F3284" i="44" s="1"/>
  <c r="S672" i="3"/>
  <c r="S23" i="34" s="1"/>
  <c r="K672" i="3"/>
  <c r="K23" i="34" s="1"/>
  <c r="G672" i="3"/>
  <c r="G23" i="34" s="1"/>
  <c r="F672" i="3"/>
  <c r="F23" i="34" s="1"/>
  <c r="E672" i="3"/>
  <c r="E23" i="34" s="1"/>
  <c r="D672" i="3"/>
  <c r="D23" i="34" s="1"/>
  <c r="C672" i="3"/>
  <c r="C23" i="34" s="1"/>
  <c r="B672" i="3"/>
  <c r="B23" i="34" s="1"/>
  <c r="A672" i="3"/>
  <c r="A23" i="34" s="1"/>
  <c r="S671" i="3"/>
  <c r="S22" i="34" s="1"/>
  <c r="K671" i="3"/>
  <c r="K22" i="34" s="1"/>
  <c r="G671" i="3"/>
  <c r="G22" i="34" s="1"/>
  <c r="F671" i="3"/>
  <c r="F22" i="34" s="1"/>
  <c r="E671" i="3"/>
  <c r="E22" i="34" s="1"/>
  <c r="D671" i="3"/>
  <c r="D22" i="34" s="1"/>
  <c r="C671" i="3"/>
  <c r="C22" i="34" s="1"/>
  <c r="B671" i="3"/>
  <c r="B22" i="34" s="1"/>
  <c r="A671" i="3"/>
  <c r="B3282" i="44" s="1"/>
  <c r="F3282" i="44" s="1"/>
  <c r="S670" i="3"/>
  <c r="K670" i="3"/>
  <c r="K21" i="34" s="1"/>
  <c r="G670" i="3"/>
  <c r="G21" i="34" s="1"/>
  <c r="F670" i="3"/>
  <c r="F21" i="34" s="1"/>
  <c r="E670" i="3"/>
  <c r="E21" i="34" s="1"/>
  <c r="D670" i="3"/>
  <c r="D21" i="34" s="1"/>
  <c r="C670" i="3"/>
  <c r="C21" i="34" s="1"/>
  <c r="B670" i="3"/>
  <c r="A670" i="3"/>
  <c r="S669" i="3"/>
  <c r="S20" i="34" s="1"/>
  <c r="K669" i="3"/>
  <c r="K20" i="34" s="1"/>
  <c r="G669" i="3"/>
  <c r="G20" i="34" s="1"/>
  <c r="F669" i="3"/>
  <c r="E669" i="3"/>
  <c r="E20" i="34" s="1"/>
  <c r="D669" i="3"/>
  <c r="D20" i="34" s="1"/>
  <c r="C669" i="3"/>
  <c r="C20" i="34" s="1"/>
  <c r="B669" i="3"/>
  <c r="B20" i="34" s="1"/>
  <c r="A669" i="3"/>
  <c r="B3181" i="44" s="1"/>
  <c r="F3181" i="44" s="1"/>
  <c r="S668" i="3"/>
  <c r="S19" i="34" s="1"/>
  <c r="K668" i="3"/>
  <c r="K19" i="34" s="1"/>
  <c r="G668" i="3"/>
  <c r="G19" i="34" s="1"/>
  <c r="F668" i="3"/>
  <c r="F19" i="34" s="1"/>
  <c r="E668" i="3"/>
  <c r="E19" i="34" s="1"/>
  <c r="D668" i="3"/>
  <c r="D19" i="34" s="1"/>
  <c r="C668" i="3"/>
  <c r="C19" i="34" s="1"/>
  <c r="B668" i="3"/>
  <c r="B19" i="34" s="1"/>
  <c r="A668" i="3"/>
  <c r="A19" i="34" s="1"/>
  <c r="S667" i="3"/>
  <c r="K667" i="3"/>
  <c r="K18" i="34" s="1"/>
  <c r="G667" i="3"/>
  <c r="G18" i="34" s="1"/>
  <c r="F667" i="3"/>
  <c r="F18" i="34" s="1"/>
  <c r="E667" i="3"/>
  <c r="E18" i="34" s="1"/>
  <c r="D667" i="3"/>
  <c r="D18" i="34" s="1"/>
  <c r="C667" i="3"/>
  <c r="C18" i="34" s="1"/>
  <c r="B667" i="3"/>
  <c r="B18" i="34" s="1"/>
  <c r="A667" i="3"/>
  <c r="A18" i="34" s="1"/>
  <c r="S666" i="3"/>
  <c r="S17" i="34" s="1"/>
  <c r="K666" i="3"/>
  <c r="K17" i="34" s="1"/>
  <c r="G666" i="3"/>
  <c r="G17" i="34" s="1"/>
  <c r="F666" i="3"/>
  <c r="F17" i="34" s="1"/>
  <c r="E666" i="3"/>
  <c r="E17" i="34" s="1"/>
  <c r="D666" i="3"/>
  <c r="D17" i="34" s="1"/>
  <c r="C666" i="3"/>
  <c r="B666" i="3"/>
  <c r="B17" i="34" s="1"/>
  <c r="A666" i="3"/>
  <c r="B3277" i="44" s="1"/>
  <c r="F3277" i="44" s="1"/>
  <c r="S665" i="3"/>
  <c r="S16" i="34" s="1"/>
  <c r="K665" i="3"/>
  <c r="K16" i="34" s="1"/>
  <c r="G665" i="3"/>
  <c r="G16" i="34" s="1"/>
  <c r="F665" i="3"/>
  <c r="F16" i="34" s="1"/>
  <c r="E665" i="3"/>
  <c r="E16" i="34" s="1"/>
  <c r="D665" i="3"/>
  <c r="D16" i="34" s="1"/>
  <c r="C665" i="3"/>
  <c r="B665" i="3"/>
  <c r="B16" i="34" s="1"/>
  <c r="A665" i="3"/>
  <c r="B3177" i="44" s="1"/>
  <c r="F3177" i="44" s="1"/>
  <c r="S664" i="3"/>
  <c r="S15" i="34" s="1"/>
  <c r="K664" i="3"/>
  <c r="K15" i="34" s="1"/>
  <c r="G664" i="3"/>
  <c r="G15" i="34" s="1"/>
  <c r="F664" i="3"/>
  <c r="F15" i="34" s="1"/>
  <c r="E664" i="3"/>
  <c r="E15" i="34" s="1"/>
  <c r="D664" i="3"/>
  <c r="D15" i="34" s="1"/>
  <c r="C664" i="3"/>
  <c r="C15" i="34" s="1"/>
  <c r="B664" i="3"/>
  <c r="B15" i="34" s="1"/>
  <c r="A664" i="3"/>
  <c r="B3275" i="44" s="1"/>
  <c r="F3275" i="44" s="1"/>
  <c r="S663" i="3"/>
  <c r="K663" i="3"/>
  <c r="K14" i="34" s="1"/>
  <c r="G663" i="3"/>
  <c r="G14" i="34" s="1"/>
  <c r="F663" i="3"/>
  <c r="F14" i="34" s="1"/>
  <c r="E663" i="3"/>
  <c r="E14" i="34" s="1"/>
  <c r="D663" i="3"/>
  <c r="D14" i="34" s="1"/>
  <c r="C663" i="3"/>
  <c r="B663" i="3"/>
  <c r="B14" i="34" s="1"/>
  <c r="A663" i="3"/>
  <c r="B3274" i="44" s="1"/>
  <c r="F3274" i="44" s="1"/>
  <c r="S662" i="3"/>
  <c r="S13" i="34" s="1"/>
  <c r="K662" i="3"/>
  <c r="K13" i="34" s="1"/>
  <c r="G662" i="3"/>
  <c r="G13" i="34" s="1"/>
  <c r="F662" i="3"/>
  <c r="F13" i="34" s="1"/>
  <c r="E662" i="3"/>
  <c r="E13" i="34" s="1"/>
  <c r="D662" i="3"/>
  <c r="D13" i="34" s="1"/>
  <c r="C662" i="3"/>
  <c r="C13" i="34" s="1"/>
  <c r="B662" i="3"/>
  <c r="B13" i="34" s="1"/>
  <c r="A662" i="3"/>
  <c r="B3174" i="44" s="1"/>
  <c r="F3174" i="44" s="1"/>
  <c r="S661" i="3"/>
  <c r="S12" i="34" s="1"/>
  <c r="K661" i="3"/>
  <c r="K12" i="34" s="1"/>
  <c r="G661" i="3"/>
  <c r="G12" i="34" s="1"/>
  <c r="E661" i="3"/>
  <c r="E12" i="34" s="1"/>
  <c r="D661" i="3"/>
  <c r="D12" i="34" s="1"/>
  <c r="C661" i="3"/>
  <c r="C12" i="34" s="1"/>
  <c r="B661" i="3"/>
  <c r="B12" i="34" s="1"/>
  <c r="A661" i="3"/>
  <c r="B3173" i="44" s="1"/>
  <c r="F3173" i="44" s="1"/>
  <c r="S660" i="3"/>
  <c r="S11" i="34" s="1"/>
  <c r="K660" i="3"/>
  <c r="K11" i="34" s="1"/>
  <c r="G660" i="3"/>
  <c r="G11" i="34" s="1"/>
  <c r="F660" i="3"/>
  <c r="F11" i="34" s="1"/>
  <c r="E660" i="3"/>
  <c r="E11" i="34" s="1"/>
  <c r="D660" i="3"/>
  <c r="D11" i="34" s="1"/>
  <c r="C660" i="3"/>
  <c r="B660" i="3"/>
  <c r="A660" i="3"/>
  <c r="B3271" i="44" s="1"/>
  <c r="F3271" i="44" s="1"/>
  <c r="S659" i="3"/>
  <c r="S10" i="34" s="1"/>
  <c r="K659" i="3"/>
  <c r="K10" i="34" s="1"/>
  <c r="G659" i="3"/>
  <c r="G10" i="34" s="1"/>
  <c r="F659" i="3"/>
  <c r="F10" i="34" s="1"/>
  <c r="E659" i="3"/>
  <c r="D659" i="3"/>
  <c r="D10" i="34" s="1"/>
  <c r="C659" i="3"/>
  <c r="C10" i="34" s="1"/>
  <c r="B659" i="3"/>
  <c r="B10" i="34" s="1"/>
  <c r="A659" i="3"/>
  <c r="S658" i="3"/>
  <c r="S9" i="34" s="1"/>
  <c r="K658" i="3"/>
  <c r="K9" i="34" s="1"/>
  <c r="G658" i="3"/>
  <c r="G9" i="34" s="1"/>
  <c r="F658" i="3"/>
  <c r="F9" i="34" s="1"/>
  <c r="E658" i="3"/>
  <c r="E9" i="34" s="1"/>
  <c r="D658" i="3"/>
  <c r="D9" i="34" s="1"/>
  <c r="C658" i="3"/>
  <c r="C9" i="34" s="1"/>
  <c r="B658" i="3"/>
  <c r="B9" i="34" s="1"/>
  <c r="A658" i="3"/>
  <c r="A9" i="34" s="1"/>
  <c r="S657" i="3"/>
  <c r="S8" i="34" s="1"/>
  <c r="K657" i="3"/>
  <c r="K8" i="34" s="1"/>
  <c r="G657" i="3"/>
  <c r="G8" i="34" s="1"/>
  <c r="F657" i="3"/>
  <c r="E657" i="3"/>
  <c r="E8" i="34" s="1"/>
  <c r="D657" i="3"/>
  <c r="D8" i="34" s="1"/>
  <c r="C657" i="3"/>
  <c r="C8" i="34" s="1"/>
  <c r="B657" i="3"/>
  <c r="A657" i="3"/>
  <c r="B3268" i="44" s="1"/>
  <c r="F3268" i="44" s="1"/>
  <c r="S656" i="3"/>
  <c r="S7" i="34" s="1"/>
  <c r="K656" i="3"/>
  <c r="K7" i="34" s="1"/>
  <c r="G656" i="3"/>
  <c r="G7" i="34" s="1"/>
  <c r="F656" i="3"/>
  <c r="F7" i="34" s="1"/>
  <c r="E656" i="3"/>
  <c r="E7" i="34" s="1"/>
  <c r="D656" i="3"/>
  <c r="D7" i="34" s="1"/>
  <c r="C656" i="3"/>
  <c r="C7" i="34" s="1"/>
  <c r="B656" i="3"/>
  <c r="A656" i="3"/>
  <c r="B3168" i="44" s="1"/>
  <c r="F3168" i="44" s="1"/>
  <c r="A655" i="3"/>
  <c r="B3167" i="44" s="1"/>
  <c r="F3167" i="44" s="1"/>
  <c r="A654" i="3"/>
  <c r="A5" i="34" s="1"/>
  <c r="S655" i="3"/>
  <c r="S6" i="34" s="1"/>
  <c r="K655" i="3"/>
  <c r="K6" i="34" s="1"/>
  <c r="G655" i="3"/>
  <c r="G6" i="34" s="1"/>
  <c r="F655" i="3"/>
  <c r="E655" i="3"/>
  <c r="E6" i="34" s="1"/>
  <c r="D655" i="3"/>
  <c r="D6" i="34" s="1"/>
  <c r="C655" i="3"/>
  <c r="B655" i="3"/>
  <c r="B6" i="34" s="1"/>
  <c r="S654" i="3"/>
  <c r="S5" i="34" s="1"/>
  <c r="M654" i="3"/>
  <c r="M5" i="34" s="1"/>
  <c r="G654" i="3"/>
  <c r="G5" i="34" s="1"/>
  <c r="F654" i="3"/>
  <c r="F5" i="34" s="1"/>
  <c r="E654" i="3"/>
  <c r="E5" i="34" s="1"/>
  <c r="D654" i="3"/>
  <c r="D5" i="34" s="1"/>
  <c r="C654" i="3"/>
  <c r="C5" i="34" s="1"/>
  <c r="B654" i="3"/>
  <c r="B5" i="34" s="1"/>
  <c r="B811" i="3"/>
  <c r="B810" i="3"/>
  <c r="B552" i="3"/>
  <c r="B563" i="3"/>
  <c r="E69" i="24" s="1"/>
  <c r="B600" i="3"/>
  <c r="L63" i="3"/>
  <c r="D101" i="25" s="1"/>
  <c r="L64" i="3"/>
  <c r="D102" i="25" s="1"/>
  <c r="L65" i="3"/>
  <c r="D103" i="25" s="1"/>
  <c r="L66" i="3"/>
  <c r="D104" i="25" s="1"/>
  <c r="L67" i="3"/>
  <c r="D105" i="25" s="1"/>
  <c r="L61" i="3"/>
  <c r="B534" i="3"/>
  <c r="B528" i="3"/>
  <c r="B354" i="3"/>
  <c r="D49" i="42" s="1"/>
  <c r="B109" i="3" a="1"/>
  <c r="B109" i="3" s="1"/>
  <c r="B336" i="3"/>
  <c r="B162" i="3"/>
  <c r="B160" i="3"/>
  <c r="A162" i="3"/>
  <c r="B157" i="3"/>
  <c r="A157" i="3"/>
  <c r="B156" i="3"/>
  <c r="A156" i="3"/>
  <c r="B155" i="3"/>
  <c r="A155" i="3"/>
  <c r="B154" i="3"/>
  <c r="A154" i="3"/>
  <c r="B153" i="3"/>
  <c r="A153" i="3"/>
  <c r="B152" i="3"/>
  <c r="A152" i="3"/>
  <c r="A151" i="3"/>
  <c r="D148" i="3"/>
  <c r="E148" i="3" s="1"/>
  <c r="C148" i="3"/>
  <c r="B148" i="3"/>
  <c r="A148" i="3"/>
  <c r="D147" i="3"/>
  <c r="E147" i="3" s="1"/>
  <c r="C147" i="3"/>
  <c r="B147" i="3"/>
  <c r="A147" i="3"/>
  <c r="D146" i="3"/>
  <c r="C146" i="3"/>
  <c r="B146" i="3"/>
  <c r="A146" i="3"/>
  <c r="A145" i="3"/>
  <c r="A127" i="3"/>
  <c r="A133" i="3"/>
  <c r="A132" i="3"/>
  <c r="A131" i="3"/>
  <c r="A130" i="3"/>
  <c r="A129" i="3"/>
  <c r="A128" i="3"/>
  <c r="A121" i="3"/>
  <c r="C325" i="3"/>
  <c r="B59" i="6"/>
  <c r="B49" i="6"/>
  <c r="B34" i="6"/>
  <c r="C267" i="5" s="1"/>
  <c r="B22" i="6"/>
  <c r="B12" i="6"/>
  <c r="C324" i="3"/>
  <c r="B323" i="3"/>
  <c r="C323" i="3" s="1"/>
  <c r="B349" i="3"/>
  <c r="D105" i="24" s="1"/>
  <c r="B341" i="3"/>
  <c r="B362" i="3" s="1"/>
  <c r="C7" i="5"/>
  <c r="B356" i="3"/>
  <c r="D87" i="24" s="1"/>
  <c r="B346" i="3"/>
  <c r="D124" i="3"/>
  <c r="C124" i="3"/>
  <c r="A124" i="3"/>
  <c r="E28" i="43" s="1"/>
  <c r="D123" i="3"/>
  <c r="E25" i="43" s="1"/>
  <c r="C123" i="3"/>
  <c r="A123" i="3"/>
  <c r="E20" i="43" s="1"/>
  <c r="D122" i="3"/>
  <c r="E17" i="43" s="1"/>
  <c r="C122" i="3"/>
  <c r="E15" i="43" s="1"/>
  <c r="A122" i="3"/>
  <c r="E12" i="43" s="1"/>
  <c r="D298" i="3"/>
  <c r="F18" i="25" s="1"/>
  <c r="D297" i="3"/>
  <c r="D296" i="3"/>
  <c r="F16" i="25" s="1"/>
  <c r="B98" i="3" a="1"/>
  <c r="B98"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21" i="5" s="1"/>
  <c r="B40" i="9"/>
  <c r="C820" i="5" s="1"/>
  <c r="B39" i="9"/>
  <c r="C819" i="5" s="1"/>
  <c r="K98" i="3"/>
  <c r="J98" i="3"/>
  <c r="I98" i="3"/>
  <c r="H98" i="3"/>
  <c r="G98" i="3"/>
  <c r="C86" i="3"/>
  <c r="C66" i="42" s="1"/>
  <c r="B86" i="3"/>
  <c r="C65" i="42" s="1"/>
  <c r="M104" i="16"/>
  <c r="L104" i="16"/>
  <c r="I104" i="16"/>
  <c r="H104" i="16"/>
  <c r="G104" i="16"/>
  <c r="F104" i="16"/>
  <c r="E104" i="16"/>
  <c r="D104" i="16"/>
  <c r="A23" i="11"/>
  <c r="K188" i="3" s="1"/>
  <c r="A151" i="30" s="1"/>
  <c r="A32" i="11"/>
  <c r="K197" i="3" s="1"/>
  <c r="A160" i="30" s="1"/>
  <c r="A31" i="11"/>
  <c r="K196" i="3" s="1"/>
  <c r="A159" i="30" s="1"/>
  <c r="A89" i="11"/>
  <c r="K254" i="3" s="1"/>
  <c r="A217" i="30" s="1"/>
  <c r="A121" i="10"/>
  <c r="A443" i="5" s="1"/>
  <c r="A105" i="10"/>
  <c r="A431" i="5" s="1"/>
  <c r="A104" i="10"/>
  <c r="A103" i="10"/>
  <c r="A97" i="10"/>
  <c r="A425" i="5" s="1"/>
  <c r="A76" i="10"/>
  <c r="A62" i="10"/>
  <c r="A61" i="10"/>
  <c r="A42" i="10"/>
  <c r="A41" i="10"/>
  <c r="A40" i="10"/>
  <c r="A374" i="5" s="1"/>
  <c r="A26" i="10"/>
  <c r="A362" i="5" s="1"/>
  <c r="A25" i="10"/>
  <c r="A24" i="10"/>
  <c r="A360" i="5" s="1"/>
  <c r="C57" i="9"/>
  <c r="C58" i="9"/>
  <c r="C49" i="9"/>
  <c r="C42" i="9"/>
  <c r="C36" i="9"/>
  <c r="B72" i="12"/>
  <c r="B63" i="12"/>
  <c r="B49" i="12"/>
  <c r="C35" i="12"/>
  <c r="C49" i="12"/>
  <c r="C63" i="12"/>
  <c r="B35" i="12"/>
  <c r="C34" i="11"/>
  <c r="M199" i="3" s="1"/>
  <c r="E162" i="30" s="1"/>
  <c r="B34" i="11"/>
  <c r="L199" i="3" s="1"/>
  <c r="B162" i="30" s="1"/>
  <c r="C64" i="11"/>
  <c r="M229" i="3" s="1"/>
  <c r="E192" i="30" s="1"/>
  <c r="B64" i="11"/>
  <c r="L229" i="3" s="1"/>
  <c r="B192" i="30" s="1"/>
  <c r="B632" i="3"/>
  <c r="B631" i="3"/>
  <c r="B630" i="3"/>
  <c r="B628" i="3"/>
  <c r="B629" i="3"/>
  <c r="B627" i="3"/>
  <c r="B626" i="3"/>
  <c r="B625" i="3"/>
  <c r="B623" i="3"/>
  <c r="C97" i="11"/>
  <c r="M262" i="3" s="1"/>
  <c r="E225" i="30" s="1"/>
  <c r="C98" i="11"/>
  <c r="M263" i="3" s="1"/>
  <c r="E226" i="30" s="1"/>
  <c r="B98" i="11"/>
  <c r="L263" i="3" s="1"/>
  <c r="C753" i="5" s="1"/>
  <c r="B97" i="11"/>
  <c r="L262" i="3" s="1"/>
  <c r="B225" i="30" s="1"/>
  <c r="C90" i="11"/>
  <c r="M255" i="3" s="1"/>
  <c r="E218" i="30" s="1"/>
  <c r="B90" i="11"/>
  <c r="L255" i="3" s="1"/>
  <c r="B218" i="30" s="1"/>
  <c r="C84" i="11"/>
  <c r="M249" i="3" s="1"/>
  <c r="E212" i="30" s="1"/>
  <c r="B84" i="11"/>
  <c r="L249" i="3" s="1"/>
  <c r="B212" i="30" s="1"/>
  <c r="C76" i="11"/>
  <c r="M241" i="3" s="1"/>
  <c r="E204" i="30" s="1"/>
  <c r="B76" i="11"/>
  <c r="L241" i="3" s="1"/>
  <c r="B204" i="30" s="1"/>
  <c r="C51" i="11"/>
  <c r="M216" i="3" s="1"/>
  <c r="E179" i="30" s="1"/>
  <c r="B51" i="11"/>
  <c r="L216" i="3" s="1"/>
  <c r="B179" i="30" s="1"/>
  <c r="C24" i="11"/>
  <c r="M189" i="3" s="1"/>
  <c r="E152" i="30" s="1"/>
  <c r="B24" i="11"/>
  <c r="L189" i="3" s="1"/>
  <c r="B152" i="30" s="1"/>
  <c r="C11" i="11"/>
  <c r="M176" i="3" s="1"/>
  <c r="E139" i="30" s="1"/>
  <c r="B11" i="11"/>
  <c r="L176" i="3" s="1"/>
  <c r="B139" i="30" s="1"/>
  <c r="C7" i="11"/>
  <c r="M172" i="3" s="1"/>
  <c r="E135" i="30" s="1"/>
  <c r="B7" i="11"/>
  <c r="L172" i="3" s="1"/>
  <c r="B135" i="30" s="1"/>
  <c r="E124" i="10"/>
  <c r="D124" i="10"/>
  <c r="C124" i="10"/>
  <c r="B124" i="10"/>
  <c r="F27" i="10"/>
  <c r="E27" i="10"/>
  <c r="D27" i="10"/>
  <c r="C27" i="10"/>
  <c r="B27" i="10"/>
  <c r="F43" i="10"/>
  <c r="E43" i="10"/>
  <c r="D43" i="10"/>
  <c r="C43" i="10"/>
  <c r="B43" i="10"/>
  <c r="F63" i="10"/>
  <c r="E63" i="10"/>
  <c r="D63" i="10"/>
  <c r="C63" i="10"/>
  <c r="B63" i="10"/>
  <c r="E79" i="10"/>
  <c r="B79" i="10"/>
  <c r="F98" i="10"/>
  <c r="E98" i="10"/>
  <c r="D98" i="10"/>
  <c r="C98" i="10"/>
  <c r="B98" i="10"/>
  <c r="E106" i="10"/>
  <c r="B106" i="10"/>
  <c r="F115" i="10"/>
  <c r="E115" i="10"/>
  <c r="D115" i="10"/>
  <c r="C115" i="10"/>
  <c r="B115" i="10"/>
  <c r="E123" i="10"/>
  <c r="E287" i="3" s="1"/>
  <c r="B123" i="10"/>
  <c r="E11" i="10"/>
  <c r="E176" i="3" s="1"/>
  <c r="E13" i="30" s="1"/>
  <c r="D11" i="10"/>
  <c r="D347" i="5" s="1"/>
  <c r="C11" i="10"/>
  <c r="B11" i="10"/>
  <c r="D7" i="10"/>
  <c r="F7" i="10"/>
  <c r="E7" i="10"/>
  <c r="E172" i="3" s="1"/>
  <c r="E9" i="30" s="1"/>
  <c r="C7" i="10"/>
  <c r="B7" i="10"/>
  <c r="B640" i="3"/>
  <c r="B639" i="3"/>
  <c r="B638" i="3"/>
  <c r="B637" i="3"/>
  <c r="B624" i="3"/>
  <c r="B26" i="3"/>
  <c r="B119" i="30"/>
  <c r="C254" i="24"/>
  <c r="C247" i="24"/>
  <c r="C243" i="24"/>
  <c r="C241" i="24"/>
  <c r="C239" i="24"/>
  <c r="C235" i="24"/>
  <c r="C231" i="24"/>
  <c r="C227" i="24"/>
  <c r="C223" i="24"/>
  <c r="D272" i="24"/>
  <c r="E210" i="32"/>
  <c r="D268" i="24"/>
  <c r="E206" i="32"/>
  <c r="D266" i="24"/>
  <c r="D264" i="24"/>
  <c r="E202" i="32"/>
  <c r="D260" i="24"/>
  <c r="E198" i="32"/>
  <c r="D256" i="24"/>
  <c r="E194" i="32"/>
  <c r="D252" i="24"/>
  <c r="E190" i="32"/>
  <c r="D248" i="24"/>
  <c r="E186" i="32"/>
  <c r="D244" i="24"/>
  <c r="E182" i="32"/>
  <c r="D240" i="24"/>
  <c r="E178" i="32"/>
  <c r="D236" i="24"/>
  <c r="E174" i="32"/>
  <c r="D234" i="24"/>
  <c r="D232" i="24"/>
  <c r="E170" i="32"/>
  <c r="D228" i="24"/>
  <c r="E166" i="32"/>
  <c r="D224" i="24"/>
  <c r="E162" i="32"/>
  <c r="D220" i="24"/>
  <c r="E158" i="32"/>
  <c r="G172" i="32"/>
  <c r="B204" i="32"/>
  <c r="B199" i="32"/>
  <c r="B250" i="24"/>
  <c r="B187" i="32"/>
  <c r="B184" i="32"/>
  <c r="B182" i="32"/>
  <c r="B180" i="32"/>
  <c r="B226" i="24"/>
  <c r="B163" i="32"/>
  <c r="B224" i="24"/>
  <c r="B222" i="24"/>
  <c r="E241" i="24"/>
  <c r="F263" i="24"/>
  <c r="F226" i="24"/>
  <c r="F269" i="24"/>
  <c r="F248" i="24"/>
  <c r="E246" i="24"/>
  <c r="E233" i="24"/>
  <c r="E272" i="24"/>
  <c r="E268" i="24"/>
  <c r="E264" i="24"/>
  <c r="G884" i="3"/>
  <c r="H264" i="24" s="1"/>
  <c r="E260" i="24"/>
  <c r="E256" i="24"/>
  <c r="E252" i="24"/>
  <c r="E248" i="24"/>
  <c r="G856" i="3"/>
  <c r="H236" i="24" s="1"/>
  <c r="C219" i="24"/>
  <c r="D216" i="24"/>
  <c r="B218" i="24"/>
  <c r="E235" i="24"/>
  <c r="B208" i="30"/>
  <c r="E211" i="30"/>
  <c r="B24" i="25"/>
  <c r="B32" i="30"/>
  <c r="E183" i="30"/>
  <c r="C172" i="3"/>
  <c r="C9" i="30" s="1"/>
  <c r="B109" i="30"/>
  <c r="B404" i="3"/>
  <c r="D161" i="24" s="1"/>
  <c r="C11" i="34"/>
  <c r="F100" i="34"/>
  <c r="F357" i="3"/>
  <c r="D94" i="24" s="1"/>
  <c r="E62" i="44"/>
  <c r="H109" i="44" l="1"/>
  <c r="A109" i="44" s="1"/>
  <c r="H108" i="44"/>
  <c r="A108" i="44" s="1"/>
  <c r="D95" i="24"/>
  <c r="F359" i="3"/>
  <c r="A241" i="3"/>
  <c r="A78" i="30" s="1"/>
  <c r="J1822" i="44"/>
  <c r="H235" i="44"/>
  <c r="F180" i="32"/>
  <c r="D40" i="42"/>
  <c r="B181" i="32"/>
  <c r="C41" i="42"/>
  <c r="B239" i="24"/>
  <c r="C37" i="42"/>
  <c r="B235" i="24"/>
  <c r="C33" i="42"/>
  <c r="A801" i="5"/>
  <c r="C818" i="5"/>
  <c r="H1399" i="44"/>
  <c r="A1399" i="44" s="1"/>
  <c r="H1407" i="44"/>
  <c r="A1407" i="44" s="1"/>
  <c r="H1406" i="44"/>
  <c r="A1406" i="44" s="1"/>
  <c r="H1400" i="44"/>
  <c r="A1400" i="44" s="1"/>
  <c r="H1402" i="44"/>
  <c r="A1402" i="44" s="1"/>
  <c r="H1401" i="44"/>
  <c r="A1401" i="44" s="1"/>
  <c r="H1403" i="44"/>
  <c r="A1403" i="44" s="1"/>
  <c r="H1404" i="44"/>
  <c r="A1404" i="44" s="1"/>
  <c r="H1405" i="44"/>
  <c r="A1405" i="44" s="1"/>
  <c r="F179" i="32"/>
  <c r="D39" i="42"/>
  <c r="C180" i="32"/>
  <c r="B40" i="42"/>
  <c r="C176" i="32"/>
  <c r="B36" i="42"/>
  <c r="A800" i="5"/>
  <c r="C817" i="5"/>
  <c r="A810" i="5"/>
  <c r="C822" i="5"/>
  <c r="F177" i="32"/>
  <c r="D37" i="42"/>
  <c r="C179" i="32"/>
  <c r="B39" i="42"/>
  <c r="C175" i="32"/>
  <c r="B35" i="42"/>
  <c r="C233" i="24"/>
  <c r="B31" i="42"/>
  <c r="C229" i="24"/>
  <c r="B27" i="42"/>
  <c r="F176" i="32"/>
  <c r="D36" i="42"/>
  <c r="B241" i="24"/>
  <c r="C39" i="42"/>
  <c r="B175" i="32"/>
  <c r="C35" i="42"/>
  <c r="C182" i="32"/>
  <c r="B42" i="42"/>
  <c r="C178" i="32"/>
  <c r="B38" i="42"/>
  <c r="C174" i="32"/>
  <c r="B34" i="42"/>
  <c r="F181" i="32"/>
  <c r="D41" i="42"/>
  <c r="C181" i="32"/>
  <c r="B41" i="42"/>
  <c r="C177" i="32"/>
  <c r="B37" i="42"/>
  <c r="J21" i="42" s="1"/>
  <c r="J23" i="42" s="1"/>
  <c r="D952" i="44"/>
  <c r="D956" i="44"/>
  <c r="D960" i="44"/>
  <c r="D964" i="44"/>
  <c r="D957" i="44"/>
  <c r="D966" i="44"/>
  <c r="D959" i="44"/>
  <c r="D953" i="44"/>
  <c r="D961" i="44"/>
  <c r="D965" i="44"/>
  <c r="D962" i="44"/>
  <c r="D955" i="44"/>
  <c r="D954" i="44"/>
  <c r="D958" i="44"/>
  <c r="D963" i="44"/>
  <c r="D976" i="44"/>
  <c r="A146" i="44"/>
  <c r="E54" i="43"/>
  <c r="C142" i="5"/>
  <c r="R391" i="3"/>
  <c r="B209" i="32"/>
  <c r="B243" i="24"/>
  <c r="G841" i="3"/>
  <c r="H221" i="24" s="1"/>
  <c r="F188" i="32"/>
  <c r="D1082" i="44"/>
  <c r="D944" i="44"/>
  <c r="A931" i="5"/>
  <c r="F267" i="24"/>
  <c r="E143" i="24"/>
  <c r="F142" i="24"/>
  <c r="D143" i="24"/>
  <c r="F143" i="24"/>
  <c r="B149" i="3"/>
  <c r="D63" i="24"/>
  <c r="A93" i="34"/>
  <c r="C143" i="24"/>
  <c r="H142" i="24"/>
  <c r="E39" i="42"/>
  <c r="E30" i="42"/>
  <c r="E38" i="42"/>
  <c r="E29" i="42"/>
  <c r="E36" i="42"/>
  <c r="E27" i="42"/>
  <c r="E171" i="32"/>
  <c r="E35" i="42"/>
  <c r="E26" i="42"/>
  <c r="F35" i="42"/>
  <c r="G35" i="42" s="1"/>
  <c r="F26" i="42"/>
  <c r="G26" i="42" s="1"/>
  <c r="B123" i="30"/>
  <c r="B287" i="3"/>
  <c r="D93" i="41"/>
  <c r="D7" i="43"/>
  <c r="C7" i="42"/>
  <c r="C7" i="41"/>
  <c r="E41" i="42"/>
  <c r="E32" i="42"/>
  <c r="E33" i="42"/>
  <c r="E24" i="42"/>
  <c r="F33" i="42"/>
  <c r="G33" i="42" s="1"/>
  <c r="F24" i="42"/>
  <c r="G24" i="42" s="1"/>
  <c r="A159" i="5"/>
  <c r="I22" i="42"/>
  <c r="A183" i="5"/>
  <c r="I48" i="42"/>
  <c r="C245" i="24"/>
  <c r="G864" i="3"/>
  <c r="H244" i="24" s="1"/>
  <c r="F253" i="3"/>
  <c r="F90" i="30" s="1"/>
  <c r="C237" i="24"/>
  <c r="G859" i="3"/>
  <c r="H239" i="24" s="1"/>
  <c r="F259" i="24"/>
  <c r="G250" i="3"/>
  <c r="G231" i="3"/>
  <c r="G68" i="30" s="1"/>
  <c r="G221" i="3"/>
  <c r="G213" i="3"/>
  <c r="G50" i="30" s="1"/>
  <c r="D36" i="41"/>
  <c r="G195" i="3"/>
  <c r="G32" i="30" s="1"/>
  <c r="G185" i="3"/>
  <c r="G22" i="30" s="1"/>
  <c r="G174" i="3"/>
  <c r="G11" i="30" s="1"/>
  <c r="G249" i="3"/>
  <c r="G220" i="3"/>
  <c r="G57" i="30" s="1"/>
  <c r="G212" i="3"/>
  <c r="G202" i="3"/>
  <c r="G39" i="30" s="1"/>
  <c r="G194" i="3"/>
  <c r="G31" i="30" s="1"/>
  <c r="B400" i="3"/>
  <c r="D156" i="24" s="1"/>
  <c r="G184" i="3"/>
  <c r="G21" i="30" s="1"/>
  <c r="G171" i="3"/>
  <c r="G8" i="30" s="1"/>
  <c r="B69" i="30"/>
  <c r="G232" i="3"/>
  <c r="G69" i="30" s="1"/>
  <c r="G256" i="3"/>
  <c r="G229" i="3"/>
  <c r="G66" i="30" s="1"/>
  <c r="G219" i="3"/>
  <c r="G56" i="30" s="1"/>
  <c r="G211" i="3"/>
  <c r="G48" i="30" s="1"/>
  <c r="G201" i="3"/>
  <c r="G38" i="30" s="1"/>
  <c r="G183" i="3"/>
  <c r="G20" i="30" s="1"/>
  <c r="A13" i="34"/>
  <c r="G255" i="3"/>
  <c r="G92" i="30" s="1"/>
  <c r="G247" i="3"/>
  <c r="G84" i="30" s="1"/>
  <c r="B74" i="30"/>
  <c r="G237" i="3"/>
  <c r="G74" i="30" s="1"/>
  <c r="G218" i="3"/>
  <c r="G55" i="30" s="1"/>
  <c r="G200" i="3"/>
  <c r="G37" i="30" s="1"/>
  <c r="G182" i="3"/>
  <c r="G19" i="30" s="1"/>
  <c r="E18" i="43"/>
  <c r="G53" i="42" s="1"/>
  <c r="G758" i="3"/>
  <c r="A1567" i="44"/>
  <c r="G264" i="3"/>
  <c r="G101" i="30" s="1"/>
  <c r="G254" i="3"/>
  <c r="G91" i="30" s="1"/>
  <c r="G246" i="3"/>
  <c r="G83" i="30" s="1"/>
  <c r="G236" i="3"/>
  <c r="G73" i="30" s="1"/>
  <c r="G217" i="3"/>
  <c r="G54" i="30" s="1"/>
  <c r="B36" i="30"/>
  <c r="G199" i="3"/>
  <c r="G36" i="30" s="1"/>
  <c r="B18" i="30"/>
  <c r="G181" i="3"/>
  <c r="G18" i="30" s="1"/>
  <c r="G281" i="3"/>
  <c r="G118" i="30" s="1"/>
  <c r="B90" i="30"/>
  <c r="G253" i="3"/>
  <c r="G90" i="30" s="1"/>
  <c r="G245" i="3"/>
  <c r="G82" i="30" s="1"/>
  <c r="G235" i="3"/>
  <c r="G72" i="30" s="1"/>
  <c r="D64" i="41"/>
  <c r="G216" i="3"/>
  <c r="B35" i="30"/>
  <c r="G198" i="3"/>
  <c r="G35" i="30" s="1"/>
  <c r="G180" i="3"/>
  <c r="G17" i="30" s="1"/>
  <c r="G252" i="3"/>
  <c r="G89" i="30" s="1"/>
  <c r="B71" i="30"/>
  <c r="G234" i="3"/>
  <c r="G71" i="30" s="1"/>
  <c r="G215" i="3"/>
  <c r="G52" i="30" s="1"/>
  <c r="G251" i="3"/>
  <c r="B70" i="30"/>
  <c r="G233" i="3"/>
  <c r="G70" i="30" s="1"/>
  <c r="G214" i="3"/>
  <c r="G51" i="30" s="1"/>
  <c r="B33" i="30"/>
  <c r="G196" i="3"/>
  <c r="G33" i="30" s="1"/>
  <c r="G186" i="3"/>
  <c r="G23" i="30" s="1"/>
  <c r="G175" i="3"/>
  <c r="G272" i="3"/>
  <c r="D314" i="44"/>
  <c r="D12" i="41"/>
  <c r="G170" i="3"/>
  <c r="G7" i="30" s="1"/>
  <c r="D89" i="41"/>
  <c r="I71" i="24"/>
  <c r="B111" i="30"/>
  <c r="B104" i="30"/>
  <c r="G248" i="3"/>
  <c r="B67" i="30"/>
  <c r="G230" i="3"/>
  <c r="G67" i="30" s="1"/>
  <c r="G197" i="3"/>
  <c r="G34" i="30" s="1"/>
  <c r="G179" i="3"/>
  <c r="G16" i="30" s="1"/>
  <c r="G169" i="3"/>
  <c r="G6" i="30" s="1"/>
  <c r="B102" i="30"/>
  <c r="D58" i="41"/>
  <c r="B92" i="30"/>
  <c r="D77" i="41"/>
  <c r="B84" i="30"/>
  <c r="D69" i="41"/>
  <c r="B66" i="30"/>
  <c r="D53" i="41"/>
  <c r="B56" i="30"/>
  <c r="D48" i="41"/>
  <c r="B48" i="30"/>
  <c r="D41" i="41"/>
  <c r="B38" i="30"/>
  <c r="D33" i="41"/>
  <c r="B20" i="30"/>
  <c r="D23" i="41"/>
  <c r="B121" i="30"/>
  <c r="D90" i="41"/>
  <c r="B89" i="30"/>
  <c r="D74" i="41"/>
  <c r="B25" i="30"/>
  <c r="D27" i="41"/>
  <c r="B406" i="3"/>
  <c r="D163" i="24" s="1"/>
  <c r="D28" i="41"/>
  <c r="C266" i="24"/>
  <c r="E16" i="30"/>
  <c r="F179" i="3"/>
  <c r="F16" i="30" s="1"/>
  <c r="E34" i="30"/>
  <c r="F197" i="3"/>
  <c r="F34" i="30" s="1"/>
  <c r="E52" i="30"/>
  <c r="F215" i="3"/>
  <c r="F52" i="30" s="1"/>
  <c r="E85" i="30"/>
  <c r="F248" i="3"/>
  <c r="F85" i="30" s="1"/>
  <c r="E91" i="30"/>
  <c r="F254" i="3"/>
  <c r="F91" i="30" s="1"/>
  <c r="E118" i="30"/>
  <c r="F281" i="3"/>
  <c r="F118" i="30" s="1"/>
  <c r="B120" i="30"/>
  <c r="D92" i="41"/>
  <c r="B96" i="30"/>
  <c r="D79" i="41"/>
  <c r="B88" i="30"/>
  <c r="D68" i="41"/>
  <c r="B60" i="30"/>
  <c r="D50" i="41"/>
  <c r="B52" i="30"/>
  <c r="D63" i="41"/>
  <c r="B42" i="30"/>
  <c r="D38" i="41"/>
  <c r="B34" i="30"/>
  <c r="D32" i="41"/>
  <c r="B24" i="30"/>
  <c r="D26" i="41"/>
  <c r="B16" i="30"/>
  <c r="D21" i="41"/>
  <c r="E38" i="30"/>
  <c r="F201" i="3"/>
  <c r="F38" i="30" s="1"/>
  <c r="E48" i="30"/>
  <c r="F211" i="3"/>
  <c r="F48" i="30" s="1"/>
  <c r="B114" i="30"/>
  <c r="D85" i="41"/>
  <c r="E21" i="30"/>
  <c r="F184" i="3"/>
  <c r="F21" i="30" s="1"/>
  <c r="E31" i="30"/>
  <c r="F194" i="3"/>
  <c r="F31" i="30" s="1"/>
  <c r="E39" i="30"/>
  <c r="F202" i="3"/>
  <c r="F39" i="30" s="1"/>
  <c r="E49" i="30"/>
  <c r="F212" i="3"/>
  <c r="F49" i="30" s="1"/>
  <c r="E57" i="30"/>
  <c r="F220" i="3"/>
  <c r="F57" i="30" s="1"/>
  <c r="E68" i="30"/>
  <c r="F231" i="3"/>
  <c r="F68" i="30" s="1"/>
  <c r="E72" i="30"/>
  <c r="F235" i="3"/>
  <c r="F72" i="30" s="1"/>
  <c r="E82" i="30"/>
  <c r="F245" i="3"/>
  <c r="F82" i="30" s="1"/>
  <c r="E101" i="30"/>
  <c r="F264" i="3"/>
  <c r="F101" i="30" s="1"/>
  <c r="B3363" i="44"/>
  <c r="F3363" i="44" s="1"/>
  <c r="C270" i="24"/>
  <c r="E124" i="3"/>
  <c r="B378" i="3" s="1"/>
  <c r="C378" i="3" s="1"/>
  <c r="E33" i="43"/>
  <c r="B3269" i="44"/>
  <c r="F3269" i="44" s="1"/>
  <c r="F221" i="24"/>
  <c r="G159" i="32"/>
  <c r="C12" i="32"/>
  <c r="D12" i="32" s="1"/>
  <c r="E12" i="32" s="1"/>
  <c r="F12" i="32" s="1"/>
  <c r="G12" i="32" s="1"/>
  <c r="H12" i="32" s="1"/>
  <c r="I12" i="32" s="1"/>
  <c r="J12" i="32" s="1"/>
  <c r="K12" i="32" s="1"/>
  <c r="L12" i="32" s="1"/>
  <c r="C21" i="32" s="1"/>
  <c r="D21" i="32" s="1"/>
  <c r="E21" i="32" s="1"/>
  <c r="F21" i="32" s="1"/>
  <c r="G21" i="32" s="1"/>
  <c r="E7" i="30"/>
  <c r="F170" i="3"/>
  <c r="F7" i="30" s="1"/>
  <c r="E12" i="30"/>
  <c r="F175" i="3"/>
  <c r="F12" i="30" s="1"/>
  <c r="E19" i="30"/>
  <c r="F182" i="3"/>
  <c r="F19" i="30" s="1"/>
  <c r="E37" i="30"/>
  <c r="F200" i="3"/>
  <c r="F37" i="30" s="1"/>
  <c r="E47" i="30"/>
  <c r="F210" i="3"/>
  <c r="F47" i="30" s="1"/>
  <c r="E55" i="30"/>
  <c r="F218" i="3"/>
  <c r="F55" i="30" s="1"/>
  <c r="E69" i="30"/>
  <c r="F232" i="3"/>
  <c r="F69" i="30" s="1"/>
  <c r="E73" i="30"/>
  <c r="F236" i="3"/>
  <c r="F73" i="30" s="1"/>
  <c r="E88" i="30"/>
  <c r="F251" i="3"/>
  <c r="F88" i="30" s="1"/>
  <c r="B95" i="30"/>
  <c r="D78" i="41"/>
  <c r="B87" i="30"/>
  <c r="D67" i="41"/>
  <c r="B77" i="30"/>
  <c r="D60" i="41"/>
  <c r="B59" i="30"/>
  <c r="D47" i="41"/>
  <c r="B51" i="30"/>
  <c r="D43" i="41"/>
  <c r="B41" i="30"/>
  <c r="D37" i="41"/>
  <c r="B23" i="30"/>
  <c r="D25" i="41"/>
  <c r="B12" i="30"/>
  <c r="D16" i="41"/>
  <c r="C262" i="24"/>
  <c r="F237" i="24"/>
  <c r="E22" i="30"/>
  <c r="F185" i="3"/>
  <c r="F22" i="30" s="1"/>
  <c r="E32" i="30"/>
  <c r="F195" i="3"/>
  <c r="F32" i="30" s="1"/>
  <c r="E50" i="30"/>
  <c r="F213" i="3"/>
  <c r="F50" i="30" s="1"/>
  <c r="E58" i="30"/>
  <c r="F221" i="3"/>
  <c r="F58" i="30" s="1"/>
  <c r="E83" i="30"/>
  <c r="F246" i="3"/>
  <c r="F83" i="30" s="1"/>
  <c r="B94" i="30"/>
  <c r="D73" i="41"/>
  <c r="B86" i="30"/>
  <c r="D66" i="41"/>
  <c r="B68" i="30"/>
  <c r="D56" i="41"/>
  <c r="B58" i="30"/>
  <c r="D45" i="41"/>
  <c r="B50" i="30"/>
  <c r="D44" i="41"/>
  <c r="B405" i="3"/>
  <c r="D162" i="24" s="1"/>
  <c r="D24" i="41"/>
  <c r="B11" i="30"/>
  <c r="D15" i="41"/>
  <c r="E56" i="30"/>
  <c r="F219" i="3"/>
  <c r="F56" i="30" s="1"/>
  <c r="E109" i="30"/>
  <c r="F272" i="3"/>
  <c r="F109" i="30" s="1"/>
  <c r="F253" i="24"/>
  <c r="C250" i="24"/>
  <c r="E8" i="30"/>
  <c r="F171" i="3"/>
  <c r="F8" i="30" s="1"/>
  <c r="E17" i="30"/>
  <c r="F180" i="3"/>
  <c r="F17" i="30" s="1"/>
  <c r="E35" i="30"/>
  <c r="F198" i="3"/>
  <c r="F35" i="30" s="1"/>
  <c r="E53" i="30"/>
  <c r="F216" i="3"/>
  <c r="F53" i="30" s="1"/>
  <c r="E66" i="30"/>
  <c r="F229" i="3"/>
  <c r="F66" i="30" s="1"/>
  <c r="E70" i="30"/>
  <c r="F233" i="3"/>
  <c r="F70" i="30" s="1"/>
  <c r="E74" i="30"/>
  <c r="F237" i="3"/>
  <c r="F74" i="30" s="1"/>
  <c r="E86" i="30"/>
  <c r="F249" i="3"/>
  <c r="F86" i="30" s="1"/>
  <c r="E89" i="30"/>
  <c r="F252" i="3"/>
  <c r="F89" i="30" s="1"/>
  <c r="E92" i="30"/>
  <c r="F255" i="3"/>
  <c r="F92" i="30" s="1"/>
  <c r="B115" i="30"/>
  <c r="D86" i="41"/>
  <c r="B103" i="30"/>
  <c r="D59" i="41"/>
  <c r="B93" i="30"/>
  <c r="D72" i="41"/>
  <c r="B85" i="30"/>
  <c r="D65" i="41"/>
  <c r="B57" i="30"/>
  <c r="D46" i="41"/>
  <c r="B49" i="30"/>
  <c r="D42" i="41"/>
  <c r="B39" i="30"/>
  <c r="D35" i="41"/>
  <c r="B31" i="30"/>
  <c r="D31" i="41"/>
  <c r="B8" i="30"/>
  <c r="D17" i="41"/>
  <c r="E20" i="30"/>
  <c r="F183" i="3"/>
  <c r="F20" i="30" s="1"/>
  <c r="C258" i="24"/>
  <c r="E15" i="30"/>
  <c r="F178" i="3"/>
  <c r="F15" i="30" s="1"/>
  <c r="E23" i="30"/>
  <c r="F186" i="3"/>
  <c r="F23" i="30" s="1"/>
  <c r="E33" i="30"/>
  <c r="F196" i="3"/>
  <c r="F33" i="30" s="1"/>
  <c r="E51" i="30"/>
  <c r="F214" i="3"/>
  <c r="F51" i="30" s="1"/>
  <c r="E67" i="30"/>
  <c r="F230" i="3"/>
  <c r="F67" i="30" s="1"/>
  <c r="E71" i="30"/>
  <c r="F234" i="3"/>
  <c r="F71" i="30" s="1"/>
  <c r="E84" i="30"/>
  <c r="F247" i="3"/>
  <c r="F84" i="30" s="1"/>
  <c r="D55" i="32"/>
  <c r="E55" i="43"/>
  <c r="B101" i="30"/>
  <c r="D57" i="41"/>
  <c r="B91" i="30"/>
  <c r="D76" i="41"/>
  <c r="B83" i="30"/>
  <c r="D71" i="41"/>
  <c r="B73" i="30"/>
  <c r="D54" i="41"/>
  <c r="B55" i="30"/>
  <c r="D49" i="41"/>
  <c r="B37" i="30"/>
  <c r="D34" i="41"/>
  <c r="B19" i="30"/>
  <c r="D22" i="41"/>
  <c r="B423" i="3"/>
  <c r="D83" i="41"/>
  <c r="E11" i="30"/>
  <c r="F174" i="3"/>
  <c r="F11" i="30" s="1"/>
  <c r="E18" i="30"/>
  <c r="F181" i="3"/>
  <c r="F18" i="30" s="1"/>
  <c r="E36" i="30"/>
  <c r="F199" i="3"/>
  <c r="F36" i="30" s="1"/>
  <c r="E54" i="30"/>
  <c r="F217" i="3"/>
  <c r="F54" i="30" s="1"/>
  <c r="E87" i="30"/>
  <c r="F250" i="3"/>
  <c r="F87" i="30" s="1"/>
  <c r="E93" i="30"/>
  <c r="F256" i="3"/>
  <c r="F93" i="30" s="1"/>
  <c r="B122" i="30"/>
  <c r="B82" i="30"/>
  <c r="D75" i="41"/>
  <c r="B72" i="30"/>
  <c r="D55" i="41"/>
  <c r="B54" i="30"/>
  <c r="D70" i="41"/>
  <c r="D82" i="41"/>
  <c r="D395" i="44"/>
  <c r="D396" i="44"/>
  <c r="D397" i="44"/>
  <c r="B861" i="44"/>
  <c r="D862" i="44" s="1"/>
  <c r="D393" i="44"/>
  <c r="D859" i="44"/>
  <c r="D1072" i="44"/>
  <c r="G86" i="30"/>
  <c r="G15" i="30"/>
  <c r="G87" i="30"/>
  <c r="G53" i="30"/>
  <c r="G49" i="30"/>
  <c r="G85" i="30"/>
  <c r="G93" i="30"/>
  <c r="G47" i="30"/>
  <c r="G109" i="30"/>
  <c r="G58" i="30"/>
  <c r="G88" i="30"/>
  <c r="F169" i="3"/>
  <c r="F6" i="30" s="1"/>
  <c r="E31" i="43"/>
  <c r="E23" i="43"/>
  <c r="E254" i="24"/>
  <c r="F242" i="24"/>
  <c r="B225" i="24"/>
  <c r="B237" i="24"/>
  <c r="G188" i="32"/>
  <c r="E164" i="32"/>
  <c r="E196" i="32"/>
  <c r="E151" i="32"/>
  <c r="E11" i="42"/>
  <c r="D233" i="24"/>
  <c r="E40" i="42"/>
  <c r="E163" i="32"/>
  <c r="E23" i="42"/>
  <c r="F167" i="32"/>
  <c r="F159" i="32"/>
  <c r="D19" i="42"/>
  <c r="G151" i="32"/>
  <c r="F11" i="42"/>
  <c r="G11" i="42" s="1"/>
  <c r="G171" i="32"/>
  <c r="F40" i="42"/>
  <c r="G40" i="42" s="1"/>
  <c r="G163" i="32"/>
  <c r="F23" i="42"/>
  <c r="G23" i="42" s="1"/>
  <c r="G155" i="32"/>
  <c r="F15" i="42"/>
  <c r="G15" i="42" s="1"/>
  <c r="C170" i="32"/>
  <c r="C166" i="32"/>
  <c r="C162" i="32"/>
  <c r="B22" i="42"/>
  <c r="C158" i="32"/>
  <c r="B18" i="42"/>
  <c r="C154" i="32"/>
  <c r="B14" i="42"/>
  <c r="E262" i="24"/>
  <c r="F258" i="24"/>
  <c r="B179" i="32"/>
  <c r="B265" i="24"/>
  <c r="D226" i="24"/>
  <c r="E154" i="32"/>
  <c r="E14" i="42"/>
  <c r="G848" i="3"/>
  <c r="H228" i="24" s="1"/>
  <c r="G840" i="3"/>
  <c r="H220" i="24" s="1"/>
  <c r="D18" i="42"/>
  <c r="G170" i="32"/>
  <c r="F39" i="42"/>
  <c r="G39" i="42" s="1"/>
  <c r="G162" i="32"/>
  <c r="F22" i="42"/>
  <c r="G22" i="42" s="1"/>
  <c r="B154" i="32"/>
  <c r="C14" i="42"/>
  <c r="F168" i="32"/>
  <c r="F152" i="32"/>
  <c r="D12" i="42"/>
  <c r="B152" i="32"/>
  <c r="C12" i="42"/>
  <c r="B233" i="24"/>
  <c r="B155" i="32"/>
  <c r="C15" i="42"/>
  <c r="E214" i="24"/>
  <c r="F218" i="24"/>
  <c r="E270" i="24"/>
  <c r="B167" i="32"/>
  <c r="B191" i="32"/>
  <c r="E188" i="32"/>
  <c r="D223" i="24"/>
  <c r="E21" i="42"/>
  <c r="E153" i="32"/>
  <c r="E13" i="42"/>
  <c r="F173" i="32"/>
  <c r="F165" i="32"/>
  <c r="F157" i="32"/>
  <c r="D17" i="42"/>
  <c r="G169" i="32"/>
  <c r="F38" i="42"/>
  <c r="G38" i="42" s="1"/>
  <c r="G161" i="32"/>
  <c r="F21" i="42"/>
  <c r="G21" i="42" s="1"/>
  <c r="G153" i="32"/>
  <c r="F13" i="42"/>
  <c r="G13" i="42" s="1"/>
  <c r="C173" i="32"/>
  <c r="C169" i="32"/>
  <c r="C165" i="32"/>
  <c r="C161" i="32"/>
  <c r="B21" i="42"/>
  <c r="C157" i="32"/>
  <c r="B17" i="42"/>
  <c r="C153" i="32"/>
  <c r="B13" i="42"/>
  <c r="G838" i="3"/>
  <c r="B159" i="32"/>
  <c r="D230" i="24"/>
  <c r="E37" i="42"/>
  <c r="D222" i="24"/>
  <c r="E20" i="42"/>
  <c r="E152" i="32"/>
  <c r="F172" i="32"/>
  <c r="E226" i="24"/>
  <c r="F156" i="32"/>
  <c r="D16" i="42"/>
  <c r="G168" i="32"/>
  <c r="F37" i="42"/>
  <c r="G37" i="42" s="1"/>
  <c r="G160" i="32"/>
  <c r="F20" i="42"/>
  <c r="G20" i="42" s="1"/>
  <c r="F214" i="24"/>
  <c r="F12" i="42"/>
  <c r="G12" i="42" s="1"/>
  <c r="B173" i="32"/>
  <c r="B231" i="24"/>
  <c r="B165" i="32"/>
  <c r="B223" i="24"/>
  <c r="C21" i="42"/>
  <c r="B219" i="24"/>
  <c r="C17" i="42"/>
  <c r="B153" i="32"/>
  <c r="C13" i="42"/>
  <c r="B229" i="24"/>
  <c r="F171" i="32"/>
  <c r="F163" i="32"/>
  <c r="D23" i="42"/>
  <c r="F155" i="32"/>
  <c r="D15" i="42"/>
  <c r="G167" i="32"/>
  <c r="F36" i="42"/>
  <c r="G36" i="42" s="1"/>
  <c r="B213" i="24"/>
  <c r="C11" i="42"/>
  <c r="C172" i="32"/>
  <c r="C168" i="32"/>
  <c r="C164" i="32"/>
  <c r="C160" i="32"/>
  <c r="B20" i="42"/>
  <c r="C156" i="32"/>
  <c r="B16" i="42"/>
  <c r="E238" i="24"/>
  <c r="B221" i="24"/>
  <c r="B195" i="32"/>
  <c r="E180" i="32"/>
  <c r="E230" i="24"/>
  <c r="B171" i="32"/>
  <c r="B245" i="24"/>
  <c r="G156" i="32"/>
  <c r="F170" i="32"/>
  <c r="F154" i="32"/>
  <c r="D14" i="42"/>
  <c r="F220" i="24"/>
  <c r="F18" i="42"/>
  <c r="G18" i="42" s="1"/>
  <c r="C213" i="24"/>
  <c r="B234" i="24"/>
  <c r="E156" i="32"/>
  <c r="E16" i="42"/>
  <c r="F160" i="32"/>
  <c r="D20" i="42"/>
  <c r="F234" i="24"/>
  <c r="F41" i="42"/>
  <c r="G41" i="42" s="1"/>
  <c r="G164" i="32"/>
  <c r="E172" i="32"/>
  <c r="D235" i="24"/>
  <c r="E42" i="42"/>
  <c r="D227" i="24"/>
  <c r="E34" i="42"/>
  <c r="F169" i="32"/>
  <c r="F161" i="32"/>
  <c r="D21" i="42"/>
  <c r="F153" i="32"/>
  <c r="D13" i="42"/>
  <c r="G173" i="32"/>
  <c r="F42" i="42"/>
  <c r="G42" i="42" s="1"/>
  <c r="G165" i="32"/>
  <c r="F34" i="42"/>
  <c r="G34" i="42" s="1"/>
  <c r="G157" i="32"/>
  <c r="F17" i="42"/>
  <c r="G17" i="42" s="1"/>
  <c r="C152" i="32"/>
  <c r="B12" i="42"/>
  <c r="C171" i="32"/>
  <c r="C167" i="32"/>
  <c r="C163" i="32"/>
  <c r="B23" i="42"/>
  <c r="C159" i="32"/>
  <c r="B19" i="42"/>
  <c r="C155" i="32"/>
  <c r="B15" i="42"/>
  <c r="F38" i="43"/>
  <c r="F37" i="43"/>
  <c r="B3362" i="44"/>
  <c r="F3362" i="44" s="1"/>
  <c r="B158" i="3"/>
  <c r="H1458" i="44"/>
  <c r="A1458" i="44" s="1"/>
  <c r="H1450" i="44"/>
  <c r="A1450" i="44" s="1"/>
  <c r="H1442" i="44"/>
  <c r="A1442" i="44" s="1"/>
  <c r="H1434" i="44"/>
  <c r="A1434" i="44" s="1"/>
  <c r="H1426" i="44"/>
  <c r="A1426" i="44" s="1"/>
  <c r="H1409" i="44"/>
  <c r="A1409" i="44" s="1"/>
  <c r="H1393" i="44"/>
  <c r="A1393" i="44" s="1"/>
  <c r="H1385" i="44"/>
  <c r="A1385" i="44" s="1"/>
  <c r="H1377" i="44"/>
  <c r="A1377" i="44" s="1"/>
  <c r="H1350" i="44"/>
  <c r="A1350" i="44" s="1"/>
  <c r="H1342" i="44"/>
  <c r="A1342" i="44" s="1"/>
  <c r="H1334" i="44"/>
  <c r="A1334" i="44" s="1"/>
  <c r="H1326" i="44"/>
  <c r="A1326" i="44" s="1"/>
  <c r="H1264" i="44"/>
  <c r="A1264" i="44" s="1"/>
  <c r="H1256" i="44"/>
  <c r="A1256" i="44" s="1"/>
  <c r="H1239" i="44"/>
  <c r="A1239" i="44" s="1"/>
  <c r="H1204" i="44"/>
  <c r="A1204" i="44" s="1"/>
  <c r="H1136" i="44"/>
  <c r="H1128" i="44"/>
  <c r="A1128" i="44" s="1"/>
  <c r="H1456" i="44"/>
  <c r="A1456" i="44" s="1"/>
  <c r="H1415" i="44"/>
  <c r="A1415" i="44" s="1"/>
  <c r="H1391" i="44"/>
  <c r="A1391" i="44" s="1"/>
  <c r="H1340" i="44"/>
  <c r="A1340" i="44" s="1"/>
  <c r="H1254" i="44"/>
  <c r="A1254" i="44" s="1"/>
  <c r="H1431" i="44"/>
  <c r="A1431" i="44" s="1"/>
  <c r="H1347" i="44"/>
  <c r="A1347" i="44" s="1"/>
  <c r="H1261" i="44"/>
  <c r="A1261" i="44" s="1"/>
  <c r="H1133" i="44"/>
  <c r="H1457" i="44"/>
  <c r="A1457" i="44" s="1"/>
  <c r="H1449" i="44"/>
  <c r="A1449" i="44" s="1"/>
  <c r="H1441" i="44"/>
  <c r="A1441" i="44" s="1"/>
  <c r="H1433" i="44"/>
  <c r="A1433" i="44" s="1"/>
  <c r="H1416" i="44"/>
  <c r="A1416" i="44" s="1"/>
  <c r="H1408" i="44"/>
  <c r="A1408" i="44" s="1"/>
  <c r="H1392" i="44"/>
  <c r="A1392" i="44" s="1"/>
  <c r="H1384" i="44"/>
  <c r="A1384" i="44" s="1"/>
  <c r="H1376" i="44"/>
  <c r="A1376" i="44" s="1"/>
  <c r="H1349" i="44"/>
  <c r="A1349" i="44" s="1"/>
  <c r="H1341" i="44"/>
  <c r="A1341" i="44" s="1"/>
  <c r="H1333" i="44"/>
  <c r="A1333" i="44" s="1"/>
  <c r="H1271" i="44"/>
  <c r="A1271" i="44" s="1"/>
  <c r="H1263" i="44"/>
  <c r="A1263" i="44" s="1"/>
  <c r="H1255" i="44"/>
  <c r="A1255" i="44" s="1"/>
  <c r="H1238" i="44"/>
  <c r="A1238" i="44" s="1"/>
  <c r="H1203" i="44"/>
  <c r="A1203" i="44" s="1"/>
  <c r="H1135" i="44"/>
  <c r="H1125" i="44"/>
  <c r="A1125" i="44" s="1"/>
  <c r="H1448" i="44"/>
  <c r="A1448" i="44" s="1"/>
  <c r="H1432" i="44"/>
  <c r="A1432" i="44" s="1"/>
  <c r="H1375" i="44"/>
  <c r="A1375" i="44" s="1"/>
  <c r="H1332" i="44"/>
  <c r="A1332" i="44" s="1"/>
  <c r="H1262" i="44"/>
  <c r="A1262" i="44" s="1"/>
  <c r="H1202" i="44"/>
  <c r="A1202" i="44" s="1"/>
  <c r="H1134" i="44"/>
  <c r="H1447" i="44"/>
  <c r="A1447" i="44" s="1"/>
  <c r="H1414" i="44"/>
  <c r="A1414" i="44" s="1"/>
  <c r="H1382" i="44"/>
  <c r="A1382" i="44" s="1"/>
  <c r="H1339" i="44"/>
  <c r="A1339" i="44" s="1"/>
  <c r="H1244" i="44"/>
  <c r="A1244" i="44" s="1"/>
  <c r="H1454" i="44"/>
  <c r="A1454" i="44" s="1"/>
  <c r="H1446" i="44"/>
  <c r="A1446" i="44" s="1"/>
  <c r="H1438" i="44"/>
  <c r="A1438" i="44" s="1"/>
  <c r="H1430" i="44"/>
  <c r="A1430" i="44" s="1"/>
  <c r="H1413" i="44"/>
  <c r="A1413" i="44" s="1"/>
  <c r="H1397" i="44"/>
  <c r="A1397" i="44" s="1"/>
  <c r="H1389" i="44"/>
  <c r="A1389" i="44" s="1"/>
  <c r="H1381" i="44"/>
  <c r="A1381" i="44" s="1"/>
  <c r="H1373" i="44"/>
  <c r="A1373" i="44" s="1"/>
  <c r="H1346" i="44"/>
  <c r="A1346" i="44" s="1"/>
  <c r="H1338" i="44"/>
  <c r="A1338" i="44" s="1"/>
  <c r="H1330" i="44"/>
  <c r="A1330" i="44" s="1"/>
  <c r="H1268" i="44"/>
  <c r="A1268" i="44" s="1"/>
  <c r="H1260" i="44"/>
  <c r="A1260" i="44" s="1"/>
  <c r="H1243" i="44"/>
  <c r="A1243" i="44" s="1"/>
  <c r="H1208" i="44"/>
  <c r="A1208" i="44" s="1"/>
  <c r="H1200" i="44"/>
  <c r="A1200" i="44" s="1"/>
  <c r="H1131" i="44"/>
  <c r="A1131" i="44" s="1"/>
  <c r="H1116" i="44"/>
  <c r="A1116" i="44" s="1"/>
  <c r="H1236" i="44"/>
  <c r="A1236" i="44" s="1"/>
  <c r="H1461" i="44"/>
  <c r="A1461" i="44" s="1"/>
  <c r="H1453" i="44"/>
  <c r="A1453" i="44" s="1"/>
  <c r="H1445" i="44"/>
  <c r="A1445" i="44" s="1"/>
  <c r="H1437" i="44"/>
  <c r="A1437" i="44" s="1"/>
  <c r="H1429" i="44"/>
  <c r="A1429" i="44" s="1"/>
  <c r="H1412" i="44"/>
  <c r="A1412" i="44" s="1"/>
  <c r="H1396" i="44"/>
  <c r="A1396" i="44" s="1"/>
  <c r="H1388" i="44"/>
  <c r="A1388" i="44" s="1"/>
  <c r="H1380" i="44"/>
  <c r="A1380" i="44" s="1"/>
  <c r="H1372" i="44"/>
  <c r="A1372" i="44" s="1"/>
  <c r="H1345" i="44"/>
  <c r="A1345" i="44" s="1"/>
  <c r="H1337" i="44"/>
  <c r="A1337" i="44" s="1"/>
  <c r="H1329" i="44"/>
  <c r="A1329" i="44" s="1"/>
  <c r="H1267" i="44"/>
  <c r="A1267" i="44" s="1"/>
  <c r="H1259" i="44"/>
  <c r="A1259" i="44" s="1"/>
  <c r="H1242" i="44"/>
  <c r="A1242" i="44" s="1"/>
  <c r="H1207" i="44"/>
  <c r="A1207" i="44" s="1"/>
  <c r="H1115" i="44"/>
  <c r="A1115" i="44" s="1"/>
  <c r="H1398" i="44"/>
  <c r="A1398" i="44" s="1"/>
  <c r="H1460" i="44"/>
  <c r="A1460" i="44" s="1"/>
  <c r="H1452" i="44"/>
  <c r="A1452" i="44" s="1"/>
  <c r="H1444" i="44"/>
  <c r="A1444" i="44" s="1"/>
  <c r="H1436" i="44"/>
  <c r="A1436" i="44" s="1"/>
  <c r="H1428" i="44"/>
  <c r="A1428" i="44" s="1"/>
  <c r="H1411" i="44"/>
  <c r="A1411" i="44" s="1"/>
  <c r="H1395" i="44"/>
  <c r="A1395" i="44" s="1"/>
  <c r="H1387" i="44"/>
  <c r="A1387" i="44" s="1"/>
  <c r="H1379" i="44"/>
  <c r="A1379" i="44" s="1"/>
  <c r="H1352" i="44"/>
  <c r="A1352" i="44" s="1"/>
  <c r="H1344" i="44"/>
  <c r="A1344" i="44" s="1"/>
  <c r="H1336" i="44"/>
  <c r="A1336" i="44" s="1"/>
  <c r="H1328" i="44"/>
  <c r="A1328" i="44" s="1"/>
  <c r="H1266" i="44"/>
  <c r="A1266" i="44" s="1"/>
  <c r="H1258" i="44"/>
  <c r="A1258" i="44" s="1"/>
  <c r="H1241" i="44"/>
  <c r="A1241" i="44" s="1"/>
  <c r="H1206" i="44"/>
  <c r="A1206" i="44" s="1"/>
  <c r="H1130" i="44"/>
  <c r="A1130" i="44" s="1"/>
  <c r="H1113" i="44"/>
  <c r="A1113" i="44" s="1"/>
  <c r="H1348" i="44"/>
  <c r="A1348" i="44" s="1"/>
  <c r="H1455" i="44"/>
  <c r="A1455" i="44" s="1"/>
  <c r="H1390" i="44"/>
  <c r="A1390" i="44" s="1"/>
  <c r="H1331" i="44"/>
  <c r="A1331" i="44" s="1"/>
  <c r="H1201" i="44"/>
  <c r="A1201" i="44" s="1"/>
  <c r="H1459" i="44"/>
  <c r="A1459" i="44" s="1"/>
  <c r="H1451" i="44"/>
  <c r="A1451" i="44" s="1"/>
  <c r="H1443" i="44"/>
  <c r="A1443" i="44" s="1"/>
  <c r="H1435" i="44"/>
  <c r="A1435" i="44" s="1"/>
  <c r="H1427" i="44"/>
  <c r="A1427" i="44" s="1"/>
  <c r="H1410" i="44"/>
  <c r="A1410" i="44" s="1"/>
  <c r="H1394" i="44"/>
  <c r="A1394" i="44" s="1"/>
  <c r="H1386" i="44"/>
  <c r="A1386" i="44" s="1"/>
  <c r="H1378" i="44"/>
  <c r="A1378" i="44" s="1"/>
  <c r="H1351" i="44"/>
  <c r="A1351" i="44" s="1"/>
  <c r="H1343" i="44"/>
  <c r="A1343" i="44" s="1"/>
  <c r="H1335" i="44"/>
  <c r="A1335" i="44" s="1"/>
  <c r="H1327" i="44"/>
  <c r="A1327" i="44" s="1"/>
  <c r="H1265" i="44"/>
  <c r="A1265" i="44" s="1"/>
  <c r="H1257" i="44"/>
  <c r="A1257" i="44" s="1"/>
  <c r="H1240" i="44"/>
  <c r="A1240" i="44" s="1"/>
  <c r="H1205" i="44"/>
  <c r="A1205" i="44" s="1"/>
  <c r="H1129" i="44"/>
  <c r="A1129" i="44" s="1"/>
  <c r="H1109" i="44"/>
  <c r="A1109" i="44" s="1"/>
  <c r="H1440" i="44"/>
  <c r="A1440" i="44" s="1"/>
  <c r="H1383" i="44"/>
  <c r="A1383" i="44" s="1"/>
  <c r="H1270" i="44"/>
  <c r="A1270" i="44" s="1"/>
  <c r="H1237" i="44"/>
  <c r="A1237" i="44" s="1"/>
  <c r="H1124" i="44"/>
  <c r="A1124" i="44" s="1"/>
  <c r="H1439" i="44"/>
  <c r="A1439" i="44" s="1"/>
  <c r="H1374" i="44"/>
  <c r="A1374" i="44" s="1"/>
  <c r="H1269" i="44"/>
  <c r="A1269" i="44" s="1"/>
  <c r="H1123" i="44"/>
  <c r="A1123" i="44" s="1"/>
  <c r="C347" i="3"/>
  <c r="F347" i="3" s="1"/>
  <c r="E123" i="3"/>
  <c r="B377" i="3" s="1"/>
  <c r="P377" i="3" s="1"/>
  <c r="I133" i="24" s="1"/>
  <c r="G878" i="3"/>
  <c r="H258" i="24" s="1"/>
  <c r="G870" i="3"/>
  <c r="H250" i="24" s="1"/>
  <c r="G885" i="3"/>
  <c r="H265" i="24" s="1"/>
  <c r="G891" i="3"/>
  <c r="H271" i="24" s="1"/>
  <c r="G883" i="3"/>
  <c r="H263" i="24" s="1"/>
  <c r="G875" i="3"/>
  <c r="H255" i="24" s="1"/>
  <c r="G867" i="3"/>
  <c r="H247" i="24" s="1"/>
  <c r="F788" i="3"/>
  <c r="C114" i="25" s="1"/>
  <c r="S1127" i="44"/>
  <c r="G834" i="5"/>
  <c r="B215" i="24"/>
  <c r="G842" i="3"/>
  <c r="H222" i="24" s="1"/>
  <c r="E218" i="24"/>
  <c r="B247" i="24"/>
  <c r="F230" i="24"/>
  <c r="G176" i="32"/>
  <c r="G858" i="3"/>
  <c r="H238" i="24" s="1"/>
  <c r="E160" i="32"/>
  <c r="E168" i="32"/>
  <c r="E176" i="32"/>
  <c r="E184" i="32"/>
  <c r="E192" i="32"/>
  <c r="E200" i="32"/>
  <c r="E208" i="32"/>
  <c r="B177" i="32"/>
  <c r="G854" i="3"/>
  <c r="H234" i="24" s="1"/>
  <c r="H704" i="3"/>
  <c r="E3216" i="44" s="1"/>
  <c r="A3216" i="44" s="1"/>
  <c r="E234" i="24"/>
  <c r="G834" i="3"/>
  <c r="I152" i="32" s="1"/>
  <c r="G866" i="3"/>
  <c r="H246" i="24" s="1"/>
  <c r="G862" i="3"/>
  <c r="H242" i="24" s="1"/>
  <c r="F246" i="24"/>
  <c r="B227" i="24"/>
  <c r="B416" i="3"/>
  <c r="D174" i="24" s="1"/>
  <c r="B3350" i="44"/>
  <c r="F3350" i="44" s="1"/>
  <c r="E242" i="24"/>
  <c r="D214" i="24"/>
  <c r="B189" i="32"/>
  <c r="B197" i="32"/>
  <c r="E258" i="24"/>
  <c r="B21" i="30"/>
  <c r="G882" i="3"/>
  <c r="H262" i="24" s="1"/>
  <c r="G152" i="32"/>
  <c r="G208" i="32"/>
  <c r="F196" i="32"/>
  <c r="A60" i="34"/>
  <c r="E266" i="24"/>
  <c r="F222" i="24"/>
  <c r="F262" i="24"/>
  <c r="B161" i="32"/>
  <c r="B263" i="24"/>
  <c r="G850" i="3"/>
  <c r="H230" i="24" s="1"/>
  <c r="B3221" i="44"/>
  <c r="F3221" i="44" s="1"/>
  <c r="G890" i="3"/>
  <c r="H270" i="24" s="1"/>
  <c r="B169" i="32"/>
  <c r="B255" i="24"/>
  <c r="G889" i="3"/>
  <c r="H269" i="24" s="1"/>
  <c r="D945" i="44"/>
  <c r="D977" i="44"/>
  <c r="D923" i="44"/>
  <c r="D926" i="44"/>
  <c r="D1008" i="44"/>
  <c r="D979" i="44"/>
  <c r="B1031" i="44"/>
  <c r="D938" i="44"/>
  <c r="D972" i="44"/>
  <c r="F141" i="24"/>
  <c r="E271" i="24"/>
  <c r="J1918" i="44"/>
  <c r="H141" i="24"/>
  <c r="B22" i="30"/>
  <c r="B3326" i="44"/>
  <c r="F3326" i="44" s="1"/>
  <c r="E227" i="24"/>
  <c r="E255" i="24"/>
  <c r="E243" i="24"/>
  <c r="G839" i="3"/>
  <c r="F213" i="24"/>
  <c r="C214" i="24"/>
  <c r="F219" i="24"/>
  <c r="E249" i="24"/>
  <c r="F229" i="24"/>
  <c r="F245" i="24"/>
  <c r="F261" i="24"/>
  <c r="F239" i="24"/>
  <c r="F235" i="24"/>
  <c r="F227" i="24"/>
  <c r="E225" i="24"/>
  <c r="C220" i="24"/>
  <c r="C222" i="24"/>
  <c r="C224" i="24"/>
  <c r="C226" i="24"/>
  <c r="C228" i="24"/>
  <c r="C230" i="24"/>
  <c r="C232" i="24"/>
  <c r="C234" i="24"/>
  <c r="C236" i="24"/>
  <c r="C238" i="24"/>
  <c r="C240" i="24"/>
  <c r="C242" i="24"/>
  <c r="C244" i="24"/>
  <c r="C246" i="24"/>
  <c r="C248" i="24"/>
  <c r="C252" i="24"/>
  <c r="C256" i="24"/>
  <c r="C260" i="24"/>
  <c r="C264" i="24"/>
  <c r="C268" i="24"/>
  <c r="C272" i="24"/>
  <c r="G849" i="3"/>
  <c r="H229" i="24" s="1"/>
  <c r="D261" i="24"/>
  <c r="B3184" i="44"/>
  <c r="F3184" i="44" s="1"/>
  <c r="H658" i="3"/>
  <c r="A17" i="34"/>
  <c r="A29" i="34"/>
  <c r="D2590" i="44"/>
  <c r="D946" i="44"/>
  <c r="B923" i="44"/>
  <c r="B924" i="44" s="1"/>
  <c r="B925" i="44" s="1"/>
  <c r="B926" i="44" s="1"/>
  <c r="B927" i="44" s="1"/>
  <c r="B928" i="44" s="1"/>
  <c r="B929" i="44" s="1"/>
  <c r="B930" i="44" s="1"/>
  <c r="B931" i="44" s="1"/>
  <c r="B932" i="44" s="1"/>
  <c r="B933" i="44" s="1"/>
  <c r="B934" i="44" s="1"/>
  <c r="B935" i="44" s="1"/>
  <c r="B936" i="44" s="1"/>
  <c r="D967" i="44"/>
  <c r="D975" i="44"/>
  <c r="B1027" i="44"/>
  <c r="D980" i="44"/>
  <c r="D951" i="44"/>
  <c r="D925" i="44"/>
  <c r="B1695" i="44"/>
  <c r="D1695" i="44" s="1"/>
  <c r="D2462" i="44"/>
  <c r="D3102" i="44"/>
  <c r="B1082" i="44"/>
  <c r="D968" i="44"/>
  <c r="D978" i="44"/>
  <c r="D949" i="44"/>
  <c r="D2784" i="44"/>
  <c r="D1758" i="44"/>
  <c r="D996" i="44"/>
  <c r="D473" i="44"/>
  <c r="B110" i="3" a="1"/>
  <c r="B110" i="3" s="1"/>
  <c r="B112" i="3" s="1"/>
  <c r="B115" i="3" s="1"/>
  <c r="B99" i="3" a="1"/>
  <c r="B99" i="3" s="1"/>
  <c r="B14" i="3"/>
  <c r="B19" i="3" s="1"/>
  <c r="C19" i="3" s="1"/>
  <c r="B3273" i="44"/>
  <c r="F3273" i="44" s="1"/>
  <c r="A53" i="34"/>
  <c r="J2846" i="44"/>
  <c r="B3178" i="44"/>
  <c r="F3178" i="44" s="1"/>
  <c r="D1726" i="44"/>
  <c r="B3103" i="44"/>
  <c r="B3104" i="44" s="1"/>
  <c r="B3105" i="44" s="1"/>
  <c r="B3106" i="44" s="1"/>
  <c r="J3038" i="44"/>
  <c r="B2527" i="44"/>
  <c r="D2527" i="44" s="1"/>
  <c r="B1760" i="44"/>
  <c r="B1761" i="44" s="1"/>
  <c r="B1762" i="44" s="1"/>
  <c r="A15" i="34"/>
  <c r="A103" i="34"/>
  <c r="B3289" i="44"/>
  <c r="F3289" i="44" s="1"/>
  <c r="B3226" i="44"/>
  <c r="F3226" i="44" s="1"/>
  <c r="B1599" i="44"/>
  <c r="D1599" i="44" s="1"/>
  <c r="D2783" i="44"/>
  <c r="B2655" i="44"/>
  <c r="B2656" i="44" s="1"/>
  <c r="D2656" i="44" s="1"/>
  <c r="J2462" i="44"/>
  <c r="J1886" i="44"/>
  <c r="G845" i="3"/>
  <c r="G855" i="3"/>
  <c r="H235" i="24" s="1"/>
  <c r="G863" i="3"/>
  <c r="E185" i="32"/>
  <c r="B7" i="30"/>
  <c r="A11" i="34"/>
  <c r="A46" i="34"/>
  <c r="B3166" i="44"/>
  <c r="F3166" i="44" s="1"/>
  <c r="B3170" i="44"/>
  <c r="F3170" i="44" s="1"/>
  <c r="B3265" i="44"/>
  <c r="F3265" i="44" s="1"/>
  <c r="C195" i="5"/>
  <c r="B78" i="6"/>
  <c r="F40" i="3"/>
  <c r="E195" i="32"/>
  <c r="D257" i="24"/>
  <c r="D245" i="24"/>
  <c r="E183" i="32"/>
  <c r="E167" i="32"/>
  <c r="D229" i="24"/>
  <c r="G881" i="3"/>
  <c r="H261" i="24" s="1"/>
  <c r="F199" i="32"/>
  <c r="D265" i="24"/>
  <c r="E203" i="32"/>
  <c r="E187" i="32"/>
  <c r="D249" i="24"/>
  <c r="D237" i="24"/>
  <c r="E175" i="32"/>
  <c r="E159" i="32"/>
  <c r="D221" i="24"/>
  <c r="G873" i="3"/>
  <c r="H253" i="24" s="1"/>
  <c r="F191" i="32"/>
  <c r="E237" i="24"/>
  <c r="F175" i="32"/>
  <c r="B399" i="3"/>
  <c r="D155" i="24" s="1"/>
  <c r="J1694" i="44"/>
  <c r="D227" i="3"/>
  <c r="D64" i="30" s="1"/>
  <c r="B462" i="3"/>
  <c r="F758" i="3" s="1"/>
  <c r="B2975" i="44"/>
  <c r="D2975" i="44" s="1"/>
  <c r="D2910" i="44"/>
  <c r="B2815" i="44"/>
  <c r="D2815" i="44" s="1"/>
  <c r="B3039" i="44"/>
  <c r="D3039" i="44" s="1"/>
  <c r="B2912" i="44"/>
  <c r="D2912" i="44" s="1"/>
  <c r="B2335" i="44"/>
  <c r="D2335" i="44" s="1"/>
  <c r="B2719" i="44"/>
  <c r="B2720" i="44" s="1"/>
  <c r="D2720" i="44" s="1"/>
  <c r="J2526" i="44"/>
  <c r="D262" i="3"/>
  <c r="D99" i="30" s="1"/>
  <c r="B3354" i="44"/>
  <c r="F3354" i="44" s="1"/>
  <c r="E219" i="24"/>
  <c r="E231" i="24"/>
  <c r="E239" i="24"/>
  <c r="E263" i="24"/>
  <c r="E223" i="24"/>
  <c r="D176" i="3"/>
  <c r="D13" i="30" s="1"/>
  <c r="F215" i="24"/>
  <c r="C216" i="24"/>
  <c r="F217" i="24"/>
  <c r="G837" i="3"/>
  <c r="C215" i="24"/>
  <c r="G835" i="3"/>
  <c r="I153" i="32" s="1"/>
  <c r="C217" i="24"/>
  <c r="G853" i="3"/>
  <c r="H233" i="24" s="1"/>
  <c r="G869" i="3"/>
  <c r="H249" i="24" s="1"/>
  <c r="J1662" i="44"/>
  <c r="B2432" i="44"/>
  <c r="B2433" i="44" s="1"/>
  <c r="D2433" i="44" s="1"/>
  <c r="D2718" i="44"/>
  <c r="F251" i="24"/>
  <c r="F225" i="24"/>
  <c r="F233" i="24"/>
  <c r="F241" i="24"/>
  <c r="F249" i="24"/>
  <c r="F257" i="24"/>
  <c r="F265" i="24"/>
  <c r="F231" i="24"/>
  <c r="F255" i="24"/>
  <c r="F223" i="24"/>
  <c r="F243" i="24"/>
  <c r="F271" i="24"/>
  <c r="F247" i="24"/>
  <c r="A286" i="3"/>
  <c r="A123" i="30" s="1"/>
  <c r="J2782" i="44"/>
  <c r="E245" i="24"/>
  <c r="E261" i="24"/>
  <c r="E221" i="24"/>
  <c r="E229" i="24"/>
  <c r="B1951" i="44"/>
  <c r="D1951" i="44" s="1"/>
  <c r="C249" i="24"/>
  <c r="C251" i="24"/>
  <c r="C253" i="24"/>
  <c r="C255" i="24"/>
  <c r="C257" i="24"/>
  <c r="C259" i="24"/>
  <c r="C261" i="24"/>
  <c r="C263" i="24"/>
  <c r="C265" i="24"/>
  <c r="C267" i="24"/>
  <c r="C269" i="24"/>
  <c r="C271" i="24"/>
  <c r="G843" i="3"/>
  <c r="H223" i="24" s="1"/>
  <c r="G847" i="3"/>
  <c r="H227" i="24" s="1"/>
  <c r="G851" i="3"/>
  <c r="H231" i="24" s="1"/>
  <c r="G857" i="3"/>
  <c r="H237" i="24" s="1"/>
  <c r="G861" i="3"/>
  <c r="H241" i="24" s="1"/>
  <c r="G865" i="3"/>
  <c r="F203" i="32"/>
  <c r="D225" i="24"/>
  <c r="E179" i="32"/>
  <c r="D253" i="24"/>
  <c r="E207" i="32"/>
  <c r="A242" i="3"/>
  <c r="A79" i="30" s="1"/>
  <c r="A260" i="3"/>
  <c r="A97" i="30" s="1"/>
  <c r="H788" i="3"/>
  <c r="E114" i="25" s="1"/>
  <c r="J194" i="24"/>
  <c r="J130" i="32"/>
  <c r="J192" i="24"/>
  <c r="J128" i="32"/>
  <c r="J190" i="24"/>
  <c r="J126" i="32"/>
  <c r="I195" i="24"/>
  <c r="I131" i="32"/>
  <c r="I193" i="24"/>
  <c r="I129" i="32"/>
  <c r="I191" i="24"/>
  <c r="I127" i="32"/>
  <c r="I189" i="24"/>
  <c r="I125" i="32"/>
  <c r="H194" i="24"/>
  <c r="H130" i="32"/>
  <c r="H192" i="24"/>
  <c r="H128" i="32"/>
  <c r="H190" i="24"/>
  <c r="H126" i="32"/>
  <c r="G195" i="24"/>
  <c r="G131" i="32"/>
  <c r="G193" i="24"/>
  <c r="G129" i="32"/>
  <c r="G191" i="24"/>
  <c r="G127" i="32"/>
  <c r="G189" i="24"/>
  <c r="G125" i="32"/>
  <c r="F194" i="24"/>
  <c r="F130" i="32"/>
  <c r="F192" i="24"/>
  <c r="F128" i="32"/>
  <c r="F190" i="24"/>
  <c r="F126" i="32"/>
  <c r="E195" i="24"/>
  <c r="E131" i="32"/>
  <c r="E193" i="24"/>
  <c r="E129" i="32"/>
  <c r="E191" i="24"/>
  <c r="E127" i="32"/>
  <c r="E189" i="24"/>
  <c r="E125" i="32"/>
  <c r="J195" i="24"/>
  <c r="J131" i="32"/>
  <c r="J193" i="24"/>
  <c r="J129" i="32"/>
  <c r="J191" i="24"/>
  <c r="J127" i="32"/>
  <c r="J189" i="24"/>
  <c r="J125" i="32"/>
  <c r="I194" i="24"/>
  <c r="I130" i="32"/>
  <c r="I192" i="24"/>
  <c r="I128" i="32"/>
  <c r="I190" i="24"/>
  <c r="I126" i="32"/>
  <c r="H195" i="24"/>
  <c r="H131" i="32"/>
  <c r="H193" i="24"/>
  <c r="H129" i="32"/>
  <c r="H191" i="24"/>
  <c r="H127" i="32"/>
  <c r="H189" i="24"/>
  <c r="H125" i="32"/>
  <c r="G194" i="24"/>
  <c r="G130" i="32"/>
  <c r="G192" i="24"/>
  <c r="G128" i="32"/>
  <c r="G190" i="24"/>
  <c r="G126" i="32"/>
  <c r="F195" i="24"/>
  <c r="F131" i="32"/>
  <c r="F193" i="24"/>
  <c r="F129" i="32"/>
  <c r="F191" i="24"/>
  <c r="F127" i="32"/>
  <c r="F189" i="24"/>
  <c r="F125" i="32"/>
  <c r="E194" i="24"/>
  <c r="E130" i="32"/>
  <c r="E192" i="24"/>
  <c r="E128" i="32"/>
  <c r="E190" i="24"/>
  <c r="E126" i="32"/>
  <c r="J121" i="24"/>
  <c r="F298" i="3"/>
  <c r="I18" i="25" s="1"/>
  <c r="H655" i="3"/>
  <c r="H6" i="34" s="1"/>
  <c r="B3197" i="44"/>
  <c r="F3197" i="44" s="1"/>
  <c r="B3306" i="44"/>
  <c r="F3306" i="44" s="1"/>
  <c r="B3300" i="44"/>
  <c r="F3300" i="44" s="1"/>
  <c r="H681" i="3"/>
  <c r="E3193" i="44" s="1"/>
  <c r="A3193" i="44" s="1"/>
  <c r="D121" i="24"/>
  <c r="A44" i="34"/>
  <c r="B134" i="3"/>
  <c r="B826" i="3"/>
  <c r="B829" i="3" s="1"/>
  <c r="D81" i="24" s="1"/>
  <c r="A191" i="3"/>
  <c r="A28" i="30" s="1"/>
  <c r="H688" i="3"/>
  <c r="H39" i="34" s="1"/>
  <c r="B3187" i="44"/>
  <c r="F3187" i="44" s="1"/>
  <c r="I732" i="3"/>
  <c r="E3343" i="44" s="1"/>
  <c r="A3343" i="44" s="1"/>
  <c r="B3296" i="44"/>
  <c r="F3296" i="44" s="1"/>
  <c r="B3220" i="44"/>
  <c r="F3220" i="44" s="1"/>
  <c r="H669" i="3"/>
  <c r="H20" i="34" s="1"/>
  <c r="B3250" i="44"/>
  <c r="F3250" i="44" s="1"/>
  <c r="D93" i="24"/>
  <c r="B3196" i="44"/>
  <c r="F3196" i="44" s="1"/>
  <c r="G141" i="24"/>
  <c r="A33" i="34"/>
  <c r="B3194" i="44"/>
  <c r="F3194" i="44" s="1"/>
  <c r="B3304" i="44"/>
  <c r="F3304" i="44" s="1"/>
  <c r="B3201" i="44"/>
  <c r="F3201" i="44" s="1"/>
  <c r="A65" i="34"/>
  <c r="A224" i="3"/>
  <c r="A61" i="30" s="1"/>
  <c r="A259" i="3"/>
  <c r="A96" i="30" s="1"/>
  <c r="H684" i="3"/>
  <c r="H35" i="34" s="1"/>
  <c r="H687" i="3"/>
  <c r="H38" i="34" s="1"/>
  <c r="I730" i="3"/>
  <c r="E3341" i="44" s="1"/>
  <c r="A3341" i="44" s="1"/>
  <c r="H741" i="3"/>
  <c r="H92" i="34" s="1"/>
  <c r="H125" i="3"/>
  <c r="H128" i="3" s="1"/>
  <c r="F178" i="32"/>
  <c r="G860" i="3"/>
  <c r="F162" i="32"/>
  <c r="E224" i="24"/>
  <c r="F268" i="24"/>
  <c r="G206" i="32"/>
  <c r="G888" i="3"/>
  <c r="H268" i="24" s="1"/>
  <c r="G198" i="32"/>
  <c r="G880" i="3"/>
  <c r="H260" i="24" s="1"/>
  <c r="G194" i="32"/>
  <c r="F256" i="24"/>
  <c r="F252" i="24"/>
  <c r="G872" i="3"/>
  <c r="H252" i="24" s="1"/>
  <c r="B248" i="24"/>
  <c r="B246" i="24"/>
  <c r="B178" i="32"/>
  <c r="B176" i="32"/>
  <c r="B238" i="24"/>
  <c r="B230" i="24"/>
  <c r="B168" i="32"/>
  <c r="B228" i="24"/>
  <c r="I719" i="3"/>
  <c r="I70" i="34" s="1"/>
  <c r="A102" i="34"/>
  <c r="A61" i="34"/>
  <c r="A78" i="34"/>
  <c r="B243" i="3"/>
  <c r="D279" i="3"/>
  <c r="D116" i="30" s="1"/>
  <c r="H737" i="3"/>
  <c r="I739" i="3"/>
  <c r="I90" i="34" s="1"/>
  <c r="B3346" i="44"/>
  <c r="F3346" i="44" s="1"/>
  <c r="A70" i="34"/>
  <c r="E240" i="24"/>
  <c r="F260" i="24"/>
  <c r="B172" i="32"/>
  <c r="B240" i="24"/>
  <c r="B242" i="24"/>
  <c r="B244" i="24"/>
  <c r="B200" i="32"/>
  <c r="A10" i="34"/>
  <c r="B3171" i="44"/>
  <c r="F3171" i="44" s="1"/>
  <c r="D263" i="24"/>
  <c r="E201" i="32"/>
  <c r="D231" i="24"/>
  <c r="E169" i="32"/>
  <c r="G879" i="3"/>
  <c r="H259" i="24" s="1"/>
  <c r="E259" i="24"/>
  <c r="D119" i="32"/>
  <c r="D64" i="24"/>
  <c r="B417" i="3"/>
  <c r="D176" i="24" s="1"/>
  <c r="B172" i="3"/>
  <c r="B6" i="30"/>
  <c r="F236" i="24"/>
  <c r="G174" i="32"/>
  <c r="G166" i="32"/>
  <c r="F228" i="24"/>
  <c r="G154" i="32"/>
  <c r="F216" i="24"/>
  <c r="B210" i="32"/>
  <c r="B208" i="32"/>
  <c r="B270" i="24"/>
  <c r="B196" i="32"/>
  <c r="B256" i="24"/>
  <c r="B160" i="32"/>
  <c r="B158" i="32"/>
  <c r="B262" i="3"/>
  <c r="A66" i="34"/>
  <c r="A94" i="34"/>
  <c r="B3235" i="44"/>
  <c r="F3235" i="44" s="1"/>
  <c r="G836" i="3"/>
  <c r="G876" i="3"/>
  <c r="H256" i="24" s="1"/>
  <c r="B198" i="32"/>
  <c r="B264" i="24"/>
  <c r="B266" i="24"/>
  <c r="G182" i="32"/>
  <c r="B227" i="3"/>
  <c r="A12" i="34"/>
  <c r="B3321" i="44"/>
  <c r="F3321" i="44" s="1"/>
  <c r="F121" i="24"/>
  <c r="B3239" i="44"/>
  <c r="F3239" i="44" s="1"/>
  <c r="D192" i="3"/>
  <c r="D29" i="30" s="1"/>
  <c r="B192" i="3"/>
  <c r="I64" i="24" s="1"/>
  <c r="B270" i="3"/>
  <c r="D288" i="3"/>
  <c r="K285" i="3" s="1"/>
  <c r="H127" i="30" s="1"/>
  <c r="B418" i="3"/>
  <c r="D177" i="24" s="1"/>
  <c r="D208" i="3"/>
  <c r="D45" i="30" s="1"/>
  <c r="I726" i="3"/>
  <c r="E3337" i="44" s="1"/>
  <c r="A3337" i="44" s="1"/>
  <c r="B208" i="3"/>
  <c r="B3251" i="44"/>
  <c r="F3251" i="44" s="1"/>
  <c r="A8" i="34"/>
  <c r="C193" i="5"/>
  <c r="A86" i="34"/>
  <c r="A74" i="34"/>
  <c r="B3231" i="44"/>
  <c r="F3231" i="44" s="1"/>
  <c r="D65" i="24"/>
  <c r="A98" i="34"/>
  <c r="G868" i="3"/>
  <c r="H248" i="24" s="1"/>
  <c r="F232" i="24"/>
  <c r="F272" i="24"/>
  <c r="B232" i="24"/>
  <c r="B174" i="32"/>
  <c r="B194" i="32"/>
  <c r="B258" i="24"/>
  <c r="B260" i="24"/>
  <c r="B3305" i="44"/>
  <c r="F3305" i="44" s="1"/>
  <c r="A45" i="34"/>
  <c r="B3336" i="44"/>
  <c r="F3336" i="44" s="1"/>
  <c r="A76" i="34"/>
  <c r="F164" i="32"/>
  <c r="G846" i="3"/>
  <c r="F266" i="24"/>
  <c r="G886" i="3"/>
  <c r="H266" i="24" s="1"/>
  <c r="G192" i="32"/>
  <c r="G874" i="3"/>
  <c r="B269" i="24"/>
  <c r="B207" i="32"/>
  <c r="B267" i="24"/>
  <c r="B205" i="32"/>
  <c r="B176" i="3"/>
  <c r="B279" i="3"/>
  <c r="A43" i="34"/>
  <c r="H752" i="3"/>
  <c r="H103" i="34" s="1"/>
  <c r="B3259" i="44"/>
  <c r="F3259" i="44" s="1"/>
  <c r="G852" i="3"/>
  <c r="G892" i="3"/>
  <c r="H272" i="24" s="1"/>
  <c r="F240" i="24"/>
  <c r="B162" i="32"/>
  <c r="B164" i="32"/>
  <c r="B166" i="32"/>
  <c r="B190" i="32"/>
  <c r="B254" i="24"/>
  <c r="B206" i="32"/>
  <c r="E155" i="32"/>
  <c r="D217" i="24"/>
  <c r="F207" i="32"/>
  <c r="E269" i="24"/>
  <c r="E257" i="24"/>
  <c r="G877" i="3"/>
  <c r="I694" i="3"/>
  <c r="I45" i="34" s="1"/>
  <c r="H699" i="3"/>
  <c r="H50" i="34" s="1"/>
  <c r="I705" i="3"/>
  <c r="E3316" i="44" s="1"/>
  <c r="A3316" i="44" s="1"/>
  <c r="H734" i="3"/>
  <c r="H85" i="34" s="1"/>
  <c r="H121" i="24"/>
  <c r="B3176" i="44"/>
  <c r="F3176" i="44" s="1"/>
  <c r="B3295" i="44"/>
  <c r="F3295" i="44" s="1"/>
  <c r="A96" i="34"/>
  <c r="B3322" i="44"/>
  <c r="F3322" i="44" s="1"/>
  <c r="B272" i="24"/>
  <c r="F201" i="32"/>
  <c r="E165" i="32"/>
  <c r="A62" i="34"/>
  <c r="H656" i="3"/>
  <c r="B7" i="34"/>
  <c r="D103" i="24"/>
  <c r="B334" i="3"/>
  <c r="B365" i="3"/>
  <c r="B3267" i="44"/>
  <c r="F3267" i="44" s="1"/>
  <c r="A7" i="34"/>
  <c r="B3211" i="44"/>
  <c r="F3211" i="44" s="1"/>
  <c r="B3310" i="44"/>
  <c r="F3310" i="44" s="1"/>
  <c r="B79" i="34"/>
  <c r="H728" i="3"/>
  <c r="E3240" i="44" s="1"/>
  <c r="A3240" i="44" s="1"/>
  <c r="H712" i="3"/>
  <c r="E3224" i="44" s="1"/>
  <c r="A3224" i="44" s="1"/>
  <c r="I703" i="3"/>
  <c r="I54" i="34" s="1"/>
  <c r="I729" i="3"/>
  <c r="A58" i="34"/>
  <c r="H659" i="3"/>
  <c r="H10" i="34" s="1"/>
  <c r="A80" i="34"/>
  <c r="G158" i="32"/>
  <c r="E181" i="32"/>
  <c r="E197" i="32"/>
  <c r="B3215" i="44"/>
  <c r="F3215" i="44" s="1"/>
  <c r="B3180" i="44"/>
  <c r="F3180" i="44" s="1"/>
  <c r="I707" i="3"/>
  <c r="E3318" i="44" s="1"/>
  <c r="A3318" i="44" s="1"/>
  <c r="B3328" i="44"/>
  <c r="F3328" i="44" s="1"/>
  <c r="B3318" i="44"/>
  <c r="F3318" i="44" s="1"/>
  <c r="B3249" i="44"/>
  <c r="F3249" i="44" s="1"/>
  <c r="H679" i="3"/>
  <c r="E3191" i="44" s="1"/>
  <c r="A3191" i="44" s="1"/>
  <c r="H694" i="3"/>
  <c r="E3206" i="44" s="1"/>
  <c r="A3206" i="44" s="1"/>
  <c r="B3233" i="44"/>
  <c r="F3233" i="44" s="1"/>
  <c r="A42" i="34"/>
  <c r="E247" i="24"/>
  <c r="I740" i="3"/>
  <c r="I91" i="34" s="1"/>
  <c r="B3340" i="44"/>
  <c r="F3340" i="44" s="1"/>
  <c r="A50" i="34"/>
  <c r="E216" i="24"/>
  <c r="D215" i="24"/>
  <c r="G844" i="3"/>
  <c r="H224" i="24" s="1"/>
  <c r="E232" i="24"/>
  <c r="F224" i="24"/>
  <c r="F264" i="24"/>
  <c r="B3356" i="44"/>
  <c r="F3356" i="44" s="1"/>
  <c r="B156" i="32"/>
  <c r="B220" i="24"/>
  <c r="B170" i="32"/>
  <c r="B236" i="24"/>
  <c r="B186" i="32"/>
  <c r="B252" i="24"/>
  <c r="B202" i="32"/>
  <c r="B268" i="24"/>
  <c r="G190" i="32"/>
  <c r="F185" i="32"/>
  <c r="F197" i="32"/>
  <c r="E161" i="32"/>
  <c r="E177" i="32"/>
  <c r="E193" i="32"/>
  <c r="E209" i="32"/>
  <c r="E68" i="34"/>
  <c r="I717" i="3"/>
  <c r="E3328" i="44" s="1"/>
  <c r="A3328" i="44" s="1"/>
  <c r="B3344" i="44"/>
  <c r="F3344" i="44" s="1"/>
  <c r="A84" i="34"/>
  <c r="A54" i="34"/>
  <c r="B3279" i="44"/>
  <c r="F3279" i="44" s="1"/>
  <c r="I695" i="3"/>
  <c r="B3283" i="44"/>
  <c r="F3283" i="44" s="1"/>
  <c r="B3229" i="44"/>
  <c r="F3229" i="44" s="1"/>
  <c r="A88" i="34"/>
  <c r="D139" i="24"/>
  <c r="B3172" i="44"/>
  <c r="F3172" i="44" s="1"/>
  <c r="B3332" i="44"/>
  <c r="F3332" i="44" s="1"/>
  <c r="B3203" i="44"/>
  <c r="F3203" i="44" s="1"/>
  <c r="B3245" i="44"/>
  <c r="F3245" i="44" s="1"/>
  <c r="F193" i="32"/>
  <c r="F209" i="32"/>
  <c r="E173" i="32"/>
  <c r="E189" i="32"/>
  <c r="E205" i="32"/>
  <c r="C16" i="34"/>
  <c r="H665" i="3"/>
  <c r="E3177" i="44" s="1"/>
  <c r="A3177" i="44" s="1"/>
  <c r="H670" i="3"/>
  <c r="E3182" i="44" s="1"/>
  <c r="A3182" i="44" s="1"/>
  <c r="C32" i="34"/>
  <c r="F45" i="34"/>
  <c r="B3324" i="44"/>
  <c r="F3324" i="44" s="1"/>
  <c r="A64" i="34"/>
  <c r="B3360" i="44"/>
  <c r="F3360" i="44" s="1"/>
  <c r="A100" i="34"/>
  <c r="E157" i="32"/>
  <c r="D219" i="24"/>
  <c r="G887" i="3"/>
  <c r="E267" i="24"/>
  <c r="G871" i="3"/>
  <c r="H251" i="24" s="1"/>
  <c r="E251" i="24"/>
  <c r="F182" i="32"/>
  <c r="E244" i="24"/>
  <c r="F174" i="32"/>
  <c r="E236" i="24"/>
  <c r="F166" i="32"/>
  <c r="E228" i="24"/>
  <c r="F158" i="32"/>
  <c r="E220" i="24"/>
  <c r="B216" i="24"/>
  <c r="B419" i="3"/>
  <c r="D178" i="24" s="1"/>
  <c r="B113" i="30"/>
  <c r="B422" i="3"/>
  <c r="D182" i="24" s="1"/>
  <c r="H690" i="3"/>
  <c r="E3202" i="44" s="1"/>
  <c r="A3202" i="44" s="1"/>
  <c r="H736" i="3"/>
  <c r="I749" i="3"/>
  <c r="I100" i="34" s="1"/>
  <c r="C142" i="24"/>
  <c r="I748" i="3"/>
  <c r="I99" i="34" s="1"/>
  <c r="B125" i="3"/>
  <c r="E122" i="3"/>
  <c r="B376" i="3" s="1"/>
  <c r="C279" i="3"/>
  <c r="C116" i="30" s="1"/>
  <c r="I741" i="3"/>
  <c r="E3352" i="44" s="1"/>
  <c r="A3352" i="44" s="1"/>
  <c r="A57" i="34"/>
  <c r="B3214" i="44"/>
  <c r="F3214" i="44" s="1"/>
  <c r="B3266" i="44"/>
  <c r="F3266" i="44" s="1"/>
  <c r="I716" i="3"/>
  <c r="B3290" i="44"/>
  <c r="F3290" i="44" s="1"/>
  <c r="H729" i="3"/>
  <c r="H80" i="34" s="1"/>
  <c r="A81" i="34"/>
  <c r="A77" i="34"/>
  <c r="H715" i="3"/>
  <c r="E3227" i="44" s="1"/>
  <c r="A3227" i="44" s="1"/>
  <c r="H709" i="3"/>
  <c r="I743" i="3"/>
  <c r="I714" i="3"/>
  <c r="E3325" i="44" s="1"/>
  <c r="A3325" i="44" s="1"/>
  <c r="B3329" i="44"/>
  <c r="F3329" i="44" s="1"/>
  <c r="I711" i="3"/>
  <c r="I62" i="34" s="1"/>
  <c r="H707" i="3"/>
  <c r="H58" i="34" s="1"/>
  <c r="I685" i="3"/>
  <c r="I751" i="3"/>
  <c r="E3362" i="44" s="1"/>
  <c r="A3362" i="44" s="1"/>
  <c r="C85" i="34"/>
  <c r="I727" i="3"/>
  <c r="I78" i="34" s="1"/>
  <c r="H689" i="3"/>
  <c r="E3201" i="44" s="1"/>
  <c r="A3201" i="44" s="1"/>
  <c r="A14" i="34"/>
  <c r="A67" i="34"/>
  <c r="B3193" i="44"/>
  <c r="F3193" i="44" s="1"/>
  <c r="B3260" i="44"/>
  <c r="F3260" i="44" s="1"/>
  <c r="B3349" i="44"/>
  <c r="F3349" i="44" s="1"/>
  <c r="B3208" i="44"/>
  <c r="F3208" i="44" s="1"/>
  <c r="I684" i="3"/>
  <c r="E3295" i="44" s="1"/>
  <c r="A3295" i="44" s="1"/>
  <c r="B3278" i="44"/>
  <c r="F3278" i="44" s="1"/>
  <c r="I752" i="3"/>
  <c r="A49" i="34"/>
  <c r="I731" i="3"/>
  <c r="E3342" i="44" s="1"/>
  <c r="A3342" i="44" s="1"/>
  <c r="H740" i="3"/>
  <c r="E3252" i="44" s="1"/>
  <c r="A3252" i="44" s="1"/>
  <c r="I733" i="3"/>
  <c r="H746" i="3"/>
  <c r="H97" i="34" s="1"/>
  <c r="B3311" i="44"/>
  <c r="F3311" i="44" s="1"/>
  <c r="C176" i="3"/>
  <c r="C13" i="30" s="1"/>
  <c r="A190" i="3"/>
  <c r="A27" i="30" s="1"/>
  <c r="A361" i="5"/>
  <c r="A207" i="3"/>
  <c r="A44" i="30" s="1"/>
  <c r="A376" i="5"/>
  <c r="A226" i="3"/>
  <c r="A63" i="30" s="1"/>
  <c r="A394" i="5"/>
  <c r="A267" i="3"/>
  <c r="A104" i="30" s="1"/>
  <c r="A429" i="5"/>
  <c r="A803" i="5"/>
  <c r="A805" i="5"/>
  <c r="B3218" i="44"/>
  <c r="F3218" i="44" s="1"/>
  <c r="B3294" i="44"/>
  <c r="F3294" i="44" s="1"/>
  <c r="A24" i="34"/>
  <c r="B21" i="34"/>
  <c r="C262" i="3"/>
  <c r="C99" i="30" s="1"/>
  <c r="A6" i="34"/>
  <c r="C208" i="3"/>
  <c r="C45" i="30" s="1"/>
  <c r="M753" i="3"/>
  <c r="M104" i="34" s="1"/>
  <c r="H749" i="3"/>
  <c r="H100" i="34" s="1"/>
  <c r="I735" i="3"/>
  <c r="I86" i="34" s="1"/>
  <c r="H705" i="3"/>
  <c r="C753" i="3"/>
  <c r="I1575" i="44" s="1"/>
  <c r="H730" i="3"/>
  <c r="E3242" i="44" s="1"/>
  <c r="A3242" i="44" s="1"/>
  <c r="I691" i="3"/>
  <c r="H685" i="3"/>
  <c r="C6" i="34"/>
  <c r="H744" i="3"/>
  <c r="H696" i="3"/>
  <c r="E3208" i="44" s="1"/>
  <c r="A3208" i="44" s="1"/>
  <c r="C760" i="5"/>
  <c r="H739" i="3"/>
  <c r="B3242" i="44"/>
  <c r="F3242" i="44" s="1"/>
  <c r="B3337" i="44"/>
  <c r="F3337" i="44" s="1"/>
  <c r="H732" i="3"/>
  <c r="H83" i="34" s="1"/>
  <c r="I720" i="3"/>
  <c r="I683" i="3"/>
  <c r="I723" i="3"/>
  <c r="I74" i="34" s="1"/>
  <c r="B3230" i="44"/>
  <c r="F3230" i="44" s="1"/>
  <c r="B3280" i="44"/>
  <c r="F3280" i="44" s="1"/>
  <c r="I742" i="3"/>
  <c r="B3319" i="44"/>
  <c r="F3319" i="44" s="1"/>
  <c r="I656" i="3"/>
  <c r="I7" i="34" s="1"/>
  <c r="A75" i="34"/>
  <c r="B38" i="34"/>
  <c r="B3169" i="44"/>
  <c r="F3169" i="44" s="1"/>
  <c r="H662" i="3"/>
  <c r="A71" i="34"/>
  <c r="B3228" i="44"/>
  <c r="F3228" i="44" s="1"/>
  <c r="B3185" i="44"/>
  <c r="F3185" i="44" s="1"/>
  <c r="A99" i="34"/>
  <c r="B3254" i="44"/>
  <c r="F3254" i="44" s="1"/>
  <c r="H664" i="3"/>
  <c r="H15" i="34" s="1"/>
  <c r="I713" i="3"/>
  <c r="E3324" i="44" s="1"/>
  <c r="A3324" i="44" s="1"/>
  <c r="A47" i="34"/>
  <c r="B3204" i="44"/>
  <c r="F3204" i="44" s="1"/>
  <c r="B3299" i="44"/>
  <c r="F3299" i="44" s="1"/>
  <c r="H677" i="3"/>
  <c r="E3189" i="44" s="1"/>
  <c r="A3189" i="44" s="1"/>
  <c r="H676" i="3"/>
  <c r="I674" i="3"/>
  <c r="I25" i="34" s="1"/>
  <c r="I667" i="3"/>
  <c r="E3278" i="44" s="1"/>
  <c r="A3278" i="44" s="1"/>
  <c r="B3179" i="44"/>
  <c r="F3179" i="44" s="1"/>
  <c r="I662" i="3"/>
  <c r="H724" i="3"/>
  <c r="H75" i="34" s="1"/>
  <c r="A63" i="34"/>
  <c r="A101" i="34"/>
  <c r="B3270" i="44"/>
  <c r="F3270" i="44" s="1"/>
  <c r="H718" i="3"/>
  <c r="E3230" i="44" s="1"/>
  <c r="A3230" i="44" s="1"/>
  <c r="H706" i="3"/>
  <c r="H57" i="34" s="1"/>
  <c r="H661" i="3"/>
  <c r="B3309" i="44"/>
  <c r="F3309" i="44" s="1"/>
  <c r="H673" i="3"/>
  <c r="B3224" i="44"/>
  <c r="F3224" i="44" s="1"/>
  <c r="B3297" i="44"/>
  <c r="F3297" i="44" s="1"/>
  <c r="I718" i="3"/>
  <c r="E3329" i="44" s="1"/>
  <c r="A3329" i="44" s="1"/>
  <c r="B3258" i="44"/>
  <c r="F3258" i="44" s="1"/>
  <c r="A91" i="34"/>
  <c r="B3183" i="44"/>
  <c r="F3183" i="44" s="1"/>
  <c r="B3333" i="44"/>
  <c r="F3333" i="44" s="1"/>
  <c r="A51" i="34"/>
  <c r="B3262" i="44"/>
  <c r="F3262" i="44" s="1"/>
  <c r="B633" i="3"/>
  <c r="A206" i="3"/>
  <c r="A43" i="30" s="1"/>
  <c r="A375" i="5"/>
  <c r="A225" i="3"/>
  <c r="A62" i="30" s="1"/>
  <c r="A393" i="5"/>
  <c r="A240" i="3"/>
  <c r="A77" i="30" s="1"/>
  <c r="A406" i="5"/>
  <c r="A268" i="3"/>
  <c r="A105" i="30" s="1"/>
  <c r="A430" i="5"/>
  <c r="A804" i="5"/>
  <c r="B42" i="6"/>
  <c r="G833" i="3"/>
  <c r="I151" i="32" s="1"/>
  <c r="B1184" i="5"/>
  <c r="A1080" i="5"/>
  <c r="A1082" i="5"/>
  <c r="B1082" i="5" s="1"/>
  <c r="F1082" i="5" s="1"/>
  <c r="A1084" i="5"/>
  <c r="B1084" i="5" s="1"/>
  <c r="M1084" i="5" s="1"/>
  <c r="A1086" i="5"/>
  <c r="B1086" i="5" s="1"/>
  <c r="K1086" i="5" s="1"/>
  <c r="A1088" i="5"/>
  <c r="B1088" i="5" s="1"/>
  <c r="P1088" i="5" s="1"/>
  <c r="A1090" i="5"/>
  <c r="B1090" i="5" s="1"/>
  <c r="F1090" i="5" s="1"/>
  <c r="A1092" i="5"/>
  <c r="B1092" i="5" s="1"/>
  <c r="R1092" i="5" s="1"/>
  <c r="A1094" i="5"/>
  <c r="B1094" i="5" s="1"/>
  <c r="J1094" i="5" s="1"/>
  <c r="A1096" i="5"/>
  <c r="B1096" i="5" s="1"/>
  <c r="R1096" i="5" s="1"/>
  <c r="A1098" i="5"/>
  <c r="B1098" i="5" s="1"/>
  <c r="N1098" i="5" s="1"/>
  <c r="A1100" i="5"/>
  <c r="B1100" i="5" s="1"/>
  <c r="P1100" i="5" s="1"/>
  <c r="A1102" i="5"/>
  <c r="B1102" i="5" s="1"/>
  <c r="M1102" i="5" s="1"/>
  <c r="A1104" i="5"/>
  <c r="B1104" i="5" s="1"/>
  <c r="O1104" i="5" s="1"/>
  <c r="A1106" i="5"/>
  <c r="B1106" i="5" s="1"/>
  <c r="P1106" i="5" s="1"/>
  <c r="A1108" i="5"/>
  <c r="B1108" i="5" s="1"/>
  <c r="N1108" i="5" s="1"/>
  <c r="A1110" i="5"/>
  <c r="B1110" i="5" s="1"/>
  <c r="H1110" i="5" s="1"/>
  <c r="A1112" i="5"/>
  <c r="B1112" i="5" s="1"/>
  <c r="Q1112" i="5" s="1"/>
  <c r="A1114" i="5"/>
  <c r="B1114" i="5" s="1"/>
  <c r="I1114" i="5" s="1"/>
  <c r="A1116" i="5"/>
  <c r="B1116" i="5" s="1"/>
  <c r="R1116" i="5" s="1"/>
  <c r="A1118" i="5"/>
  <c r="B1118" i="5" s="1"/>
  <c r="H1118" i="5" s="1"/>
  <c r="A1120" i="5"/>
  <c r="B1120" i="5" s="1"/>
  <c r="G1120" i="5" s="1"/>
  <c r="A1122" i="5"/>
  <c r="B1122" i="5" s="1"/>
  <c r="L1122" i="5" s="1"/>
  <c r="A1124" i="5"/>
  <c r="B1124" i="5" s="1"/>
  <c r="L1124" i="5" s="1"/>
  <c r="A1126" i="5"/>
  <c r="B1126" i="5" s="1"/>
  <c r="P1126" i="5" s="1"/>
  <c r="A1128" i="5"/>
  <c r="B1128" i="5" s="1"/>
  <c r="S1128" i="5" s="1"/>
  <c r="A1130" i="5"/>
  <c r="B1130" i="5" s="1"/>
  <c r="M1130" i="5" s="1"/>
  <c r="A1132" i="5"/>
  <c r="B1132" i="5" s="1"/>
  <c r="Q1132" i="5" s="1"/>
  <c r="A1134" i="5"/>
  <c r="B1134" i="5" s="1"/>
  <c r="M1134" i="5" s="1"/>
  <c r="A1136" i="5"/>
  <c r="B1136" i="5" s="1"/>
  <c r="K1136" i="5" s="1"/>
  <c r="A1138" i="5"/>
  <c r="B1138" i="5" s="1"/>
  <c r="G1138" i="5" s="1"/>
  <c r="A1140" i="5"/>
  <c r="B1140" i="5" s="1"/>
  <c r="G1140" i="5" s="1"/>
  <c r="A1142" i="5"/>
  <c r="B1142" i="5" s="1"/>
  <c r="O1142" i="5" s="1"/>
  <c r="A1144" i="5"/>
  <c r="B1144" i="5" s="1"/>
  <c r="Q1144" i="5" s="1"/>
  <c r="A1146" i="5"/>
  <c r="B1146" i="5" s="1"/>
  <c r="I1146" i="5" s="1"/>
  <c r="A1148" i="5"/>
  <c r="B1148" i="5" s="1"/>
  <c r="L1148" i="5" s="1"/>
  <c r="A1150" i="5"/>
  <c r="B1150" i="5" s="1"/>
  <c r="P1150" i="5" s="1"/>
  <c r="A1152" i="5"/>
  <c r="B1152" i="5" s="1"/>
  <c r="N1152" i="5" s="1"/>
  <c r="A1154" i="5"/>
  <c r="B1154" i="5" s="1"/>
  <c r="M1154" i="5" s="1"/>
  <c r="A1157" i="5"/>
  <c r="B1157" i="5" s="1"/>
  <c r="R1157" i="5" s="1"/>
  <c r="A1159" i="5"/>
  <c r="B1159" i="5" s="1"/>
  <c r="L1159" i="5" s="1"/>
  <c r="A1161" i="5"/>
  <c r="B1161" i="5" s="1"/>
  <c r="K1161" i="5" s="1"/>
  <c r="A1163" i="5"/>
  <c r="B1163" i="5" s="1"/>
  <c r="Q1163" i="5" s="1"/>
  <c r="A1165" i="5"/>
  <c r="B1165" i="5" s="1"/>
  <c r="M1165" i="5" s="1"/>
  <c r="A1167" i="5"/>
  <c r="B1167" i="5" s="1"/>
  <c r="M1167" i="5" s="1"/>
  <c r="A1169" i="5"/>
  <c r="B1169" i="5" s="1"/>
  <c r="S1169" i="5" s="1"/>
  <c r="A1171" i="5"/>
  <c r="B1171" i="5" s="1"/>
  <c r="O1171" i="5" s="1"/>
  <c r="A1173" i="5"/>
  <c r="B1173" i="5" s="1"/>
  <c r="T1173" i="5" s="1"/>
  <c r="A1175" i="5"/>
  <c r="B1175" i="5" s="1"/>
  <c r="H1175" i="5" s="1"/>
  <c r="A1176" i="5"/>
  <c r="B1176" i="5" s="1"/>
  <c r="S1176" i="5" s="1"/>
  <c r="H839" i="5"/>
  <c r="A839" i="5"/>
  <c r="H840" i="5"/>
  <c r="A840" i="5"/>
  <c r="G841" i="5"/>
  <c r="A841" i="5"/>
  <c r="D858" i="5"/>
  <c r="A858" i="5"/>
  <c r="D862" i="5"/>
  <c r="A862" i="5"/>
  <c r="D863" i="5"/>
  <c r="A863" i="5"/>
  <c r="A1081" i="5"/>
  <c r="B1081" i="5" s="1"/>
  <c r="I1081" i="5" s="1"/>
  <c r="A1083" i="5"/>
  <c r="B1083" i="5" s="1"/>
  <c r="P1083" i="5" s="1"/>
  <c r="A1085" i="5"/>
  <c r="B1085" i="5" s="1"/>
  <c r="N1085" i="5" s="1"/>
  <c r="A1087" i="5"/>
  <c r="B1087" i="5" s="1"/>
  <c r="I1087" i="5" s="1"/>
  <c r="A1089" i="5"/>
  <c r="B1089" i="5" s="1"/>
  <c r="J1089" i="5" s="1"/>
  <c r="A1091" i="5"/>
  <c r="B1091" i="5" s="1"/>
  <c r="G1091" i="5" s="1"/>
  <c r="A1093" i="5"/>
  <c r="B1093" i="5" s="1"/>
  <c r="J1093" i="5" s="1"/>
  <c r="A1095" i="5"/>
  <c r="B1095" i="5" s="1"/>
  <c r="Q1095" i="5" s="1"/>
  <c r="A1097" i="5"/>
  <c r="B1097" i="5" s="1"/>
  <c r="R1097" i="5" s="1"/>
  <c r="A1099" i="5"/>
  <c r="B1099" i="5" s="1"/>
  <c r="N1099" i="5" s="1"/>
  <c r="A1101" i="5"/>
  <c r="B1101" i="5" s="1"/>
  <c r="S1101" i="5" s="1"/>
  <c r="A1103" i="5"/>
  <c r="B1103" i="5" s="1"/>
  <c r="R1103" i="5" s="1"/>
  <c r="A1105" i="5"/>
  <c r="B1105" i="5" s="1"/>
  <c r="S1105" i="5" s="1"/>
  <c r="A1107" i="5"/>
  <c r="B1107" i="5" s="1"/>
  <c r="I1107" i="5" s="1"/>
  <c r="A1109" i="5"/>
  <c r="B1109" i="5" s="1"/>
  <c r="L1109" i="5" s="1"/>
  <c r="A1111" i="5"/>
  <c r="B1111" i="5" s="1"/>
  <c r="K1111" i="5" s="1"/>
  <c r="A1113" i="5"/>
  <c r="B1113" i="5" s="1"/>
  <c r="N1113" i="5" s="1"/>
  <c r="A1115" i="5"/>
  <c r="B1115" i="5" s="1"/>
  <c r="P1115" i="5" s="1"/>
  <c r="A1117" i="5"/>
  <c r="B1117" i="5" s="1"/>
  <c r="G1117" i="5" s="1"/>
  <c r="A1119" i="5"/>
  <c r="B1119" i="5" s="1"/>
  <c r="G1119" i="5" s="1"/>
  <c r="A1121" i="5"/>
  <c r="B1121" i="5" s="1"/>
  <c r="H1121" i="5" s="1"/>
  <c r="A1123" i="5"/>
  <c r="B1123" i="5" s="1"/>
  <c r="O1123" i="5" s="1"/>
  <c r="A1125" i="5"/>
  <c r="B1125" i="5" s="1"/>
  <c r="J1125" i="5" s="1"/>
  <c r="A1127" i="5"/>
  <c r="B1127" i="5" s="1"/>
  <c r="G1127" i="5" s="1"/>
  <c r="A1129" i="5"/>
  <c r="B1129" i="5" s="1"/>
  <c r="F1129" i="5" s="1"/>
  <c r="A1131" i="5"/>
  <c r="B1131" i="5" s="1"/>
  <c r="F1131" i="5" s="1"/>
  <c r="A1133" i="5"/>
  <c r="B1133" i="5" s="1"/>
  <c r="T1133" i="5" s="1"/>
  <c r="A1135" i="5"/>
  <c r="B1135" i="5" s="1"/>
  <c r="L1135" i="5" s="1"/>
  <c r="A1137" i="5"/>
  <c r="B1137" i="5" s="1"/>
  <c r="O1137" i="5" s="1"/>
  <c r="A1139" i="5"/>
  <c r="B1139" i="5" s="1"/>
  <c r="N1139" i="5" s="1"/>
  <c r="A1141" i="5"/>
  <c r="B1141" i="5" s="1"/>
  <c r="Q1141" i="5" s="1"/>
  <c r="A1143" i="5"/>
  <c r="B1143" i="5" s="1"/>
  <c r="I1143" i="5" s="1"/>
  <c r="A1145" i="5"/>
  <c r="B1145" i="5" s="1"/>
  <c r="T1145" i="5" s="1"/>
  <c r="A1147" i="5"/>
  <c r="B1147" i="5" s="1"/>
  <c r="N1147" i="5" s="1"/>
  <c r="A1149" i="5"/>
  <c r="B1149" i="5" s="1"/>
  <c r="T1149" i="5" s="1"/>
  <c r="A1151" i="5"/>
  <c r="B1151" i="5" s="1"/>
  <c r="O1151" i="5" s="1"/>
  <c r="A1153" i="5"/>
  <c r="B1153" i="5" s="1"/>
  <c r="S1153" i="5" s="1"/>
  <c r="A1155" i="5"/>
  <c r="B1155" i="5" s="1"/>
  <c r="R1155" i="5" s="1"/>
  <c r="A1156" i="5"/>
  <c r="B1156" i="5" s="1"/>
  <c r="N1156" i="5" s="1"/>
  <c r="A1158" i="5"/>
  <c r="B1158" i="5" s="1"/>
  <c r="P1158" i="5" s="1"/>
  <c r="A1160" i="5"/>
  <c r="B1160" i="5" s="1"/>
  <c r="T1160" i="5" s="1"/>
  <c r="A1162" i="5"/>
  <c r="B1162" i="5" s="1"/>
  <c r="G1162" i="5" s="1"/>
  <c r="A1164" i="5"/>
  <c r="B1164" i="5" s="1"/>
  <c r="P1164" i="5" s="1"/>
  <c r="A1166" i="5"/>
  <c r="B1166" i="5" s="1"/>
  <c r="H1166" i="5" s="1"/>
  <c r="A1168" i="5"/>
  <c r="B1168" i="5" s="1"/>
  <c r="J1168" i="5" s="1"/>
  <c r="A1170" i="5"/>
  <c r="B1170" i="5" s="1"/>
  <c r="S1170" i="5" s="1"/>
  <c r="A1172" i="5"/>
  <c r="B1172" i="5" s="1"/>
  <c r="S1172" i="5" s="1"/>
  <c r="A1174" i="5"/>
  <c r="B1174" i="5" s="1"/>
  <c r="P1174" i="5" s="1"/>
  <c r="A1177" i="5"/>
  <c r="B1177" i="5" s="1"/>
  <c r="T1177" i="5" s="1"/>
  <c r="H834" i="5"/>
  <c r="A834" i="5"/>
  <c r="I182" i="32"/>
  <c r="I666" i="3"/>
  <c r="B3175" i="44"/>
  <c r="F3175" i="44" s="1"/>
  <c r="B3272" i="44"/>
  <c r="F3272" i="44" s="1"/>
  <c r="H654" i="3"/>
  <c r="H5" i="34" s="1"/>
  <c r="A30" i="34"/>
  <c r="A26" i="34"/>
  <c r="H691" i="3"/>
  <c r="H668" i="3"/>
  <c r="H698" i="3"/>
  <c r="I672" i="3"/>
  <c r="I671" i="3"/>
  <c r="E3282" i="44" s="1"/>
  <c r="A3282" i="44" s="1"/>
  <c r="A20" i="34"/>
  <c r="I668" i="3"/>
  <c r="I664" i="3"/>
  <c r="I665" i="3"/>
  <c r="B3335" i="44"/>
  <c r="F3335" i="44" s="1"/>
  <c r="B3232" i="44"/>
  <c r="F3232" i="44" s="1"/>
  <c r="H697" i="3"/>
  <c r="E3209" i="44" s="1"/>
  <c r="A3209" i="44" s="1"/>
  <c r="A32" i="34"/>
  <c r="I141" i="24"/>
  <c r="I734" i="3"/>
  <c r="H721" i="3"/>
  <c r="E3233" i="44" s="1"/>
  <c r="A3233" i="44" s="1"/>
  <c r="H717" i="3"/>
  <c r="A39" i="34"/>
  <c r="I121" i="24"/>
  <c r="I736" i="3"/>
  <c r="B3248" i="44"/>
  <c r="F3248" i="44" s="1"/>
  <c r="H720" i="3"/>
  <c r="H726" i="3"/>
  <c r="H77" i="34" s="1"/>
  <c r="I745" i="3"/>
  <c r="I96" i="34" s="1"/>
  <c r="A16" i="34"/>
  <c r="C87" i="34"/>
  <c r="A37" i="34"/>
  <c r="H735" i="3"/>
  <c r="B3276" i="44"/>
  <c r="F3276" i="44" s="1"/>
  <c r="B3357" i="44"/>
  <c r="F3357" i="44" s="1"/>
  <c r="H667" i="3"/>
  <c r="I670" i="3"/>
  <c r="B3206" i="44"/>
  <c r="F3206" i="44" s="1"/>
  <c r="A87" i="34"/>
  <c r="B3252" i="44"/>
  <c r="F3252" i="44" s="1"/>
  <c r="B3195" i="44"/>
  <c r="F3195" i="44" s="1"/>
  <c r="H702" i="3"/>
  <c r="A22" i="34"/>
  <c r="B3234" i="44"/>
  <c r="F3234" i="44" s="1"/>
  <c r="B3345" i="44"/>
  <c r="F3345" i="44" s="1"/>
  <c r="A85" i="34"/>
  <c r="A189" i="3"/>
  <c r="A26" i="30" s="1"/>
  <c r="B641" i="3"/>
  <c r="E1507" i="44" s="1"/>
  <c r="A1507" i="44" s="1"/>
  <c r="B163" i="3"/>
  <c r="D71" i="24" s="1"/>
  <c r="G142" i="24"/>
  <c r="B112" i="30"/>
  <c r="E142" i="24"/>
  <c r="I142" i="24"/>
  <c r="E146" i="3"/>
  <c r="I174" i="32"/>
  <c r="B226" i="30"/>
  <c r="G143" i="24"/>
  <c r="C121" i="24"/>
  <c r="G121" i="24"/>
  <c r="H143" i="24"/>
  <c r="A205" i="3"/>
  <c r="A42" i="30" s="1"/>
  <c r="I143" i="24"/>
  <c r="G833" i="5"/>
  <c r="D260" i="44"/>
  <c r="D273" i="44"/>
  <c r="B124" i="30"/>
  <c r="B827" i="3"/>
  <c r="M377" i="3"/>
  <c r="A261" i="3"/>
  <c r="A98" i="30" s="1"/>
  <c r="F296" i="3"/>
  <c r="I16" i="25" s="1"/>
  <c r="A285" i="3"/>
  <c r="A122" i="30" s="1"/>
  <c r="C139" i="24"/>
  <c r="E139" i="24"/>
  <c r="I659" i="3"/>
  <c r="E3270" i="44" s="1"/>
  <c r="A3270" i="44" s="1"/>
  <c r="I675" i="3"/>
  <c r="I678" i="3"/>
  <c r="I29" i="34" s="1"/>
  <c r="H686" i="3"/>
  <c r="E3198" i="44" s="1"/>
  <c r="A3198" i="44" s="1"/>
  <c r="I706" i="3"/>
  <c r="E3317" i="44" s="1"/>
  <c r="A3317" i="44" s="1"/>
  <c r="I709" i="3"/>
  <c r="E3320" i="44" s="1"/>
  <c r="A3320" i="44" s="1"/>
  <c r="H710" i="3"/>
  <c r="H733" i="3"/>
  <c r="H743" i="3"/>
  <c r="H745" i="3"/>
  <c r="H96" i="34" s="1"/>
  <c r="H378" i="3"/>
  <c r="J378" i="3"/>
  <c r="E378" i="3"/>
  <c r="K378" i="3"/>
  <c r="C91" i="32"/>
  <c r="I378" i="3"/>
  <c r="F378" i="3"/>
  <c r="M378" i="3"/>
  <c r="G378" i="3"/>
  <c r="C116" i="24"/>
  <c r="L378" i="3"/>
  <c r="A269" i="3"/>
  <c r="A106" i="30" s="1"/>
  <c r="F17" i="25"/>
  <c r="F297" i="3"/>
  <c r="I17" i="25" s="1"/>
  <c r="H377" i="3"/>
  <c r="O377" i="3"/>
  <c r="J377" i="3"/>
  <c r="D141" i="24"/>
  <c r="F6" i="34"/>
  <c r="I655" i="3"/>
  <c r="B8" i="34"/>
  <c r="H657" i="3"/>
  <c r="F8" i="34"/>
  <c r="I657" i="3"/>
  <c r="I8" i="34" s="1"/>
  <c r="B11" i="34"/>
  <c r="H660" i="3"/>
  <c r="F12" i="34"/>
  <c r="I661" i="3"/>
  <c r="C17" i="34"/>
  <c r="H666" i="3"/>
  <c r="B3186" i="44"/>
  <c r="F3186" i="44" s="1"/>
  <c r="A25" i="34"/>
  <c r="A31" i="34"/>
  <c r="B3291" i="44"/>
  <c r="F3291" i="44" s="1"/>
  <c r="E31" i="34"/>
  <c r="I680" i="3"/>
  <c r="H683" i="3"/>
  <c r="B34" i="34"/>
  <c r="B3298" i="44"/>
  <c r="F3298" i="44" s="1"/>
  <c r="A38" i="34"/>
  <c r="F40" i="34"/>
  <c r="I689" i="3"/>
  <c r="F49" i="34"/>
  <c r="I698" i="3"/>
  <c r="B3213" i="44"/>
  <c r="F3213" i="44" s="1"/>
  <c r="B3312" i="44"/>
  <c r="F3312" i="44" s="1"/>
  <c r="F55" i="34"/>
  <c r="I704" i="3"/>
  <c r="A56" i="34"/>
  <c r="B3217" i="44"/>
  <c r="F3217" i="44" s="1"/>
  <c r="S60" i="34"/>
  <c r="B62" i="34"/>
  <c r="H711" i="3"/>
  <c r="F63" i="34"/>
  <c r="I712" i="3"/>
  <c r="C64" i="34"/>
  <c r="H713" i="3"/>
  <c r="C65" i="34"/>
  <c r="H714" i="3"/>
  <c r="F66" i="34"/>
  <c r="I715" i="3"/>
  <c r="B67" i="34"/>
  <c r="H716" i="3"/>
  <c r="S74" i="34"/>
  <c r="A79" i="34"/>
  <c r="B3339" i="44"/>
  <c r="F3339" i="44" s="1"/>
  <c r="A82" i="34"/>
  <c r="B3342" i="44"/>
  <c r="F3342" i="44" s="1"/>
  <c r="C82" i="34"/>
  <c r="H731" i="3"/>
  <c r="A83" i="34"/>
  <c r="B3244" i="44"/>
  <c r="F3244" i="44" s="1"/>
  <c r="C89" i="34"/>
  <c r="H738" i="3"/>
  <c r="C93" i="34"/>
  <c r="H742" i="3"/>
  <c r="F95" i="34"/>
  <c r="I744" i="3"/>
  <c r="F98" i="34"/>
  <c r="I747" i="3"/>
  <c r="B99" i="34"/>
  <c r="H748" i="3"/>
  <c r="C50" i="30"/>
  <c r="C227" i="3"/>
  <c r="C64" i="30" s="1"/>
  <c r="E121" i="24"/>
  <c r="C14" i="34"/>
  <c r="H663" i="3"/>
  <c r="F20" i="34"/>
  <c r="I669" i="3"/>
  <c r="B3182" i="44"/>
  <c r="F3182" i="44" s="1"/>
  <c r="B3281" i="44"/>
  <c r="F3281" i="44" s="1"/>
  <c r="B26" i="34"/>
  <c r="H675" i="3"/>
  <c r="B3287" i="44"/>
  <c r="F3287" i="44" s="1"/>
  <c r="B3188" i="44"/>
  <c r="F3188" i="44" s="1"/>
  <c r="B3288" i="44"/>
  <c r="F3288" i="44" s="1"/>
  <c r="B3189" i="44"/>
  <c r="F3189" i="44" s="1"/>
  <c r="B29" i="34"/>
  <c r="H678" i="3"/>
  <c r="C31" i="34"/>
  <c r="H680" i="3"/>
  <c r="F32" i="34"/>
  <c r="I681" i="3"/>
  <c r="E3292" i="44" s="1"/>
  <c r="A3292" i="44" s="1"/>
  <c r="E37" i="34"/>
  <c r="I686" i="3"/>
  <c r="B3301" i="44"/>
  <c r="F3301" i="44" s="1"/>
  <c r="A41" i="34"/>
  <c r="E43" i="34"/>
  <c r="I692" i="3"/>
  <c r="B44" i="34"/>
  <c r="H693" i="3"/>
  <c r="C46" i="34"/>
  <c r="H695" i="3"/>
  <c r="B3216" i="44"/>
  <c r="F3216" i="44" s="1"/>
  <c r="B3315" i="44"/>
  <c r="F3315" i="44" s="1"/>
  <c r="S66" i="34"/>
  <c r="C73" i="34"/>
  <c r="H722" i="3"/>
  <c r="E73" i="34"/>
  <c r="I722" i="3"/>
  <c r="C76" i="34"/>
  <c r="H725" i="3"/>
  <c r="E76" i="34"/>
  <c r="I725" i="3"/>
  <c r="I76" i="34" s="1"/>
  <c r="B3253" i="44"/>
  <c r="F3253" i="44" s="1"/>
  <c r="A92" i="34"/>
  <c r="B3355" i="44"/>
  <c r="F3355" i="44" s="1"/>
  <c r="B3256" i="44"/>
  <c r="F3256" i="44" s="1"/>
  <c r="B98" i="34"/>
  <c r="H747" i="3"/>
  <c r="I191" i="32"/>
  <c r="I177" i="32"/>
  <c r="I168" i="32"/>
  <c r="I208" i="32"/>
  <c r="I202" i="32"/>
  <c r="C115" i="24"/>
  <c r="F377" i="3"/>
  <c r="D753" i="3"/>
  <c r="I1576" i="44" s="1"/>
  <c r="H701" i="3"/>
  <c r="H692" i="3"/>
  <c r="B3285" i="44"/>
  <c r="F3285" i="44" s="1"/>
  <c r="B753" i="3"/>
  <c r="I1574" i="44" s="1"/>
  <c r="C288" i="3"/>
  <c r="H750" i="3"/>
  <c r="I746" i="3"/>
  <c r="H708" i="3"/>
  <c r="A55" i="34"/>
  <c r="H703" i="3"/>
  <c r="E10" i="34"/>
  <c r="C192" i="3"/>
  <c r="C29" i="30" s="1"/>
  <c r="I700" i="3"/>
  <c r="A21" i="34"/>
  <c r="H719" i="3"/>
  <c r="C84" i="34"/>
  <c r="H674" i="3"/>
  <c r="I682" i="3"/>
  <c r="H139" i="24"/>
  <c r="H751" i="3"/>
  <c r="I690" i="3"/>
  <c r="B3202" i="44"/>
  <c r="F3202" i="44" s="1"/>
  <c r="A95" i="34"/>
  <c r="B94" i="34"/>
  <c r="H672" i="3"/>
  <c r="I738" i="3"/>
  <c r="A27" i="34"/>
  <c r="H727" i="3"/>
  <c r="H682" i="3"/>
  <c r="B3192" i="44"/>
  <c r="F3192" i="44" s="1"/>
  <c r="I676" i="3"/>
  <c r="E3287" i="44" s="1"/>
  <c r="A3287" i="44" s="1"/>
  <c r="H671" i="3"/>
  <c r="B3316" i="44"/>
  <c r="F3316" i="44" s="1"/>
  <c r="H700" i="3"/>
  <c r="I708" i="3"/>
  <c r="H723" i="3"/>
  <c r="A52" i="34"/>
  <c r="B3199" i="44"/>
  <c r="F3199" i="44" s="1"/>
  <c r="I677" i="3"/>
  <c r="E3288" i="44" s="1"/>
  <c r="A3288" i="44" s="1"/>
  <c r="F139" i="24"/>
  <c r="E60" i="34"/>
  <c r="I710" i="3"/>
  <c r="B3209" i="44"/>
  <c r="F3209" i="44" s="1"/>
  <c r="B3308" i="44"/>
  <c r="F3308" i="44" s="1"/>
  <c r="I724" i="3"/>
  <c r="I156" i="32"/>
  <c r="H218" i="24"/>
  <c r="G139" i="24"/>
  <c r="I139" i="24"/>
  <c r="C141" i="24"/>
  <c r="E141" i="24"/>
  <c r="E753" i="3"/>
  <c r="I1577" i="44" s="1"/>
  <c r="I663" i="3"/>
  <c r="I701" i="3"/>
  <c r="D142" i="24"/>
  <c r="D181" i="24"/>
  <c r="G89" i="25"/>
  <c r="D935" i="44"/>
  <c r="B2561" i="44"/>
  <c r="B2562" i="44" s="1"/>
  <c r="B2563" i="44" s="1"/>
  <c r="B2847" i="44"/>
  <c r="B2848" i="44" s="1"/>
  <c r="D1027" i="44"/>
  <c r="B1072" i="44"/>
  <c r="D1073" i="44" s="1"/>
  <c r="B697" i="44"/>
  <c r="D475" i="44"/>
  <c r="D1854" i="44"/>
  <c r="D988" i="44"/>
  <c r="D948" i="44"/>
  <c r="D930" i="44"/>
  <c r="D936" i="44"/>
  <c r="D927" i="44"/>
  <c r="D931" i="44"/>
  <c r="D934" i="44"/>
  <c r="D929" i="44"/>
  <c r="D969" i="44"/>
  <c r="D928" i="44"/>
  <c r="D970" i="44"/>
  <c r="D943" i="44"/>
  <c r="B2016" i="44"/>
  <c r="B2017" i="44" s="1"/>
  <c r="D2017" i="44" s="1"/>
  <c r="D1023" i="44"/>
  <c r="D1031" i="44"/>
  <c r="D940" i="44"/>
  <c r="D942" i="44"/>
  <c r="D947" i="44"/>
  <c r="D939" i="44"/>
  <c r="D950" i="44"/>
  <c r="D924" i="44"/>
  <c r="J2910" i="44"/>
  <c r="D2974" i="44"/>
  <c r="D933" i="44"/>
  <c r="J2238" i="44"/>
  <c r="D2302" i="44"/>
  <c r="D2464" i="44"/>
  <c r="D1078" i="44"/>
  <c r="B2591" i="44"/>
  <c r="D2591" i="44" s="1"/>
  <c r="J2334" i="44"/>
  <c r="J2206" i="44"/>
  <c r="D2782" i="44"/>
  <c r="J2654" i="44"/>
  <c r="D2270" i="44"/>
  <c r="D1543" i="44"/>
  <c r="D1536" i="44"/>
  <c r="B3007" i="44"/>
  <c r="D3007" i="44" s="1"/>
  <c r="D756" i="44"/>
  <c r="J2878" i="44"/>
  <c r="D596" i="44"/>
  <c r="B598" i="44"/>
  <c r="B603" i="44" s="1"/>
  <c r="D605" i="44" s="1"/>
  <c r="D799" i="44"/>
  <c r="D800" i="44"/>
  <c r="D1007" i="44"/>
  <c r="D2463" i="44"/>
  <c r="B1823" i="44"/>
  <c r="B1824" i="44" s="1"/>
  <c r="D1824" i="44" s="1"/>
  <c r="J1758" i="44"/>
  <c r="B1887" i="44"/>
  <c r="D1887" i="44" s="1"/>
  <c r="B2271" i="44"/>
  <c r="D1950" i="44"/>
  <c r="N251" i="3"/>
  <c r="G214" i="30" s="1"/>
  <c r="N263" i="3"/>
  <c r="G226" i="30" s="1"/>
  <c r="N257" i="3"/>
  <c r="G220" i="30" s="1"/>
  <c r="N231" i="3"/>
  <c r="G194" i="30" s="1"/>
  <c r="N221" i="3"/>
  <c r="G184" i="30" s="1"/>
  <c r="N213" i="3"/>
  <c r="G176" i="30" s="1"/>
  <c r="N252" i="3"/>
  <c r="G215" i="30" s="1"/>
  <c r="N188" i="3"/>
  <c r="G151" i="30" s="1"/>
  <c r="N194" i="3"/>
  <c r="G157" i="30" s="1"/>
  <c r="C535" i="5"/>
  <c r="J40" i="25"/>
  <c r="G74" i="32"/>
  <c r="H90" i="25"/>
  <c r="D10" i="25"/>
  <c r="I16" i="24"/>
  <c r="D138" i="32"/>
  <c r="D100" i="25"/>
  <c r="L69" i="3"/>
  <c r="B2368" i="44"/>
  <c r="B2369" i="44" s="1"/>
  <c r="D2369" i="44" s="1"/>
  <c r="D693" i="44"/>
  <c r="B476" i="44"/>
  <c r="D480" i="44" s="1"/>
  <c r="F182" i="44"/>
  <c r="D1918" i="44"/>
  <c r="B1004" i="44"/>
  <c r="D995" i="44"/>
  <c r="B1791" i="44"/>
  <c r="D1791" i="44" s="1"/>
  <c r="D1051" i="44"/>
  <c r="D3135" i="44"/>
  <c r="J1598" i="44"/>
  <c r="D2622" i="44"/>
  <c r="D2238" i="44"/>
  <c r="J2558" i="44"/>
  <c r="D2558" i="44"/>
  <c r="J2494" i="44"/>
  <c r="J3134" i="44"/>
  <c r="D2942" i="44"/>
  <c r="B3071" i="44"/>
  <c r="B3072" i="44" s="1"/>
  <c r="D3070" i="44"/>
  <c r="D694" i="44"/>
  <c r="D471" i="44"/>
  <c r="J1854" i="44"/>
  <c r="D1004" i="44"/>
  <c r="D987" i="44"/>
  <c r="B2944" i="44"/>
  <c r="B2945" i="44" s="1"/>
  <c r="B2946" i="44" s="1"/>
  <c r="D2946" i="44" s="1"/>
  <c r="B1023" i="44"/>
  <c r="B2623" i="44"/>
  <c r="D2623" i="44" s="1"/>
  <c r="D2430" i="44"/>
  <c r="J2302" i="44"/>
  <c r="D1538" i="44"/>
  <c r="D2559" i="44"/>
  <c r="D2687" i="44"/>
  <c r="D695" i="44"/>
  <c r="D2686" i="44"/>
  <c r="J1726" i="44"/>
  <c r="J2430" i="44"/>
  <c r="B2751" i="44"/>
  <c r="D2303" i="44"/>
  <c r="D696" i="44"/>
  <c r="D474" i="44"/>
  <c r="J2366" i="44"/>
  <c r="B987" i="44"/>
  <c r="B1051" i="44"/>
  <c r="B1664" i="44"/>
  <c r="B1665" i="44" s="1"/>
  <c r="B2879" i="44"/>
  <c r="B2880" i="44" s="1"/>
  <c r="D2880" i="44" s="1"/>
  <c r="D2494" i="44"/>
  <c r="D1077" i="44"/>
  <c r="B2496" i="44"/>
  <c r="D2496" i="44" s="1"/>
  <c r="J2686" i="44"/>
  <c r="J2814" i="44"/>
  <c r="D1662" i="44"/>
  <c r="J3006" i="44"/>
  <c r="B758" i="44"/>
  <c r="B760" i="44" s="1"/>
  <c r="D761" i="44" s="1"/>
  <c r="J2750" i="44"/>
  <c r="D2239" i="44"/>
  <c r="D3134" i="44"/>
  <c r="J1790" i="44"/>
  <c r="J2942" i="44"/>
  <c r="S14" i="34"/>
  <c r="S18" i="34"/>
  <c r="S31" i="34"/>
  <c r="S36" i="34"/>
  <c r="S753" i="3"/>
  <c r="S21" i="34"/>
  <c r="S33" i="34"/>
  <c r="S40" i="34"/>
  <c r="S49" i="34"/>
  <c r="K753" i="3"/>
  <c r="I654" i="3"/>
  <c r="F30" i="34"/>
  <c r="I679" i="3"/>
  <c r="F39" i="34"/>
  <c r="I688" i="3"/>
  <c r="F48" i="34"/>
  <c r="I697" i="3"/>
  <c r="F50" i="34"/>
  <c r="I699" i="3"/>
  <c r="F101" i="34"/>
  <c r="I750" i="3"/>
  <c r="F753" i="3"/>
  <c r="I1578" i="44" s="1"/>
  <c r="I696" i="3"/>
  <c r="G753" i="3"/>
  <c r="I1579" i="44" s="1"/>
  <c r="I687" i="3"/>
  <c r="I693" i="3"/>
  <c r="I673" i="3"/>
  <c r="I658" i="3"/>
  <c r="I660" i="3"/>
  <c r="I721" i="3"/>
  <c r="I728" i="3"/>
  <c r="I702" i="3"/>
  <c r="F88" i="34"/>
  <c r="I737" i="3"/>
  <c r="N215" i="3"/>
  <c r="G178" i="30" s="1"/>
  <c r="N184" i="3"/>
  <c r="G147" i="30" s="1"/>
  <c r="N260" i="3"/>
  <c r="G223" i="30" s="1"/>
  <c r="N234" i="3"/>
  <c r="G197" i="30" s="1"/>
  <c r="N169" i="3"/>
  <c r="G132" i="30" s="1"/>
  <c r="N223" i="3"/>
  <c r="G186" i="30" s="1"/>
  <c r="N247" i="3"/>
  <c r="G210" i="30" s="1"/>
  <c r="N179" i="3"/>
  <c r="G142" i="30" s="1"/>
  <c r="G267" i="3"/>
  <c r="F258" i="44"/>
  <c r="J2958" i="44"/>
  <c r="D2670" i="44"/>
  <c r="D275" i="44"/>
  <c r="D256" i="44"/>
  <c r="D144" i="44"/>
  <c r="F144" i="44" s="1"/>
  <c r="F270" i="44"/>
  <c r="G756" i="3"/>
  <c r="H786" i="3"/>
  <c r="E112" i="25" s="1"/>
  <c r="E297" i="44"/>
  <c r="A297" i="44" s="1"/>
  <c r="E744" i="44"/>
  <c r="A744" i="44" s="1"/>
  <c r="F1574" i="44"/>
  <c r="F1577" i="44"/>
  <c r="D1541" i="44"/>
  <c r="B1065" i="44"/>
  <c r="D3118" i="44"/>
  <c r="D1858" i="44"/>
  <c r="F246" i="44"/>
  <c r="B1999" i="44"/>
  <c r="B2000" i="44" s="1"/>
  <c r="B3120" i="44"/>
  <c r="J2414" i="44"/>
  <c r="B205" i="44"/>
  <c r="D205" i="44" s="1"/>
  <c r="D1087" i="44"/>
  <c r="J3118" i="44"/>
  <c r="F247" i="44"/>
  <c r="D1064" i="44"/>
  <c r="D2062" i="44"/>
  <c r="D2063" i="44"/>
  <c r="D2798" i="44"/>
  <c r="J2158" i="44"/>
  <c r="F280" i="44"/>
  <c r="D2094" i="44"/>
  <c r="H287" i="3"/>
  <c r="H124" i="30" s="1"/>
  <c r="H279" i="3"/>
  <c r="H116" i="30" s="1"/>
  <c r="D2383" i="44"/>
  <c r="B2384" i="44"/>
  <c r="D2384" i="44" s="1"/>
  <c r="D2736" i="44"/>
  <c r="B2737" i="44"/>
  <c r="D2737" i="44" s="1"/>
  <c r="B3024" i="44"/>
  <c r="B3025" i="44" s="1"/>
  <c r="D3023" i="44"/>
  <c r="D1549" i="44"/>
  <c r="D1745" i="44"/>
  <c r="B1777" i="44"/>
  <c r="B1778" i="44" s="1"/>
  <c r="D1778" i="44" s="1"/>
  <c r="F248" i="44"/>
  <c r="F255" i="44"/>
  <c r="B2959" i="44"/>
  <c r="D2959" i="44" s="1"/>
  <c r="J2542" i="44"/>
  <c r="D2414" i="44"/>
  <c r="F198" i="44"/>
  <c r="D143" i="44"/>
  <c r="D1710" i="44"/>
  <c r="F274" i="44"/>
  <c r="B1711" i="44"/>
  <c r="D1711" i="44" s="1"/>
  <c r="B2159" i="44"/>
  <c r="B2160" i="44" s="1"/>
  <c r="J2094" i="44"/>
  <c r="B2799" i="44"/>
  <c r="B2800" i="44" s="1"/>
  <c r="D2800" i="44" s="1"/>
  <c r="D1025" i="44"/>
  <c r="B1061" i="44"/>
  <c r="D1998" i="44"/>
  <c r="J1870" i="44"/>
  <c r="J2062" i="44"/>
  <c r="F174" i="44"/>
  <c r="B173" i="44"/>
  <c r="D173" i="44" s="1"/>
  <c r="F192" i="44"/>
  <c r="B191" i="44"/>
  <c r="D191" i="44" s="1"/>
  <c r="B193" i="44"/>
  <c r="D193" i="44" s="1"/>
  <c r="F194" i="44"/>
  <c r="F202" i="44"/>
  <c r="B201" i="44"/>
  <c r="D201" i="44" s="1"/>
  <c r="F204" i="44"/>
  <c r="B203" i="44"/>
  <c r="D203" i="44" s="1"/>
  <c r="F278" i="44"/>
  <c r="D278" i="44"/>
  <c r="D301" i="44"/>
  <c r="D299" i="44"/>
  <c r="D319" i="44"/>
  <c r="B320" i="44"/>
  <c r="D320" i="44" s="1"/>
  <c r="D677" i="44"/>
  <c r="D678" i="44"/>
  <c r="D723" i="44"/>
  <c r="B724" i="44"/>
  <c r="D724" i="44" s="1"/>
  <c r="B834" i="44"/>
  <c r="D834" i="44" s="1"/>
  <c r="D833" i="44"/>
  <c r="B882" i="44"/>
  <c r="D880" i="44"/>
  <c r="D984" i="44"/>
  <c r="B985" i="44"/>
  <c r="D1019" i="44"/>
  <c r="D1020" i="44"/>
  <c r="B1033" i="44"/>
  <c r="D1033" i="44"/>
  <c r="D1037" i="44"/>
  <c r="D1036" i="44"/>
  <c r="D1042" i="44"/>
  <c r="B1042" i="44"/>
  <c r="D1043" i="44" s="1"/>
  <c r="D1047" i="44"/>
  <c r="D1048" i="44"/>
  <c r="B1048" i="44"/>
  <c r="D1049" i="44" s="1"/>
  <c r="D1057" i="44"/>
  <c r="B1057" i="44"/>
  <c r="B1615" i="44"/>
  <c r="D1615" i="44" s="1"/>
  <c r="J1614" i="44"/>
  <c r="B1647" i="44"/>
  <c r="B1648" i="44" s="1"/>
  <c r="B1649" i="44" s="1"/>
  <c r="J1646" i="44"/>
  <c r="J1742" i="44"/>
  <c r="D1742" i="44"/>
  <c r="J1902" i="44"/>
  <c r="D1902" i="44"/>
  <c r="D1934" i="44"/>
  <c r="J1934" i="44"/>
  <c r="B1967" i="44"/>
  <c r="D1966" i="44"/>
  <c r="J2030" i="44"/>
  <c r="B2031" i="44"/>
  <c r="B2032" i="44" s="1"/>
  <c r="B2033" i="44" s="1"/>
  <c r="B2034" i="44" s="1"/>
  <c r="D2034" i="44" s="1"/>
  <c r="D2095" i="44"/>
  <c r="B2096" i="44"/>
  <c r="J2126" i="44"/>
  <c r="D2126" i="44"/>
  <c r="J2190" i="44"/>
  <c r="B2191" i="44"/>
  <c r="B2192" i="44" s="1"/>
  <c r="D2192" i="44" s="1"/>
  <c r="J2222" i="44"/>
  <c r="B2223" i="44"/>
  <c r="B2224" i="44" s="1"/>
  <c r="D2222" i="44"/>
  <c r="B2255" i="44"/>
  <c r="D2255" i="44" s="1"/>
  <c r="D2254" i="44"/>
  <c r="J2286" i="44"/>
  <c r="B2287" i="44"/>
  <c r="D2286" i="44"/>
  <c r="J2318" i="44"/>
  <c r="B2319" i="44"/>
  <c r="B2320" i="44" s="1"/>
  <c r="D2320" i="44" s="1"/>
  <c r="B2351" i="44"/>
  <c r="D2351" i="44" s="1"/>
  <c r="D2350" i="44"/>
  <c r="D2382" i="44"/>
  <c r="J2382" i="44"/>
  <c r="B2479" i="44"/>
  <c r="D2479" i="44" s="1"/>
  <c r="D2478" i="44"/>
  <c r="J2574" i="44"/>
  <c r="D2574" i="44"/>
  <c r="B2607" i="44"/>
  <c r="B2608" i="44" s="1"/>
  <c r="D2606" i="44"/>
  <c r="B2703" i="44"/>
  <c r="B2704" i="44" s="1"/>
  <c r="D2702" i="44"/>
  <c r="D2734" i="44"/>
  <c r="J2734" i="44"/>
  <c r="D2766" i="44"/>
  <c r="B2767" i="44"/>
  <c r="D3022" i="44"/>
  <c r="J3022" i="44"/>
  <c r="J3086" i="44"/>
  <c r="B3087" i="44"/>
  <c r="B3151" i="44"/>
  <c r="D3150" i="44"/>
  <c r="D1855" i="44"/>
  <c r="B1904" i="44"/>
  <c r="D1904" i="44" s="1"/>
  <c r="B199" i="44"/>
  <c r="D199" i="44" s="1"/>
  <c r="B1053" i="44"/>
  <c r="D1052" i="44"/>
  <c r="D1061" i="44"/>
  <c r="D722" i="44"/>
  <c r="D1024" i="44"/>
  <c r="D1614" i="44"/>
  <c r="D1870" i="44"/>
  <c r="B1935" i="44"/>
  <c r="B1936" i="44" s="1"/>
  <c r="N211" i="3"/>
  <c r="G174" i="30" s="1"/>
  <c r="N229" i="3"/>
  <c r="G192" i="30" s="1"/>
  <c r="N262" i="3"/>
  <c r="G225" i="30" s="1"/>
  <c r="N208" i="3"/>
  <c r="G171" i="30" s="1"/>
  <c r="N237" i="3"/>
  <c r="G200" i="30" s="1"/>
  <c r="N180" i="3"/>
  <c r="G143" i="30" s="1"/>
  <c r="N239" i="3"/>
  <c r="G202" i="30" s="1"/>
  <c r="N205" i="3"/>
  <c r="G168" i="30" s="1"/>
  <c r="N222" i="3"/>
  <c r="G185" i="30" s="1"/>
  <c r="N176" i="3"/>
  <c r="G139" i="30" s="1"/>
  <c r="N214" i="3"/>
  <c r="G177" i="30" s="1"/>
  <c r="N186" i="3"/>
  <c r="G149" i="30" s="1"/>
  <c r="N219" i="3"/>
  <c r="G182" i="30" s="1"/>
  <c r="N244" i="3"/>
  <c r="G207" i="30" s="1"/>
  <c r="N225" i="3"/>
  <c r="G188" i="30" s="1"/>
  <c r="N246" i="3"/>
  <c r="G209" i="30" s="1"/>
  <c r="N204" i="3"/>
  <c r="G167" i="30" s="1"/>
  <c r="N218" i="3"/>
  <c r="G181" i="30" s="1"/>
  <c r="N226" i="3"/>
  <c r="G189" i="30" s="1"/>
  <c r="N249" i="3"/>
  <c r="G212" i="30" s="1"/>
  <c r="H265" i="3"/>
  <c r="H102" i="30" s="1"/>
  <c r="H269" i="3"/>
  <c r="H106" i="30" s="1"/>
  <c r="H282" i="3"/>
  <c r="H119" i="30" s="1"/>
  <c r="H241" i="3"/>
  <c r="H78" i="30" s="1"/>
  <c r="H245" i="3"/>
  <c r="H82" i="30" s="1"/>
  <c r="C537" i="3"/>
  <c r="B495" i="3"/>
  <c r="F89" i="25" s="1"/>
  <c r="H286" i="3"/>
  <c r="H123" i="30" s="1"/>
  <c r="H208" i="3"/>
  <c r="H45" i="30" s="1"/>
  <c r="H172" i="3"/>
  <c r="H9" i="30" s="1"/>
  <c r="H283" i="3"/>
  <c r="H120" i="30" s="1"/>
  <c r="H285" i="3"/>
  <c r="H122" i="30" s="1"/>
  <c r="H235" i="3"/>
  <c r="H72" i="30" s="1"/>
  <c r="H239" i="3"/>
  <c r="H76" i="30" s="1"/>
  <c r="C16" i="3"/>
  <c r="D202" i="24"/>
  <c r="F786" i="3"/>
  <c r="C112" i="25" s="1"/>
  <c r="B581" i="3"/>
  <c r="H233" i="3"/>
  <c r="H70" i="30" s="1"/>
  <c r="H227" i="3"/>
  <c r="H64" i="30" s="1"/>
  <c r="H266" i="3"/>
  <c r="H103" i="30" s="1"/>
  <c r="H240" i="3"/>
  <c r="H77" i="30" s="1"/>
  <c r="H176" i="3"/>
  <c r="H13" i="30" s="1"/>
  <c r="H284" i="3"/>
  <c r="H237" i="3"/>
  <c r="H74" i="30" s="1"/>
  <c r="H192" i="3"/>
  <c r="H29" i="30" s="1"/>
  <c r="H231" i="3"/>
  <c r="H68" i="30" s="1"/>
  <c r="H236" i="3"/>
  <c r="H73" i="30" s="1"/>
  <c r="H230" i="3"/>
  <c r="H67" i="30" s="1"/>
  <c r="H234" i="3"/>
  <c r="H71" i="30" s="1"/>
  <c r="H238" i="3"/>
  <c r="H75" i="30" s="1"/>
  <c r="H175" i="3"/>
  <c r="H12" i="30" s="1"/>
  <c r="H281" i="3"/>
  <c r="H118" i="30" s="1"/>
  <c r="C540" i="3"/>
  <c r="H239" i="5"/>
  <c r="B430" i="3"/>
  <c r="M54" i="3"/>
  <c r="D899" i="5"/>
  <c r="C13" i="3"/>
  <c r="C487" i="3"/>
  <c r="C483" i="3"/>
  <c r="C488" i="3"/>
  <c r="C539" i="3"/>
  <c r="D18" i="24"/>
  <c r="F787" i="3"/>
  <c r="C113" i="25" s="1"/>
  <c r="H787" i="3"/>
  <c r="E113" i="25" s="1"/>
  <c r="D147" i="24"/>
  <c r="D54" i="32"/>
  <c r="D96" i="24"/>
  <c r="F266" i="44"/>
  <c r="F269" i="44"/>
  <c r="F272" i="44"/>
  <c r="E293" i="44"/>
  <c r="A293" i="44" s="1"/>
  <c r="G293" i="44" s="1"/>
  <c r="B403" i="3"/>
  <c r="B288" i="3"/>
  <c r="B1860" i="44"/>
  <c r="D1857" i="44"/>
  <c r="D1856" i="44"/>
  <c r="F156" i="44"/>
  <c r="B183" i="44"/>
  <c r="D183" i="44" s="1"/>
  <c r="B195" i="44"/>
  <c r="D195" i="44" s="1"/>
  <c r="F178" i="44"/>
  <c r="B153" i="44"/>
  <c r="D153" i="44" s="1"/>
  <c r="F172" i="44"/>
  <c r="B679" i="44"/>
  <c r="D680" i="44" s="1"/>
  <c r="F276" i="44"/>
  <c r="D300" i="44"/>
  <c r="F208" i="44"/>
  <c r="B302" i="44"/>
  <c r="D305" i="44" s="1"/>
  <c r="D2575" i="44"/>
  <c r="F264" i="44"/>
  <c r="F265" i="44"/>
  <c r="B1728" i="44"/>
  <c r="D1727" i="44"/>
  <c r="B1920" i="44"/>
  <c r="D1919" i="44"/>
  <c r="D2240" i="44"/>
  <c r="B2241" i="44"/>
  <c r="D2304" i="44"/>
  <c r="B2305" i="44"/>
  <c r="D2305" i="44" s="1"/>
  <c r="F245" i="44"/>
  <c r="F249" i="44"/>
  <c r="E295" i="44"/>
  <c r="A295" i="44" s="1"/>
  <c r="E296" i="44"/>
  <c r="A296" i="44" s="1"/>
  <c r="H260" i="3"/>
  <c r="H97" i="30" s="1"/>
  <c r="G760" i="3"/>
  <c r="G755" i="3"/>
  <c r="H238" i="5"/>
  <c r="C542" i="3"/>
  <c r="C538" i="3"/>
  <c r="C541" i="3"/>
  <c r="C484" i="3"/>
  <c r="C486" i="3"/>
  <c r="N248" i="3"/>
  <c r="G211" i="30" s="1"/>
  <c r="N193" i="3"/>
  <c r="G156" i="30" s="1"/>
  <c r="N220" i="3"/>
  <c r="G183" i="30" s="1"/>
  <c r="N253" i="3"/>
  <c r="G216" i="30" s="1"/>
  <c r="N255" i="3"/>
  <c r="G218" i="30" s="1"/>
  <c r="N172" i="3"/>
  <c r="G135" i="30" s="1"/>
  <c r="N187" i="3"/>
  <c r="G150" i="30" s="1"/>
  <c r="E124" i="30"/>
  <c r="N174" i="3"/>
  <c r="G137" i="30" s="1"/>
  <c r="N195" i="3"/>
  <c r="G158" i="30" s="1"/>
  <c r="N228" i="3"/>
  <c r="G191" i="30" s="1"/>
  <c r="N243" i="3"/>
  <c r="G206" i="30" s="1"/>
  <c r="N183" i="3"/>
  <c r="G146" i="30" s="1"/>
  <c r="N210" i="3"/>
  <c r="G173" i="30" s="1"/>
  <c r="N170" i="3"/>
  <c r="G133" i="30" s="1"/>
  <c r="N201" i="3"/>
  <c r="G164" i="30" s="1"/>
  <c r="N224" i="3"/>
  <c r="G187" i="30" s="1"/>
  <c r="N235" i="3"/>
  <c r="G198" i="30" s="1"/>
  <c r="N171" i="3"/>
  <c r="G134" i="30" s="1"/>
  <c r="N206" i="3"/>
  <c r="G169" i="30" s="1"/>
  <c r="N254" i="3"/>
  <c r="G217" i="30" s="1"/>
  <c r="N197" i="3"/>
  <c r="G160" i="30" s="1"/>
  <c r="N178" i="3"/>
  <c r="G141" i="30" s="1"/>
  <c r="N233" i="3"/>
  <c r="G196" i="30" s="1"/>
  <c r="N241" i="3"/>
  <c r="G204" i="30" s="1"/>
  <c r="N182" i="3"/>
  <c r="G145" i="30" s="1"/>
  <c r="N203" i="3"/>
  <c r="G166" i="30" s="1"/>
  <c r="N236" i="3"/>
  <c r="G199" i="30" s="1"/>
  <c r="N199" i="3"/>
  <c r="G162" i="30" s="1"/>
  <c r="N191" i="3"/>
  <c r="G154" i="30" s="1"/>
  <c r="N240" i="3"/>
  <c r="G203" i="30" s="1"/>
  <c r="N196" i="3"/>
  <c r="G159" i="30" s="1"/>
  <c r="N181" i="3"/>
  <c r="G144" i="30" s="1"/>
  <c r="N198" i="3"/>
  <c r="G161" i="30" s="1"/>
  <c r="N227" i="3"/>
  <c r="G190" i="30" s="1"/>
  <c r="N261" i="3"/>
  <c r="G224" i="30" s="1"/>
  <c r="N212" i="3"/>
  <c r="G175" i="30" s="1"/>
  <c r="N189" i="3"/>
  <c r="G152" i="30" s="1"/>
  <c r="H207" i="3"/>
  <c r="H44" i="30" s="1"/>
  <c r="B432" i="3"/>
  <c r="H225" i="3"/>
  <c r="H62" i="30" s="1"/>
  <c r="J47" i="25"/>
  <c r="C539" i="5"/>
  <c r="C540" i="5"/>
  <c r="J53" i="25"/>
  <c r="C538" i="5"/>
  <c r="J43" i="25"/>
  <c r="J27" i="25"/>
  <c r="C531" i="5"/>
  <c r="C530" i="5"/>
  <c r="J50" i="25"/>
  <c r="C529" i="5"/>
  <c r="C526" i="5"/>
  <c r="C525" i="5"/>
  <c r="B301" i="3"/>
  <c r="J24" i="25" s="1"/>
  <c r="J39" i="25"/>
  <c r="C534" i="5"/>
  <c r="C524" i="5"/>
  <c r="C523" i="5"/>
  <c r="B300" i="3"/>
  <c r="J20" i="25" s="1"/>
  <c r="C522" i="5"/>
  <c r="C536" i="5"/>
  <c r="J41" i="25"/>
  <c r="C533" i="5"/>
  <c r="C532" i="5"/>
  <c r="B307" i="3"/>
  <c r="J36" i="25" s="1"/>
  <c r="E307" i="3"/>
  <c r="J42" i="25"/>
  <c r="H841" i="5"/>
  <c r="G839" i="5"/>
  <c r="H836" i="5"/>
  <c r="G836" i="5"/>
  <c r="G837" i="5"/>
  <c r="F837" i="5"/>
  <c r="H838" i="5"/>
  <c r="G838" i="5"/>
  <c r="F840" i="5"/>
  <c r="G840" i="5"/>
  <c r="D860" i="5"/>
  <c r="D865" i="5"/>
  <c r="H835" i="5"/>
  <c r="D861" i="5"/>
  <c r="D864" i="5"/>
  <c r="F841" i="5"/>
  <c r="F839" i="5"/>
  <c r="F838" i="5"/>
  <c r="H837" i="5"/>
  <c r="F836" i="5"/>
  <c r="D859" i="5"/>
  <c r="D2576" i="44"/>
  <c r="B2577" i="44"/>
  <c r="D2577" i="44" s="1"/>
  <c r="B163" i="44"/>
  <c r="D163" i="44" s="1"/>
  <c r="F164" i="44"/>
  <c r="B175" i="44"/>
  <c r="D175" i="44" s="1"/>
  <c r="F176" i="44"/>
  <c r="B179" i="44"/>
  <c r="D179" i="44" s="1"/>
  <c r="F180" i="44"/>
  <c r="D252" i="44"/>
  <c r="F252" i="44"/>
  <c r="F253" i="44"/>
  <c r="D253" i="44"/>
  <c r="D1533" i="44"/>
  <c r="B1747" i="44"/>
  <c r="B1748" i="44" s="1"/>
  <c r="B1749" i="44" s="1"/>
  <c r="D1744" i="44"/>
  <c r="D2735" i="44"/>
  <c r="D1775" i="44"/>
  <c r="B165" i="44"/>
  <c r="D165" i="44" s="1"/>
  <c r="B169" i="44"/>
  <c r="D169" i="44" s="1"/>
  <c r="F259" i="44"/>
  <c r="F150" i="44"/>
  <c r="D1088" i="44"/>
  <c r="F160" i="44"/>
  <c r="F251" i="44"/>
  <c r="D268" i="44"/>
  <c r="F268" i="44"/>
  <c r="D279" i="44"/>
  <c r="F279" i="44"/>
  <c r="D310" i="44"/>
  <c r="D312" i="44"/>
  <c r="D747" i="44"/>
  <c r="B748" i="44"/>
  <c r="D746" i="44"/>
  <c r="D894" i="44"/>
  <c r="B896" i="44"/>
  <c r="D896" i="44" s="1"/>
  <c r="D937" i="44"/>
  <c r="D932" i="44"/>
  <c r="D973" i="44"/>
  <c r="D974" i="44"/>
  <c r="D922" i="44"/>
  <c r="D981" i="44"/>
  <c r="D941" i="44"/>
  <c r="B983" i="44"/>
  <c r="D983" i="44"/>
  <c r="D982" i="44"/>
  <c r="D1012" i="44"/>
  <c r="D1011" i="44"/>
  <c r="D1044" i="44"/>
  <c r="B1045" i="44"/>
  <c r="D1046" i="44" s="1"/>
  <c r="D1054" i="44"/>
  <c r="D1055" i="44"/>
  <c r="B1059" i="44"/>
  <c r="D1059" i="44"/>
  <c r="D1066" i="44"/>
  <c r="D1067" i="44"/>
  <c r="B1086" i="44"/>
  <c r="D1086" i="44"/>
  <c r="D1091" i="44"/>
  <c r="D1090" i="44"/>
  <c r="B1091" i="44"/>
  <c r="D1092" i="44" s="1"/>
  <c r="J2046" i="44"/>
  <c r="B2047" i="44"/>
  <c r="B2079" i="44"/>
  <c r="D2078" i="44"/>
  <c r="D2110" i="44"/>
  <c r="B2111" i="44"/>
  <c r="D2111" i="44" s="1"/>
  <c r="D2142" i="44"/>
  <c r="B2143" i="44"/>
  <c r="B2144" i="44" s="1"/>
  <c r="D2174" i="44"/>
  <c r="J2174" i="44"/>
  <c r="B2175" i="44"/>
  <c r="B2176" i="44" s="1"/>
  <c r="B2511" i="44"/>
  <c r="D2510" i="44"/>
  <c r="B2787" i="44"/>
  <c r="D2786" i="44"/>
  <c r="B2831" i="44"/>
  <c r="B2832" i="44" s="1"/>
  <c r="J2830" i="44"/>
  <c r="J2862" i="44"/>
  <c r="D2862" i="44"/>
  <c r="B2863" i="44"/>
  <c r="D2863" i="44" s="1"/>
  <c r="J2894" i="44"/>
  <c r="D2894" i="44"/>
  <c r="J2990" i="44"/>
  <c r="B2991" i="44"/>
  <c r="D3054" i="44"/>
  <c r="B3055" i="44"/>
  <c r="J3054" i="44"/>
  <c r="F250" i="44"/>
  <c r="E294" i="44"/>
  <c r="A294" i="44" s="1"/>
  <c r="E743" i="44"/>
  <c r="A743" i="44" s="1"/>
  <c r="G743" i="44" s="1"/>
  <c r="D254" i="44"/>
  <c r="B151" i="44"/>
  <c r="D151" i="44" s="1"/>
  <c r="F152" i="44"/>
  <c r="B157" i="44"/>
  <c r="D157" i="44" s="1"/>
  <c r="F158" i="44"/>
  <c r="B161" i="44"/>
  <c r="D161" i="44" s="1"/>
  <c r="F162" i="44"/>
  <c r="B167" i="44"/>
  <c r="D167" i="44" s="1"/>
  <c r="F168" i="44"/>
  <c r="B185" i="44"/>
  <c r="D185" i="44" s="1"/>
  <c r="F186" i="44"/>
  <c r="F188" i="44"/>
  <c r="B187" i="44"/>
  <c r="D187" i="44" s="1"/>
  <c r="B189" i="44"/>
  <c r="D189" i="44" s="1"/>
  <c r="F190" i="44"/>
  <c r="D267" i="44"/>
  <c r="F267" i="44"/>
  <c r="D317" i="44"/>
  <c r="D318" i="44"/>
  <c r="D316" i="44"/>
  <c r="D315" i="44"/>
  <c r="B403" i="44"/>
  <c r="B408" i="44" s="1"/>
  <c r="D400" i="44"/>
  <c r="D402" i="44"/>
  <c r="D398" i="44"/>
  <c r="D399" i="44"/>
  <c r="B566" i="44"/>
  <c r="B568" i="44" s="1"/>
  <c r="D564" i="44"/>
  <c r="D752" i="44"/>
  <c r="B754" i="44"/>
  <c r="D781" i="44"/>
  <c r="B783" i="44"/>
  <c r="D782" i="44"/>
  <c r="D991" i="44"/>
  <c r="B990" i="44"/>
  <c r="D989" i="44"/>
  <c r="D990" i="44"/>
  <c r="D993" i="44"/>
  <c r="D994" i="44"/>
  <c r="D998" i="44"/>
  <c r="B998" i="44"/>
  <c r="D997" i="44"/>
  <c r="B1002" i="44"/>
  <c r="D1001" i="44"/>
  <c r="D1005" i="44"/>
  <c r="D1006" i="44"/>
  <c r="B1006" i="44"/>
  <c r="B1010" i="44"/>
  <c r="D1010" i="44"/>
  <c r="D1013" i="44"/>
  <c r="B1014" i="44"/>
  <c r="D1015" i="44" s="1"/>
  <c r="D1014" i="44"/>
  <c r="D1029" i="44"/>
  <c r="B1029" i="44"/>
  <c r="B1069" i="44"/>
  <c r="D1070" i="44" s="1"/>
  <c r="D1069" i="44"/>
  <c r="D1075" i="44"/>
  <c r="D1074" i="44"/>
  <c r="B1075" i="44"/>
  <c r="D1076" i="44" s="1"/>
  <c r="D1080" i="44"/>
  <c r="B1080" i="44"/>
  <c r="D1083" i="44"/>
  <c r="B1084" i="44"/>
  <c r="D1093" i="44"/>
  <c r="B1583" i="44"/>
  <c r="J1582" i="44"/>
  <c r="D1582" i="44"/>
  <c r="B1631" i="44"/>
  <c r="J1630" i="44"/>
  <c r="D1630" i="44"/>
  <c r="J1678" i="44"/>
  <c r="B1679" i="44"/>
  <c r="D1678" i="44"/>
  <c r="J1774" i="44"/>
  <c r="D1774" i="44"/>
  <c r="J1806" i="44"/>
  <c r="B1807" i="44"/>
  <c r="D1806" i="44"/>
  <c r="D1838" i="44"/>
  <c r="J1838" i="44"/>
  <c r="B2689" i="44"/>
  <c r="B2417" i="44"/>
  <c r="D2416" i="44"/>
  <c r="B2128" i="44"/>
  <c r="D2127" i="44"/>
  <c r="D1839" i="44"/>
  <c r="B1840" i="44"/>
  <c r="B2065" i="44"/>
  <c r="D2064" i="44"/>
  <c r="D313" i="44"/>
  <c r="D1982" i="44"/>
  <c r="J1982" i="44"/>
  <c r="B2208" i="44"/>
  <c r="D2207" i="44"/>
  <c r="J2398" i="44"/>
  <c r="B2399" i="44"/>
  <c r="D2446" i="44"/>
  <c r="B2447" i="44"/>
  <c r="J2446" i="44"/>
  <c r="D2638" i="44"/>
  <c r="B2639" i="44"/>
  <c r="D2926" i="44"/>
  <c r="J2926" i="44"/>
  <c r="B2671" i="44"/>
  <c r="J2606" i="44"/>
  <c r="D2542" i="44"/>
  <c r="J2478" i="44"/>
  <c r="D2366" i="44"/>
  <c r="B2927" i="44"/>
  <c r="D2318" i="44"/>
  <c r="J2110" i="44"/>
  <c r="D2014" i="44"/>
  <c r="D2785" i="44"/>
  <c r="J2078" i="44"/>
  <c r="B2895" i="44"/>
  <c r="J2142" i="44"/>
  <c r="B2544" i="44"/>
  <c r="D2206" i="44"/>
  <c r="J2638" i="44"/>
  <c r="B1872" i="44"/>
  <c r="D2046" i="44"/>
  <c r="B1983" i="44"/>
  <c r="J2014" i="44"/>
  <c r="D244" i="44"/>
  <c r="F244" i="44"/>
  <c r="D257" i="44"/>
  <c r="F257" i="44"/>
  <c r="D271" i="44"/>
  <c r="F271" i="44"/>
  <c r="D311" i="44"/>
  <c r="D308" i="44"/>
  <c r="D309" i="44"/>
  <c r="D802" i="44"/>
  <c r="D801" i="44"/>
  <c r="B803" i="44"/>
  <c r="D904" i="44"/>
  <c r="D903" i="44"/>
  <c r="B905" i="44"/>
  <c r="B1000" i="44"/>
  <c r="D999" i="44"/>
  <c r="D1000" i="44"/>
  <c r="D1016" i="44"/>
  <c r="D1017" i="44"/>
  <c r="B1017" i="44"/>
  <c r="D1018" i="44" s="1"/>
  <c r="B1035" i="44"/>
  <c r="D1034" i="44"/>
  <c r="D1035" i="44"/>
  <c r="D1039" i="44"/>
  <c r="D1038" i="44"/>
  <c r="D1062" i="44"/>
  <c r="B1063" i="44"/>
  <c r="D1063" i="44"/>
  <c r="H169" i="3"/>
  <c r="H174" i="3"/>
  <c r="H185" i="3"/>
  <c r="H195" i="3"/>
  <c r="H203" i="3"/>
  <c r="H213" i="3"/>
  <c r="H50" i="30" s="1"/>
  <c r="H221" i="3"/>
  <c r="H248" i="3"/>
  <c r="H256" i="3"/>
  <c r="H274" i="3"/>
  <c r="H181" i="3"/>
  <c r="H199" i="3"/>
  <c r="H217" i="3"/>
  <c r="H252" i="3"/>
  <c r="H278" i="3"/>
  <c r="H115" i="30" s="1"/>
  <c r="H229" i="3"/>
  <c r="H264" i="3"/>
  <c r="H101" i="30" s="1"/>
  <c r="H232" i="3"/>
  <c r="I278" i="3"/>
  <c r="I115" i="30" s="1"/>
  <c r="I213" i="3"/>
  <c r="I50" i="30" s="1"/>
  <c r="I271" i="3"/>
  <c r="I235" i="3"/>
  <c r="I72" i="30" s="1"/>
  <c r="H267" i="3"/>
  <c r="H242" i="3"/>
  <c r="I228" i="3"/>
  <c r="I65" i="30" s="1"/>
  <c r="H270" i="3"/>
  <c r="H107" i="30" s="1"/>
  <c r="H262" i="3"/>
  <c r="H243" i="3"/>
  <c r="H268" i="3"/>
  <c r="J3438" i="44"/>
  <c r="D17" i="24"/>
  <c r="D137" i="32"/>
  <c r="D201" i="24"/>
  <c r="G12" i="30"/>
  <c r="N207" i="3"/>
  <c r="G170" i="30" s="1"/>
  <c r="N245" i="3"/>
  <c r="G208" i="30" s="1"/>
  <c r="N232" i="3"/>
  <c r="G195" i="30" s="1"/>
  <c r="N175" i="3"/>
  <c r="G138" i="30" s="1"/>
  <c r="N202" i="3"/>
  <c r="G165" i="30" s="1"/>
  <c r="N259" i="3"/>
  <c r="G222" i="30" s="1"/>
  <c r="N185" i="3"/>
  <c r="G148" i="30" s="1"/>
  <c r="N216" i="3"/>
  <c r="G179" i="30" s="1"/>
  <c r="N192" i="3"/>
  <c r="G155" i="30" s="1"/>
  <c r="N238" i="3"/>
  <c r="G201" i="30" s="1"/>
  <c r="N258" i="3"/>
  <c r="G221" i="30" s="1"/>
  <c r="N209" i="3"/>
  <c r="G172" i="30" s="1"/>
  <c r="G61" i="25"/>
  <c r="B431" i="3"/>
  <c r="G74" i="25"/>
  <c r="B794" i="3"/>
  <c r="G66" i="25"/>
  <c r="B294" i="3"/>
  <c r="B458" i="3"/>
  <c r="F66" i="25" s="1"/>
  <c r="C297" i="5"/>
  <c r="C296" i="5"/>
  <c r="C18" i="3"/>
  <c r="H276" i="3"/>
  <c r="H272" i="3"/>
  <c r="H258" i="3"/>
  <c r="H254" i="3"/>
  <c r="H250" i="3"/>
  <c r="H246" i="3"/>
  <c r="H223" i="3"/>
  <c r="H219" i="3"/>
  <c r="H215" i="3"/>
  <c r="H211" i="3"/>
  <c r="H205" i="3"/>
  <c r="H201" i="3"/>
  <c r="H197" i="3"/>
  <c r="H191" i="3"/>
  <c r="H187" i="3"/>
  <c r="H183" i="3"/>
  <c r="H179" i="3"/>
  <c r="H170" i="3"/>
  <c r="C354" i="3"/>
  <c r="F89" i="24" s="1"/>
  <c r="C326" i="3"/>
  <c r="D346" i="3" s="1"/>
  <c r="F103" i="24" s="1"/>
  <c r="G757" i="3"/>
  <c r="G759" i="3"/>
  <c r="H277" i="3"/>
  <c r="H114" i="30" s="1"/>
  <c r="H275" i="3"/>
  <c r="H112" i="30" s="1"/>
  <c r="H273" i="3"/>
  <c r="H261" i="3"/>
  <c r="H259" i="3"/>
  <c r="H257" i="3"/>
  <c r="H94" i="30" s="1"/>
  <c r="H255" i="3"/>
  <c r="H92" i="30" s="1"/>
  <c r="H253" i="3"/>
  <c r="H251" i="3"/>
  <c r="H249" i="3"/>
  <c r="H247" i="3"/>
  <c r="H226" i="3"/>
  <c r="H224" i="3"/>
  <c r="H222" i="3"/>
  <c r="H220" i="3"/>
  <c r="H218" i="3"/>
  <c r="H216" i="3"/>
  <c r="H214" i="3"/>
  <c r="H212" i="3"/>
  <c r="H210" i="3"/>
  <c r="H206" i="3"/>
  <c r="H204" i="3"/>
  <c r="H202" i="3"/>
  <c r="H200" i="3"/>
  <c r="H37" i="30" s="1"/>
  <c r="H198" i="3"/>
  <c r="H196" i="3"/>
  <c r="H194" i="3"/>
  <c r="H190" i="3"/>
  <c r="H188" i="3"/>
  <c r="H186" i="3"/>
  <c r="H184" i="3"/>
  <c r="H182" i="3"/>
  <c r="H180" i="3"/>
  <c r="H178" i="3"/>
  <c r="H171" i="3"/>
  <c r="D1743" i="44"/>
  <c r="D2415" i="44"/>
  <c r="D2465" i="44"/>
  <c r="B2466" i="44"/>
  <c r="B3137" i="44"/>
  <c r="D3136" i="44"/>
  <c r="F1576" i="44"/>
  <c r="D277" i="44"/>
  <c r="D971" i="44"/>
  <c r="F1578" i="44"/>
  <c r="A145" i="44"/>
  <c r="F1575" i="44"/>
  <c r="F1579" i="44"/>
  <c r="F58" i="32"/>
  <c r="D213" i="24"/>
  <c r="F59" i="32"/>
  <c r="F151" i="32"/>
  <c r="E213" i="24"/>
  <c r="C151" i="32"/>
  <c r="C767" i="5"/>
  <c r="H833" i="5"/>
  <c r="B1079" i="5"/>
  <c r="P1079" i="5" s="1"/>
  <c r="L1097" i="5"/>
  <c r="H304" i="5"/>
  <c r="H296" i="3"/>
  <c r="B812" i="3"/>
  <c r="F104" i="24"/>
  <c r="B214" i="24"/>
  <c r="H67" i="3"/>
  <c r="B147" i="44"/>
  <c r="D147" i="44" s="1"/>
  <c r="H65" i="3"/>
  <c r="B151" i="32"/>
  <c r="H63" i="3"/>
  <c r="E69" i="3"/>
  <c r="E73" i="3" s="1"/>
  <c r="H68" i="3"/>
  <c r="H39" i="3"/>
  <c r="H35" i="3"/>
  <c r="D69" i="3"/>
  <c r="D73" i="3" s="1"/>
  <c r="H42" i="3"/>
  <c r="C197" i="24" s="1"/>
  <c r="H71" i="3"/>
  <c r="H72" i="3"/>
  <c r="H57" i="3"/>
  <c r="C502" i="5" s="1"/>
  <c r="F55" i="3"/>
  <c r="F59" i="3" s="1"/>
  <c r="E55" i="3"/>
  <c r="E59" i="3" s="1"/>
  <c r="H54" i="3"/>
  <c r="I68" i="3" s="1"/>
  <c r="C40" i="3"/>
  <c r="G40" i="3"/>
  <c r="J132" i="32" s="1"/>
  <c r="H58" i="3"/>
  <c r="C507" i="5" s="1"/>
  <c r="G69" i="3"/>
  <c r="G73" i="3" s="1"/>
  <c r="H62" i="3"/>
  <c r="H34" i="3"/>
  <c r="E300" i="3" s="1"/>
  <c r="H53" i="3"/>
  <c r="H38" i="3"/>
  <c r="H37" i="3"/>
  <c r="H33" i="3"/>
  <c r="H52" i="3"/>
  <c r="C55" i="3"/>
  <c r="C59" i="3" s="1"/>
  <c r="H50" i="3"/>
  <c r="H64" i="3"/>
  <c r="H66" i="3"/>
  <c r="D55" i="3"/>
  <c r="D59" i="3" s="1"/>
  <c r="H51" i="3"/>
  <c r="H49" i="3"/>
  <c r="H36" i="3"/>
  <c r="K128" i="32" s="1"/>
  <c r="H48" i="3"/>
  <c r="B55" i="3"/>
  <c r="B59" i="3" s="1"/>
  <c r="B69" i="3"/>
  <c r="B73" i="3" s="1"/>
  <c r="C69" i="3"/>
  <c r="C73" i="3" s="1"/>
  <c r="F69" i="3"/>
  <c r="F73" i="3" s="1"/>
  <c r="D40" i="3"/>
  <c r="H43" i="3"/>
  <c r="B40" i="3"/>
  <c r="G55" i="3"/>
  <c r="G59" i="3" s="1"/>
  <c r="E40" i="3"/>
  <c r="E954" i="44"/>
  <c r="E956" i="44"/>
  <c r="E962" i="44"/>
  <c r="E955" i="44"/>
  <c r="E961" i="44"/>
  <c r="E966" i="44"/>
  <c r="E952" i="44"/>
  <c r="E958" i="44"/>
  <c r="E964" i="44"/>
  <c r="E957" i="44"/>
  <c r="E959" i="44"/>
  <c r="E965" i="44"/>
  <c r="E963" i="44"/>
  <c r="E960" i="44"/>
  <c r="E953" i="44"/>
  <c r="P378" i="3" l="1"/>
  <c r="I180" i="32"/>
  <c r="I203" i="32"/>
  <c r="D378" i="3"/>
  <c r="H55" i="34"/>
  <c r="N378" i="3"/>
  <c r="I166" i="32"/>
  <c r="O378" i="3"/>
  <c r="A932" i="5"/>
  <c r="A996" i="5" s="1"/>
  <c r="D861" i="44"/>
  <c r="B863" i="44"/>
  <c r="I65" i="3"/>
  <c r="A1001" i="5"/>
  <c r="C1001" i="5" s="1" a="1"/>
  <c r="C1001" i="5" s="1"/>
  <c r="A994" i="5"/>
  <c r="C994" i="5" s="1" a="1"/>
  <c r="C994" i="5" s="1"/>
  <c r="L44" i="3"/>
  <c r="E234" i="44" s="1"/>
  <c r="A234" i="44" s="1"/>
  <c r="I188" i="32"/>
  <c r="I172" i="32"/>
  <c r="E3360" i="44"/>
  <c r="A3360" i="44" s="1"/>
  <c r="I207" i="32"/>
  <c r="E3196" i="44"/>
  <c r="A3196" i="44" s="1"/>
  <c r="H45" i="34"/>
  <c r="I107" i="32"/>
  <c r="L377" i="3"/>
  <c r="E133" i="24" s="1"/>
  <c r="N377" i="3"/>
  <c r="C90" i="32"/>
  <c r="H81" i="34"/>
  <c r="G377" i="3"/>
  <c r="I167" i="32"/>
  <c r="D377" i="3"/>
  <c r="C377" i="3"/>
  <c r="I377" i="3"/>
  <c r="E377" i="3"/>
  <c r="F90" i="32" s="1"/>
  <c r="K377" i="3"/>
  <c r="A1033" i="5"/>
  <c r="C1033" i="5" s="1" a="1"/>
  <c r="C1033" i="5" s="1"/>
  <c r="A1020" i="5"/>
  <c r="C1020" i="5" s="1" a="1"/>
  <c r="C1020" i="5" s="1"/>
  <c r="A997" i="5"/>
  <c r="A1031" i="5"/>
  <c r="A1003" i="5"/>
  <c r="A1052" i="5"/>
  <c r="C1052" i="5" s="1" a="1"/>
  <c r="C1052" i="5" s="1"/>
  <c r="I67" i="3"/>
  <c r="H213" i="24"/>
  <c r="I176" i="32"/>
  <c r="I159" i="32"/>
  <c r="H215" i="24"/>
  <c r="I194" i="32"/>
  <c r="I64" i="34"/>
  <c r="I196" i="32"/>
  <c r="M1110" i="5"/>
  <c r="K1105" i="5"/>
  <c r="F1168" i="5"/>
  <c r="Q1137" i="5"/>
  <c r="L1168" i="5"/>
  <c r="Q1105" i="5"/>
  <c r="D46" i="42"/>
  <c r="E298" i="3"/>
  <c r="G18" i="25" s="1"/>
  <c r="A963" i="44"/>
  <c r="A959" i="44"/>
  <c r="A958" i="44"/>
  <c r="A966" i="44"/>
  <c r="A954" i="44"/>
  <c r="A957" i="44"/>
  <c r="A955" i="44"/>
  <c r="A964" i="44"/>
  <c r="A962" i="44"/>
  <c r="A960" i="44"/>
  <c r="A953" i="44"/>
  <c r="A965" i="44"/>
  <c r="A956" i="44"/>
  <c r="A961" i="44"/>
  <c r="A952" i="44"/>
  <c r="F963" i="44"/>
  <c r="F959" i="44"/>
  <c r="F958" i="44"/>
  <c r="F966" i="44"/>
  <c r="F954" i="44"/>
  <c r="F957" i="44"/>
  <c r="F955" i="44"/>
  <c r="F964" i="44"/>
  <c r="F962" i="44"/>
  <c r="F960" i="44"/>
  <c r="F953" i="44"/>
  <c r="F965" i="44"/>
  <c r="F956" i="44"/>
  <c r="F961" i="44"/>
  <c r="F952" i="44"/>
  <c r="I1122" i="5"/>
  <c r="J1122" i="5"/>
  <c r="R1154" i="5"/>
  <c r="F1122" i="5"/>
  <c r="P1122" i="5"/>
  <c r="P1090" i="5"/>
  <c r="T1154" i="5"/>
  <c r="T1122" i="5"/>
  <c r="O1082" i="5"/>
  <c r="K1122" i="5"/>
  <c r="S1122" i="5"/>
  <c r="Q1122" i="5"/>
  <c r="N1138" i="5"/>
  <c r="F1149" i="5"/>
  <c r="H1122" i="5"/>
  <c r="G1122" i="5"/>
  <c r="F1154" i="5"/>
  <c r="D94" i="41"/>
  <c r="O1150" i="5"/>
  <c r="L1177" i="5"/>
  <c r="T1113" i="5"/>
  <c r="P1081" i="5"/>
  <c r="M1118" i="5"/>
  <c r="L1086" i="5"/>
  <c r="M1101" i="5"/>
  <c r="K1150" i="5"/>
  <c r="A1027" i="5"/>
  <c r="C1027" i="5" s="1" a="1"/>
  <c r="C1027" i="5" s="1"/>
  <c r="A995" i="5"/>
  <c r="C995" i="5" s="1" a="1"/>
  <c r="C995" i="5" s="1"/>
  <c r="A1025" i="5"/>
  <c r="C1025" i="5" s="1" a="1"/>
  <c r="C1025" i="5" s="1"/>
  <c r="A1050" i="5"/>
  <c r="A1046" i="5"/>
  <c r="A1048" i="5"/>
  <c r="C1048" i="5" s="1" a="1"/>
  <c r="C1048" i="5" s="1"/>
  <c r="A1016" i="5"/>
  <c r="C1016" i="5" s="1" a="1"/>
  <c r="C1016" i="5" s="1"/>
  <c r="F1086" i="5"/>
  <c r="A1023" i="5"/>
  <c r="C1023" i="5" s="1" a="1"/>
  <c r="C1023" i="5" s="1"/>
  <c r="A1053" i="5"/>
  <c r="C1053" i="5" s="1" a="1"/>
  <c r="C1053" i="5" s="1"/>
  <c r="A1021" i="5"/>
  <c r="C1021" i="5" s="1" a="1"/>
  <c r="C1021" i="5" s="1"/>
  <c r="A1042" i="5"/>
  <c r="C1042" i="5" s="1" a="1"/>
  <c r="C1042" i="5" s="1"/>
  <c r="A1038" i="5"/>
  <c r="C1038" i="5" s="1" a="1"/>
  <c r="C1038" i="5" s="1"/>
  <c r="A1044" i="5"/>
  <c r="C1044" i="5" s="1" a="1"/>
  <c r="C1044" i="5" s="1"/>
  <c r="A1012" i="5"/>
  <c r="A1051" i="5"/>
  <c r="C1051" i="5" s="1" a="1"/>
  <c r="C1051" i="5" s="1"/>
  <c r="A1019" i="5"/>
  <c r="A1049" i="5"/>
  <c r="A1017" i="5"/>
  <c r="A1034" i="5"/>
  <c r="A1030" i="5"/>
  <c r="C1030" i="5" s="1" a="1"/>
  <c r="C1030" i="5" s="1"/>
  <c r="A1040" i="5"/>
  <c r="C1040" i="5" s="1" a="1"/>
  <c r="C1040" i="5" s="1"/>
  <c r="A1008" i="5"/>
  <c r="A1047" i="5"/>
  <c r="A1015" i="5"/>
  <c r="C1015" i="5" s="1" a="1"/>
  <c r="C1015" i="5" s="1"/>
  <c r="A1045" i="5"/>
  <c r="C1045" i="5" s="1" a="1"/>
  <c r="C1045" i="5" s="1"/>
  <c r="A1013" i="5"/>
  <c r="C1013" i="5" s="1" a="1"/>
  <c r="C1013" i="5" s="1"/>
  <c r="A1026" i="5"/>
  <c r="C1026" i="5" s="1" a="1"/>
  <c r="C1026" i="5" s="1"/>
  <c r="A1022" i="5"/>
  <c r="A1036" i="5"/>
  <c r="A1004" i="5"/>
  <c r="C1004" i="5" s="1" a="1"/>
  <c r="C1004" i="5" s="1"/>
  <c r="S1085" i="5"/>
  <c r="K1085" i="5"/>
  <c r="I1118" i="5"/>
  <c r="R1117" i="5"/>
  <c r="A1043" i="5"/>
  <c r="C1043" i="5" s="1" a="1"/>
  <c r="C1043" i="5" s="1"/>
  <c r="A1011" i="5"/>
  <c r="A1041" i="5"/>
  <c r="C1041" i="5" s="1" a="1"/>
  <c r="C1041" i="5" s="1"/>
  <c r="A1009" i="5"/>
  <c r="C1009" i="5" s="1" a="1"/>
  <c r="C1009" i="5" s="1"/>
  <c r="A1018" i="5"/>
  <c r="A1014" i="5"/>
  <c r="A1032" i="5"/>
  <c r="C1032" i="5" s="1" a="1"/>
  <c r="C1032" i="5" s="1"/>
  <c r="A1000" i="5"/>
  <c r="C1000" i="5" s="1" a="1"/>
  <c r="C1000" i="5" s="1"/>
  <c r="J1101" i="5"/>
  <c r="K1134" i="5"/>
  <c r="A1039" i="5"/>
  <c r="A1007" i="5"/>
  <c r="C1007" i="5" s="1" a="1"/>
  <c r="C1007" i="5" s="1"/>
  <c r="A1037" i="5"/>
  <c r="A1005" i="5"/>
  <c r="C1005" i="5" s="1" a="1"/>
  <c r="C1005" i="5" s="1"/>
  <c r="A1010" i="5"/>
  <c r="C1010" i="5" s="1" a="1"/>
  <c r="C1010" i="5" s="1"/>
  <c r="A1006" i="5"/>
  <c r="A1028" i="5"/>
  <c r="C1028" i="5" s="1" a="1"/>
  <c r="C1028" i="5" s="1"/>
  <c r="L1152" i="5"/>
  <c r="I209" i="32"/>
  <c r="I160" i="32"/>
  <c r="H41" i="34"/>
  <c r="E3350" i="44"/>
  <c r="A3350" i="44" s="1"/>
  <c r="E3359" i="44"/>
  <c r="A3359" i="44" s="1"/>
  <c r="M1113" i="5"/>
  <c r="G1097" i="5"/>
  <c r="S1130" i="5"/>
  <c r="F1081" i="5"/>
  <c r="F1113" i="5"/>
  <c r="S1113" i="5"/>
  <c r="K1082" i="5"/>
  <c r="Q1097" i="5"/>
  <c r="N1117" i="5"/>
  <c r="T1098" i="5"/>
  <c r="F1130" i="5"/>
  <c r="J1081" i="5"/>
  <c r="M1082" i="5"/>
  <c r="O1098" i="5"/>
  <c r="H1114" i="5"/>
  <c r="S1117" i="5"/>
  <c r="I1113" i="5"/>
  <c r="R1114" i="5"/>
  <c r="R1098" i="5"/>
  <c r="M1160" i="5"/>
  <c r="J1082" i="5"/>
  <c r="S1177" i="5"/>
  <c r="L1081" i="5"/>
  <c r="F1114" i="5"/>
  <c r="P1133" i="5"/>
  <c r="N1114" i="5"/>
  <c r="P1177" i="5"/>
  <c r="S1082" i="5"/>
  <c r="O1114" i="5"/>
  <c r="S1098" i="5"/>
  <c r="I1163" i="5"/>
  <c r="G1081" i="5"/>
  <c r="J1097" i="5"/>
  <c r="G1160" i="5"/>
  <c r="N1145" i="5"/>
  <c r="R1081" i="5"/>
  <c r="O1097" i="5"/>
  <c r="M1164" i="5"/>
  <c r="S1164" i="5"/>
  <c r="P1085" i="5"/>
  <c r="R1085" i="5"/>
  <c r="G1149" i="5"/>
  <c r="R1101" i="5"/>
  <c r="H1167" i="5"/>
  <c r="R1086" i="5"/>
  <c r="F1118" i="5"/>
  <c r="R1133" i="5"/>
  <c r="M1117" i="5"/>
  <c r="N1164" i="5"/>
  <c r="P1101" i="5"/>
  <c r="Q1118" i="5"/>
  <c r="Q1150" i="5"/>
  <c r="G1167" i="5"/>
  <c r="L1134" i="5"/>
  <c r="L1085" i="5"/>
  <c r="F1085" i="5"/>
  <c r="P1149" i="5"/>
  <c r="I1149" i="5"/>
  <c r="L1101" i="5"/>
  <c r="I1167" i="5"/>
  <c r="J1117" i="5"/>
  <c r="L1118" i="5"/>
  <c r="K1133" i="5"/>
  <c r="K1101" i="5"/>
  <c r="G1164" i="5"/>
  <c r="T1117" i="5"/>
  <c r="Q1102" i="5"/>
  <c r="T1134" i="5"/>
  <c r="R1150" i="5"/>
  <c r="P1134" i="5"/>
  <c r="M1085" i="5"/>
  <c r="I1085" i="5"/>
  <c r="S1149" i="5"/>
  <c r="H1149" i="5"/>
  <c r="F1101" i="5"/>
  <c r="N1167" i="5"/>
  <c r="Q1133" i="5"/>
  <c r="R1118" i="5"/>
  <c r="K1164" i="5"/>
  <c r="M1133" i="5"/>
  <c r="H1133" i="5"/>
  <c r="Q1086" i="5"/>
  <c r="H1102" i="5"/>
  <c r="F1134" i="5"/>
  <c r="T1085" i="5"/>
  <c r="Q1149" i="5"/>
  <c r="I1101" i="5"/>
  <c r="G1101" i="5"/>
  <c r="K1118" i="5"/>
  <c r="H1164" i="5"/>
  <c r="L1133" i="5"/>
  <c r="J1164" i="5"/>
  <c r="Q1117" i="5"/>
  <c r="J1167" i="5"/>
  <c r="O1134" i="5"/>
  <c r="S1118" i="5"/>
  <c r="M1149" i="5"/>
  <c r="Q1167" i="5"/>
  <c r="T1118" i="5"/>
  <c r="J1085" i="5"/>
  <c r="R1149" i="5"/>
  <c r="L1149" i="5"/>
  <c r="T1101" i="5"/>
  <c r="J1086" i="5"/>
  <c r="J1118" i="5"/>
  <c r="L1117" i="5"/>
  <c r="T1164" i="5"/>
  <c r="Q1101" i="5"/>
  <c r="G1118" i="5"/>
  <c r="N1133" i="5"/>
  <c r="Q1164" i="5"/>
  <c r="P1117" i="5"/>
  <c r="K1167" i="5"/>
  <c r="R1134" i="5"/>
  <c r="O1086" i="5"/>
  <c r="J1150" i="5"/>
  <c r="L1102" i="5"/>
  <c r="O1085" i="5"/>
  <c r="H1085" i="5"/>
  <c r="O1149" i="5"/>
  <c r="I1086" i="5"/>
  <c r="O1118" i="5"/>
  <c r="I1117" i="5"/>
  <c r="O1101" i="5"/>
  <c r="I1133" i="5"/>
  <c r="F1133" i="5"/>
  <c r="N1118" i="5"/>
  <c r="L1150" i="5"/>
  <c r="O1102" i="5"/>
  <c r="O1167" i="5"/>
  <c r="F1150" i="5"/>
  <c r="J1102" i="5"/>
  <c r="G1085" i="5"/>
  <c r="Q1085" i="5"/>
  <c r="N1149" i="5"/>
  <c r="H1101" i="5"/>
  <c r="H1086" i="5"/>
  <c r="P1118" i="5"/>
  <c r="H1117" i="5"/>
  <c r="F1117" i="5"/>
  <c r="N1101" i="5"/>
  <c r="O1117" i="5"/>
  <c r="K1117" i="5"/>
  <c r="T1150" i="5"/>
  <c r="H214" i="24"/>
  <c r="G347" i="3"/>
  <c r="G104" i="24" s="1"/>
  <c r="J1163" i="5"/>
  <c r="P1146" i="5"/>
  <c r="S1081" i="5"/>
  <c r="Q1082" i="5"/>
  <c r="F1145" i="5"/>
  <c r="L1113" i="5"/>
  <c r="R1113" i="5"/>
  <c r="G1098" i="5"/>
  <c r="H1081" i="5"/>
  <c r="S1114" i="5"/>
  <c r="S1097" i="5"/>
  <c r="I1097" i="5"/>
  <c r="H1113" i="5"/>
  <c r="T1082" i="5"/>
  <c r="G1163" i="5"/>
  <c r="N1146" i="5"/>
  <c r="K1098" i="5"/>
  <c r="H1082" i="5"/>
  <c r="J1113" i="5"/>
  <c r="Q1081" i="5"/>
  <c r="P1082" i="5"/>
  <c r="P1114" i="5"/>
  <c r="N1097" i="5"/>
  <c r="S1163" i="5"/>
  <c r="H1160" i="5"/>
  <c r="I1130" i="5"/>
  <c r="J1146" i="5"/>
  <c r="K1114" i="5"/>
  <c r="R1130" i="5"/>
  <c r="G1082" i="5"/>
  <c r="Q1098" i="5"/>
  <c r="N1081" i="5"/>
  <c r="L1082" i="5"/>
  <c r="P1097" i="5"/>
  <c r="F1097" i="5"/>
  <c r="M1163" i="5"/>
  <c r="L1145" i="5"/>
  <c r="K1081" i="5"/>
  <c r="N1130" i="5"/>
  <c r="Q1146" i="5"/>
  <c r="T1163" i="5"/>
  <c r="S1146" i="5"/>
  <c r="N1163" i="5"/>
  <c r="P1113" i="5"/>
  <c r="T1081" i="5"/>
  <c r="G1114" i="5"/>
  <c r="H1097" i="5"/>
  <c r="Q1113" i="5"/>
  <c r="H1130" i="5"/>
  <c r="K1146" i="5"/>
  <c r="P1163" i="5"/>
  <c r="E3305" i="44"/>
  <c r="A3305" i="44" s="1"/>
  <c r="H1129" i="5"/>
  <c r="P1098" i="5"/>
  <c r="M1097" i="5"/>
  <c r="J1145" i="5"/>
  <c r="I1082" i="5"/>
  <c r="N1082" i="5"/>
  <c r="F1163" i="5"/>
  <c r="H1098" i="5"/>
  <c r="K1097" i="5"/>
  <c r="T1097" i="5"/>
  <c r="R1082" i="5"/>
  <c r="P1160" i="5"/>
  <c r="H1163" i="5"/>
  <c r="J1098" i="5"/>
  <c r="M1098" i="5"/>
  <c r="G1093" i="5"/>
  <c r="L1125" i="5"/>
  <c r="L1172" i="5"/>
  <c r="I1109" i="5"/>
  <c r="T1105" i="5"/>
  <c r="I1153" i="5"/>
  <c r="S1137" i="5"/>
  <c r="K1168" i="5"/>
  <c r="P1137" i="5"/>
  <c r="G1105" i="5"/>
  <c r="G1137" i="5"/>
  <c r="N1105" i="5"/>
  <c r="G1168" i="5"/>
  <c r="S1168" i="5"/>
  <c r="J1137" i="5"/>
  <c r="P1105" i="5"/>
  <c r="R1137" i="5"/>
  <c r="H1168" i="5"/>
  <c r="P1168" i="5"/>
  <c r="J1105" i="5"/>
  <c r="F1105" i="5"/>
  <c r="I1105" i="5"/>
  <c r="L1105" i="5"/>
  <c r="R1105" i="5"/>
  <c r="H1137" i="5"/>
  <c r="I1175" i="5"/>
  <c r="T1159" i="5"/>
  <c r="J1159" i="5"/>
  <c r="O1175" i="5"/>
  <c r="H1109" i="5"/>
  <c r="S1175" i="5"/>
  <c r="R1156" i="5"/>
  <c r="M1126" i="5"/>
  <c r="T1172" i="5"/>
  <c r="T1094" i="5"/>
  <c r="G1126" i="5"/>
  <c r="M1093" i="5"/>
  <c r="K1125" i="5"/>
  <c r="L1129" i="5"/>
  <c r="M1129" i="5"/>
  <c r="N1129" i="5"/>
  <c r="S1129" i="5"/>
  <c r="I1129" i="5"/>
  <c r="K1145" i="5"/>
  <c r="H1177" i="5"/>
  <c r="S1145" i="5"/>
  <c r="F1160" i="5"/>
  <c r="K1160" i="5"/>
  <c r="R1177" i="5"/>
  <c r="K1129" i="5"/>
  <c r="F1177" i="5"/>
  <c r="I1145" i="5"/>
  <c r="J1160" i="5"/>
  <c r="P1129" i="5"/>
  <c r="O1177" i="5"/>
  <c r="O1145" i="5"/>
  <c r="Q1160" i="5"/>
  <c r="O1160" i="5"/>
  <c r="Q1129" i="5"/>
  <c r="O1129" i="5"/>
  <c r="T1129" i="5"/>
  <c r="K1177" i="5"/>
  <c r="I1160" i="5"/>
  <c r="G1145" i="5"/>
  <c r="I1177" i="5"/>
  <c r="M1145" i="5"/>
  <c r="J1129" i="5"/>
  <c r="G1129" i="5"/>
  <c r="N1177" i="5"/>
  <c r="Q1177" i="5"/>
  <c r="S1160" i="5"/>
  <c r="P1145" i="5"/>
  <c r="R1145" i="5"/>
  <c r="R1129" i="5"/>
  <c r="H1145" i="5"/>
  <c r="M1177" i="5"/>
  <c r="Q1145" i="5"/>
  <c r="K1109" i="5"/>
  <c r="N1175" i="5"/>
  <c r="K1094" i="5"/>
  <c r="M1156" i="5"/>
  <c r="T1109" i="5"/>
  <c r="R1093" i="5"/>
  <c r="T1175" i="5"/>
  <c r="M1159" i="5"/>
  <c r="O1109" i="5"/>
  <c r="K1126" i="5"/>
  <c r="N1126" i="5"/>
  <c r="J1109" i="5"/>
  <c r="N1093" i="5"/>
  <c r="G1142" i="5"/>
  <c r="J1175" i="5"/>
  <c r="G1175" i="5"/>
  <c r="R1094" i="5"/>
  <c r="H1093" i="5"/>
  <c r="P1141" i="5"/>
  <c r="M1142" i="5"/>
  <c r="H1125" i="5"/>
  <c r="O1156" i="5"/>
  <c r="T1125" i="5"/>
  <c r="H1141" i="5"/>
  <c r="S1156" i="5"/>
  <c r="I1159" i="5"/>
  <c r="J1126" i="5"/>
  <c r="H1142" i="5"/>
  <c r="L1175" i="5"/>
  <c r="R1110" i="5"/>
  <c r="F1093" i="5"/>
  <c r="S1093" i="5"/>
  <c r="I1141" i="5"/>
  <c r="F1125" i="5"/>
  <c r="G1141" i="5"/>
  <c r="H1126" i="5"/>
  <c r="S1109" i="5"/>
  <c r="I1142" i="5"/>
  <c r="O1172" i="5"/>
  <c r="I1172" i="5"/>
  <c r="H1094" i="5"/>
  <c r="P1093" i="5"/>
  <c r="G1156" i="5"/>
  <c r="L1141" i="5"/>
  <c r="S1125" i="5"/>
  <c r="F1141" i="5"/>
  <c r="G1159" i="5"/>
  <c r="F1175" i="5"/>
  <c r="G1110" i="5"/>
  <c r="R1126" i="5"/>
  <c r="G1109" i="5"/>
  <c r="J1172" i="5"/>
  <c r="P1142" i="5"/>
  <c r="K1156" i="5"/>
  <c r="I1125" i="5"/>
  <c r="S1126" i="5"/>
  <c r="I1126" i="5"/>
  <c r="N1109" i="5"/>
  <c r="R1142" i="5"/>
  <c r="R1175" i="5"/>
  <c r="H1172" i="5"/>
  <c r="I1094" i="5"/>
  <c r="Q1093" i="5"/>
  <c r="O1141" i="5"/>
  <c r="T1141" i="5"/>
  <c r="P1109" i="5"/>
  <c r="Q1142" i="5"/>
  <c r="Q1094" i="5"/>
  <c r="K1110" i="5"/>
  <c r="L1094" i="5"/>
  <c r="S1142" i="5"/>
  <c r="R1159" i="5"/>
  <c r="L1126" i="5"/>
  <c r="Q1126" i="5"/>
  <c r="L1093" i="5"/>
  <c r="T1142" i="5"/>
  <c r="M1172" i="5"/>
  <c r="S1094" i="5"/>
  <c r="Q1156" i="5"/>
  <c r="T1126" i="5"/>
  <c r="L1142" i="5"/>
  <c r="K1175" i="5"/>
  <c r="F1172" i="5"/>
  <c r="T1093" i="5"/>
  <c r="K1093" i="5"/>
  <c r="Q1172" i="5"/>
  <c r="K1142" i="5"/>
  <c r="Q1109" i="5"/>
  <c r="I1093" i="5"/>
  <c r="O1126" i="5"/>
  <c r="M1109" i="5"/>
  <c r="F1109" i="5"/>
  <c r="F1126" i="5"/>
  <c r="R1109" i="5"/>
  <c r="R1124" i="5"/>
  <c r="P1175" i="5"/>
  <c r="G1172" i="5"/>
  <c r="O1093" i="5"/>
  <c r="P1172" i="5"/>
  <c r="J1141" i="5"/>
  <c r="S1110" i="5"/>
  <c r="E104" i="24"/>
  <c r="I158" i="32"/>
  <c r="C31" i="32"/>
  <c r="D31" i="32" s="1"/>
  <c r="E31" i="32" s="1"/>
  <c r="F31" i="32" s="1"/>
  <c r="G31" i="32" s="1"/>
  <c r="H31" i="32" s="1"/>
  <c r="I31" i="32" s="1"/>
  <c r="J31" i="32" s="1"/>
  <c r="K31" i="32" s="1"/>
  <c r="L31" i="32" s="1"/>
  <c r="C41" i="32" s="1"/>
  <c r="D41" i="32" s="1"/>
  <c r="E41" i="32" s="1"/>
  <c r="F41" i="32" s="1"/>
  <c r="G41" i="32" s="1"/>
  <c r="I206" i="32"/>
  <c r="E3241" i="44"/>
  <c r="A3241" i="44" s="1"/>
  <c r="I185" i="32"/>
  <c r="D39" i="41"/>
  <c r="E34" i="43"/>
  <c r="G55" i="42" s="1"/>
  <c r="K54" i="32"/>
  <c r="B13" i="30"/>
  <c r="G176" i="3"/>
  <c r="G13" i="30" s="1"/>
  <c r="E26" i="43"/>
  <c r="G54" i="42" s="1"/>
  <c r="I210" i="32"/>
  <c r="I201" i="32"/>
  <c r="D29" i="41"/>
  <c r="D1760" i="44"/>
  <c r="F223" i="3"/>
  <c r="F60" i="30" s="1"/>
  <c r="G223" i="3"/>
  <c r="G60" i="30" s="1"/>
  <c r="F241" i="3"/>
  <c r="F78" i="30" s="1"/>
  <c r="G241" i="3"/>
  <c r="G78" i="30" s="1"/>
  <c r="G226" i="3"/>
  <c r="G63" i="30" s="1"/>
  <c r="G188" i="3"/>
  <c r="G25" i="30" s="1"/>
  <c r="G265" i="3"/>
  <c r="G102" i="30" s="1"/>
  <c r="F205" i="3"/>
  <c r="F42" i="30" s="1"/>
  <c r="G205" i="3"/>
  <c r="G42" i="30" s="1"/>
  <c r="F260" i="3"/>
  <c r="F97" i="30" s="1"/>
  <c r="G260" i="3"/>
  <c r="G97" i="30" s="1"/>
  <c r="G224" i="3"/>
  <c r="G61" i="30" s="1"/>
  <c r="G285" i="3"/>
  <c r="G122" i="30" s="1"/>
  <c r="F259" i="3"/>
  <c r="F96" i="30" s="1"/>
  <c r="G259" i="3"/>
  <c r="G96" i="30" s="1"/>
  <c r="F240" i="3"/>
  <c r="F77" i="30" s="1"/>
  <c r="G240" i="3"/>
  <c r="G77" i="30" s="1"/>
  <c r="F242" i="3"/>
  <c r="F79" i="30" s="1"/>
  <c r="G242" i="3"/>
  <c r="G79" i="30" s="1"/>
  <c r="G268" i="3"/>
  <c r="G105" i="30" s="1"/>
  <c r="F275" i="3"/>
  <c r="F112" i="30" s="1"/>
  <c r="G275" i="3"/>
  <c r="G112" i="30" s="1"/>
  <c r="G203" i="3"/>
  <c r="G40" i="30" s="1"/>
  <c r="F269" i="3"/>
  <c r="F106" i="30" s="1"/>
  <c r="G269" i="3"/>
  <c r="G106" i="30" s="1"/>
  <c r="G257" i="3"/>
  <c r="G94" i="30" s="1"/>
  <c r="F189" i="3"/>
  <c r="F26" i="30" s="1"/>
  <c r="G189" i="3"/>
  <c r="G26" i="30" s="1"/>
  <c r="F258" i="3"/>
  <c r="F95" i="30" s="1"/>
  <c r="G258" i="3"/>
  <c r="G95" i="30" s="1"/>
  <c r="G204" i="3"/>
  <c r="G41" i="30" s="1"/>
  <c r="G283" i="3"/>
  <c r="G120" i="30" s="1"/>
  <c r="G225" i="3"/>
  <c r="G62" i="30" s="1"/>
  <c r="G187" i="3"/>
  <c r="G24" i="30" s="1"/>
  <c r="G191" i="3"/>
  <c r="G28" i="30" s="1"/>
  <c r="G190" i="3"/>
  <c r="G27" i="30" s="1"/>
  <c r="G276" i="3"/>
  <c r="G113" i="30" s="1"/>
  <c r="G206" i="3"/>
  <c r="G43" i="30" s="1"/>
  <c r="G278" i="3"/>
  <c r="G115" i="30" s="1"/>
  <c r="F284" i="3"/>
  <c r="F121" i="30" s="1"/>
  <c r="G284" i="3"/>
  <c r="G121" i="30" s="1"/>
  <c r="F277" i="3"/>
  <c r="F114" i="30" s="1"/>
  <c r="G277" i="3"/>
  <c r="G114" i="30" s="1"/>
  <c r="F207" i="3"/>
  <c r="F44" i="30" s="1"/>
  <c r="G207" i="3"/>
  <c r="G44" i="30" s="1"/>
  <c r="F239" i="3"/>
  <c r="F76" i="30" s="1"/>
  <c r="G239" i="3"/>
  <c r="G76" i="30" s="1"/>
  <c r="F266" i="3"/>
  <c r="F103" i="30" s="1"/>
  <c r="G266" i="3"/>
  <c r="G103" i="30" s="1"/>
  <c r="G238" i="3"/>
  <c r="G75" i="30" s="1"/>
  <c r="G261" i="3"/>
  <c r="G98" i="30" s="1"/>
  <c r="G273" i="3"/>
  <c r="G110" i="30" s="1"/>
  <c r="F286" i="3"/>
  <c r="F123" i="30" s="1"/>
  <c r="G286" i="3"/>
  <c r="G123" i="30" s="1"/>
  <c r="G287" i="3"/>
  <c r="G282" i="3"/>
  <c r="F282" i="3" s="1"/>
  <c r="F119" i="30" s="1"/>
  <c r="G274" i="3"/>
  <c r="F274" i="3" s="1"/>
  <c r="F111" i="30" s="1"/>
  <c r="B116" i="30"/>
  <c r="G104" i="30"/>
  <c r="I69" i="24"/>
  <c r="B80" i="30"/>
  <c r="G222" i="3"/>
  <c r="G59" i="30" s="1"/>
  <c r="B64" i="30"/>
  <c r="B29" i="30"/>
  <c r="I62" i="24"/>
  <c r="G172" i="3"/>
  <c r="G9" i="30" s="1"/>
  <c r="I279" i="3"/>
  <c r="I116" i="30" s="1"/>
  <c r="F1083" i="5"/>
  <c r="F1162" i="5"/>
  <c r="O1116" i="5"/>
  <c r="M1131" i="5"/>
  <c r="J1099" i="5"/>
  <c r="J1132" i="5"/>
  <c r="I1100" i="5"/>
  <c r="L1131" i="5"/>
  <c r="Q1116" i="5"/>
  <c r="N1165" i="5"/>
  <c r="H1084" i="5"/>
  <c r="R1131" i="5"/>
  <c r="N1083" i="5"/>
  <c r="M1115" i="5"/>
  <c r="H1132" i="5"/>
  <c r="P1084" i="5"/>
  <c r="N1131" i="5"/>
  <c r="H1083" i="5"/>
  <c r="K1084" i="5"/>
  <c r="D80" i="41"/>
  <c r="D61" i="41"/>
  <c r="N1168" i="5"/>
  <c r="T1168" i="5"/>
  <c r="L1154" i="5"/>
  <c r="I190" i="32"/>
  <c r="B137" i="3"/>
  <c r="D18" i="41"/>
  <c r="Q1154" i="5"/>
  <c r="G1090" i="5"/>
  <c r="R1090" i="5"/>
  <c r="O1154" i="5"/>
  <c r="S1090" i="5"/>
  <c r="L1090" i="5"/>
  <c r="I187" i="32"/>
  <c r="I81" i="34"/>
  <c r="I169" i="32"/>
  <c r="G24" i="41"/>
  <c r="D51" i="41"/>
  <c r="N1154" i="5"/>
  <c r="I1090" i="5"/>
  <c r="J710" i="3"/>
  <c r="E3314" i="44"/>
  <c r="A3314" i="44" s="1"/>
  <c r="I175" i="32"/>
  <c r="D44" i="42"/>
  <c r="H91" i="34"/>
  <c r="D87" i="41"/>
  <c r="F54" i="43" s="1"/>
  <c r="G25" i="41"/>
  <c r="D3103" i="44"/>
  <c r="E59" i="30"/>
  <c r="F222" i="3"/>
  <c r="F59" i="30" s="1"/>
  <c r="E40" i="30"/>
  <c r="F203" i="3"/>
  <c r="F40" i="30" s="1"/>
  <c r="E104" i="30"/>
  <c r="F267" i="3"/>
  <c r="F104" i="30" s="1"/>
  <c r="E41" i="30"/>
  <c r="F204" i="3"/>
  <c r="F41" i="30" s="1"/>
  <c r="E75" i="30"/>
  <c r="F238" i="3"/>
  <c r="E120" i="30"/>
  <c r="F283" i="3"/>
  <c r="E94" i="30"/>
  <c r="F257" i="3"/>
  <c r="F94" i="30" s="1"/>
  <c r="E24" i="30"/>
  <c r="F187" i="3"/>
  <c r="E28" i="30"/>
  <c r="F191" i="3"/>
  <c r="F28" i="30" s="1"/>
  <c r="E27" i="30"/>
  <c r="F190" i="3"/>
  <c r="F27" i="30" s="1"/>
  <c r="E62" i="30"/>
  <c r="F225" i="3"/>
  <c r="F62" i="30" s="1"/>
  <c r="F276" i="3"/>
  <c r="F113" i="30" s="1"/>
  <c r="E43" i="30"/>
  <c r="F206" i="3"/>
  <c r="F43" i="30" s="1"/>
  <c r="E115" i="30"/>
  <c r="F278" i="3"/>
  <c r="F115" i="30" s="1"/>
  <c r="E61" i="30"/>
  <c r="F224" i="3"/>
  <c r="F61" i="30" s="1"/>
  <c r="E122" i="30"/>
  <c r="F285" i="3"/>
  <c r="F122" i="30" s="1"/>
  <c r="E105" i="30"/>
  <c r="F268" i="3"/>
  <c r="F105" i="30" s="1"/>
  <c r="E98" i="30"/>
  <c r="F261" i="3"/>
  <c r="F98" i="30" s="1"/>
  <c r="E63" i="30"/>
  <c r="F226" i="3"/>
  <c r="F63" i="30" s="1"/>
  <c r="F188" i="3"/>
  <c r="F25" i="30" s="1"/>
  <c r="F265" i="3"/>
  <c r="F102" i="30" s="1"/>
  <c r="E110" i="30"/>
  <c r="F273" i="3"/>
  <c r="F110" i="30" s="1"/>
  <c r="I193" i="32"/>
  <c r="D43" i="42"/>
  <c r="G43" i="42"/>
  <c r="I184" i="32"/>
  <c r="I200" i="32"/>
  <c r="D13" i="41"/>
  <c r="I172" i="3"/>
  <c r="I9" i="30" s="1"/>
  <c r="I209" i="3"/>
  <c r="I285" i="3"/>
  <c r="I122" i="30" s="1"/>
  <c r="I269" i="3"/>
  <c r="I106" i="30" s="1"/>
  <c r="I263" i="3"/>
  <c r="I233" i="3"/>
  <c r="I70" i="30" s="1"/>
  <c r="I192" i="3"/>
  <c r="I29" i="30" s="1"/>
  <c r="I241" i="3"/>
  <c r="I78" i="30" s="1"/>
  <c r="I189" i="3"/>
  <c r="I26" i="30" s="1"/>
  <c r="I287" i="3"/>
  <c r="I124" i="30" s="1"/>
  <c r="I176" i="3"/>
  <c r="I13" i="30" s="1"/>
  <c r="I283" i="3"/>
  <c r="I120" i="30" s="1"/>
  <c r="I280" i="3"/>
  <c r="I286" i="3"/>
  <c r="I123" i="30" s="1"/>
  <c r="I265" i="3"/>
  <c r="I102" i="30" s="1"/>
  <c r="I244" i="3"/>
  <c r="L1128" i="5"/>
  <c r="S1095" i="5"/>
  <c r="I175" i="3"/>
  <c r="I12" i="30" s="1"/>
  <c r="I230" i="3"/>
  <c r="I67" i="30" s="1"/>
  <c r="I208" i="3"/>
  <c r="I45" i="30" s="1"/>
  <c r="I225" i="3"/>
  <c r="I62" i="30" s="1"/>
  <c r="I238" i="3"/>
  <c r="I75" i="30" s="1"/>
  <c r="I281" i="3"/>
  <c r="I118" i="30" s="1"/>
  <c r="I239" i="3"/>
  <c r="I76" i="30" s="1"/>
  <c r="I282" i="3"/>
  <c r="I119" i="30" s="1"/>
  <c r="I227" i="3"/>
  <c r="I64" i="30" s="1"/>
  <c r="I266" i="3"/>
  <c r="I103" i="30" s="1"/>
  <c r="I264" i="3"/>
  <c r="I101" i="30" s="1"/>
  <c r="I236" i="3"/>
  <c r="I73" i="30" s="1"/>
  <c r="I234" i="3"/>
  <c r="I71" i="30" s="1"/>
  <c r="I231" i="3"/>
  <c r="I68" i="30" s="1"/>
  <c r="I245" i="3"/>
  <c r="I82" i="30" s="1"/>
  <c r="I270" i="3"/>
  <c r="I107" i="30" s="1"/>
  <c r="I207" i="3"/>
  <c r="I44" i="30" s="1"/>
  <c r="I237" i="3"/>
  <c r="I74" i="30" s="1"/>
  <c r="I260" i="3"/>
  <c r="I97" i="30" s="1"/>
  <c r="I240" i="3"/>
  <c r="I77" i="30" s="1"/>
  <c r="G1144" i="5"/>
  <c r="J732" i="3"/>
  <c r="J83" i="34" s="1"/>
  <c r="O1111" i="5"/>
  <c r="M1175" i="5"/>
  <c r="S1159" i="5"/>
  <c r="F1110" i="5"/>
  <c r="N1110" i="5"/>
  <c r="F1159" i="5"/>
  <c r="E3267" i="44"/>
  <c r="A3267" i="44" s="1"/>
  <c r="M1176" i="5"/>
  <c r="R1112" i="5"/>
  <c r="S1174" i="5"/>
  <c r="T1174" i="5"/>
  <c r="N1142" i="5"/>
  <c r="T1111" i="5"/>
  <c r="G1128" i="5"/>
  <c r="Q1175" i="5"/>
  <c r="K1128" i="5"/>
  <c r="J1153" i="5"/>
  <c r="G1121" i="5"/>
  <c r="J1138" i="5"/>
  <c r="P1089" i="5"/>
  <c r="K1153" i="5"/>
  <c r="Q1153" i="5"/>
  <c r="J1121" i="5"/>
  <c r="H1138" i="5"/>
  <c r="M1138" i="5"/>
  <c r="F1089" i="5"/>
  <c r="K1138" i="5"/>
  <c r="M1089" i="5"/>
  <c r="L1153" i="5"/>
  <c r="T1138" i="5"/>
  <c r="S1089" i="5"/>
  <c r="K1121" i="5"/>
  <c r="T1153" i="5"/>
  <c r="O1089" i="5"/>
  <c r="O1138" i="5"/>
  <c r="F1153" i="5"/>
  <c r="K1089" i="5"/>
  <c r="R1121" i="5"/>
  <c r="L1121" i="5"/>
  <c r="G1153" i="5"/>
  <c r="T1089" i="5"/>
  <c r="P1121" i="5"/>
  <c r="N1089" i="5"/>
  <c r="O1153" i="5"/>
  <c r="Q1171" i="5"/>
  <c r="I1089" i="5"/>
  <c r="R1106" i="5"/>
  <c r="N1121" i="5"/>
  <c r="O1121" i="5"/>
  <c r="K1171" i="5"/>
  <c r="M1153" i="5"/>
  <c r="F1171" i="5"/>
  <c r="P1171" i="5"/>
  <c r="Q1089" i="5"/>
  <c r="G1106" i="5"/>
  <c r="H1171" i="5"/>
  <c r="R1171" i="5"/>
  <c r="J1171" i="5"/>
  <c r="G1089" i="5"/>
  <c r="J1106" i="5"/>
  <c r="I1171" i="5"/>
  <c r="T1106" i="5"/>
  <c r="L1089" i="5"/>
  <c r="N1171" i="5"/>
  <c r="H1089" i="5"/>
  <c r="N1106" i="5"/>
  <c r="F1106" i="5"/>
  <c r="L1171" i="5"/>
  <c r="H1153" i="5"/>
  <c r="K1106" i="5"/>
  <c r="Q1106" i="5"/>
  <c r="N1153" i="5"/>
  <c r="R1089" i="5"/>
  <c r="R1138" i="5"/>
  <c r="L1106" i="5"/>
  <c r="S1138" i="5"/>
  <c r="B2721" i="44"/>
  <c r="D2721" i="44" s="1"/>
  <c r="H32" i="34"/>
  <c r="I63" i="24"/>
  <c r="J749" i="3"/>
  <c r="T749" i="3" s="1"/>
  <c r="I66" i="24"/>
  <c r="B107" i="30"/>
  <c r="I56" i="34"/>
  <c r="I173" i="32"/>
  <c r="E3351" i="44"/>
  <c r="A3351" i="44" s="1"/>
  <c r="I68" i="34"/>
  <c r="P1119" i="5"/>
  <c r="S1120" i="5"/>
  <c r="M1152" i="5"/>
  <c r="L1120" i="5"/>
  <c r="O1103" i="5"/>
  <c r="G1151" i="5"/>
  <c r="N1136" i="5"/>
  <c r="K1103" i="5"/>
  <c r="O1124" i="5"/>
  <c r="N1107" i="5"/>
  <c r="I1170" i="5"/>
  <c r="S1157" i="5"/>
  <c r="T1092" i="5"/>
  <c r="R1107" i="5"/>
  <c r="M1170" i="5"/>
  <c r="D2847" i="44"/>
  <c r="F1084" i="5"/>
  <c r="M1157" i="5"/>
  <c r="M1096" i="5"/>
  <c r="K1131" i="5"/>
  <c r="J1131" i="5"/>
  <c r="N1128" i="5"/>
  <c r="P1128" i="5"/>
  <c r="Q1111" i="5"/>
  <c r="N1111" i="5"/>
  <c r="Q1083" i="5"/>
  <c r="K1083" i="5"/>
  <c r="M1083" i="5"/>
  <c r="P1092" i="5"/>
  <c r="I1152" i="5"/>
  <c r="T1151" i="5"/>
  <c r="N1151" i="5"/>
  <c r="H1124" i="5"/>
  <c r="P1120" i="5"/>
  <c r="G1116" i="5"/>
  <c r="P1116" i="5"/>
  <c r="F1103" i="5"/>
  <c r="P1099" i="5"/>
  <c r="J1169" i="5"/>
  <c r="J1174" i="5"/>
  <c r="T1087" i="5"/>
  <c r="O1169" i="5"/>
  <c r="H1115" i="5"/>
  <c r="S1096" i="5"/>
  <c r="J1095" i="5"/>
  <c r="T1140" i="5"/>
  <c r="F1135" i="5"/>
  <c r="R1139" i="5"/>
  <c r="S1155" i="5"/>
  <c r="F1095" i="5"/>
  <c r="G1166" i="5"/>
  <c r="J1123" i="5"/>
  <c r="Q1087" i="5"/>
  <c r="R1176" i="5"/>
  <c r="E106" i="30"/>
  <c r="E123" i="30"/>
  <c r="I84" i="34"/>
  <c r="E3344" i="44"/>
  <c r="A3344" i="44" s="1"/>
  <c r="H376" i="3"/>
  <c r="G376" i="3"/>
  <c r="H114" i="24" s="1"/>
  <c r="H267" i="24"/>
  <c r="I205" i="32"/>
  <c r="H232" i="24"/>
  <c r="I170" i="32"/>
  <c r="H245" i="24"/>
  <c r="I183" i="32"/>
  <c r="I155" i="32"/>
  <c r="H217" i="24"/>
  <c r="H243" i="24"/>
  <c r="I181" i="32"/>
  <c r="H225" i="24"/>
  <c r="I163" i="32"/>
  <c r="B1763" i="44"/>
  <c r="D1762" i="44"/>
  <c r="B17" i="3" a="1"/>
  <c r="B17" i="3" s="1"/>
  <c r="B20" i="3" s="1"/>
  <c r="C305" i="3"/>
  <c r="B303" i="3"/>
  <c r="C527" i="5" s="1"/>
  <c r="B305" i="3"/>
  <c r="B306" i="3" s="1"/>
  <c r="C528" i="5" s="1"/>
  <c r="H9" i="34"/>
  <c r="E3170" i="44"/>
  <c r="A3170" i="44" s="1"/>
  <c r="I157" i="32"/>
  <c r="H219" i="24"/>
  <c r="B299" i="3"/>
  <c r="J21" i="25" s="1"/>
  <c r="B1696" i="44"/>
  <c r="B1697" i="44" s="1"/>
  <c r="B532" i="3"/>
  <c r="B533" i="3" s="1"/>
  <c r="K1581" i="44"/>
  <c r="F1581" i="44" s="1"/>
  <c r="B769" i="3"/>
  <c r="J733" i="3"/>
  <c r="J84" i="34" s="1"/>
  <c r="E125" i="3"/>
  <c r="C14" i="32" s="1"/>
  <c r="D14" i="32" s="1"/>
  <c r="D32" i="32" s="1"/>
  <c r="B401" i="3"/>
  <c r="D157" i="24" s="1"/>
  <c r="I171" i="32"/>
  <c r="I189" i="32"/>
  <c r="L1158" i="5"/>
  <c r="M1158" i="5"/>
  <c r="K1147" i="5"/>
  <c r="I1147" i="5"/>
  <c r="N1143" i="5"/>
  <c r="P1143" i="5"/>
  <c r="O1143" i="5"/>
  <c r="S1139" i="5"/>
  <c r="F1139" i="5"/>
  <c r="M1127" i="5"/>
  <c r="Q1127" i="5"/>
  <c r="G1111" i="5"/>
  <c r="R1111" i="5"/>
  <c r="I1111" i="5"/>
  <c r="K1107" i="5"/>
  <c r="H1107" i="5"/>
  <c r="L1091" i="5"/>
  <c r="P1091" i="5"/>
  <c r="I1144" i="5"/>
  <c r="N1144" i="5"/>
  <c r="G1112" i="5"/>
  <c r="T1112" i="5"/>
  <c r="I1112" i="5"/>
  <c r="I93" i="34"/>
  <c r="E3353" i="44"/>
  <c r="A3353" i="44" s="1"/>
  <c r="I34" i="34"/>
  <c r="E3294" i="44"/>
  <c r="A3294" i="44" s="1"/>
  <c r="I165" i="32"/>
  <c r="J665" i="3"/>
  <c r="J16" i="34" s="1"/>
  <c r="B2370" i="44"/>
  <c r="B2371" i="44" s="1"/>
  <c r="B478" i="3"/>
  <c r="B479" i="3" s="1"/>
  <c r="B1825" i="44"/>
  <c r="D1825" i="44" s="1"/>
  <c r="B3040" i="44"/>
  <c r="B3041" i="44" s="1"/>
  <c r="D1761" i="44"/>
  <c r="B2018" i="44"/>
  <c r="D2018" i="44" s="1"/>
  <c r="B2497" i="44"/>
  <c r="D2497" i="44" s="1"/>
  <c r="B1600" i="44"/>
  <c r="B1601" i="44" s="1"/>
  <c r="B2816" i="44"/>
  <c r="B2817" i="44" s="1"/>
  <c r="B2818" i="44" s="1"/>
  <c r="B2336" i="44"/>
  <c r="B2337" i="44" s="1"/>
  <c r="B2338" i="44" s="1"/>
  <c r="B2339" i="44" s="1"/>
  <c r="B1952" i="44"/>
  <c r="B1953" i="44" s="1"/>
  <c r="D1953" i="44" s="1"/>
  <c r="B2306" i="44"/>
  <c r="B2307" i="44" s="1"/>
  <c r="B2528" i="44"/>
  <c r="B2529" i="44" s="1"/>
  <c r="B2530" i="44" s="1"/>
  <c r="B2434" i="44"/>
  <c r="D2434" i="44" s="1"/>
  <c r="D2432" i="44"/>
  <c r="B2657" i="44"/>
  <c r="D2657" i="44" s="1"/>
  <c r="D2655" i="44"/>
  <c r="B2976" i="44"/>
  <c r="B2977" i="44" s="1"/>
  <c r="B101" i="3"/>
  <c r="B104" i="3" s="1"/>
  <c r="N1079" i="5"/>
  <c r="H28" i="34"/>
  <c r="H16" i="34"/>
  <c r="B9" i="30"/>
  <c r="D697" i="44"/>
  <c r="D700" i="44"/>
  <c r="J657" i="3"/>
  <c r="T657" i="3" s="1"/>
  <c r="E3179" i="44"/>
  <c r="A3179" i="44" s="1"/>
  <c r="H18" i="34"/>
  <c r="E3229" i="44"/>
  <c r="A3229" i="44" s="1"/>
  <c r="H68" i="34"/>
  <c r="E121" i="30"/>
  <c r="E114" i="30"/>
  <c r="S1171" i="5"/>
  <c r="T1171" i="5"/>
  <c r="M1171" i="5"/>
  <c r="F1167" i="5"/>
  <c r="P1167" i="5"/>
  <c r="L1167" i="5"/>
  <c r="R1167" i="5"/>
  <c r="R1163" i="5"/>
  <c r="O1163" i="5"/>
  <c r="K1163" i="5"/>
  <c r="L1163" i="5"/>
  <c r="Q1159" i="5"/>
  <c r="N1159" i="5"/>
  <c r="P1159" i="5"/>
  <c r="H1159" i="5"/>
  <c r="O1159" i="5"/>
  <c r="K1154" i="5"/>
  <c r="I1154" i="5"/>
  <c r="P1154" i="5"/>
  <c r="S1154" i="5"/>
  <c r="G1154" i="5"/>
  <c r="H1150" i="5"/>
  <c r="M1150" i="5"/>
  <c r="N1150" i="5"/>
  <c r="S1150" i="5"/>
  <c r="G1150" i="5"/>
  <c r="T1146" i="5"/>
  <c r="G1146" i="5"/>
  <c r="J1142" i="5"/>
  <c r="F1142" i="5"/>
  <c r="Q1134" i="5"/>
  <c r="N1134" i="5"/>
  <c r="J1134" i="5"/>
  <c r="S1134" i="5"/>
  <c r="G1134" i="5"/>
  <c r="I1134" i="5"/>
  <c r="T1130" i="5"/>
  <c r="L1130" i="5"/>
  <c r="J1130" i="5"/>
  <c r="P1130" i="5"/>
  <c r="O1130" i="5"/>
  <c r="G1130" i="5"/>
  <c r="K1130" i="5"/>
  <c r="N1122" i="5"/>
  <c r="M1122" i="5"/>
  <c r="M1114" i="5"/>
  <c r="L1114" i="5"/>
  <c r="J1110" i="5"/>
  <c r="T1110" i="5"/>
  <c r="I1110" i="5"/>
  <c r="Q1110" i="5"/>
  <c r="H1106" i="5"/>
  <c r="S1106" i="5"/>
  <c r="S1102" i="5"/>
  <c r="P1102" i="5"/>
  <c r="T1102" i="5"/>
  <c r="O1094" i="5"/>
  <c r="N1094" i="5"/>
  <c r="M1094" i="5"/>
  <c r="Q1090" i="5"/>
  <c r="M1090" i="5"/>
  <c r="S1086" i="5"/>
  <c r="G1086" i="5"/>
  <c r="D2719" i="44"/>
  <c r="B2913" i="44"/>
  <c r="I199" i="32"/>
  <c r="E3253" i="44"/>
  <c r="A3253" i="44" s="1"/>
  <c r="E3200" i="44"/>
  <c r="A3200" i="44" s="1"/>
  <c r="E3167" i="44"/>
  <c r="A3167" i="44" s="1"/>
  <c r="J718" i="3"/>
  <c r="T718" i="3" s="1"/>
  <c r="I161" i="32"/>
  <c r="I179" i="32"/>
  <c r="I197" i="32"/>
  <c r="I77" i="34"/>
  <c r="L1174" i="5"/>
  <c r="Q1174" i="5"/>
  <c r="R1174" i="5"/>
  <c r="K1174" i="5"/>
  <c r="H1174" i="5"/>
  <c r="I1174" i="5"/>
  <c r="O1174" i="5"/>
  <c r="J1170" i="5"/>
  <c r="L1170" i="5"/>
  <c r="Q1170" i="5"/>
  <c r="R1170" i="5"/>
  <c r="H1170" i="5"/>
  <c r="P1170" i="5"/>
  <c r="L1166" i="5"/>
  <c r="P1166" i="5"/>
  <c r="Q1166" i="5"/>
  <c r="T1166" i="5"/>
  <c r="F1166" i="5"/>
  <c r="R1166" i="5"/>
  <c r="M1166" i="5"/>
  <c r="S1162" i="5"/>
  <c r="L1162" i="5"/>
  <c r="J1162" i="5"/>
  <c r="O1162" i="5"/>
  <c r="H1158" i="5"/>
  <c r="F1158" i="5"/>
  <c r="G1158" i="5"/>
  <c r="S1158" i="5"/>
  <c r="N1158" i="5"/>
  <c r="K1158" i="5"/>
  <c r="I1158" i="5"/>
  <c r="N1155" i="5"/>
  <c r="J1155" i="5"/>
  <c r="K1155" i="5"/>
  <c r="T1155" i="5"/>
  <c r="H1151" i="5"/>
  <c r="I1151" i="5"/>
  <c r="F1151" i="5"/>
  <c r="M1151" i="5"/>
  <c r="R1151" i="5"/>
  <c r="J1151" i="5"/>
  <c r="P1147" i="5"/>
  <c r="O1147" i="5"/>
  <c r="J1147" i="5"/>
  <c r="S1147" i="5"/>
  <c r="H1147" i="5"/>
  <c r="M1147" i="5"/>
  <c r="F1147" i="5"/>
  <c r="R1147" i="5"/>
  <c r="K1143" i="5"/>
  <c r="T1143" i="5"/>
  <c r="R1143" i="5"/>
  <c r="G1143" i="5"/>
  <c r="J1143" i="5"/>
  <c r="Q1143" i="5"/>
  <c r="P1139" i="5"/>
  <c r="G1139" i="5"/>
  <c r="O1139" i="5"/>
  <c r="H1139" i="5"/>
  <c r="G1135" i="5"/>
  <c r="O1135" i="5"/>
  <c r="N1135" i="5"/>
  <c r="K1135" i="5"/>
  <c r="T1135" i="5"/>
  <c r="J1135" i="5"/>
  <c r="I1135" i="5"/>
  <c r="S1131" i="5"/>
  <c r="Q1131" i="5"/>
  <c r="O1131" i="5"/>
  <c r="N1127" i="5"/>
  <c r="S1127" i="5"/>
  <c r="R1127" i="5"/>
  <c r="T1127" i="5"/>
  <c r="I1127" i="5"/>
  <c r="G1123" i="5"/>
  <c r="M1123" i="5"/>
  <c r="P1123" i="5"/>
  <c r="H1123" i="5"/>
  <c r="F1123" i="5"/>
  <c r="K1123" i="5"/>
  <c r="L1123" i="5"/>
  <c r="Q1119" i="5"/>
  <c r="N1119" i="5"/>
  <c r="O1119" i="5"/>
  <c r="S1119" i="5"/>
  <c r="T1119" i="5"/>
  <c r="R1115" i="5"/>
  <c r="G1115" i="5"/>
  <c r="L1115" i="5"/>
  <c r="N1115" i="5"/>
  <c r="O1115" i="5"/>
  <c r="J1115" i="5"/>
  <c r="P1107" i="5"/>
  <c r="O1107" i="5"/>
  <c r="M1103" i="5"/>
  <c r="G1103" i="5"/>
  <c r="P1103" i="5"/>
  <c r="I1103" i="5"/>
  <c r="G1099" i="5"/>
  <c r="L1099" i="5"/>
  <c r="M1099" i="5"/>
  <c r="P1095" i="5"/>
  <c r="M1095" i="5"/>
  <c r="H1095" i="5"/>
  <c r="R1095" i="5"/>
  <c r="T1095" i="5"/>
  <c r="I1095" i="5"/>
  <c r="O1095" i="5"/>
  <c r="G1095" i="5"/>
  <c r="H1091" i="5"/>
  <c r="N1091" i="5"/>
  <c r="F1091" i="5"/>
  <c r="O1091" i="5"/>
  <c r="M1091" i="5"/>
  <c r="K1091" i="5"/>
  <c r="J1087" i="5"/>
  <c r="R1087" i="5"/>
  <c r="F1087" i="5"/>
  <c r="N1087" i="5"/>
  <c r="G1087" i="5"/>
  <c r="P1176" i="5"/>
  <c r="G1176" i="5"/>
  <c r="J1176" i="5"/>
  <c r="I1176" i="5"/>
  <c r="F1176" i="5"/>
  <c r="K1176" i="5"/>
  <c r="O1165" i="5"/>
  <c r="S1165" i="5"/>
  <c r="P1165" i="5"/>
  <c r="R1165" i="5"/>
  <c r="K1165" i="5"/>
  <c r="J1165" i="5"/>
  <c r="H1165" i="5"/>
  <c r="T1165" i="5"/>
  <c r="G1165" i="5"/>
  <c r="T1124" i="5"/>
  <c r="N1124" i="5"/>
  <c r="Q1124" i="5"/>
  <c r="L1173" i="5"/>
  <c r="N1173" i="5"/>
  <c r="O1173" i="5"/>
  <c r="P1173" i="5"/>
  <c r="I1173" i="5"/>
  <c r="K1173" i="5"/>
  <c r="G1173" i="5"/>
  <c r="Q1173" i="5"/>
  <c r="M1173" i="5"/>
  <c r="Q1169" i="5"/>
  <c r="T1169" i="5"/>
  <c r="L1169" i="5"/>
  <c r="G1169" i="5"/>
  <c r="F1169" i="5"/>
  <c r="P1169" i="5"/>
  <c r="R1169" i="5"/>
  <c r="N1169" i="5"/>
  <c r="H1169" i="5"/>
  <c r="H1161" i="5"/>
  <c r="M1161" i="5"/>
  <c r="P1161" i="5"/>
  <c r="Q1161" i="5"/>
  <c r="I1161" i="5"/>
  <c r="S1161" i="5"/>
  <c r="F1161" i="5"/>
  <c r="N1161" i="5"/>
  <c r="J1161" i="5"/>
  <c r="T1161" i="5"/>
  <c r="G1161" i="5"/>
  <c r="K1157" i="5"/>
  <c r="O1157" i="5"/>
  <c r="P1157" i="5"/>
  <c r="H1157" i="5"/>
  <c r="I1157" i="5"/>
  <c r="Q1157" i="5"/>
  <c r="J1157" i="5"/>
  <c r="T1157" i="5"/>
  <c r="H1152" i="5"/>
  <c r="K1152" i="5"/>
  <c r="Q1152" i="5"/>
  <c r="O1152" i="5"/>
  <c r="S1148" i="5"/>
  <c r="K1148" i="5"/>
  <c r="J1148" i="5"/>
  <c r="M1148" i="5"/>
  <c r="F1148" i="5"/>
  <c r="R1148" i="5"/>
  <c r="P1148" i="5"/>
  <c r="T1148" i="5"/>
  <c r="G1148" i="5"/>
  <c r="O1148" i="5"/>
  <c r="H1148" i="5"/>
  <c r="Q1148" i="5"/>
  <c r="R1144" i="5"/>
  <c r="K1144" i="5"/>
  <c r="L1144" i="5"/>
  <c r="F1144" i="5"/>
  <c r="S1144" i="5"/>
  <c r="I1140" i="5"/>
  <c r="H1140" i="5"/>
  <c r="R1140" i="5"/>
  <c r="J1140" i="5"/>
  <c r="Q1140" i="5"/>
  <c r="M1140" i="5"/>
  <c r="F1136" i="5"/>
  <c r="L1136" i="5"/>
  <c r="Q1136" i="5"/>
  <c r="O1136" i="5"/>
  <c r="P1136" i="5"/>
  <c r="N1132" i="5"/>
  <c r="S1132" i="5"/>
  <c r="F1132" i="5"/>
  <c r="O1132" i="5"/>
  <c r="R1128" i="5"/>
  <c r="O1128" i="5"/>
  <c r="T1128" i="5"/>
  <c r="I1120" i="5"/>
  <c r="K1120" i="5"/>
  <c r="H1120" i="5"/>
  <c r="T1116" i="5"/>
  <c r="L1116" i="5"/>
  <c r="J1116" i="5"/>
  <c r="M1116" i="5"/>
  <c r="S1116" i="5"/>
  <c r="N1112" i="5"/>
  <c r="O1112" i="5"/>
  <c r="M1112" i="5"/>
  <c r="S1112" i="5"/>
  <c r="Q1108" i="5"/>
  <c r="R1108" i="5"/>
  <c r="P1108" i="5"/>
  <c r="H1108" i="5"/>
  <c r="T1108" i="5"/>
  <c r="F1108" i="5"/>
  <c r="S1108" i="5"/>
  <c r="M1104" i="5"/>
  <c r="R1104" i="5"/>
  <c r="Q1104" i="5"/>
  <c r="T1104" i="5"/>
  <c r="H1104" i="5"/>
  <c r="K1100" i="5"/>
  <c r="O1100" i="5"/>
  <c r="R1100" i="5"/>
  <c r="G1100" i="5"/>
  <c r="T1100" i="5"/>
  <c r="N1096" i="5"/>
  <c r="Q1096" i="5"/>
  <c r="H1096" i="5"/>
  <c r="G1096" i="5"/>
  <c r="I1096" i="5"/>
  <c r="K1096" i="5"/>
  <c r="O1092" i="5"/>
  <c r="S1092" i="5"/>
  <c r="G1092" i="5"/>
  <c r="F1092" i="5"/>
  <c r="Q1092" i="5"/>
  <c r="N1092" i="5"/>
  <c r="K1092" i="5"/>
  <c r="S1088" i="5"/>
  <c r="F1088" i="5"/>
  <c r="M1088" i="5"/>
  <c r="I1088" i="5"/>
  <c r="Q1088" i="5"/>
  <c r="G1084" i="5"/>
  <c r="Q1084" i="5"/>
  <c r="T1084" i="5"/>
  <c r="S1084" i="5"/>
  <c r="L1132" i="5"/>
  <c r="I1084" i="5"/>
  <c r="J1084" i="5"/>
  <c r="F1157" i="5"/>
  <c r="I1104" i="5"/>
  <c r="F1096" i="5"/>
  <c r="P1104" i="5"/>
  <c r="N1157" i="5"/>
  <c r="L1096" i="5"/>
  <c r="G1131" i="5"/>
  <c r="I1131" i="5"/>
  <c r="H1131" i="5"/>
  <c r="P1131" i="5"/>
  <c r="Q1128" i="5"/>
  <c r="H1128" i="5"/>
  <c r="F1128" i="5"/>
  <c r="I1128" i="5"/>
  <c r="J1111" i="5"/>
  <c r="P1111" i="5"/>
  <c r="L1111" i="5"/>
  <c r="H1111" i="5"/>
  <c r="S1111" i="5"/>
  <c r="R1083" i="5"/>
  <c r="S1083" i="5"/>
  <c r="T1083" i="5"/>
  <c r="I1083" i="5"/>
  <c r="L1083" i="5"/>
  <c r="J1083" i="5"/>
  <c r="J1092" i="5"/>
  <c r="T1152" i="5"/>
  <c r="G1152" i="5"/>
  <c r="F1152" i="5"/>
  <c r="S1151" i="5"/>
  <c r="K1151" i="5"/>
  <c r="P1151" i="5"/>
  <c r="P1144" i="5"/>
  <c r="P1124" i="5"/>
  <c r="F1124" i="5"/>
  <c r="K1124" i="5"/>
  <c r="M1120" i="5"/>
  <c r="T1120" i="5"/>
  <c r="O1120" i="5"/>
  <c r="Q1120" i="5"/>
  <c r="I1116" i="5"/>
  <c r="F1116" i="5"/>
  <c r="H1116" i="5"/>
  <c r="Q1115" i="5"/>
  <c r="K1115" i="5"/>
  <c r="I1115" i="5"/>
  <c r="H1112" i="5"/>
  <c r="L1112" i="5"/>
  <c r="F1112" i="5"/>
  <c r="J1112" i="5"/>
  <c r="S1107" i="5"/>
  <c r="F1107" i="5"/>
  <c r="J1107" i="5"/>
  <c r="L1103" i="5"/>
  <c r="Q1103" i="5"/>
  <c r="H1103" i="5"/>
  <c r="R1099" i="5"/>
  <c r="H1099" i="5"/>
  <c r="G1174" i="5"/>
  <c r="Q1176" i="5"/>
  <c r="Q1165" i="5"/>
  <c r="K1169" i="5"/>
  <c r="M1169" i="5"/>
  <c r="L1176" i="5"/>
  <c r="N1176" i="5"/>
  <c r="N1174" i="5"/>
  <c r="F1165" i="5"/>
  <c r="R1091" i="5"/>
  <c r="T1091" i="5"/>
  <c r="K1087" i="5"/>
  <c r="S1087" i="5"/>
  <c r="R1084" i="5"/>
  <c r="L1084" i="5"/>
  <c r="I1169" i="5"/>
  <c r="T1115" i="5"/>
  <c r="J1096" i="5"/>
  <c r="H1092" i="5"/>
  <c r="M1092" i="5"/>
  <c r="I1092" i="5"/>
  <c r="Q1151" i="5"/>
  <c r="L1151" i="5"/>
  <c r="N1116" i="5"/>
  <c r="K1116" i="5"/>
  <c r="P1112" i="5"/>
  <c r="K1112" i="5"/>
  <c r="L1095" i="5"/>
  <c r="K1095" i="5"/>
  <c r="N1095" i="5"/>
  <c r="G1157" i="5"/>
  <c r="I1119" i="5"/>
  <c r="M1174" i="5"/>
  <c r="T1170" i="5"/>
  <c r="O1140" i="5"/>
  <c r="P1132" i="5"/>
  <c r="F1120" i="5"/>
  <c r="O1170" i="5"/>
  <c r="J1158" i="5"/>
  <c r="T1158" i="5"/>
  <c r="G1147" i="5"/>
  <c r="P1135" i="5"/>
  <c r="T1131" i="5"/>
  <c r="S1091" i="5"/>
  <c r="J1139" i="5"/>
  <c r="Q1091" i="5"/>
  <c r="R1135" i="5"/>
  <c r="M1143" i="5"/>
  <c r="H1135" i="5"/>
  <c r="S1103" i="5"/>
  <c r="G1155" i="5"/>
  <c r="M1087" i="5"/>
  <c r="M1107" i="5"/>
  <c r="Q1107" i="5"/>
  <c r="Q1158" i="5"/>
  <c r="O1127" i="5"/>
  <c r="P1127" i="5"/>
  <c r="K1166" i="5"/>
  <c r="I1162" i="5"/>
  <c r="P1162" i="5"/>
  <c r="S1123" i="5"/>
  <c r="F1174" i="5"/>
  <c r="K1170" i="5"/>
  <c r="I1155" i="5"/>
  <c r="Q1135" i="5"/>
  <c r="R1119" i="5"/>
  <c r="G1107" i="5"/>
  <c r="K1162" i="5"/>
  <c r="F1155" i="5"/>
  <c r="T1099" i="5"/>
  <c r="F1104" i="5"/>
  <c r="K1132" i="5"/>
  <c r="H1136" i="5"/>
  <c r="M1144" i="5"/>
  <c r="J1100" i="5"/>
  <c r="O1176" i="5"/>
  <c r="H1173" i="5"/>
  <c r="I1165" i="5"/>
  <c r="L1161" i="5"/>
  <c r="L1157" i="5"/>
  <c r="S1152" i="5"/>
  <c r="N1148" i="5"/>
  <c r="I1148" i="5"/>
  <c r="P1140" i="5"/>
  <c r="I1124" i="5"/>
  <c r="G1108" i="5"/>
  <c r="K1104" i="5"/>
  <c r="F1100" i="5"/>
  <c r="L1092" i="5"/>
  <c r="D2879" i="44"/>
  <c r="E3289" i="44"/>
  <c r="A3289" i="44" s="1"/>
  <c r="I186" i="32"/>
  <c r="J694" i="3"/>
  <c r="J45" i="34" s="1"/>
  <c r="I57" i="34"/>
  <c r="I65" i="34"/>
  <c r="I10" i="34"/>
  <c r="E424" i="3"/>
  <c r="K53" i="32" s="1"/>
  <c r="H72" i="34"/>
  <c r="E3322" i="44"/>
  <c r="A3322" i="44" s="1"/>
  <c r="B824" i="3"/>
  <c r="E3246" i="44"/>
  <c r="A3246" i="44" s="1"/>
  <c r="E3181" i="44"/>
  <c r="A3181" i="44" s="1"/>
  <c r="I196" i="24"/>
  <c r="I132" i="32"/>
  <c r="C193" i="24"/>
  <c r="K129" i="32"/>
  <c r="F196" i="24"/>
  <c r="F132" i="32"/>
  <c r="C474" i="5"/>
  <c r="K127" i="32"/>
  <c r="H196" i="24"/>
  <c r="H132" i="32"/>
  <c r="E196" i="24"/>
  <c r="E132" i="32"/>
  <c r="G196" i="24"/>
  <c r="G132" i="32"/>
  <c r="C468" i="5"/>
  <c r="K125" i="32"/>
  <c r="C130" i="32"/>
  <c r="K130" i="32"/>
  <c r="G20" i="25"/>
  <c r="K126" i="32"/>
  <c r="C486" i="5"/>
  <c r="K131" i="32"/>
  <c r="D1665" i="44"/>
  <c r="B1666" i="44"/>
  <c r="B1667" i="44" s="1"/>
  <c r="D1667" i="44" s="1"/>
  <c r="B2752" i="44"/>
  <c r="B2753" i="44" s="1"/>
  <c r="B2754" i="44" s="1"/>
  <c r="D2754" i="44" s="1"/>
  <c r="D2751" i="44"/>
  <c r="B2272" i="44"/>
  <c r="D2272" i="44" s="1"/>
  <c r="D2271" i="44"/>
  <c r="E3247" i="44"/>
  <c r="A3247" i="44" s="1"/>
  <c r="J735" i="3"/>
  <c r="I19" i="34"/>
  <c r="E3279" i="44"/>
  <c r="A3279" i="44" s="1"/>
  <c r="H49" i="34"/>
  <c r="E3210" i="44"/>
  <c r="A3210" i="44" s="1"/>
  <c r="I94" i="34"/>
  <c r="J743" i="3"/>
  <c r="T743" i="3" s="1"/>
  <c r="D2944" i="44"/>
  <c r="D599" i="44"/>
  <c r="D603" i="44"/>
  <c r="D607" i="44"/>
  <c r="B762" i="44"/>
  <c r="D763" i="44" s="1"/>
  <c r="I22" i="34"/>
  <c r="E3338" i="44"/>
  <c r="A3338" i="44" s="1"/>
  <c r="E3354" i="44"/>
  <c r="A3354" i="44" s="1"/>
  <c r="R1173" i="5"/>
  <c r="F1173" i="5"/>
  <c r="T1144" i="5"/>
  <c r="H1144" i="5"/>
  <c r="O1144" i="5"/>
  <c r="J1144" i="5"/>
  <c r="F1140" i="5"/>
  <c r="K1140" i="5"/>
  <c r="L1140" i="5"/>
  <c r="S1140" i="5"/>
  <c r="N1140" i="5"/>
  <c r="M1136" i="5"/>
  <c r="T1136" i="5"/>
  <c r="G1136" i="5"/>
  <c r="J1136" i="5"/>
  <c r="I1136" i="5"/>
  <c r="R1136" i="5"/>
  <c r="S1136" i="5"/>
  <c r="M1132" i="5"/>
  <c r="I1132" i="5"/>
  <c r="R1132" i="5"/>
  <c r="G1132" i="5"/>
  <c r="M1128" i="5"/>
  <c r="J1128" i="5"/>
  <c r="J1124" i="5"/>
  <c r="G1124" i="5"/>
  <c r="S1124" i="5"/>
  <c r="M1124" i="5"/>
  <c r="N1120" i="5"/>
  <c r="R1120" i="5"/>
  <c r="J1120" i="5"/>
  <c r="O1108" i="5"/>
  <c r="K1108" i="5"/>
  <c r="L1108" i="5"/>
  <c r="J1108" i="5"/>
  <c r="N1104" i="5"/>
  <c r="L1104" i="5"/>
  <c r="H1100" i="5"/>
  <c r="N1100" i="5"/>
  <c r="L1088" i="5"/>
  <c r="O1088" i="5"/>
  <c r="O1084" i="5"/>
  <c r="N1084" i="5"/>
  <c r="E745" i="44"/>
  <c r="A745" i="44" s="1"/>
  <c r="I74" i="24"/>
  <c r="H12" i="34"/>
  <c r="E3173" i="44"/>
  <c r="A3173" i="44" s="1"/>
  <c r="E3273" i="44"/>
  <c r="A3273" i="44" s="1"/>
  <c r="I13" i="34"/>
  <c r="H27" i="34"/>
  <c r="E3188" i="44"/>
  <c r="A3188" i="44" s="1"/>
  <c r="J662" i="3"/>
  <c r="T662" i="3" s="1"/>
  <c r="H36" i="34"/>
  <c r="J685" i="3"/>
  <c r="J36" i="34" s="1"/>
  <c r="N376" i="3"/>
  <c r="G132" i="24" s="1"/>
  <c r="C376" i="3"/>
  <c r="E3248" i="44"/>
  <c r="A3248" i="44" s="1"/>
  <c r="H87" i="34"/>
  <c r="H7" i="34"/>
  <c r="E3168" i="44"/>
  <c r="A3168" i="44" s="1"/>
  <c r="H257" i="24"/>
  <c r="I195" i="32"/>
  <c r="H226" i="24"/>
  <c r="I164" i="32"/>
  <c r="E3249" i="44"/>
  <c r="A3249" i="44" s="1"/>
  <c r="H88" i="34"/>
  <c r="H240" i="24"/>
  <c r="I178" i="32"/>
  <c r="J669" i="3"/>
  <c r="T669" i="3" s="1"/>
  <c r="J734" i="3"/>
  <c r="J85" i="34" s="1"/>
  <c r="J664" i="3"/>
  <c r="J15" i="34" s="1"/>
  <c r="D62" i="24"/>
  <c r="D52" i="32"/>
  <c r="J707" i="3"/>
  <c r="T707" i="3" s="1"/>
  <c r="C114" i="24"/>
  <c r="I58" i="34"/>
  <c r="H63" i="34"/>
  <c r="M376" i="3"/>
  <c r="F132" i="24" s="1"/>
  <c r="D376" i="3"/>
  <c r="K376" i="3"/>
  <c r="D106" i="32" s="1"/>
  <c r="J736" i="3"/>
  <c r="J87" i="34" s="1"/>
  <c r="E3211" i="44"/>
  <c r="A3211" i="44" s="1"/>
  <c r="I61" i="34"/>
  <c r="E3285" i="44"/>
  <c r="A3285" i="44" s="1"/>
  <c r="I376" i="3"/>
  <c r="E3218" i="44"/>
  <c r="A3218" i="44" s="1"/>
  <c r="O376" i="3"/>
  <c r="J667" i="3"/>
  <c r="J18" i="34" s="1"/>
  <c r="E376" i="3"/>
  <c r="F89" i="32" s="1"/>
  <c r="E3199" i="44"/>
  <c r="A3199" i="44" s="1"/>
  <c r="F376" i="3"/>
  <c r="G89" i="32" s="1"/>
  <c r="C89" i="32"/>
  <c r="E3330" i="44"/>
  <c r="A3330" i="44" s="1"/>
  <c r="J376" i="3"/>
  <c r="P376" i="3"/>
  <c r="I132" i="24" s="1"/>
  <c r="L376" i="3"/>
  <c r="E132" i="24" s="1"/>
  <c r="E3166" i="44"/>
  <c r="A3166" i="44" s="1"/>
  <c r="E282" i="44"/>
  <c r="A282" i="44" s="1"/>
  <c r="E283" i="44"/>
  <c r="A283" i="44" s="1"/>
  <c r="J739" i="3"/>
  <c r="J90" i="34" s="1"/>
  <c r="J691" i="3"/>
  <c r="J42" i="34" s="1"/>
  <c r="E3219" i="44"/>
  <c r="A3219" i="44" s="1"/>
  <c r="I198" i="32"/>
  <c r="I83" i="34"/>
  <c r="E3336" i="44"/>
  <c r="A3336" i="44" s="1"/>
  <c r="E3346" i="44"/>
  <c r="A3346" i="44" s="1"/>
  <c r="H30" i="34"/>
  <c r="E3356" i="44"/>
  <c r="A3356" i="44" s="1"/>
  <c r="H48" i="34"/>
  <c r="I67" i="24"/>
  <c r="C447" i="5"/>
  <c r="E30" i="24"/>
  <c r="I68" i="24"/>
  <c r="B99" i="30"/>
  <c r="H66" i="34"/>
  <c r="C464" i="5"/>
  <c r="H37" i="34"/>
  <c r="H47" i="34"/>
  <c r="I204" i="32"/>
  <c r="E3236" i="44"/>
  <c r="A3236" i="44" s="1"/>
  <c r="D125" i="30"/>
  <c r="I102" i="34"/>
  <c r="J706" i="3"/>
  <c r="T706" i="3" s="1"/>
  <c r="E3264" i="44"/>
  <c r="A3264" i="44" s="1"/>
  <c r="I70" i="24"/>
  <c r="D183" i="24"/>
  <c r="H254" i="24"/>
  <c r="I192" i="32"/>
  <c r="I65" i="24"/>
  <c r="B45" i="30"/>
  <c r="I154" i="32"/>
  <c r="H216" i="24"/>
  <c r="E3334" i="44"/>
  <c r="A3334" i="44" s="1"/>
  <c r="J686" i="3"/>
  <c r="J37" i="34" s="1"/>
  <c r="J715" i="3"/>
  <c r="J66" i="34" s="1"/>
  <c r="H69" i="34"/>
  <c r="I69" i="34"/>
  <c r="E3340" i="44"/>
  <c r="A3340" i="44" s="1"/>
  <c r="I80" i="34"/>
  <c r="J670" i="3"/>
  <c r="J21" i="34" s="1"/>
  <c r="J659" i="3"/>
  <c r="H86" i="34"/>
  <c r="I92" i="34"/>
  <c r="J668" i="3"/>
  <c r="T668" i="3" s="1"/>
  <c r="E3306" i="44"/>
  <c r="A3306" i="44" s="1"/>
  <c r="I46" i="34"/>
  <c r="H40" i="34"/>
  <c r="J729" i="3"/>
  <c r="J80" i="34" s="1"/>
  <c r="J698" i="3"/>
  <c r="J49" i="34" s="1"/>
  <c r="H79" i="34"/>
  <c r="H21" i="34"/>
  <c r="E3171" i="44"/>
  <c r="A3171" i="44" s="1"/>
  <c r="I28" i="34"/>
  <c r="E3258" i="44"/>
  <c r="A3258" i="44" s="1"/>
  <c r="I162" i="32"/>
  <c r="J745" i="3"/>
  <c r="T745" i="3" s="1"/>
  <c r="B142" i="3"/>
  <c r="B525" i="3" s="1"/>
  <c r="T1167" i="5"/>
  <c r="M1146" i="5"/>
  <c r="S1167" i="5"/>
  <c r="Q1130" i="5"/>
  <c r="H1134" i="5"/>
  <c r="F1138" i="5"/>
  <c r="G1171" i="5"/>
  <c r="I1150" i="5"/>
  <c r="K1159" i="5"/>
  <c r="D65" i="32"/>
  <c r="J129" i="3"/>
  <c r="K129" i="3" s="1"/>
  <c r="E77" i="24" s="1"/>
  <c r="E3363" i="44"/>
  <c r="A3363" i="44" s="1"/>
  <c r="J752" i="3"/>
  <c r="I36" i="34"/>
  <c r="E3296" i="44"/>
  <c r="A3296" i="44" s="1"/>
  <c r="H60" i="34"/>
  <c r="E3221" i="44"/>
  <c r="A3221" i="44" s="1"/>
  <c r="E3327" i="44"/>
  <c r="A3327" i="44" s="1"/>
  <c r="I67" i="34"/>
  <c r="D3071" i="44"/>
  <c r="D606" i="44"/>
  <c r="D598" i="44"/>
  <c r="D2016" i="44"/>
  <c r="J1173" i="5"/>
  <c r="L1165" i="5"/>
  <c r="S1173" i="5"/>
  <c r="T1132" i="5"/>
  <c r="D601" i="44"/>
  <c r="B2881" i="44"/>
  <c r="D2881" i="44" s="1"/>
  <c r="B1792" i="44"/>
  <c r="B1793" i="44" s="1"/>
  <c r="E3297" i="44"/>
  <c r="A3297" i="44" s="1"/>
  <c r="I32" i="34"/>
  <c r="T732" i="3"/>
  <c r="T83" i="34" s="1"/>
  <c r="J746" i="3"/>
  <c r="J97" i="34" s="1"/>
  <c r="E3176" i="44"/>
  <c r="A3176" i="44" s="1"/>
  <c r="J676" i="3"/>
  <c r="J27" i="34" s="1"/>
  <c r="J740" i="3"/>
  <c r="T740" i="3" s="1"/>
  <c r="I82" i="34"/>
  <c r="I60" i="34"/>
  <c r="J730" i="3"/>
  <c r="J81" i="34" s="1"/>
  <c r="E3261" i="44"/>
  <c r="A3261" i="44" s="1"/>
  <c r="J741" i="3"/>
  <c r="J92" i="34" s="1"/>
  <c r="E3257" i="44"/>
  <c r="A3257" i="44" s="1"/>
  <c r="J656" i="3"/>
  <c r="J7" i="34" s="1"/>
  <c r="E3197" i="44"/>
  <c r="A3197" i="44" s="1"/>
  <c r="I103" i="34"/>
  <c r="J717" i="3"/>
  <c r="I18" i="34"/>
  <c r="E3244" i="44"/>
  <c r="A3244" i="44" s="1"/>
  <c r="J684" i="3"/>
  <c r="T684" i="3" s="1"/>
  <c r="A852" i="5"/>
  <c r="E852" i="5" s="1"/>
  <c r="I35" i="34"/>
  <c r="F1170" i="5"/>
  <c r="G1170" i="5"/>
  <c r="N1170" i="5"/>
  <c r="N1166" i="5"/>
  <c r="I1166" i="5"/>
  <c r="J1166" i="5"/>
  <c r="S1166" i="5"/>
  <c r="O1166" i="5"/>
  <c r="N1162" i="5"/>
  <c r="R1162" i="5"/>
  <c r="Q1162" i="5"/>
  <c r="M1162" i="5"/>
  <c r="H1162" i="5"/>
  <c r="T1162" i="5"/>
  <c r="O1158" i="5"/>
  <c r="R1158" i="5"/>
  <c r="L1155" i="5"/>
  <c r="Q1155" i="5"/>
  <c r="M1155" i="5"/>
  <c r="P1155" i="5"/>
  <c r="O1155" i="5"/>
  <c r="H1155" i="5"/>
  <c r="Q1147" i="5"/>
  <c r="T1147" i="5"/>
  <c r="L1147" i="5"/>
  <c r="F1143" i="5"/>
  <c r="H1143" i="5"/>
  <c r="S1143" i="5"/>
  <c r="L1143" i="5"/>
  <c r="M1139" i="5"/>
  <c r="T1139" i="5"/>
  <c r="Q1139" i="5"/>
  <c r="L1139" i="5"/>
  <c r="I1139" i="5"/>
  <c r="K1139" i="5"/>
  <c r="M1135" i="5"/>
  <c r="S1135" i="5"/>
  <c r="K1127" i="5"/>
  <c r="F1127" i="5"/>
  <c r="L1127" i="5"/>
  <c r="H1127" i="5"/>
  <c r="J1127" i="5"/>
  <c r="Q1123" i="5"/>
  <c r="T1123" i="5"/>
  <c r="I1123" i="5"/>
  <c r="R1123" i="5"/>
  <c r="N1123" i="5"/>
  <c r="M1119" i="5"/>
  <c r="J1119" i="5"/>
  <c r="K1119" i="5"/>
  <c r="L1119" i="5"/>
  <c r="H1119" i="5"/>
  <c r="F1119" i="5"/>
  <c r="S1115" i="5"/>
  <c r="F1115" i="5"/>
  <c r="M1111" i="5"/>
  <c r="F1111" i="5"/>
  <c r="L1107" i="5"/>
  <c r="T1107" i="5"/>
  <c r="T1103" i="5"/>
  <c r="J1103" i="5"/>
  <c r="N1103" i="5"/>
  <c r="O1099" i="5"/>
  <c r="S1099" i="5"/>
  <c r="Q1099" i="5"/>
  <c r="I1099" i="5"/>
  <c r="F1099" i="5"/>
  <c r="K1099" i="5"/>
  <c r="J1091" i="5"/>
  <c r="I1091" i="5"/>
  <c r="P1087" i="5"/>
  <c r="H1087" i="5"/>
  <c r="O1087" i="5"/>
  <c r="L1087" i="5"/>
  <c r="O1083" i="5"/>
  <c r="G1083" i="5"/>
  <c r="G1177" i="5"/>
  <c r="J1177" i="5"/>
  <c r="R1172" i="5"/>
  <c r="K1172" i="5"/>
  <c r="N1172" i="5"/>
  <c r="O1168" i="5"/>
  <c r="Q1168" i="5"/>
  <c r="R1168" i="5"/>
  <c r="I1168" i="5"/>
  <c r="M1168" i="5"/>
  <c r="L1164" i="5"/>
  <c r="R1164" i="5"/>
  <c r="O1164" i="5"/>
  <c r="F1164" i="5"/>
  <c r="I1164" i="5"/>
  <c r="N1160" i="5"/>
  <c r="R1160" i="5"/>
  <c r="L1160" i="5"/>
  <c r="J1156" i="5"/>
  <c r="T1156" i="5"/>
  <c r="I1156" i="5"/>
  <c r="H1156" i="5"/>
  <c r="L1156" i="5"/>
  <c r="P1156" i="5"/>
  <c r="F1156" i="5"/>
  <c r="R1153" i="5"/>
  <c r="P1153" i="5"/>
  <c r="K1149" i="5"/>
  <c r="J1149" i="5"/>
  <c r="M1141" i="5"/>
  <c r="S1141" i="5"/>
  <c r="N1141" i="5"/>
  <c r="K1141" i="5"/>
  <c r="R1141" i="5"/>
  <c r="T1137" i="5"/>
  <c r="I1137" i="5"/>
  <c r="F1137" i="5"/>
  <c r="L1137" i="5"/>
  <c r="M1137" i="5"/>
  <c r="N1137" i="5"/>
  <c r="K1137" i="5"/>
  <c r="O1133" i="5"/>
  <c r="G1133" i="5"/>
  <c r="S1133" i="5"/>
  <c r="J1133" i="5"/>
  <c r="M1125" i="5"/>
  <c r="P1125" i="5"/>
  <c r="O1125" i="5"/>
  <c r="Q1125" i="5"/>
  <c r="N1125" i="5"/>
  <c r="R1125" i="5"/>
  <c r="G1125" i="5"/>
  <c r="Q1121" i="5"/>
  <c r="F1121" i="5"/>
  <c r="M1121" i="5"/>
  <c r="S1121" i="5"/>
  <c r="T1121" i="5"/>
  <c r="I1121" i="5"/>
  <c r="O1113" i="5"/>
  <c r="K1113" i="5"/>
  <c r="G1113" i="5"/>
  <c r="O1105" i="5"/>
  <c r="H1105" i="5"/>
  <c r="M1105" i="5"/>
  <c r="O1081" i="5"/>
  <c r="M1081" i="5"/>
  <c r="E3185" i="44"/>
  <c r="A3185" i="44" s="1"/>
  <c r="H24" i="34"/>
  <c r="E3174" i="44"/>
  <c r="A3174" i="44" s="1"/>
  <c r="H13" i="34"/>
  <c r="E3256" i="44"/>
  <c r="A3256" i="44" s="1"/>
  <c r="H95" i="34"/>
  <c r="E3217" i="44"/>
  <c r="A3217" i="44" s="1"/>
  <c r="J705" i="3"/>
  <c r="H56" i="34"/>
  <c r="E3331" i="44"/>
  <c r="A3331" i="44" s="1"/>
  <c r="I71" i="34"/>
  <c r="H90" i="34"/>
  <c r="E3251" i="44"/>
  <c r="A3251" i="44" s="1"/>
  <c r="E3302" i="44"/>
  <c r="A3302" i="44" s="1"/>
  <c r="I42" i="34"/>
  <c r="B435" i="3"/>
  <c r="A845" i="5"/>
  <c r="E845" i="5" s="1"/>
  <c r="H1154" i="5"/>
  <c r="J1154" i="5"/>
  <c r="F1146" i="5"/>
  <c r="L1146" i="5"/>
  <c r="O1146" i="5"/>
  <c r="R1146" i="5"/>
  <c r="H1146" i="5"/>
  <c r="I1138" i="5"/>
  <c r="L1138" i="5"/>
  <c r="Q1138" i="5"/>
  <c r="P1138" i="5"/>
  <c r="O1122" i="5"/>
  <c r="R1122" i="5"/>
  <c r="J1114" i="5"/>
  <c r="T1114" i="5"/>
  <c r="Q1114" i="5"/>
  <c r="P1110" i="5"/>
  <c r="O1110" i="5"/>
  <c r="L1110" i="5"/>
  <c r="I1106" i="5"/>
  <c r="M1106" i="5"/>
  <c r="O1106" i="5"/>
  <c r="G1102" i="5"/>
  <c r="N1102" i="5"/>
  <c r="I1102" i="5"/>
  <c r="K1102" i="5"/>
  <c r="R1102" i="5"/>
  <c r="F1102" i="5"/>
  <c r="F1098" i="5"/>
  <c r="L1098" i="5"/>
  <c r="I1098" i="5"/>
  <c r="F1094" i="5"/>
  <c r="G1094" i="5"/>
  <c r="P1094" i="5"/>
  <c r="O1090" i="5"/>
  <c r="N1090" i="5"/>
  <c r="H1090" i="5"/>
  <c r="K1090" i="5"/>
  <c r="T1090" i="5"/>
  <c r="J1090" i="5"/>
  <c r="M1086" i="5"/>
  <c r="T1086" i="5"/>
  <c r="N1086" i="5"/>
  <c r="P1086" i="5"/>
  <c r="T1176" i="5"/>
  <c r="H1176" i="5"/>
  <c r="R1161" i="5"/>
  <c r="O1161" i="5"/>
  <c r="P1152" i="5"/>
  <c r="R1152" i="5"/>
  <c r="J1152" i="5"/>
  <c r="I1108" i="5"/>
  <c r="M1108" i="5"/>
  <c r="G1104" i="5"/>
  <c r="J1104" i="5"/>
  <c r="S1104" i="5"/>
  <c r="M1100" i="5"/>
  <c r="S1100" i="5"/>
  <c r="L1100" i="5"/>
  <c r="Q1100" i="5"/>
  <c r="T1096" i="5"/>
  <c r="O1096" i="5"/>
  <c r="P1096" i="5"/>
  <c r="R1088" i="5"/>
  <c r="K1088" i="5"/>
  <c r="J1088" i="5"/>
  <c r="G1088" i="5"/>
  <c r="T1088" i="5"/>
  <c r="N1088" i="5"/>
  <c r="H1088" i="5"/>
  <c r="A1183" i="5"/>
  <c r="R1183" i="5" s="1"/>
  <c r="B1080" i="5"/>
  <c r="A871" i="5"/>
  <c r="E871" i="5" s="1"/>
  <c r="A875" i="5"/>
  <c r="C875" i="5" s="1"/>
  <c r="A873" i="5"/>
  <c r="D873" i="5" s="1"/>
  <c r="A869" i="5"/>
  <c r="C869" i="5" s="1"/>
  <c r="A872" i="5"/>
  <c r="C872" i="5" s="1"/>
  <c r="A876" i="5"/>
  <c r="C876" i="5" s="1"/>
  <c r="A870" i="5"/>
  <c r="D870" i="5" s="1"/>
  <c r="A874" i="5"/>
  <c r="C874" i="5" s="1"/>
  <c r="A1182" i="5"/>
  <c r="C1182" i="5" s="1"/>
  <c r="A851" i="5"/>
  <c r="E851" i="5" s="1"/>
  <c r="A846" i="5"/>
  <c r="F846" i="5" s="1"/>
  <c r="A849" i="5"/>
  <c r="H849" i="5" s="1"/>
  <c r="A848" i="5"/>
  <c r="C848" i="5" s="1"/>
  <c r="A850" i="5"/>
  <c r="G850" i="5" s="1"/>
  <c r="A847" i="5"/>
  <c r="C847" i="5" s="1"/>
  <c r="A853" i="5"/>
  <c r="H853" i="5" s="1"/>
  <c r="B1185" i="5"/>
  <c r="A1184" i="5"/>
  <c r="L1184" i="5" s="1"/>
  <c r="F1079" i="5"/>
  <c r="H53" i="34"/>
  <c r="E3214" i="44"/>
  <c r="A3214" i="44" s="1"/>
  <c r="E3281" i="44"/>
  <c r="A3281" i="44" s="1"/>
  <c r="I21" i="34"/>
  <c r="E3238" i="44"/>
  <c r="A3238" i="44" s="1"/>
  <c r="J726" i="3"/>
  <c r="E3232" i="44"/>
  <c r="A3232" i="44" s="1"/>
  <c r="J720" i="3"/>
  <c r="H71" i="34"/>
  <c r="I87" i="34"/>
  <c r="E3347" i="44"/>
  <c r="A3347" i="44" s="1"/>
  <c r="E3276" i="44"/>
  <c r="A3276" i="44" s="1"/>
  <c r="I16" i="34"/>
  <c r="H42" i="34"/>
  <c r="E3203" i="44"/>
  <c r="A3203" i="44" s="1"/>
  <c r="L1079" i="5"/>
  <c r="I85" i="34"/>
  <c r="E3345" i="44"/>
  <c r="A3345" i="44" s="1"/>
  <c r="I15" i="34"/>
  <c r="E3275" i="44"/>
  <c r="A3275" i="44" s="1"/>
  <c r="I23" i="34"/>
  <c r="E3283" i="44"/>
  <c r="A3283" i="44" s="1"/>
  <c r="E3180" i="44"/>
  <c r="A3180" i="44" s="1"/>
  <c r="H19" i="34"/>
  <c r="I17" i="34"/>
  <c r="E3277" i="44"/>
  <c r="A3277" i="44" s="1"/>
  <c r="O1079" i="5"/>
  <c r="J1079" i="5"/>
  <c r="S1079" i="5"/>
  <c r="T1079" i="5"/>
  <c r="R1079" i="5"/>
  <c r="D835" i="44"/>
  <c r="B2947" i="44"/>
  <c r="D2947" i="44" s="1"/>
  <c r="B2193" i="44"/>
  <c r="D2193" i="44" s="1"/>
  <c r="D478" i="44"/>
  <c r="D699" i="44"/>
  <c r="B1888" i="44"/>
  <c r="D1888" i="44" s="1"/>
  <c r="E3268" i="44"/>
  <c r="A3268" i="44" s="1"/>
  <c r="C922" i="5"/>
  <c r="J196" i="24"/>
  <c r="T665" i="3"/>
  <c r="I66" i="3"/>
  <c r="D76" i="24"/>
  <c r="D2799" i="44"/>
  <c r="D2945" i="44"/>
  <c r="D2159" i="44"/>
  <c r="D476" i="44"/>
  <c r="D698" i="44"/>
  <c r="D760" i="44"/>
  <c r="D2561" i="44"/>
  <c r="D1664" i="44"/>
  <c r="E3245" i="44"/>
  <c r="A3245" i="44" s="1"/>
  <c r="H84" i="34"/>
  <c r="I26" i="34"/>
  <c r="E3286" i="44"/>
  <c r="A3286" i="44" s="1"/>
  <c r="G133" i="24"/>
  <c r="G107" i="32"/>
  <c r="B1905" i="44"/>
  <c r="B1906" i="44" s="1"/>
  <c r="D1906" i="44" s="1"/>
  <c r="B608" i="44"/>
  <c r="D611" i="44" s="1"/>
  <c r="D600" i="44"/>
  <c r="D604" i="44"/>
  <c r="B2592" i="44"/>
  <c r="D2592" i="44" s="1"/>
  <c r="D602" i="44"/>
  <c r="B3008" i="44"/>
  <c r="D3008" i="44" s="1"/>
  <c r="J677" i="3"/>
  <c r="J28" i="34" s="1"/>
  <c r="I37" i="34"/>
  <c r="E3321" i="44"/>
  <c r="A3321" i="44" s="1"/>
  <c r="J681" i="3"/>
  <c r="T681" i="3" s="1"/>
  <c r="I27" i="34"/>
  <c r="T698" i="3"/>
  <c r="T49" i="34" s="1"/>
  <c r="E3255" i="44"/>
  <c r="A3255" i="44" s="1"/>
  <c r="H94" i="34"/>
  <c r="E3222" i="44"/>
  <c r="A3222" i="44" s="1"/>
  <c r="H61" i="34"/>
  <c r="F133" i="24"/>
  <c r="F107" i="32"/>
  <c r="J709" i="3"/>
  <c r="G1079" i="5"/>
  <c r="I1079" i="5"/>
  <c r="Q1079" i="5"/>
  <c r="H1079" i="5"/>
  <c r="K1079" i="5"/>
  <c r="M1079" i="5"/>
  <c r="I14" i="34"/>
  <c r="E3274" i="44"/>
  <c r="A3274" i="44" s="1"/>
  <c r="H74" i="34"/>
  <c r="J723" i="3"/>
  <c r="E3235" i="44"/>
  <c r="A3235" i="44" s="1"/>
  <c r="E3212" i="44"/>
  <c r="A3212" i="44" s="1"/>
  <c r="J700" i="3"/>
  <c r="H51" i="34"/>
  <c r="E3183" i="44"/>
  <c r="A3183" i="44" s="1"/>
  <c r="J671" i="3"/>
  <c r="H22" i="34"/>
  <c r="H78" i="34"/>
  <c r="E3239" i="44"/>
  <c r="A3239" i="44" s="1"/>
  <c r="J727" i="3"/>
  <c r="I89" i="34"/>
  <c r="E3349" i="44"/>
  <c r="A3349" i="44" s="1"/>
  <c r="H102" i="34"/>
  <c r="E3263" i="44"/>
  <c r="A3263" i="44" s="1"/>
  <c r="J751" i="3"/>
  <c r="H25" i="34"/>
  <c r="E3186" i="44"/>
  <c r="A3186" i="44" s="1"/>
  <c r="J674" i="3"/>
  <c r="H70" i="34"/>
  <c r="J719" i="3"/>
  <c r="E3231" i="44"/>
  <c r="A3231" i="44" s="1"/>
  <c r="E3311" i="44"/>
  <c r="A3311" i="44" s="1"/>
  <c r="I51" i="34"/>
  <c r="J703" i="3"/>
  <c r="H54" i="34"/>
  <c r="E3215" i="44"/>
  <c r="A3215" i="44" s="1"/>
  <c r="J708" i="3"/>
  <c r="H59" i="34"/>
  <c r="E3220" i="44"/>
  <c r="A3220" i="44" s="1"/>
  <c r="H101" i="34"/>
  <c r="E3262" i="44"/>
  <c r="A3262" i="44" s="1"/>
  <c r="H43" i="34"/>
  <c r="E3204" i="44"/>
  <c r="A3204" i="44" s="1"/>
  <c r="J692" i="3"/>
  <c r="E3213" i="44"/>
  <c r="A3213" i="44" s="1"/>
  <c r="J701" i="3"/>
  <c r="H52" i="34"/>
  <c r="H90" i="32"/>
  <c r="H115" i="24"/>
  <c r="G115" i="24"/>
  <c r="G90" i="32"/>
  <c r="T733" i="3"/>
  <c r="J747" i="3"/>
  <c r="H98" i="34"/>
  <c r="E3259" i="44"/>
  <c r="A3259" i="44" s="1"/>
  <c r="J725" i="3"/>
  <c r="E3237" i="44"/>
  <c r="A3237" i="44" s="1"/>
  <c r="H76" i="34"/>
  <c r="J722" i="3"/>
  <c r="E3333" i="44"/>
  <c r="A3333" i="44" s="1"/>
  <c r="I73" i="34"/>
  <c r="H73" i="34"/>
  <c r="E3234" i="44"/>
  <c r="A3234" i="44" s="1"/>
  <c r="H46" i="34"/>
  <c r="E3207" i="44"/>
  <c r="A3207" i="44" s="1"/>
  <c r="J695" i="3"/>
  <c r="H44" i="34"/>
  <c r="E3205" i="44"/>
  <c r="A3205" i="44" s="1"/>
  <c r="I43" i="34"/>
  <c r="E3303" i="44"/>
  <c r="A3303" i="44" s="1"/>
  <c r="E3192" i="44"/>
  <c r="A3192" i="44" s="1"/>
  <c r="J680" i="3"/>
  <c r="H31" i="34"/>
  <c r="H29" i="34"/>
  <c r="E3190" i="44"/>
  <c r="A3190" i="44" s="1"/>
  <c r="J678" i="3"/>
  <c r="J675" i="3"/>
  <c r="H26" i="34"/>
  <c r="E3187" i="44"/>
  <c r="A3187" i="44" s="1"/>
  <c r="E3280" i="44"/>
  <c r="A3280" i="44" s="1"/>
  <c r="I20" i="34"/>
  <c r="H14" i="34"/>
  <c r="E3175" i="44"/>
  <c r="A3175" i="44" s="1"/>
  <c r="J663" i="3"/>
  <c r="H89" i="32"/>
  <c r="H99" i="34"/>
  <c r="E3260" i="44"/>
  <c r="A3260" i="44" s="1"/>
  <c r="J748" i="3"/>
  <c r="I98" i="34"/>
  <c r="E3358" i="44"/>
  <c r="A3358" i="44" s="1"/>
  <c r="E3355" i="44"/>
  <c r="A3355" i="44" s="1"/>
  <c r="I95" i="34"/>
  <c r="J744" i="3"/>
  <c r="E3254" i="44"/>
  <c r="A3254" i="44" s="1"/>
  <c r="J742" i="3"/>
  <c r="H93" i="34"/>
  <c r="H89" i="34"/>
  <c r="E3250" i="44"/>
  <c r="A3250" i="44" s="1"/>
  <c r="J738" i="3"/>
  <c r="H82" i="34"/>
  <c r="J731" i="3"/>
  <c r="E3243" i="44"/>
  <c r="A3243" i="44" s="1"/>
  <c r="E3228" i="44"/>
  <c r="A3228" i="44" s="1"/>
  <c r="J716" i="3"/>
  <c r="H67" i="34"/>
  <c r="I66" i="34"/>
  <c r="E3326" i="44"/>
  <c r="A3326" i="44" s="1"/>
  <c r="H65" i="34"/>
  <c r="E3226" i="44"/>
  <c r="A3226" i="44" s="1"/>
  <c r="J714" i="3"/>
  <c r="H64" i="34"/>
  <c r="E3225" i="44"/>
  <c r="A3225" i="44" s="1"/>
  <c r="J713" i="3"/>
  <c r="I63" i="34"/>
  <c r="J712" i="3"/>
  <c r="E3323" i="44"/>
  <c r="A3323" i="44" s="1"/>
  <c r="H62" i="34"/>
  <c r="J711" i="3"/>
  <c r="E3223" i="44"/>
  <c r="A3223" i="44" s="1"/>
  <c r="J704" i="3"/>
  <c r="E3315" i="44"/>
  <c r="A3315" i="44" s="1"/>
  <c r="I55" i="34"/>
  <c r="I49" i="34"/>
  <c r="E3309" i="44"/>
  <c r="A3309" i="44" s="1"/>
  <c r="I40" i="34"/>
  <c r="E3300" i="44"/>
  <c r="A3300" i="44" s="1"/>
  <c r="J689" i="3"/>
  <c r="E3291" i="44"/>
  <c r="A3291" i="44" s="1"/>
  <c r="I31" i="34"/>
  <c r="J666" i="3"/>
  <c r="H17" i="34"/>
  <c r="E3178" i="44"/>
  <c r="A3178" i="44" s="1"/>
  <c r="E3272" i="44"/>
  <c r="A3272" i="44" s="1"/>
  <c r="I12" i="34"/>
  <c r="J661" i="3"/>
  <c r="E3172" i="44"/>
  <c r="A3172" i="44" s="1"/>
  <c r="H11" i="34"/>
  <c r="E3169" i="44"/>
  <c r="A3169" i="44" s="1"/>
  <c r="H8" i="34"/>
  <c r="E3266" i="44"/>
  <c r="A3266" i="44" s="1"/>
  <c r="I6" i="34"/>
  <c r="D107" i="32"/>
  <c r="D133" i="24"/>
  <c r="E115" i="24"/>
  <c r="E90" i="32"/>
  <c r="J655" i="3"/>
  <c r="D116" i="24"/>
  <c r="D91" i="32"/>
  <c r="H91" i="32"/>
  <c r="H116" i="24"/>
  <c r="I108" i="32"/>
  <c r="I134" i="24"/>
  <c r="J91" i="32"/>
  <c r="J116" i="24"/>
  <c r="G134" i="24"/>
  <c r="G108" i="32"/>
  <c r="F91" i="32"/>
  <c r="F116" i="24"/>
  <c r="C134" i="24"/>
  <c r="C108" i="32"/>
  <c r="E3312" i="44"/>
  <c r="A3312" i="44" s="1"/>
  <c r="I52" i="34"/>
  <c r="E3335" i="44"/>
  <c r="A3335" i="44" s="1"/>
  <c r="I75" i="34"/>
  <c r="J724" i="3"/>
  <c r="J61" i="34"/>
  <c r="T710" i="3"/>
  <c r="I59" i="34"/>
  <c r="E3319" i="44"/>
  <c r="A3319" i="44" s="1"/>
  <c r="H33" i="34"/>
  <c r="J682" i="3"/>
  <c r="E3194" i="44"/>
  <c r="A3194" i="44" s="1"/>
  <c r="H23" i="34"/>
  <c r="J672" i="3"/>
  <c r="E3184" i="44"/>
  <c r="A3184" i="44" s="1"/>
  <c r="E3301" i="44"/>
  <c r="A3301" i="44" s="1"/>
  <c r="J690" i="3"/>
  <c r="I41" i="34"/>
  <c r="I114" i="24"/>
  <c r="I89" i="32"/>
  <c r="E3293" i="44"/>
  <c r="A3293" i="44" s="1"/>
  <c r="I33" i="34"/>
  <c r="J86" i="34"/>
  <c r="T735" i="3"/>
  <c r="E3357" i="44"/>
  <c r="A3357" i="44" s="1"/>
  <c r="I97" i="34"/>
  <c r="D30" i="24"/>
  <c r="C125" i="30"/>
  <c r="B820" i="3"/>
  <c r="C446" i="5"/>
  <c r="D115" i="24"/>
  <c r="D90" i="32"/>
  <c r="E89" i="32"/>
  <c r="H753" i="3"/>
  <c r="E3195" i="44"/>
  <c r="A3195" i="44" s="1"/>
  <c r="H34" i="34"/>
  <c r="C107" i="32"/>
  <c r="C133" i="24"/>
  <c r="H133" i="24"/>
  <c r="H107" i="32"/>
  <c r="J90" i="32"/>
  <c r="J115" i="24"/>
  <c r="I90" i="32"/>
  <c r="I115" i="24"/>
  <c r="J683" i="3"/>
  <c r="E108" i="32"/>
  <c r="E134" i="24"/>
  <c r="F134" i="24"/>
  <c r="F108" i="32"/>
  <c r="G116" i="24"/>
  <c r="G91" i="32"/>
  <c r="E116" i="24"/>
  <c r="E91" i="32"/>
  <c r="D108" i="32"/>
  <c r="D134" i="24"/>
  <c r="H108" i="32"/>
  <c r="H134" i="24"/>
  <c r="I91" i="32"/>
  <c r="I116" i="24"/>
  <c r="B481" i="44"/>
  <c r="D483" i="44" s="1"/>
  <c r="D477" i="44"/>
  <c r="B702" i="44"/>
  <c r="D706" i="44" s="1"/>
  <c r="D701" i="44"/>
  <c r="D2368" i="44"/>
  <c r="D479" i="44"/>
  <c r="D1823" i="44"/>
  <c r="E102" i="30"/>
  <c r="D759" i="44"/>
  <c r="D758" i="44"/>
  <c r="B2624" i="44"/>
  <c r="D2624" i="44" s="1"/>
  <c r="D3024" i="44"/>
  <c r="C191" i="24"/>
  <c r="S104" i="34"/>
  <c r="C758" i="3"/>
  <c r="E1571" i="44" s="1"/>
  <c r="A1571" i="44" s="1"/>
  <c r="I1581" i="44"/>
  <c r="I1580" i="44"/>
  <c r="K104" i="34"/>
  <c r="I5" i="34"/>
  <c r="J654" i="3"/>
  <c r="E3265" i="44"/>
  <c r="A3265" i="44" s="1"/>
  <c r="I88" i="34"/>
  <c r="E3348" i="44"/>
  <c r="A3348" i="44" s="1"/>
  <c r="J737" i="3"/>
  <c r="E3313" i="44"/>
  <c r="A3313" i="44" s="1"/>
  <c r="I53" i="34"/>
  <c r="J702" i="3"/>
  <c r="I72" i="34"/>
  <c r="J721" i="3"/>
  <c r="E3332" i="44"/>
  <c r="A3332" i="44" s="1"/>
  <c r="J658" i="3"/>
  <c r="E3269" i="44"/>
  <c r="A3269" i="44" s="1"/>
  <c r="I9" i="34"/>
  <c r="I753" i="3"/>
  <c r="E3304" i="44"/>
  <c r="A3304" i="44" s="1"/>
  <c r="I44" i="34"/>
  <c r="J693" i="3"/>
  <c r="J58" i="34"/>
  <c r="I79" i="34"/>
  <c r="J728" i="3"/>
  <c r="E3339" i="44"/>
  <c r="A3339" i="44" s="1"/>
  <c r="I11" i="34"/>
  <c r="E3271" i="44"/>
  <c r="A3271" i="44" s="1"/>
  <c r="J660" i="3"/>
  <c r="E3284" i="44"/>
  <c r="A3284" i="44" s="1"/>
  <c r="I24" i="34"/>
  <c r="J673" i="3"/>
  <c r="I38" i="34"/>
  <c r="E3298" i="44"/>
  <c r="A3298" i="44" s="1"/>
  <c r="J687" i="3"/>
  <c r="E3307" i="44"/>
  <c r="A3307" i="44" s="1"/>
  <c r="I47" i="34"/>
  <c r="J696" i="3"/>
  <c r="E3361" i="44"/>
  <c r="A3361" i="44" s="1"/>
  <c r="I101" i="34"/>
  <c r="J750" i="3"/>
  <c r="I50" i="34"/>
  <c r="E3310" i="44"/>
  <c r="A3310" i="44" s="1"/>
  <c r="J699" i="3"/>
  <c r="I48" i="34"/>
  <c r="E3308" i="44"/>
  <c r="A3308" i="44" s="1"/>
  <c r="J697" i="3"/>
  <c r="E3299" i="44"/>
  <c r="A3299" i="44" s="1"/>
  <c r="I39" i="34"/>
  <c r="J688" i="3"/>
  <c r="I30" i="34"/>
  <c r="E3290" i="44"/>
  <c r="A3290" i="44" s="1"/>
  <c r="J679" i="3"/>
  <c r="D406" i="44"/>
  <c r="D2607" i="44"/>
  <c r="B2801" i="44"/>
  <c r="D2801" i="44" s="1"/>
  <c r="B1712" i="44"/>
  <c r="D1712" i="44" s="1"/>
  <c r="G744" i="44"/>
  <c r="D567" i="44"/>
  <c r="D2175" i="44"/>
  <c r="D2319" i="44"/>
  <c r="B2321" i="44"/>
  <c r="D2321" i="44" s="1"/>
  <c r="D2031" i="44"/>
  <c r="D2032" i="44"/>
  <c r="B726" i="44"/>
  <c r="B728" i="44" s="1"/>
  <c r="D324" i="44"/>
  <c r="D1999" i="44"/>
  <c r="D323" i="44"/>
  <c r="D1648" i="44"/>
  <c r="D1647" i="44"/>
  <c r="E270" i="3"/>
  <c r="G270" i="3" s="1"/>
  <c r="B2352" i="44"/>
  <c r="B2353" i="44" s="1"/>
  <c r="B681" i="44"/>
  <c r="D682" i="44" s="1"/>
  <c r="B2578" i="44"/>
  <c r="B2579" i="44" s="1"/>
  <c r="B1616" i="44"/>
  <c r="D1616" i="44" s="1"/>
  <c r="D322" i="44"/>
  <c r="B1779" i="44"/>
  <c r="D1779" i="44" s="1"/>
  <c r="B2480" i="44"/>
  <c r="B2481" i="44" s="1"/>
  <c r="D2703" i="44"/>
  <c r="B2960" i="44"/>
  <c r="B2961" i="44" s="1"/>
  <c r="B2962" i="44" s="1"/>
  <c r="D2962" i="44" s="1"/>
  <c r="D1777" i="44"/>
  <c r="D725" i="44"/>
  <c r="D321" i="44"/>
  <c r="B325" i="44"/>
  <c r="B330" i="44" s="1"/>
  <c r="D2143" i="44"/>
  <c r="D2562" i="44"/>
  <c r="B2256" i="44"/>
  <c r="B2257" i="44" s="1"/>
  <c r="D3105" i="44"/>
  <c r="E192" i="3"/>
  <c r="G192" i="3" s="1"/>
  <c r="E25" i="30"/>
  <c r="B836" i="44"/>
  <c r="B838" i="44" s="1"/>
  <c r="D3104" i="44"/>
  <c r="D1747" i="44"/>
  <c r="D2831" i="44"/>
  <c r="B2385" i="44"/>
  <c r="B2386" i="44" s="1"/>
  <c r="B2738" i="44"/>
  <c r="B2739" i="44" s="1"/>
  <c r="D2223" i="44"/>
  <c r="D1935" i="44"/>
  <c r="D2191" i="44"/>
  <c r="D2033" i="44"/>
  <c r="B2035" i="44"/>
  <c r="D3120" i="44"/>
  <c r="B3121" i="44"/>
  <c r="D897" i="44"/>
  <c r="D566" i="44"/>
  <c r="D679" i="44"/>
  <c r="B2112" i="44"/>
  <c r="D2112" i="44" s="1"/>
  <c r="B2864" i="44"/>
  <c r="B2865" i="44" s="1"/>
  <c r="G294" i="44"/>
  <c r="G295" i="44" s="1"/>
  <c r="G296" i="44" s="1"/>
  <c r="G297" i="44" s="1"/>
  <c r="B3026" i="44"/>
  <c r="D3025" i="44"/>
  <c r="D3151" i="44"/>
  <c r="B3152" i="44"/>
  <c r="B2609" i="44"/>
  <c r="D2608" i="44"/>
  <c r="D2287" i="44"/>
  <c r="B2288" i="44"/>
  <c r="B1968" i="44"/>
  <c r="D1967" i="44"/>
  <c r="D3087" i="44"/>
  <c r="B3088" i="44"/>
  <c r="B2768" i="44"/>
  <c r="D2767" i="44"/>
  <c r="B2225" i="44"/>
  <c r="D2224" i="44"/>
  <c r="D2096" i="44"/>
  <c r="B2097" i="44"/>
  <c r="D882" i="44"/>
  <c r="D883" i="44"/>
  <c r="B884" i="44"/>
  <c r="D864" i="44"/>
  <c r="B865" i="44"/>
  <c r="D863" i="44"/>
  <c r="D2563" i="44"/>
  <c r="B2564" i="44"/>
  <c r="B1937" i="44"/>
  <c r="D1936" i="44"/>
  <c r="E103" i="30"/>
  <c r="C436" i="3"/>
  <c r="B436" i="3"/>
  <c r="C435" i="3"/>
  <c r="D203" i="24"/>
  <c r="D139" i="32"/>
  <c r="B414" i="3"/>
  <c r="D173" i="24" s="1"/>
  <c r="B569" i="3"/>
  <c r="B471" i="3"/>
  <c r="I72" i="24"/>
  <c r="C445" i="5"/>
  <c r="B524" i="3"/>
  <c r="G70" i="25" s="1"/>
  <c r="B823" i="3"/>
  <c r="B825" i="3" s="1"/>
  <c r="B592" i="3"/>
  <c r="I19" i="24"/>
  <c r="E298" i="44"/>
  <c r="A298" i="44" s="1"/>
  <c r="B125" i="30"/>
  <c r="B407" i="3"/>
  <c r="D160" i="24"/>
  <c r="D304" i="44"/>
  <c r="D303" i="44"/>
  <c r="B306" i="44"/>
  <c r="D306" i="44" s="1"/>
  <c r="D302" i="44"/>
  <c r="B1861" i="44"/>
  <c r="D1860" i="44"/>
  <c r="D2241" i="44"/>
  <c r="B2242" i="44"/>
  <c r="B2705" i="44"/>
  <c r="D2704" i="44"/>
  <c r="D407" i="44"/>
  <c r="D404" i="44"/>
  <c r="D1920" i="44"/>
  <c r="B1921" i="44"/>
  <c r="B1729" i="44"/>
  <c r="D1728" i="44"/>
  <c r="C294" i="5"/>
  <c r="E113" i="30"/>
  <c r="E76" i="30"/>
  <c r="E97" i="30"/>
  <c r="E95" i="30"/>
  <c r="C437" i="3"/>
  <c r="B437" i="3"/>
  <c r="E208" i="3"/>
  <c r="E45" i="30" s="1"/>
  <c r="H8" i="30"/>
  <c r="I171" i="3"/>
  <c r="I8" i="30" s="1"/>
  <c r="H17" i="30"/>
  <c r="I180" i="3"/>
  <c r="I17" i="30" s="1"/>
  <c r="H21" i="30"/>
  <c r="I184" i="3"/>
  <c r="I21" i="30" s="1"/>
  <c r="H25" i="30"/>
  <c r="I188" i="3"/>
  <c r="I25" i="30" s="1"/>
  <c r="H31" i="30"/>
  <c r="I194" i="3"/>
  <c r="I31" i="30" s="1"/>
  <c r="H35" i="30"/>
  <c r="I198" i="3"/>
  <c r="I35" i="30" s="1"/>
  <c r="H39" i="30"/>
  <c r="I202" i="3"/>
  <c r="I39" i="30" s="1"/>
  <c r="H43" i="30"/>
  <c r="I206" i="3"/>
  <c r="I43" i="30" s="1"/>
  <c r="H53" i="30"/>
  <c r="I216" i="3"/>
  <c r="I53" i="30" s="1"/>
  <c r="H57" i="30"/>
  <c r="I220" i="3"/>
  <c r="I57" i="30" s="1"/>
  <c r="H61" i="30"/>
  <c r="I224" i="3"/>
  <c r="I61" i="30" s="1"/>
  <c r="H84" i="30"/>
  <c r="I247" i="3"/>
  <c r="I84" i="30" s="1"/>
  <c r="H88" i="30"/>
  <c r="I251" i="3"/>
  <c r="I88" i="30" s="1"/>
  <c r="H96" i="30"/>
  <c r="I259" i="3"/>
  <c r="I96" i="30" s="1"/>
  <c r="H110" i="30"/>
  <c r="I273" i="3"/>
  <c r="I110" i="30" s="1"/>
  <c r="H16" i="30"/>
  <c r="I179" i="3"/>
  <c r="I16" i="30" s="1"/>
  <c r="H24" i="30"/>
  <c r="I187" i="3"/>
  <c r="I24" i="30" s="1"/>
  <c r="H34" i="30"/>
  <c r="I197" i="3"/>
  <c r="I34" i="30" s="1"/>
  <c r="H42" i="30"/>
  <c r="I205" i="3"/>
  <c r="I42" i="30" s="1"/>
  <c r="H52" i="30"/>
  <c r="I215" i="3"/>
  <c r="I52" i="30" s="1"/>
  <c r="H60" i="30"/>
  <c r="I223" i="3"/>
  <c r="I60" i="30" s="1"/>
  <c r="H87" i="30"/>
  <c r="I250" i="3"/>
  <c r="I87" i="30" s="1"/>
  <c r="H95" i="30"/>
  <c r="I258" i="3"/>
  <c r="I95" i="30" s="1"/>
  <c r="H113" i="30"/>
  <c r="I276" i="3"/>
  <c r="I113" i="30" s="1"/>
  <c r="H80" i="30"/>
  <c r="I243" i="3"/>
  <c r="I80" i="30" s="1"/>
  <c r="H99" i="30"/>
  <c r="I262" i="3"/>
  <c r="I99" i="30" s="1"/>
  <c r="H104" i="30"/>
  <c r="I267" i="3"/>
  <c r="I104" i="30" s="1"/>
  <c r="I200" i="3"/>
  <c r="I37" i="30" s="1"/>
  <c r="H54" i="30"/>
  <c r="I217" i="3"/>
  <c r="I54" i="30" s="1"/>
  <c r="H18" i="30"/>
  <c r="I181" i="3"/>
  <c r="I18" i="30" s="1"/>
  <c r="H93" i="30"/>
  <c r="I256" i="3"/>
  <c r="I93" i="30" s="1"/>
  <c r="H58" i="30"/>
  <c r="I221" i="3"/>
  <c r="I58" i="30" s="1"/>
  <c r="H40" i="30"/>
  <c r="I203" i="3"/>
  <c r="I40" i="30" s="1"/>
  <c r="H22" i="30"/>
  <c r="I185" i="3"/>
  <c r="I22" i="30" s="1"/>
  <c r="H6" i="30"/>
  <c r="I169" i="3"/>
  <c r="I6" i="30" s="1"/>
  <c r="H49" i="30"/>
  <c r="I212" i="3"/>
  <c r="I49" i="30" s="1"/>
  <c r="H15" i="30"/>
  <c r="I178" i="3"/>
  <c r="I15" i="30" s="1"/>
  <c r="H19" i="30"/>
  <c r="I182" i="3"/>
  <c r="I19" i="30" s="1"/>
  <c r="H23" i="30"/>
  <c r="I186" i="3"/>
  <c r="I23" i="30" s="1"/>
  <c r="H27" i="30"/>
  <c r="I190" i="3"/>
  <c r="I27" i="30" s="1"/>
  <c r="H33" i="30"/>
  <c r="I196" i="3"/>
  <c r="I33" i="30" s="1"/>
  <c r="H41" i="30"/>
  <c r="I204" i="3"/>
  <c r="I41" i="30" s="1"/>
  <c r="H47" i="30"/>
  <c r="I210" i="3"/>
  <c r="I47" i="30" s="1"/>
  <c r="H51" i="30"/>
  <c r="I214" i="3"/>
  <c r="I51" i="30" s="1"/>
  <c r="H55" i="30"/>
  <c r="I218" i="3"/>
  <c r="I55" i="30" s="1"/>
  <c r="H59" i="30"/>
  <c r="I222" i="3"/>
  <c r="I59" i="30" s="1"/>
  <c r="H63" i="30"/>
  <c r="I226" i="3"/>
  <c r="I63" i="30" s="1"/>
  <c r="H86" i="30"/>
  <c r="I249" i="3"/>
  <c r="I86" i="30" s="1"/>
  <c r="H90" i="30"/>
  <c r="I253" i="3"/>
  <c r="I90" i="30" s="1"/>
  <c r="H98" i="30"/>
  <c r="I261" i="3"/>
  <c r="I98" i="30" s="1"/>
  <c r="H7" i="30"/>
  <c r="I170" i="3"/>
  <c r="I7" i="30" s="1"/>
  <c r="H20" i="30"/>
  <c r="I183" i="3"/>
  <c r="I20" i="30" s="1"/>
  <c r="H28" i="30"/>
  <c r="I191" i="3"/>
  <c r="I28" i="30" s="1"/>
  <c r="H38" i="30"/>
  <c r="I201" i="3"/>
  <c r="I38" i="30" s="1"/>
  <c r="H48" i="30"/>
  <c r="I211" i="3"/>
  <c r="I48" i="30" s="1"/>
  <c r="H56" i="30"/>
  <c r="I219" i="3"/>
  <c r="I56" i="30" s="1"/>
  <c r="H83" i="30"/>
  <c r="I246" i="3"/>
  <c r="I83" i="30" s="1"/>
  <c r="H91" i="30"/>
  <c r="I254" i="3"/>
  <c r="I91" i="30" s="1"/>
  <c r="H109" i="30"/>
  <c r="I272" i="3"/>
  <c r="I109" i="30" s="1"/>
  <c r="H105" i="30"/>
  <c r="I268" i="3"/>
  <c r="I105" i="30" s="1"/>
  <c r="I277" i="3"/>
  <c r="I114" i="30" s="1"/>
  <c r="H79" i="30"/>
  <c r="I242" i="3"/>
  <c r="I79" i="30" s="1"/>
  <c r="I257" i="3"/>
  <c r="I94" i="30" s="1"/>
  <c r="I255" i="3"/>
  <c r="I92" i="30" s="1"/>
  <c r="H69" i="30"/>
  <c r="I232" i="3"/>
  <c r="I69" i="30" s="1"/>
  <c r="H66" i="30"/>
  <c r="I229" i="3"/>
  <c r="I66" i="30" s="1"/>
  <c r="H89" i="30"/>
  <c r="I252" i="3"/>
  <c r="I89" i="30" s="1"/>
  <c r="H36" i="30"/>
  <c r="I199" i="3"/>
  <c r="I36" i="30" s="1"/>
  <c r="H111" i="30"/>
  <c r="I274" i="3"/>
  <c r="I111" i="30" s="1"/>
  <c r="H85" i="30"/>
  <c r="I248" i="3"/>
  <c r="I85" i="30" s="1"/>
  <c r="H32" i="30"/>
  <c r="I195" i="3"/>
  <c r="I32" i="30" s="1"/>
  <c r="H11" i="30"/>
  <c r="I174" i="3"/>
  <c r="I11" i="30" s="1"/>
  <c r="D2079" i="44"/>
  <c r="B2080" i="44"/>
  <c r="D1749" i="44"/>
  <c r="B1750" i="44"/>
  <c r="B1650" i="44"/>
  <c r="D1649" i="44"/>
  <c r="D405" i="44"/>
  <c r="D403" i="44"/>
  <c r="D1748" i="44"/>
  <c r="B898" i="44"/>
  <c r="D898" i="44" s="1"/>
  <c r="B3056" i="44"/>
  <c r="D3055" i="44"/>
  <c r="D2991" i="44"/>
  <c r="B2992" i="44"/>
  <c r="B2788" i="44"/>
  <c r="D2787" i="44"/>
  <c r="D2511" i="44"/>
  <c r="B2512" i="44"/>
  <c r="B2048" i="44"/>
  <c r="D2047" i="44"/>
  <c r="D748" i="44"/>
  <c r="B750" i="44"/>
  <c r="D749" i="44"/>
  <c r="D906" i="44"/>
  <c r="D905" i="44"/>
  <c r="B907" i="44"/>
  <c r="D1983" i="44"/>
  <c r="B1984" i="44"/>
  <c r="B1873" i="44"/>
  <c r="D1872" i="44"/>
  <c r="B2672" i="44"/>
  <c r="D2671" i="44"/>
  <c r="D2639" i="44"/>
  <c r="B2640" i="44"/>
  <c r="D2208" i="44"/>
  <c r="B2209" i="44"/>
  <c r="B1841" i="44"/>
  <c r="D1840" i="44"/>
  <c r="D1697" i="44"/>
  <c r="B1698" i="44"/>
  <c r="B2690" i="44"/>
  <c r="D2689" i="44"/>
  <c r="D2370" i="44"/>
  <c r="B1680" i="44"/>
  <c r="D1679" i="44"/>
  <c r="D1631" i="44"/>
  <c r="B1632" i="44"/>
  <c r="B2161" i="44"/>
  <c r="D2160" i="44"/>
  <c r="D2144" i="44"/>
  <c r="B2145" i="44"/>
  <c r="D804" i="44"/>
  <c r="B805" i="44"/>
  <c r="D803" i="44"/>
  <c r="B2545" i="44"/>
  <c r="D2544" i="44"/>
  <c r="B2896" i="44"/>
  <c r="D2895" i="44"/>
  <c r="B2928" i="44"/>
  <c r="D2927" i="44"/>
  <c r="B2833" i="44"/>
  <c r="D2832" i="44"/>
  <c r="D2447" i="44"/>
  <c r="B2448" i="44"/>
  <c r="D2399" i="44"/>
  <c r="B2400" i="44"/>
  <c r="B2066" i="44"/>
  <c r="D2065" i="44"/>
  <c r="D2128" i="44"/>
  <c r="B2129" i="44"/>
  <c r="B2418" i="44"/>
  <c r="D2417" i="44"/>
  <c r="D2848" i="44"/>
  <c r="B2849" i="44"/>
  <c r="B1808" i="44"/>
  <c r="D1807" i="44"/>
  <c r="D1583" i="44"/>
  <c r="B1584" i="44"/>
  <c r="D784" i="44"/>
  <c r="B785" i="44"/>
  <c r="D783" i="44"/>
  <c r="D755" i="44"/>
  <c r="D754" i="44"/>
  <c r="B570" i="44"/>
  <c r="D568" i="44"/>
  <c r="D569" i="44"/>
  <c r="B3073" i="44"/>
  <c r="D3072" i="44"/>
  <c r="B2001" i="44"/>
  <c r="D2000" i="44"/>
  <c r="D2176" i="44"/>
  <c r="B2177" i="44"/>
  <c r="D3106" i="44"/>
  <c r="B3107" i="44"/>
  <c r="E111" i="30"/>
  <c r="E279" i="3"/>
  <c r="G279" i="3" s="1"/>
  <c r="E60" i="30"/>
  <c r="E227" i="3"/>
  <c r="G227" i="3" s="1"/>
  <c r="E96" i="30"/>
  <c r="E78" i="30"/>
  <c r="E77" i="30"/>
  <c r="E26" i="30"/>
  <c r="E288" i="3"/>
  <c r="G288" i="3" s="1"/>
  <c r="E79" i="30"/>
  <c r="E262" i="3"/>
  <c r="G262" i="3" s="1"/>
  <c r="I232" i="44"/>
  <c r="F232" i="44" s="1"/>
  <c r="C41" i="24"/>
  <c r="G786" i="3"/>
  <c r="D900" i="5"/>
  <c r="E44" i="30"/>
  <c r="E119" i="30"/>
  <c r="E42" i="30"/>
  <c r="E112" i="30"/>
  <c r="E243" i="3"/>
  <c r="G243" i="3" s="1"/>
  <c r="H288" i="3"/>
  <c r="I288" i="3" s="1"/>
  <c r="I125" i="30" s="1"/>
  <c r="B3138" i="44"/>
  <c r="D3137" i="44"/>
  <c r="D410" i="44"/>
  <c r="D409" i="44"/>
  <c r="D408" i="44"/>
  <c r="D412" i="44"/>
  <c r="D411" i="44"/>
  <c r="B413" i="44"/>
  <c r="D2466" i="44"/>
  <c r="B2467" i="44"/>
  <c r="I63" i="3"/>
  <c r="I64" i="3"/>
  <c r="C126" i="32"/>
  <c r="C471" i="5"/>
  <c r="G44" i="3"/>
  <c r="B542" i="3" s="1"/>
  <c r="C190" i="24"/>
  <c r="C133" i="32"/>
  <c r="K1578" i="44"/>
  <c r="E1578" i="44" s="1"/>
  <c r="A1578" i="44" s="1"/>
  <c r="C127" i="32"/>
  <c r="K1575" i="44"/>
  <c r="E1575" i="44" s="1"/>
  <c r="A1575" i="44" s="1"/>
  <c r="M68" i="3"/>
  <c r="E106" i="25" s="1"/>
  <c r="M67" i="3"/>
  <c r="M64" i="3"/>
  <c r="E102" i="25" s="1"/>
  <c r="D107" i="25"/>
  <c r="M66" i="3"/>
  <c r="E104" i="25" s="1"/>
  <c r="M61" i="3"/>
  <c r="M63" i="3"/>
  <c r="E101" i="25" s="1"/>
  <c r="M65" i="3"/>
  <c r="E103" i="25" s="1"/>
  <c r="I71" i="3"/>
  <c r="C131" i="32"/>
  <c r="C491" i="5"/>
  <c r="C194" i="24"/>
  <c r="C195" i="24"/>
  <c r="C483" i="5"/>
  <c r="C125" i="32"/>
  <c r="C189" i="24"/>
  <c r="E296" i="3"/>
  <c r="G16" i="25" s="1"/>
  <c r="I72" i="3"/>
  <c r="C44" i="3"/>
  <c r="C918" i="5"/>
  <c r="C480" i="5"/>
  <c r="C129" i="32"/>
  <c r="H69" i="3"/>
  <c r="C134" i="32"/>
  <c r="C198" i="24"/>
  <c r="C489" i="5"/>
  <c r="H211" i="44"/>
  <c r="E211" i="44" s="1"/>
  <c r="A211" i="44" s="1"/>
  <c r="I62" i="3"/>
  <c r="H55" i="3"/>
  <c r="E44" i="3"/>
  <c r="C920" i="5"/>
  <c r="D44" i="3"/>
  <c r="C919" i="5"/>
  <c r="C921" i="5"/>
  <c r="F44" i="3"/>
  <c r="H73" i="3"/>
  <c r="B357" i="3" s="1"/>
  <c r="C192" i="24"/>
  <c r="C477" i="5"/>
  <c r="E297" i="3"/>
  <c r="G17" i="25" s="1"/>
  <c r="C128" i="32"/>
  <c r="H40" i="3"/>
  <c r="C917" i="5"/>
  <c r="B44" i="3"/>
  <c r="H59" i="3"/>
  <c r="I9" i="41" s="1"/>
  <c r="I11" i="41" s="1"/>
  <c r="F115" i="24" l="1"/>
  <c r="T730" i="3"/>
  <c r="J13" i="34"/>
  <c r="T739" i="3"/>
  <c r="V739" i="3" s="1"/>
  <c r="V90" i="34" s="1"/>
  <c r="G517" i="3"/>
  <c r="G513" i="3"/>
  <c r="J69" i="34"/>
  <c r="A1002" i="5"/>
  <c r="A1035" i="5"/>
  <c r="C1035" i="5" s="1" a="1"/>
  <c r="C1035" i="5" s="1"/>
  <c r="A999" i="5"/>
  <c r="C999" i="5" s="1" a="1"/>
  <c r="C999" i="5" s="1"/>
  <c r="A1029" i="5"/>
  <c r="C1029" i="5" s="1" a="1"/>
  <c r="C1029" i="5" s="1"/>
  <c r="A998" i="5"/>
  <c r="C998" i="5" s="1" a="1"/>
  <c r="C998" i="5" s="1"/>
  <c r="A1024" i="5"/>
  <c r="C1024" i="5" s="1" a="1"/>
  <c r="C1024" i="5" s="1"/>
  <c r="C996" i="5" a="1"/>
  <c r="C996" i="5" s="1"/>
  <c r="E996" i="5"/>
  <c r="D1031" i="5"/>
  <c r="C1031" i="5" a="1"/>
  <c r="C1031" i="5" s="1"/>
  <c r="F1006" i="5"/>
  <c r="C1006" i="5" a="1"/>
  <c r="C1006" i="5" s="1"/>
  <c r="D1017" i="5"/>
  <c r="C1017" i="5" a="1"/>
  <c r="C1017" i="5" s="1"/>
  <c r="D1002" i="5"/>
  <c r="C1002" i="5" a="1"/>
  <c r="C1002" i="5" s="1"/>
  <c r="E1034" i="5"/>
  <c r="C1034" i="5" a="1"/>
  <c r="C1034" i="5" s="1"/>
  <c r="F1049" i="5"/>
  <c r="C1049" i="5" a="1"/>
  <c r="C1049" i="5" s="1"/>
  <c r="E1014" i="5"/>
  <c r="C1014" i="5" a="1"/>
  <c r="C1014" i="5" s="1"/>
  <c r="D1019" i="5"/>
  <c r="C1019" i="5" a="1"/>
  <c r="C1019" i="5" s="1"/>
  <c r="G997" i="5"/>
  <c r="C997" i="5" a="1"/>
  <c r="C997" i="5" s="1"/>
  <c r="F1037" i="5"/>
  <c r="C1037" i="5" a="1"/>
  <c r="C1037" i="5" s="1"/>
  <c r="G1018" i="5"/>
  <c r="C1018" i="5" a="1"/>
  <c r="C1018" i="5" s="1"/>
  <c r="D1047" i="5"/>
  <c r="C1047" i="5" a="1"/>
  <c r="C1047" i="5" s="1"/>
  <c r="D1008" i="5"/>
  <c r="C1008" i="5" a="1"/>
  <c r="C1008" i="5" s="1"/>
  <c r="G1012" i="5"/>
  <c r="C1012" i="5" a="1"/>
  <c r="C1012" i="5" s="1"/>
  <c r="D1050" i="5"/>
  <c r="C1050" i="5" a="1"/>
  <c r="C1050" i="5" s="1"/>
  <c r="D1039" i="5"/>
  <c r="C1039" i="5" a="1"/>
  <c r="C1039" i="5" s="1"/>
  <c r="E1036" i="5"/>
  <c r="C1036" i="5" a="1"/>
  <c r="C1036" i="5" s="1"/>
  <c r="D1011" i="5"/>
  <c r="C1011" i="5" a="1"/>
  <c r="C1011" i="5" s="1"/>
  <c r="G1022" i="5"/>
  <c r="C1022" i="5" a="1"/>
  <c r="C1022" i="5" s="1"/>
  <c r="G1046" i="5"/>
  <c r="C1046" i="5" a="1"/>
  <c r="C1046" i="5" s="1"/>
  <c r="G1003" i="5"/>
  <c r="C1003" i="5" a="1"/>
  <c r="C1003" i="5" s="1"/>
  <c r="F1000" i="5"/>
  <c r="G1052" i="5"/>
  <c r="F1017" i="5"/>
  <c r="G1000" i="5"/>
  <c r="E1017" i="5"/>
  <c r="G1017" i="5"/>
  <c r="D1021" i="5"/>
  <c r="E1033" i="5"/>
  <c r="E998" i="5"/>
  <c r="F1020" i="5"/>
  <c r="G1020" i="5"/>
  <c r="G1023" i="5"/>
  <c r="G1019" i="5"/>
  <c r="F1014" i="5"/>
  <c r="E1023" i="5"/>
  <c r="G995" i="5"/>
  <c r="G1045" i="5"/>
  <c r="D1045" i="5"/>
  <c r="E107" i="32"/>
  <c r="D1023" i="5"/>
  <c r="F1019" i="5"/>
  <c r="E1019" i="5"/>
  <c r="F1023" i="5"/>
  <c r="F1035" i="5"/>
  <c r="E1043" i="5"/>
  <c r="E1026" i="5"/>
  <c r="D1034" i="5"/>
  <c r="F106" i="32"/>
  <c r="J20" i="34"/>
  <c r="F821" i="3"/>
  <c r="G1016" i="5"/>
  <c r="D1004" i="5"/>
  <c r="F1016" i="5"/>
  <c r="E1581" i="44"/>
  <c r="A1581" i="44" s="1"/>
  <c r="E1048" i="5"/>
  <c r="E1044" i="5"/>
  <c r="F1040" i="5"/>
  <c r="D1037" i="5"/>
  <c r="T729" i="3"/>
  <c r="V729" i="3" s="1"/>
  <c r="V80" i="34" s="1"/>
  <c r="J96" i="34"/>
  <c r="J94" i="34"/>
  <c r="J89" i="32"/>
  <c r="C137" i="3"/>
  <c r="E52" i="32" s="1"/>
  <c r="J32" i="25"/>
  <c r="B335" i="3"/>
  <c r="B337" i="3" s="1"/>
  <c r="D349" i="3" s="1"/>
  <c r="F105" i="24" s="1"/>
  <c r="T694" i="3"/>
  <c r="V694" i="3" s="1"/>
  <c r="V45" i="34" s="1"/>
  <c r="J8" i="34"/>
  <c r="T676" i="3"/>
  <c r="G119" i="30"/>
  <c r="T664" i="3"/>
  <c r="V664" i="3" s="1"/>
  <c r="V15" i="34" s="1"/>
  <c r="T686" i="3"/>
  <c r="F114" i="24"/>
  <c r="D541" i="3"/>
  <c r="D484" i="3"/>
  <c r="G56" i="42"/>
  <c r="R1184" i="5"/>
  <c r="F851" i="5"/>
  <c r="I1184" i="5"/>
  <c r="J1184" i="5"/>
  <c r="N1184" i="5"/>
  <c r="J114" i="24"/>
  <c r="D114" i="24"/>
  <c r="H106" i="32"/>
  <c r="J91" i="34"/>
  <c r="D89" i="32"/>
  <c r="D80" i="24"/>
  <c r="D165" i="24"/>
  <c r="J33" i="25"/>
  <c r="T736" i="3"/>
  <c r="T87" i="34" s="1"/>
  <c r="J100" i="34"/>
  <c r="D132" i="24"/>
  <c r="I106" i="32"/>
  <c r="T734" i="3"/>
  <c r="V734" i="3" s="1"/>
  <c r="V85" i="34" s="1"/>
  <c r="J35" i="34"/>
  <c r="B2019" i="44"/>
  <c r="D2019" i="44" s="1"/>
  <c r="G111" i="30"/>
  <c r="D95" i="41"/>
  <c r="E9" i="43" s="1"/>
  <c r="G78" i="41"/>
  <c r="G208" i="3"/>
  <c r="G45" i="30" s="1"/>
  <c r="B2498" i="44"/>
  <c r="D2498" i="44" s="1"/>
  <c r="F120" i="30"/>
  <c r="F75" i="30"/>
  <c r="G29" i="30"/>
  <c r="F24" i="30"/>
  <c r="G124" i="30"/>
  <c r="G107" i="30"/>
  <c r="K1184" i="5"/>
  <c r="H1184" i="5"/>
  <c r="D1184" i="5"/>
  <c r="D875" i="5"/>
  <c r="G1184" i="5"/>
  <c r="F16" i="41"/>
  <c r="F69" i="41"/>
  <c r="F74" i="41"/>
  <c r="F45" i="41"/>
  <c r="F43" i="41"/>
  <c r="F55" i="41"/>
  <c r="F63" i="41"/>
  <c r="F37" i="41"/>
  <c r="F78" i="41"/>
  <c r="F65" i="41"/>
  <c r="F21" i="41"/>
  <c r="F92" i="41"/>
  <c r="F26" i="41"/>
  <c r="F38" i="41"/>
  <c r="F50" i="41"/>
  <c r="F33" i="41"/>
  <c r="F84" i="41"/>
  <c r="F90" i="41"/>
  <c r="F28" i="41"/>
  <c r="F44" i="41"/>
  <c r="F56" i="41"/>
  <c r="F76" i="41"/>
  <c r="F15" i="41"/>
  <c r="F91" i="41"/>
  <c r="F17" i="41"/>
  <c r="F83" i="41"/>
  <c r="F41" i="41"/>
  <c r="F48" i="41"/>
  <c r="F60" i="41"/>
  <c r="F89" i="41"/>
  <c r="F23" i="41"/>
  <c r="F34" i="41"/>
  <c r="F46" i="41"/>
  <c r="F25" i="41"/>
  <c r="F42" i="41"/>
  <c r="F57" i="41"/>
  <c r="F93" i="41"/>
  <c r="F27" i="41"/>
  <c r="F35" i="41"/>
  <c r="F72" i="41"/>
  <c r="F70" i="41"/>
  <c r="F85" i="41"/>
  <c r="F22" i="41"/>
  <c r="F98" i="41"/>
  <c r="F53" i="41"/>
  <c r="F86" i="41"/>
  <c r="F24" i="41"/>
  <c r="F31" i="41"/>
  <c r="F68" i="41"/>
  <c r="F49" i="41"/>
  <c r="F75" i="41"/>
  <c r="F66" i="41"/>
  <c r="F12" i="41"/>
  <c r="F67" i="41"/>
  <c r="F36" i="41"/>
  <c r="F77" i="41"/>
  <c r="F20" i="41"/>
  <c r="I15" i="41"/>
  <c r="F64" i="41"/>
  <c r="F79" i="41"/>
  <c r="F71" i="41"/>
  <c r="F58" i="41"/>
  <c r="F32" i="41"/>
  <c r="F73" i="41"/>
  <c r="F82" i="41"/>
  <c r="F47" i="41"/>
  <c r="F59" i="41"/>
  <c r="F54" i="41"/>
  <c r="F11" i="41"/>
  <c r="F13" i="41" s="1"/>
  <c r="F100" i="41"/>
  <c r="K11" i="42"/>
  <c r="G48" i="42"/>
  <c r="G49" i="42" s="1"/>
  <c r="G50" i="42" s="1"/>
  <c r="K26" i="42"/>
  <c r="J54" i="42"/>
  <c r="F44" i="43"/>
  <c r="I12" i="41"/>
  <c r="D45" i="42"/>
  <c r="B2722" i="44"/>
  <c r="D2722" i="44" s="1"/>
  <c r="J1183" i="5"/>
  <c r="F1183" i="5"/>
  <c r="L1183" i="5"/>
  <c r="C849" i="5"/>
  <c r="J32" i="34"/>
  <c r="F849" i="5"/>
  <c r="D849" i="5"/>
  <c r="C851" i="5"/>
  <c r="E1184" i="5"/>
  <c r="M1184" i="5"/>
  <c r="Q1184" i="5"/>
  <c r="D869" i="5"/>
  <c r="S1184" i="5"/>
  <c r="D2529" i="44"/>
  <c r="D1952" i="44"/>
  <c r="E853" i="5"/>
  <c r="R1182" i="5"/>
  <c r="O1182" i="5"/>
  <c r="D874" i="5"/>
  <c r="M1182" i="5"/>
  <c r="Q1183" i="5"/>
  <c r="T1184" i="5"/>
  <c r="E873" i="5"/>
  <c r="E869" i="5"/>
  <c r="P1183" i="5"/>
  <c r="E1183" i="5"/>
  <c r="T1183" i="5"/>
  <c r="F853" i="5"/>
  <c r="I849" i="5"/>
  <c r="H1183" i="5"/>
  <c r="D853" i="5"/>
  <c r="C853" i="5"/>
  <c r="S1183" i="5"/>
  <c r="G853" i="5"/>
  <c r="E874" i="5"/>
  <c r="J849" i="5"/>
  <c r="C1183" i="5"/>
  <c r="J853" i="5"/>
  <c r="G849" i="5"/>
  <c r="I1183" i="5"/>
  <c r="B1826" i="44"/>
  <c r="B1827" i="44" s="1"/>
  <c r="B1668" i="44"/>
  <c r="B1669" i="44" s="1"/>
  <c r="D1669" i="44" s="1"/>
  <c r="D1666" i="44"/>
  <c r="B1954" i="44"/>
  <c r="D1954" i="44" s="1"/>
  <c r="D1696" i="44"/>
  <c r="D537" i="3"/>
  <c r="D538" i="3"/>
  <c r="D539" i="3"/>
  <c r="D488" i="3"/>
  <c r="D84" i="25" s="1"/>
  <c r="D542" i="3"/>
  <c r="E542" i="3" s="1"/>
  <c r="G84" i="25" s="1"/>
  <c r="D485" i="3"/>
  <c r="D81" i="25" s="1"/>
  <c r="D487" i="3"/>
  <c r="D83" i="25" s="1"/>
  <c r="D112" i="25"/>
  <c r="C295" i="5"/>
  <c r="C17" i="3"/>
  <c r="D57" i="24" s="1"/>
  <c r="C846" i="5"/>
  <c r="D872" i="5"/>
  <c r="H848" i="5"/>
  <c r="G1182" i="5"/>
  <c r="H1182" i="5"/>
  <c r="D3040" i="44"/>
  <c r="E870" i="5"/>
  <c r="D486" i="3"/>
  <c r="D82" i="25" s="1"/>
  <c r="D540" i="3"/>
  <c r="D483" i="3"/>
  <c r="D79" i="25" s="1"/>
  <c r="T656" i="3"/>
  <c r="T7" i="34" s="1"/>
  <c r="E114" i="24"/>
  <c r="H132" i="24"/>
  <c r="C32" i="32"/>
  <c r="C42" i="32" s="1"/>
  <c r="D42" i="32" s="1"/>
  <c r="E42" i="32" s="1"/>
  <c r="F42" i="32" s="1"/>
  <c r="G42" i="32" s="1"/>
  <c r="T685" i="3"/>
  <c r="T36" i="34" s="1"/>
  <c r="E14" i="32"/>
  <c r="E32" i="32" s="1"/>
  <c r="B1764" i="44"/>
  <c r="D1763" i="44"/>
  <c r="D484" i="44"/>
  <c r="D1600" i="44"/>
  <c r="D1792" i="44"/>
  <c r="D2306" i="44"/>
  <c r="D612" i="44"/>
  <c r="D2336" i="44"/>
  <c r="B2658" i="44"/>
  <c r="D2658" i="44" s="1"/>
  <c r="B1889" i="44"/>
  <c r="D1889" i="44" s="1"/>
  <c r="D2753" i="44"/>
  <c r="D703" i="44"/>
  <c r="F1184" i="5"/>
  <c r="D1183" i="5"/>
  <c r="N1183" i="5"/>
  <c r="O1183" i="5"/>
  <c r="E876" i="5"/>
  <c r="O1184" i="5"/>
  <c r="D609" i="44"/>
  <c r="D482" i="44"/>
  <c r="D2817" i="44"/>
  <c r="D2816" i="44"/>
  <c r="D2752" i="44"/>
  <c r="B613" i="44"/>
  <c r="D615" i="44" s="1"/>
  <c r="D481" i="44"/>
  <c r="B2755" i="44"/>
  <c r="B2756" i="44" s="1"/>
  <c r="D2756" i="44" s="1"/>
  <c r="G745" i="44"/>
  <c r="B2882" i="44"/>
  <c r="B2883" i="44" s="1"/>
  <c r="D2337" i="44"/>
  <c r="B707" i="44"/>
  <c r="D710" i="44" s="1"/>
  <c r="D762" i="44"/>
  <c r="B2948" i="44"/>
  <c r="D2948" i="44" s="1"/>
  <c r="D2338" i="44"/>
  <c r="D610" i="44"/>
  <c r="B2802" i="44"/>
  <c r="B2803" i="44" s="1"/>
  <c r="D608" i="44"/>
  <c r="D2528" i="44"/>
  <c r="D2976" i="44"/>
  <c r="B2194" i="44"/>
  <c r="D2194" i="44" s="1"/>
  <c r="D704" i="44"/>
  <c r="D2480" i="44"/>
  <c r="B2322" i="44"/>
  <c r="B2323" i="44" s="1"/>
  <c r="B2324" i="44" s="1"/>
  <c r="B764" i="44"/>
  <c r="D765" i="44" s="1"/>
  <c r="B2435" i="44"/>
  <c r="D2435" i="44" s="1"/>
  <c r="B2593" i="44"/>
  <c r="B2594" i="44" s="1"/>
  <c r="D2594" i="44" s="1"/>
  <c r="B2273" i="44"/>
  <c r="D2273" i="44" s="1"/>
  <c r="B2914" i="44"/>
  <c r="D2913" i="44"/>
  <c r="B472" i="3"/>
  <c r="F71" i="25" s="1"/>
  <c r="K1183" i="5"/>
  <c r="C873" i="5"/>
  <c r="J846" i="5"/>
  <c r="D848" i="5"/>
  <c r="J847" i="5"/>
  <c r="F845" i="5"/>
  <c r="Q1182" i="5"/>
  <c r="J1182" i="5"/>
  <c r="H847" i="5"/>
  <c r="F1182" i="5"/>
  <c r="E847" i="5"/>
  <c r="E107" i="30"/>
  <c r="G300" i="3"/>
  <c r="H20" i="25" s="1"/>
  <c r="K132" i="32"/>
  <c r="G106" i="32"/>
  <c r="E106" i="32"/>
  <c r="J19" i="34"/>
  <c r="V698" i="3"/>
  <c r="V49" i="34" s="1"/>
  <c r="C132" i="24"/>
  <c r="F14" i="32"/>
  <c r="F32" i="32" s="1"/>
  <c r="J57" i="34"/>
  <c r="C106" i="32"/>
  <c r="T691" i="3"/>
  <c r="V691" i="3" s="1"/>
  <c r="V42" i="34" s="1"/>
  <c r="G114" i="24"/>
  <c r="V732" i="3"/>
  <c r="V83" i="34" s="1"/>
  <c r="T746" i="3"/>
  <c r="T97" i="34" s="1"/>
  <c r="T667" i="3"/>
  <c r="G45" i="3"/>
  <c r="P1184" i="5"/>
  <c r="T677" i="3"/>
  <c r="T28" i="34" s="1"/>
  <c r="T715" i="3"/>
  <c r="G71" i="25"/>
  <c r="D56" i="32"/>
  <c r="T741" i="3"/>
  <c r="V741" i="3" s="1"/>
  <c r="V92" i="34" s="1"/>
  <c r="T670" i="3"/>
  <c r="J10" i="34"/>
  <c r="T659" i="3"/>
  <c r="B567" i="3"/>
  <c r="E565" i="3" s="1"/>
  <c r="D66" i="24"/>
  <c r="H851" i="5"/>
  <c r="J851" i="5"/>
  <c r="G851" i="5"/>
  <c r="I851" i="5"/>
  <c r="D852" i="5"/>
  <c r="I853" i="5"/>
  <c r="D851" i="5"/>
  <c r="E849" i="5"/>
  <c r="H852" i="5"/>
  <c r="I848" i="5"/>
  <c r="E850" i="5"/>
  <c r="H850" i="5"/>
  <c r="J103" i="34"/>
  <c r="T752" i="3"/>
  <c r="E872" i="5"/>
  <c r="D871" i="5"/>
  <c r="E846" i="5"/>
  <c r="H846" i="5"/>
  <c r="G848" i="5"/>
  <c r="I847" i="5"/>
  <c r="S1182" i="5"/>
  <c r="C845" i="5"/>
  <c r="G847" i="5"/>
  <c r="P1182" i="5"/>
  <c r="T1182" i="5"/>
  <c r="I1182" i="5"/>
  <c r="K1182" i="5"/>
  <c r="D845" i="5"/>
  <c r="D837" i="44"/>
  <c r="D681" i="44"/>
  <c r="D329" i="44"/>
  <c r="D1182" i="5"/>
  <c r="F847" i="5"/>
  <c r="H845" i="5"/>
  <c r="N1182" i="5"/>
  <c r="E1182" i="5"/>
  <c r="F66" i="32"/>
  <c r="D847" i="5"/>
  <c r="T717" i="3"/>
  <c r="J68" i="34"/>
  <c r="C1184" i="5"/>
  <c r="T705" i="3"/>
  <c r="J56" i="34"/>
  <c r="L1182" i="5"/>
  <c r="G1183" i="5"/>
  <c r="M1183" i="5"/>
  <c r="J1080" i="5"/>
  <c r="S1080" i="5"/>
  <c r="G1080" i="5"/>
  <c r="I1080" i="5"/>
  <c r="L1080" i="5"/>
  <c r="T1080" i="5"/>
  <c r="F1080" i="5"/>
  <c r="K1080" i="5"/>
  <c r="O1080" i="5"/>
  <c r="M1080" i="5"/>
  <c r="R1080" i="5"/>
  <c r="P1080" i="5"/>
  <c r="Q1080" i="5"/>
  <c r="N1080" i="5"/>
  <c r="H1080" i="5"/>
  <c r="B1186" i="5"/>
  <c r="A1185" i="5"/>
  <c r="E875" i="5"/>
  <c r="D1041" i="5"/>
  <c r="F1013" i="5"/>
  <c r="F1032" i="5"/>
  <c r="G1039" i="5"/>
  <c r="G1040" i="5"/>
  <c r="E995" i="5"/>
  <c r="G1011" i="5"/>
  <c r="D1049" i="5"/>
  <c r="G1032" i="5"/>
  <c r="D1044" i="5"/>
  <c r="G1036" i="5"/>
  <c r="I845" i="5"/>
  <c r="G845" i="5"/>
  <c r="F1041" i="5"/>
  <c r="F1046" i="5"/>
  <c r="G1026" i="5"/>
  <c r="F1005" i="5"/>
  <c r="G1021" i="5"/>
  <c r="E1013" i="5"/>
  <c r="D1053" i="5"/>
  <c r="D1035" i="5"/>
  <c r="F1012" i="5"/>
  <c r="E1012" i="5"/>
  <c r="C871" i="5"/>
  <c r="F852" i="5"/>
  <c r="I852" i="5"/>
  <c r="J850" i="5"/>
  <c r="B488" i="3"/>
  <c r="C84" i="25" s="1"/>
  <c r="F1039" i="5"/>
  <c r="E1039" i="5"/>
  <c r="D1014" i="5"/>
  <c r="G1014" i="5"/>
  <c r="F1048" i="5"/>
  <c r="D1006" i="5"/>
  <c r="E1050" i="5"/>
  <c r="E1040" i="5"/>
  <c r="D1040" i="5"/>
  <c r="D1007" i="5"/>
  <c r="D995" i="5"/>
  <c r="F995" i="5"/>
  <c r="G1049" i="5"/>
  <c r="E1049" i="5"/>
  <c r="G1010" i="5"/>
  <c r="D1032" i="5"/>
  <c r="E1032" i="5"/>
  <c r="G1044" i="5"/>
  <c r="F1044" i="5"/>
  <c r="E1045" i="5"/>
  <c r="F1045" i="5"/>
  <c r="D1020" i="5"/>
  <c r="E1020" i="5"/>
  <c r="E1029" i="5"/>
  <c r="G1008" i="5"/>
  <c r="G1033" i="5"/>
  <c r="C870" i="5"/>
  <c r="G846" i="5"/>
  <c r="I846" i="5"/>
  <c r="D846" i="5"/>
  <c r="F848" i="5"/>
  <c r="J848" i="5"/>
  <c r="E848" i="5"/>
  <c r="I850" i="5"/>
  <c r="C852" i="5"/>
  <c r="G852" i="5"/>
  <c r="J852" i="5"/>
  <c r="C850" i="5"/>
  <c r="D328" i="44"/>
  <c r="T720" i="3"/>
  <c r="J71" i="34"/>
  <c r="J77" i="34"/>
  <c r="T726" i="3"/>
  <c r="V684" i="3"/>
  <c r="V35" i="34" s="1"/>
  <c r="T35" i="34"/>
  <c r="J845" i="5"/>
  <c r="V665" i="3"/>
  <c r="V16" i="34" s="1"/>
  <c r="T16" i="34"/>
  <c r="G1043" i="5"/>
  <c r="D1010" i="5"/>
  <c r="G1004" i="5"/>
  <c r="F1050" i="5"/>
  <c r="G1034" i="5"/>
  <c r="F1034" i="5"/>
  <c r="F1007" i="5"/>
  <c r="E1011" i="5"/>
  <c r="D1043" i="5"/>
  <c r="G1007" i="5"/>
  <c r="F1010" i="5"/>
  <c r="E1004" i="5"/>
  <c r="D1025" i="5"/>
  <c r="G1038" i="5"/>
  <c r="E1008" i="5"/>
  <c r="F1043" i="5"/>
  <c r="E1007" i="5"/>
  <c r="E1010" i="5"/>
  <c r="F1004" i="5"/>
  <c r="F1008" i="5"/>
  <c r="F1011" i="5"/>
  <c r="D726" i="44"/>
  <c r="D327" i="44"/>
  <c r="B1617" i="44"/>
  <c r="D1617" i="44" s="1"/>
  <c r="D705" i="44"/>
  <c r="B1907" i="44"/>
  <c r="B1908" i="44" s="1"/>
  <c r="B1909" i="44" s="1"/>
  <c r="D485" i="44"/>
  <c r="D702" i="44"/>
  <c r="B486" i="44"/>
  <c r="D488" i="44" s="1"/>
  <c r="B1713" i="44"/>
  <c r="D1713" i="44" s="1"/>
  <c r="B3009" i="44"/>
  <c r="B3010" i="44" s="1"/>
  <c r="D3010" i="44" s="1"/>
  <c r="D1905" i="44"/>
  <c r="J753" i="3"/>
  <c r="J60" i="34"/>
  <c r="T709" i="3"/>
  <c r="T69" i="34"/>
  <c r="V718" i="3"/>
  <c r="V69" i="34" s="1"/>
  <c r="F850" i="5"/>
  <c r="D850" i="5"/>
  <c r="T683" i="3"/>
  <c r="J34" i="34"/>
  <c r="T80" i="34"/>
  <c r="V743" i="3"/>
  <c r="V94" i="34" s="1"/>
  <c r="T94" i="34"/>
  <c r="C820" i="3"/>
  <c r="D34" i="24" s="1"/>
  <c r="C448" i="5"/>
  <c r="B821" i="3"/>
  <c r="I821" i="3" s="1"/>
  <c r="J41" i="34"/>
  <c r="T690" i="3"/>
  <c r="J33" i="34"/>
  <c r="T682" i="3"/>
  <c r="T61" i="34"/>
  <c r="V710" i="3"/>
  <c r="V61" i="34" s="1"/>
  <c r="T724" i="3"/>
  <c r="J75" i="34"/>
  <c r="J6" i="34"/>
  <c r="T655" i="3"/>
  <c r="J12" i="34"/>
  <c r="T661" i="3"/>
  <c r="J40" i="34"/>
  <c r="T689" i="3"/>
  <c r="T712" i="3"/>
  <c r="J63" i="34"/>
  <c r="T713" i="3"/>
  <c r="J64" i="34"/>
  <c r="J82" i="34"/>
  <c r="T731" i="3"/>
  <c r="J89" i="34"/>
  <c r="T738" i="3"/>
  <c r="J93" i="34"/>
  <c r="T742" i="3"/>
  <c r="T744" i="3"/>
  <c r="J95" i="34"/>
  <c r="V745" i="3"/>
  <c r="V96" i="34" s="1"/>
  <c r="T96" i="34"/>
  <c r="T57" i="34"/>
  <c r="V706" i="3"/>
  <c r="V57" i="34" s="1"/>
  <c r="J14" i="34"/>
  <c r="T663" i="3"/>
  <c r="J29" i="34"/>
  <c r="T678" i="3"/>
  <c r="J31" i="34"/>
  <c r="T680" i="3"/>
  <c r="J46" i="34"/>
  <c r="T695" i="3"/>
  <c r="T725" i="3"/>
  <c r="J76" i="34"/>
  <c r="T81" i="34"/>
  <c r="V730" i="3"/>
  <c r="V81" i="34" s="1"/>
  <c r="V740" i="3"/>
  <c r="V91" i="34" s="1"/>
  <c r="T91" i="34"/>
  <c r="J59" i="34"/>
  <c r="T708" i="3"/>
  <c r="T751" i="3"/>
  <c r="J102" i="34"/>
  <c r="T700" i="3"/>
  <c r="J51" i="34"/>
  <c r="T100" i="34"/>
  <c r="V749" i="3"/>
  <c r="V100" i="34" s="1"/>
  <c r="V735" i="3"/>
  <c r="V86" i="34" s="1"/>
  <c r="T86" i="34"/>
  <c r="T672" i="3"/>
  <c r="J23" i="34"/>
  <c r="T27" i="34"/>
  <c r="V676" i="3"/>
  <c r="V27" i="34" s="1"/>
  <c r="T13" i="34"/>
  <c r="V662" i="3"/>
  <c r="V13" i="34" s="1"/>
  <c r="T666" i="3"/>
  <c r="J17" i="34"/>
  <c r="T704" i="3"/>
  <c r="J55" i="34"/>
  <c r="J62" i="34"/>
  <c r="T711" i="3"/>
  <c r="T714" i="3"/>
  <c r="J65" i="34"/>
  <c r="T716" i="3"/>
  <c r="J67" i="34"/>
  <c r="J99" i="34"/>
  <c r="T748" i="3"/>
  <c r="J26" i="34"/>
  <c r="T675" i="3"/>
  <c r="J73" i="34"/>
  <c r="T722" i="3"/>
  <c r="J98" i="34"/>
  <c r="T747" i="3"/>
  <c r="V733" i="3"/>
  <c r="V84" i="34" s="1"/>
  <c r="T84" i="34"/>
  <c r="T20" i="34"/>
  <c r="V669" i="3"/>
  <c r="V20" i="34" s="1"/>
  <c r="J52" i="34"/>
  <c r="T701" i="3"/>
  <c r="J43" i="34"/>
  <c r="T692" i="3"/>
  <c r="J54" i="34"/>
  <c r="T703" i="3"/>
  <c r="T719" i="3"/>
  <c r="J70" i="34"/>
  <c r="J25" i="34"/>
  <c r="T674" i="3"/>
  <c r="T727" i="3"/>
  <c r="J78" i="34"/>
  <c r="J22" i="34"/>
  <c r="T671" i="3"/>
  <c r="J74" i="34"/>
  <c r="T723" i="3"/>
  <c r="T15" i="34"/>
  <c r="T37" i="34"/>
  <c r="V686" i="3"/>
  <c r="V37" i="34" s="1"/>
  <c r="B447" i="3"/>
  <c r="B546" i="3" s="1"/>
  <c r="G87" i="25" s="1"/>
  <c r="B510" i="3"/>
  <c r="B514" i="3" s="1"/>
  <c r="E1037" i="5"/>
  <c r="G1037" i="5"/>
  <c r="G1048" i="5"/>
  <c r="D1048" i="5"/>
  <c r="E1006" i="5"/>
  <c r="G1006" i="5"/>
  <c r="E1000" i="5"/>
  <c r="D1000" i="5"/>
  <c r="E1041" i="5"/>
  <c r="G1041" i="5"/>
  <c r="E1046" i="5"/>
  <c r="D1046" i="5"/>
  <c r="D1026" i="5"/>
  <c r="F1026" i="5"/>
  <c r="F1021" i="5"/>
  <c r="E1021" i="5"/>
  <c r="D1016" i="5"/>
  <c r="E1016" i="5"/>
  <c r="G1013" i="5"/>
  <c r="D1013" i="5"/>
  <c r="D998" i="5"/>
  <c r="G1035" i="5"/>
  <c r="E1035" i="5"/>
  <c r="D1012" i="5"/>
  <c r="D1024" i="5"/>
  <c r="E1052" i="5"/>
  <c r="A11" i="44"/>
  <c r="B582" i="3"/>
  <c r="B584" i="3" s="1"/>
  <c r="B614" i="3" s="1"/>
  <c r="E29" i="30"/>
  <c r="D307" i="44"/>
  <c r="B2963" i="44"/>
  <c r="B2964" i="44" s="1"/>
  <c r="B2625" i="44"/>
  <c r="M69" i="3"/>
  <c r="E107" i="25" s="1"/>
  <c r="G1009" i="5"/>
  <c r="E1025" i="5"/>
  <c r="G1029" i="5"/>
  <c r="F1038" i="5"/>
  <c r="E1002" i="5"/>
  <c r="J5" i="34"/>
  <c r="T654" i="3"/>
  <c r="T19" i="34"/>
  <c r="V668" i="3"/>
  <c r="V19" i="34" s="1"/>
  <c r="V657" i="3"/>
  <c r="T8" i="34"/>
  <c r="J30" i="34"/>
  <c r="T679" i="3"/>
  <c r="T697" i="3"/>
  <c r="J48" i="34"/>
  <c r="J101" i="34"/>
  <c r="T750" i="3"/>
  <c r="T687" i="3"/>
  <c r="J38" i="34"/>
  <c r="T660" i="3"/>
  <c r="J11" i="34"/>
  <c r="J79" i="34"/>
  <c r="T728" i="3"/>
  <c r="T32" i="34"/>
  <c r="V681" i="3"/>
  <c r="V32" i="34" s="1"/>
  <c r="V707" i="3"/>
  <c r="V58" i="34" s="1"/>
  <c r="T58" i="34"/>
  <c r="T693" i="3"/>
  <c r="J44" i="34"/>
  <c r="T658" i="3"/>
  <c r="J9" i="34"/>
  <c r="J72" i="34"/>
  <c r="T721" i="3"/>
  <c r="J53" i="34"/>
  <c r="T702" i="3"/>
  <c r="J39" i="34"/>
  <c r="T688" i="3"/>
  <c r="T699" i="3"/>
  <c r="J50" i="34"/>
  <c r="J47" i="34"/>
  <c r="T696" i="3"/>
  <c r="J24" i="34"/>
  <c r="T673" i="3"/>
  <c r="T737" i="3"/>
  <c r="J88" i="34"/>
  <c r="D2578" i="44"/>
  <c r="D2352" i="44"/>
  <c r="D2256" i="44"/>
  <c r="B1780" i="44"/>
  <c r="D1780" i="44" s="1"/>
  <c r="D2864" i="44"/>
  <c r="D727" i="44"/>
  <c r="D2385" i="44"/>
  <c r="D899" i="44"/>
  <c r="D836" i="44"/>
  <c r="B683" i="44"/>
  <c r="B686" i="44" s="1"/>
  <c r="D326" i="44"/>
  <c r="D325" i="44"/>
  <c r="D2960" i="44"/>
  <c r="D2961" i="44"/>
  <c r="D2738" i="44"/>
  <c r="B2113" i="44"/>
  <c r="D2113" i="44" s="1"/>
  <c r="G298" i="44"/>
  <c r="B2036" i="44"/>
  <c r="D2035" i="44"/>
  <c r="D3121" i="44"/>
  <c r="B3122" i="44"/>
  <c r="B3027" i="44"/>
  <c r="D3026" i="44"/>
  <c r="B2565" i="44"/>
  <c r="D2564" i="44"/>
  <c r="D2097" i="44"/>
  <c r="B2098" i="44"/>
  <c r="B3089" i="44"/>
  <c r="D3088" i="44"/>
  <c r="D2288" i="44"/>
  <c r="B2289" i="44"/>
  <c r="D3152" i="44"/>
  <c r="B3153" i="44"/>
  <c r="B867" i="44"/>
  <c r="D866" i="44"/>
  <c r="D865" i="44"/>
  <c r="D884" i="44"/>
  <c r="D885" i="44"/>
  <c r="B886" i="44"/>
  <c r="B2226" i="44"/>
  <c r="D2225" i="44"/>
  <c r="B2769" i="44"/>
  <c r="D2768" i="44"/>
  <c r="B1794" i="44"/>
  <c r="D1793" i="44"/>
  <c r="D1968" i="44"/>
  <c r="B1969" i="44"/>
  <c r="B2610" i="44"/>
  <c r="D2609" i="44"/>
  <c r="B1938" i="44"/>
  <c r="D1937" i="44"/>
  <c r="B439" i="3"/>
  <c r="F59" i="25" s="1"/>
  <c r="C439" i="3"/>
  <c r="E408" i="3"/>
  <c r="D166" i="24" s="1"/>
  <c r="D164" i="24"/>
  <c r="F70" i="25"/>
  <c r="E567" i="3"/>
  <c r="D62" i="32" s="1"/>
  <c r="B2819" i="44"/>
  <c r="D2818" i="44"/>
  <c r="D1861" i="44"/>
  <c r="B1862" i="44"/>
  <c r="B1602" i="44"/>
  <c r="D1601" i="44"/>
  <c r="D1729" i="44"/>
  <c r="B1730" i="44"/>
  <c r="B2243" i="44"/>
  <c r="D2242" i="44"/>
  <c r="B1922" i="44"/>
  <c r="D1921" i="44"/>
  <c r="D2977" i="44"/>
  <c r="B2978" i="44"/>
  <c r="B2706" i="44"/>
  <c r="D2705" i="44"/>
  <c r="D876" i="5"/>
  <c r="E1001" i="5"/>
  <c r="D1001" i="5"/>
  <c r="F1047" i="5"/>
  <c r="F1028" i="5"/>
  <c r="D1028" i="5"/>
  <c r="B2387" i="44"/>
  <c r="D2386" i="44"/>
  <c r="D2048" i="44"/>
  <c r="B2049" i="44"/>
  <c r="B2482" i="44"/>
  <c r="D2481" i="44"/>
  <c r="B2789" i="44"/>
  <c r="D2788" i="44"/>
  <c r="B3057" i="44"/>
  <c r="D3056" i="44"/>
  <c r="D1650" i="44"/>
  <c r="B1651" i="44"/>
  <c r="D2080" i="44"/>
  <c r="B2081" i="44"/>
  <c r="B900" i="44"/>
  <c r="D900" i="44" s="1"/>
  <c r="D2739" i="44"/>
  <c r="B2740" i="44"/>
  <c r="D751" i="44"/>
  <c r="D750" i="44"/>
  <c r="B2513" i="44"/>
  <c r="D2512" i="44"/>
  <c r="D2992" i="44"/>
  <c r="B2993" i="44"/>
  <c r="D1750" i="44"/>
  <c r="B1751" i="44"/>
  <c r="B3108" i="44"/>
  <c r="D3107" i="44"/>
  <c r="B2531" i="44"/>
  <c r="D2530" i="44"/>
  <c r="D2177" i="44"/>
  <c r="B2178" i="44"/>
  <c r="D3073" i="44"/>
  <c r="B3074" i="44"/>
  <c r="B1809" i="44"/>
  <c r="D1808" i="44"/>
  <c r="D2579" i="44"/>
  <c r="B2580" i="44"/>
  <c r="B2419" i="44"/>
  <c r="D2418" i="44"/>
  <c r="D728" i="44"/>
  <c r="B730" i="44"/>
  <c r="D729" i="44"/>
  <c r="B2354" i="44"/>
  <c r="D2353" i="44"/>
  <c r="B2834" i="44"/>
  <c r="D2833" i="44"/>
  <c r="D2928" i="44"/>
  <c r="B2929" i="44"/>
  <c r="D2896" i="44"/>
  <c r="B2897" i="44"/>
  <c r="B2546" i="44"/>
  <c r="D2545" i="44"/>
  <c r="D805" i="44"/>
  <c r="B807" i="44"/>
  <c r="D806" i="44"/>
  <c r="B2146" i="44"/>
  <c r="D2145" i="44"/>
  <c r="B1633" i="44"/>
  <c r="D1632" i="44"/>
  <c r="B2340" i="44"/>
  <c r="D2339" i="44"/>
  <c r="B2691" i="44"/>
  <c r="D2690" i="44"/>
  <c r="D1841" i="44"/>
  <c r="B1842" i="44"/>
  <c r="B2673" i="44"/>
  <c r="D2672" i="44"/>
  <c r="B2258" i="44"/>
  <c r="D2257" i="44"/>
  <c r="D1873" i="44"/>
  <c r="B1874" i="44"/>
  <c r="D2865" i="44"/>
  <c r="B2866" i="44"/>
  <c r="D2001" i="44"/>
  <c r="B2002" i="44"/>
  <c r="D572" i="44"/>
  <c r="B573" i="44"/>
  <c r="D570" i="44"/>
  <c r="D571" i="44"/>
  <c r="D785" i="44"/>
  <c r="D786" i="44"/>
  <c r="B787" i="44"/>
  <c r="B1585" i="44"/>
  <c r="D1584" i="44"/>
  <c r="B2850" i="44"/>
  <c r="D2849" i="44"/>
  <c r="B2130" i="44"/>
  <c r="D2129" i="44"/>
  <c r="B2067" i="44"/>
  <c r="D2066" i="44"/>
  <c r="D2400" i="44"/>
  <c r="B2401" i="44"/>
  <c r="D2448" i="44"/>
  <c r="B2449" i="44"/>
  <c r="D2161" i="44"/>
  <c r="B2162" i="44"/>
  <c r="D331" i="44"/>
  <c r="B335" i="44"/>
  <c r="D332" i="44"/>
  <c r="D333" i="44"/>
  <c r="D330" i="44"/>
  <c r="D334" i="44"/>
  <c r="B1681" i="44"/>
  <c r="D1680" i="44"/>
  <c r="D3041" i="44"/>
  <c r="B3042" i="44"/>
  <c r="B2372" i="44"/>
  <c r="D2371" i="44"/>
  <c r="B1699" i="44"/>
  <c r="D1698" i="44"/>
  <c r="D2307" i="44"/>
  <c r="B2308" i="44"/>
  <c r="D2209" i="44"/>
  <c r="B2210" i="44"/>
  <c r="B2641" i="44"/>
  <c r="D2640" i="44"/>
  <c r="B1985" i="44"/>
  <c r="D1984" i="44"/>
  <c r="D907" i="44"/>
  <c r="B909" i="44"/>
  <c r="D908" i="44"/>
  <c r="E80" i="30"/>
  <c r="G80" i="30"/>
  <c r="G99" i="30"/>
  <c r="E99" i="30"/>
  <c r="E64" i="30"/>
  <c r="G64" i="30"/>
  <c r="E125" i="30"/>
  <c r="G116" i="30"/>
  <c r="E116" i="30"/>
  <c r="C463" i="5"/>
  <c r="H125" i="30"/>
  <c r="B2468" i="44"/>
  <c r="D2467" i="44"/>
  <c r="D417" i="44"/>
  <c r="B418" i="44"/>
  <c r="D414" i="44"/>
  <c r="D415" i="44"/>
  <c r="D413" i="44"/>
  <c r="D416" i="44"/>
  <c r="D839" i="44"/>
  <c r="D838" i="44"/>
  <c r="B840" i="44"/>
  <c r="D3138" i="44"/>
  <c r="B3139" i="44"/>
  <c r="D1051" i="5"/>
  <c r="E1009" i="5"/>
  <c r="D1042" i="5"/>
  <c r="D1027" i="5"/>
  <c r="D1022" i="5"/>
  <c r="F1042" i="5"/>
  <c r="G1027" i="5"/>
  <c r="D1015" i="5"/>
  <c r="G1030" i="5"/>
  <c r="D999" i="5"/>
  <c r="F997" i="5"/>
  <c r="E994" i="5"/>
  <c r="E1015" i="5"/>
  <c r="E1042" i="5"/>
  <c r="F1030" i="5"/>
  <c r="E1005" i="5"/>
  <c r="F999" i="5"/>
  <c r="F1053" i="5"/>
  <c r="E1022" i="5"/>
  <c r="F1022" i="5"/>
  <c r="F1015" i="5"/>
  <c r="E1030" i="5"/>
  <c r="D1005" i="5"/>
  <c r="E999" i="5"/>
  <c r="E1053" i="5"/>
  <c r="F1027" i="5"/>
  <c r="G996" i="5"/>
  <c r="G1015" i="5"/>
  <c r="G1042" i="5"/>
  <c r="D1030" i="5"/>
  <c r="G1005" i="5"/>
  <c r="G999" i="5"/>
  <c r="E997" i="5"/>
  <c r="G1053" i="5"/>
  <c r="E1027" i="5"/>
  <c r="D997" i="5"/>
  <c r="E1018" i="5"/>
  <c r="G1001" i="5"/>
  <c r="F1001" i="5"/>
  <c r="G1025" i="5"/>
  <c r="F1025" i="5"/>
  <c r="F1029" i="5"/>
  <c r="D1029" i="5"/>
  <c r="D1038" i="5"/>
  <c r="G994" i="5"/>
  <c r="F994" i="5"/>
  <c r="G1050" i="5"/>
  <c r="G1028" i="5"/>
  <c r="F1002" i="5"/>
  <c r="G1002" i="5"/>
  <c r="F1033" i="5"/>
  <c r="D1033" i="5"/>
  <c r="F1051" i="5"/>
  <c r="E1028" i="5"/>
  <c r="E1038" i="5"/>
  <c r="D1036" i="5"/>
  <c r="F1036" i="5"/>
  <c r="F1031" i="5"/>
  <c r="F1003" i="5"/>
  <c r="F1052" i="5"/>
  <c r="D1052" i="5"/>
  <c r="F996" i="5"/>
  <c r="D996" i="5"/>
  <c r="D1003" i="5"/>
  <c r="E1003" i="5"/>
  <c r="G1031" i="5"/>
  <c r="E1031" i="5"/>
  <c r="F1018" i="5"/>
  <c r="D1018" i="5"/>
  <c r="E1051" i="5"/>
  <c r="G1051" i="5"/>
  <c r="E1047" i="5"/>
  <c r="G1047" i="5"/>
  <c r="F1009" i="5"/>
  <c r="D1009" i="5"/>
  <c r="E100" i="25"/>
  <c r="E105" i="25"/>
  <c r="B484" i="3"/>
  <c r="C45" i="3"/>
  <c r="B538" i="3"/>
  <c r="E45" i="3"/>
  <c r="B486" i="3"/>
  <c r="B540" i="3"/>
  <c r="B776" i="3"/>
  <c r="B804" i="3" s="1"/>
  <c r="H46" i="3"/>
  <c r="K1576" i="44"/>
  <c r="E1576" i="44" s="1"/>
  <c r="A1576" i="44" s="1"/>
  <c r="G297" i="3"/>
  <c r="G298" i="3"/>
  <c r="C196" i="24"/>
  <c r="C132" i="32"/>
  <c r="G296" i="3"/>
  <c r="G294" i="3"/>
  <c r="B647" i="3"/>
  <c r="C504" i="5"/>
  <c r="L40" i="3"/>
  <c r="M41" i="3" s="1"/>
  <c r="B646" i="3"/>
  <c r="C506" i="5"/>
  <c r="K1579" i="44"/>
  <c r="E1579" i="44" s="1"/>
  <c r="A1579" i="44" s="1"/>
  <c r="I69" i="3"/>
  <c r="C761" i="5"/>
  <c r="B358" i="3"/>
  <c r="C11" i="32"/>
  <c r="D86" i="24"/>
  <c r="B485" i="3"/>
  <c r="B539" i="3"/>
  <c r="D45" i="3"/>
  <c r="K1577" i="44"/>
  <c r="E1577" i="44" s="1"/>
  <c r="A1577" i="44" s="1"/>
  <c r="L72" i="3"/>
  <c r="D140" i="32"/>
  <c r="N48" i="3"/>
  <c r="C501" i="5"/>
  <c r="D16" i="24"/>
  <c r="M55" i="3"/>
  <c r="G821" i="3" s="1"/>
  <c r="D204" i="24"/>
  <c r="I73" i="3"/>
  <c r="N49" i="3"/>
  <c r="O53" i="3" s="1"/>
  <c r="B483" i="3"/>
  <c r="B45" i="3"/>
  <c r="H44" i="3"/>
  <c r="B537" i="3"/>
  <c r="B541" i="3"/>
  <c r="B487" i="3"/>
  <c r="F45" i="3"/>
  <c r="T45" i="34" l="1"/>
  <c r="T90" i="34"/>
  <c r="E1024" i="5"/>
  <c r="F1024" i="5"/>
  <c r="G1024" i="5"/>
  <c r="F998" i="5"/>
  <c r="G998" i="5"/>
  <c r="F4" i="3"/>
  <c r="D11" i="25" s="1"/>
  <c r="C514" i="3"/>
  <c r="G64" i="25" s="1"/>
  <c r="D439" i="3"/>
  <c r="G59" i="25" s="1"/>
  <c r="F39" i="41"/>
  <c r="V736" i="3"/>
  <c r="V87" i="34" s="1"/>
  <c r="V677" i="3"/>
  <c r="V28" i="34" s="1"/>
  <c r="E541" i="3"/>
  <c r="G83" i="25" s="1"/>
  <c r="D614" i="44"/>
  <c r="B2499" i="44"/>
  <c r="D2499" i="44" s="1"/>
  <c r="F87" i="41"/>
  <c r="F29" i="41"/>
  <c r="O42" i="3"/>
  <c r="N42" i="3"/>
  <c r="F18" i="41"/>
  <c r="F80" i="41"/>
  <c r="F94" i="41"/>
  <c r="F61" i="41"/>
  <c r="F51" i="41"/>
  <c r="D70" i="24"/>
  <c r="D60" i="32"/>
  <c r="K235" i="44"/>
  <c r="J235" i="44"/>
  <c r="B2723" i="44"/>
  <c r="B2724" i="44" s="1"/>
  <c r="B2020" i="44"/>
  <c r="D2020" i="44" s="1"/>
  <c r="F349" i="3"/>
  <c r="G349" i="3" s="1"/>
  <c r="G105" i="24" s="1"/>
  <c r="E62" i="24"/>
  <c r="C196" i="5"/>
  <c r="T92" i="34"/>
  <c r="T85" i="34"/>
  <c r="F99" i="41"/>
  <c r="E484" i="3"/>
  <c r="F80" i="25" s="1"/>
  <c r="D80" i="25"/>
  <c r="E538" i="3"/>
  <c r="G80" i="25" s="1"/>
  <c r="D81" i="32"/>
  <c r="E99" i="41"/>
  <c r="E539" i="3"/>
  <c r="G81" i="25" s="1"/>
  <c r="G87" i="41"/>
  <c r="G125" i="30"/>
  <c r="E24" i="41"/>
  <c r="E34" i="41"/>
  <c r="E43" i="41"/>
  <c r="E31" i="41"/>
  <c r="E86" i="41"/>
  <c r="E21" i="41"/>
  <c r="E78" i="41"/>
  <c r="E38" i="41"/>
  <c r="E47" i="41"/>
  <c r="E35" i="41"/>
  <c r="E93" i="41"/>
  <c r="E28" i="41"/>
  <c r="E82" i="41"/>
  <c r="E59" i="41"/>
  <c r="E60" i="41"/>
  <c r="E45" i="41"/>
  <c r="E55" i="41"/>
  <c r="E64" i="41"/>
  <c r="E56" i="41"/>
  <c r="E16" i="41"/>
  <c r="E41" i="41"/>
  <c r="E68" i="41"/>
  <c r="E32" i="41"/>
  <c r="E79" i="41"/>
  <c r="E72" i="41"/>
  <c r="E65" i="41"/>
  <c r="E36" i="41"/>
  <c r="E49" i="41"/>
  <c r="E15" i="41"/>
  <c r="E76" i="41"/>
  <c r="E69" i="41"/>
  <c r="E53" i="41"/>
  <c r="E66" i="41"/>
  <c r="E26" i="41"/>
  <c r="E90" i="41"/>
  <c r="E85" i="41"/>
  <c r="E23" i="41"/>
  <c r="E89" i="41"/>
  <c r="E73" i="41"/>
  <c r="E57" i="41"/>
  <c r="E70" i="41"/>
  <c r="E91" i="41"/>
  <c r="E92" i="41"/>
  <c r="E77" i="41"/>
  <c r="E74" i="41"/>
  <c r="E67" i="41"/>
  <c r="E63" i="41"/>
  <c r="E50" i="41"/>
  <c r="E46" i="41"/>
  <c r="E58" i="41"/>
  <c r="E20" i="41"/>
  <c r="E44" i="41"/>
  <c r="E25" i="41"/>
  <c r="E84" i="41"/>
  <c r="E98" i="41"/>
  <c r="E22" i="41"/>
  <c r="E12" i="41"/>
  <c r="E48" i="41"/>
  <c r="E27" i="41"/>
  <c r="E37" i="41"/>
  <c r="E71" i="41"/>
  <c r="E75" i="41"/>
  <c r="E17" i="41"/>
  <c r="E33" i="41"/>
  <c r="E83" i="41"/>
  <c r="E42" i="41"/>
  <c r="E54" i="41"/>
  <c r="E100" i="41"/>
  <c r="E11" i="41"/>
  <c r="J56" i="42"/>
  <c r="J57" i="42" s="1"/>
  <c r="L54" i="42"/>
  <c r="D1826" i="44"/>
  <c r="V746" i="3"/>
  <c r="V97" i="34" s="1"/>
  <c r="G14" i="32"/>
  <c r="G32" i="32" s="1"/>
  <c r="B1670" i="44"/>
  <c r="D1670" i="44" s="1"/>
  <c r="D1668" i="44"/>
  <c r="B2195" i="44"/>
  <c r="B2196" i="44" s="1"/>
  <c r="B766" i="44"/>
  <c r="B768" i="44" s="1"/>
  <c r="D768" i="44" s="1"/>
  <c r="V656" i="3"/>
  <c r="V7" i="34" s="1"/>
  <c r="V685" i="3"/>
  <c r="V36" i="34" s="1"/>
  <c r="D707" i="44"/>
  <c r="E537" i="3"/>
  <c r="G79" i="25" s="1"/>
  <c r="B1955" i="44"/>
  <c r="D1955" i="44" s="1"/>
  <c r="D2593" i="44"/>
  <c r="D709" i="44"/>
  <c r="D617" i="44"/>
  <c r="D616" i="44"/>
  <c r="B2757" i="44"/>
  <c r="D2757" i="44" s="1"/>
  <c r="D1764" i="44"/>
  <c r="B1765" i="44"/>
  <c r="E540" i="3"/>
  <c r="G82" i="25" s="1"/>
  <c r="D2802" i="44"/>
  <c r="B618" i="44"/>
  <c r="D618" i="44" s="1"/>
  <c r="D613" i="44"/>
  <c r="B473" i="3"/>
  <c r="B475" i="3" s="1"/>
  <c r="T42" i="34"/>
  <c r="B1890" i="44"/>
  <c r="B1891" i="44" s="1"/>
  <c r="D1891" i="44" s="1"/>
  <c r="D2755" i="44"/>
  <c r="B2659" i="44"/>
  <c r="D490" i="44"/>
  <c r="B2436" i="44"/>
  <c r="B2437" i="44" s="1"/>
  <c r="D2437" i="44" s="1"/>
  <c r="B2949" i="44"/>
  <c r="D2949" i="44" s="1"/>
  <c r="D2882" i="44"/>
  <c r="B1618" i="44"/>
  <c r="D1618" i="44" s="1"/>
  <c r="D711" i="44"/>
  <c r="D2322" i="44"/>
  <c r="D764" i="44"/>
  <c r="B2274" i="44"/>
  <c r="D2274" i="44" s="1"/>
  <c r="D2323" i="44"/>
  <c r="D708" i="44"/>
  <c r="D1908" i="44"/>
  <c r="B712" i="44"/>
  <c r="D716" i="44" s="1"/>
  <c r="B2595" i="44"/>
  <c r="D2595" i="44" s="1"/>
  <c r="D486" i="44"/>
  <c r="D487" i="44"/>
  <c r="D2914" i="44"/>
  <c r="B2915" i="44"/>
  <c r="T18" i="34"/>
  <c r="V667" i="3"/>
  <c r="V18" i="34" s="1"/>
  <c r="E488" i="3"/>
  <c r="F84" i="25" s="1"/>
  <c r="V670" i="3"/>
  <c r="V21" i="34" s="1"/>
  <c r="T21" i="34"/>
  <c r="V715" i="3"/>
  <c r="V66" i="34" s="1"/>
  <c r="T66" i="34"/>
  <c r="V659" i="3"/>
  <c r="V10" i="34" s="1"/>
  <c r="T10" i="34"/>
  <c r="V752" i="3"/>
  <c r="V103" i="34" s="1"/>
  <c r="T103" i="34"/>
  <c r="B491" i="44"/>
  <c r="D495" i="44" s="1"/>
  <c r="D489" i="44"/>
  <c r="B492" i="3"/>
  <c r="F87" i="25" s="1"/>
  <c r="B3011" i="44"/>
  <c r="D3009" i="44"/>
  <c r="T68" i="34"/>
  <c r="V717" i="3"/>
  <c r="V68" i="34" s="1"/>
  <c r="V705" i="3"/>
  <c r="V56" i="34" s="1"/>
  <c r="T56" i="34"/>
  <c r="M1185" i="5"/>
  <c r="F1185" i="5"/>
  <c r="K1185" i="5"/>
  <c r="J1185" i="5"/>
  <c r="Q1185" i="5"/>
  <c r="R1185" i="5"/>
  <c r="N1185" i="5"/>
  <c r="C1185" i="5"/>
  <c r="D1185" i="5"/>
  <c r="O1185" i="5"/>
  <c r="I1185" i="5"/>
  <c r="L1185" i="5"/>
  <c r="E1185" i="5"/>
  <c r="P1185" i="5"/>
  <c r="G1185" i="5"/>
  <c r="S1185" i="5"/>
  <c r="H1185" i="5"/>
  <c r="T1185" i="5"/>
  <c r="B1187" i="5"/>
  <c r="A1186" i="5"/>
  <c r="V726" i="3"/>
  <c r="V77" i="34" s="1"/>
  <c r="T77" i="34"/>
  <c r="D1907" i="44"/>
  <c r="V720" i="3"/>
  <c r="V71" i="34" s="1"/>
  <c r="T71" i="34"/>
  <c r="D73" i="24"/>
  <c r="I75" i="24"/>
  <c r="B605" i="3"/>
  <c r="D2963" i="44"/>
  <c r="B1714" i="44"/>
  <c r="B454" i="3"/>
  <c r="F64" i="25" s="1"/>
  <c r="T60" i="34"/>
  <c r="V709" i="3"/>
  <c r="V60" i="34" s="1"/>
  <c r="V727" i="3"/>
  <c r="V78" i="34" s="1"/>
  <c r="T78" i="34"/>
  <c r="V719" i="3"/>
  <c r="V70" i="34" s="1"/>
  <c r="T70" i="34"/>
  <c r="T54" i="34"/>
  <c r="V703" i="3"/>
  <c r="V54" i="34" s="1"/>
  <c r="V692" i="3"/>
  <c r="V43" i="34" s="1"/>
  <c r="T43" i="34"/>
  <c r="T52" i="34"/>
  <c r="V701" i="3"/>
  <c r="V52" i="34" s="1"/>
  <c r="T98" i="34"/>
  <c r="V747" i="3"/>
  <c r="V98" i="34" s="1"/>
  <c r="V722" i="3"/>
  <c r="V73" i="34" s="1"/>
  <c r="T73" i="34"/>
  <c r="T26" i="34"/>
  <c r="V675" i="3"/>
  <c r="V26" i="34" s="1"/>
  <c r="V748" i="3"/>
  <c r="V99" i="34" s="1"/>
  <c r="T99" i="34"/>
  <c r="T62" i="34"/>
  <c r="V711" i="3"/>
  <c r="V62" i="34" s="1"/>
  <c r="V700" i="3"/>
  <c r="V51" i="34" s="1"/>
  <c r="T51" i="34"/>
  <c r="V751" i="3"/>
  <c r="V102" i="34" s="1"/>
  <c r="T102" i="34"/>
  <c r="T76" i="34"/>
  <c r="V725" i="3"/>
  <c r="V76" i="34" s="1"/>
  <c r="T95" i="34"/>
  <c r="V744" i="3"/>
  <c r="V95" i="34" s="1"/>
  <c r="T64" i="34"/>
  <c r="V713" i="3"/>
  <c r="V64" i="34" s="1"/>
  <c r="V712" i="3"/>
  <c r="V63" i="34" s="1"/>
  <c r="T63" i="34"/>
  <c r="V724" i="3"/>
  <c r="V75" i="34" s="1"/>
  <c r="T75" i="34"/>
  <c r="V723" i="3"/>
  <c r="V74" i="34" s="1"/>
  <c r="T74" i="34"/>
  <c r="V671" i="3"/>
  <c r="V22" i="34" s="1"/>
  <c r="T22" i="34"/>
  <c r="T25" i="34"/>
  <c r="V674" i="3"/>
  <c r="V25" i="34" s="1"/>
  <c r="V716" i="3"/>
  <c r="V67" i="34" s="1"/>
  <c r="T67" i="34"/>
  <c r="T65" i="34"/>
  <c r="V714" i="3"/>
  <c r="V65" i="34" s="1"/>
  <c r="V704" i="3"/>
  <c r="V55" i="34" s="1"/>
  <c r="T55" i="34"/>
  <c r="T17" i="34"/>
  <c r="V666" i="3"/>
  <c r="V17" i="34" s="1"/>
  <c r="T23" i="34"/>
  <c r="V672" i="3"/>
  <c r="V23" i="34" s="1"/>
  <c r="T59" i="34"/>
  <c r="V708" i="3"/>
  <c r="V59" i="34" s="1"/>
  <c r="V695" i="3"/>
  <c r="V46" i="34" s="1"/>
  <c r="T46" i="34"/>
  <c r="V680" i="3"/>
  <c r="V31" i="34" s="1"/>
  <c r="T31" i="34"/>
  <c r="V678" i="3"/>
  <c r="V29" i="34" s="1"/>
  <c r="T29" i="34"/>
  <c r="V663" i="3"/>
  <c r="V14" i="34" s="1"/>
  <c r="T14" i="34"/>
  <c r="T93" i="34"/>
  <c r="V742" i="3"/>
  <c r="V93" i="34" s="1"/>
  <c r="T89" i="34"/>
  <c r="V738" i="3"/>
  <c r="V89" i="34" s="1"/>
  <c r="T82" i="34"/>
  <c r="V731" i="3"/>
  <c r="V82" i="34" s="1"/>
  <c r="T40" i="34"/>
  <c r="V689" i="3"/>
  <c r="V40" i="34" s="1"/>
  <c r="V661" i="3"/>
  <c r="V12" i="34" s="1"/>
  <c r="T12" i="34"/>
  <c r="V655" i="3"/>
  <c r="V6" i="34" s="1"/>
  <c r="T6" i="34"/>
  <c r="V682" i="3"/>
  <c r="V33" i="34" s="1"/>
  <c r="T33" i="34"/>
  <c r="V690" i="3"/>
  <c r="V41" i="34" s="1"/>
  <c r="T41" i="34"/>
  <c r="C450" i="5"/>
  <c r="C228" i="5"/>
  <c r="D33" i="24"/>
  <c r="V683" i="3"/>
  <c r="V34" i="34" s="1"/>
  <c r="T34" i="34"/>
  <c r="D683" i="44"/>
  <c r="B1781" i="44"/>
  <c r="D1781" i="44" s="1"/>
  <c r="B2626" i="44"/>
  <c r="D2625" i="44"/>
  <c r="V654" i="3"/>
  <c r="V5" i="34" s="1"/>
  <c r="T5" i="34"/>
  <c r="V737" i="3"/>
  <c r="V88" i="34" s="1"/>
  <c r="T88" i="34"/>
  <c r="V699" i="3"/>
  <c r="V50" i="34" s="1"/>
  <c r="T50" i="34"/>
  <c r="V658" i="3"/>
  <c r="V9" i="34" s="1"/>
  <c r="T9" i="34"/>
  <c r="T44" i="34"/>
  <c r="V693" i="3"/>
  <c r="V44" i="34" s="1"/>
  <c r="T11" i="34"/>
  <c r="V660" i="3"/>
  <c r="V11" i="34" s="1"/>
  <c r="V687" i="3"/>
  <c r="V38" i="34" s="1"/>
  <c r="T38" i="34"/>
  <c r="T48" i="34"/>
  <c r="V697" i="3"/>
  <c r="V48" i="34" s="1"/>
  <c r="V673" i="3"/>
  <c r="V24" i="34" s="1"/>
  <c r="T24" i="34"/>
  <c r="V696" i="3"/>
  <c r="V47" i="34" s="1"/>
  <c r="T47" i="34"/>
  <c r="V688" i="3"/>
  <c r="V39" i="34" s="1"/>
  <c r="T39" i="34"/>
  <c r="T53" i="34"/>
  <c r="V702" i="3"/>
  <c r="V53" i="34" s="1"/>
  <c r="V721" i="3"/>
  <c r="V72" i="34" s="1"/>
  <c r="T72" i="34"/>
  <c r="T79" i="34"/>
  <c r="V728" i="3"/>
  <c r="V79" i="34" s="1"/>
  <c r="T101" i="34"/>
  <c r="V750" i="3"/>
  <c r="V101" i="34" s="1"/>
  <c r="T30" i="34"/>
  <c r="V679" i="3"/>
  <c r="V30" i="34" s="1"/>
  <c r="T753" i="3"/>
  <c r="V8" i="34"/>
  <c r="D684" i="44"/>
  <c r="D685" i="44"/>
  <c r="B2114" i="44"/>
  <c r="D2114" i="44" s="1"/>
  <c r="D902" i="44"/>
  <c r="D2036" i="44"/>
  <c r="B2037" i="44"/>
  <c r="B3123" i="44"/>
  <c r="D3122" i="44"/>
  <c r="D901" i="44"/>
  <c r="D3027" i="44"/>
  <c r="B3028" i="44"/>
  <c r="B1970" i="44"/>
  <c r="D1969" i="44"/>
  <c r="B889" i="44"/>
  <c r="D888" i="44"/>
  <c r="D886" i="44"/>
  <c r="D887" i="44"/>
  <c r="D3153" i="44"/>
  <c r="B3154" i="44"/>
  <c r="B2290" i="44"/>
  <c r="D2289" i="44"/>
  <c r="D2098" i="44"/>
  <c r="B2099" i="44"/>
  <c r="B2611" i="44"/>
  <c r="D2610" i="44"/>
  <c r="B1795" i="44"/>
  <c r="D1794" i="44"/>
  <c r="B2770" i="44"/>
  <c r="D2769" i="44"/>
  <c r="B2227" i="44"/>
  <c r="D2226" i="44"/>
  <c r="D868" i="44"/>
  <c r="D867" i="44"/>
  <c r="B869" i="44"/>
  <c r="D3089" i="44"/>
  <c r="B3090" i="44"/>
  <c r="B2566" i="44"/>
  <c r="D2565" i="44"/>
  <c r="B1939" i="44"/>
  <c r="D1938" i="44"/>
  <c r="C768" i="5"/>
  <c r="D398" i="3" a="1"/>
  <c r="D398" i="3" s="1"/>
  <c r="B398" i="3" s="1"/>
  <c r="C769" i="5" s="1"/>
  <c r="B1863" i="44"/>
  <c r="D1862" i="44"/>
  <c r="B2820" i="44"/>
  <c r="D2819" i="44"/>
  <c r="B1603" i="44"/>
  <c r="D1602" i="44"/>
  <c r="D2883" i="44"/>
  <c r="B2884" i="44"/>
  <c r="D2978" i="44"/>
  <c r="B2979" i="44"/>
  <c r="D1730" i="44"/>
  <c r="B1731" i="44"/>
  <c r="B2707" i="44"/>
  <c r="D2706" i="44"/>
  <c r="D1922" i="44"/>
  <c r="B1923" i="44"/>
  <c r="B2244" i="44"/>
  <c r="D2243" i="44"/>
  <c r="B502" i="3"/>
  <c r="C229" i="5"/>
  <c r="D2513" i="44"/>
  <c r="B2514" i="44"/>
  <c r="D2081" i="44"/>
  <c r="B2082" i="44"/>
  <c r="D1651" i="44"/>
  <c r="B1652" i="44"/>
  <c r="B2050" i="44"/>
  <c r="D2049" i="44"/>
  <c r="D1751" i="44"/>
  <c r="B1752" i="44"/>
  <c r="B2994" i="44"/>
  <c r="D2993" i="44"/>
  <c r="B2741" i="44"/>
  <c r="D2740" i="44"/>
  <c r="D2964" i="44"/>
  <c r="B2965" i="44"/>
  <c r="B3058" i="44"/>
  <c r="D3057" i="44"/>
  <c r="D2789" i="44"/>
  <c r="B2790" i="44"/>
  <c r="B2483" i="44"/>
  <c r="D2482" i="44"/>
  <c r="B2388" i="44"/>
  <c r="D2387" i="44"/>
  <c r="B1986" i="44"/>
  <c r="D1985" i="44"/>
  <c r="B2642" i="44"/>
  <c r="D2641" i="44"/>
  <c r="D1699" i="44"/>
  <c r="B1700" i="44"/>
  <c r="B2373" i="44"/>
  <c r="D2372" i="44"/>
  <c r="D1681" i="44"/>
  <c r="B1682" i="44"/>
  <c r="D1827" i="44"/>
  <c r="B1828" i="44"/>
  <c r="B2068" i="44"/>
  <c r="D2067" i="44"/>
  <c r="B2131" i="44"/>
  <c r="D2130" i="44"/>
  <c r="B2851" i="44"/>
  <c r="D2850" i="44"/>
  <c r="B1586" i="44"/>
  <c r="D1585" i="44"/>
  <c r="D574" i="44"/>
  <c r="D573" i="44"/>
  <c r="B575" i="44"/>
  <c r="D2002" i="44"/>
  <c r="B2003" i="44"/>
  <c r="B2867" i="44"/>
  <c r="D2866" i="44"/>
  <c r="B1875" i="44"/>
  <c r="D1874" i="44"/>
  <c r="B1843" i="44"/>
  <c r="D1842" i="44"/>
  <c r="B2500" i="44"/>
  <c r="D2546" i="44"/>
  <c r="B2547" i="44"/>
  <c r="D2834" i="44"/>
  <c r="B2835" i="44"/>
  <c r="B2355" i="44"/>
  <c r="D2354" i="44"/>
  <c r="D732" i="44"/>
  <c r="D731" i="44"/>
  <c r="D730" i="44"/>
  <c r="B733" i="44"/>
  <c r="D1809" i="44"/>
  <c r="B1810" i="44"/>
  <c r="D2803" i="44"/>
  <c r="B2804" i="44"/>
  <c r="B2179" i="44"/>
  <c r="D2178" i="44"/>
  <c r="D910" i="44"/>
  <c r="D909" i="44"/>
  <c r="B911" i="44"/>
  <c r="B2211" i="44"/>
  <c r="D2210" i="44"/>
  <c r="D2308" i="44"/>
  <c r="B2309" i="44"/>
  <c r="D3042" i="44"/>
  <c r="B3043" i="44"/>
  <c r="D339" i="44"/>
  <c r="D336" i="44"/>
  <c r="D335" i="44"/>
  <c r="D338" i="44"/>
  <c r="D337" i="44"/>
  <c r="B340" i="44"/>
  <c r="D2162" i="44"/>
  <c r="B2163" i="44"/>
  <c r="D2449" i="44"/>
  <c r="B2450" i="44"/>
  <c r="B2402" i="44"/>
  <c r="D2401" i="44"/>
  <c r="B689" i="44"/>
  <c r="D686" i="44"/>
  <c r="D687" i="44"/>
  <c r="D688" i="44"/>
  <c r="B789" i="44"/>
  <c r="D788" i="44"/>
  <c r="D787" i="44"/>
  <c r="D2258" i="44"/>
  <c r="B2259" i="44"/>
  <c r="B2674" i="44"/>
  <c r="D2673" i="44"/>
  <c r="D2691" i="44"/>
  <c r="B2692" i="44"/>
  <c r="D2340" i="44"/>
  <c r="B2341" i="44"/>
  <c r="D1633" i="44"/>
  <c r="B1634" i="44"/>
  <c r="B2147" i="44"/>
  <c r="D2146" i="44"/>
  <c r="D808" i="44"/>
  <c r="B809" i="44"/>
  <c r="D807" i="44"/>
  <c r="B2898" i="44"/>
  <c r="D2897" i="44"/>
  <c r="D2929" i="44"/>
  <c r="B2930" i="44"/>
  <c r="D2419" i="44"/>
  <c r="B2420" i="44"/>
  <c r="B2581" i="44"/>
  <c r="D2580" i="44"/>
  <c r="D3074" i="44"/>
  <c r="B3075" i="44"/>
  <c r="B2532" i="44"/>
  <c r="D2531" i="44"/>
  <c r="D3108" i="44"/>
  <c r="B3109" i="44"/>
  <c r="D3139" i="44"/>
  <c r="B3140" i="44"/>
  <c r="D1909" i="44"/>
  <c r="B1910" i="44"/>
  <c r="B842" i="44"/>
  <c r="D841" i="44"/>
  <c r="D840" i="44"/>
  <c r="D418" i="44"/>
  <c r="B423" i="44"/>
  <c r="D422" i="44"/>
  <c r="D420" i="44"/>
  <c r="D421" i="44"/>
  <c r="D419" i="44"/>
  <c r="D2468" i="44"/>
  <c r="B2469" i="44"/>
  <c r="D2324" i="44"/>
  <c r="B2325" i="44"/>
  <c r="H16" i="25"/>
  <c r="B296" i="3"/>
  <c r="O48" i="3"/>
  <c r="E140" i="32" s="1"/>
  <c r="C80" i="25"/>
  <c r="C83" i="25"/>
  <c r="E487" i="3"/>
  <c r="F83" i="25" s="1"/>
  <c r="H45" i="3"/>
  <c r="C509" i="5" s="1"/>
  <c r="D88" i="24"/>
  <c r="C762" i="5"/>
  <c r="B359" i="3"/>
  <c r="B360" i="3" s="1"/>
  <c r="Y735" i="3"/>
  <c r="Y666" i="3"/>
  <c r="Y717" i="3"/>
  <c r="Y711" i="3"/>
  <c r="Y714" i="3"/>
  <c r="Y682" i="3"/>
  <c r="Y708" i="3"/>
  <c r="Y683" i="3"/>
  <c r="Y712" i="3"/>
  <c r="Y681" i="3"/>
  <c r="Y672" i="3"/>
  <c r="Y688" i="3"/>
  <c r="Y658" i="3"/>
  <c r="Y733" i="3"/>
  <c r="Y713" i="3"/>
  <c r="Y685" i="3"/>
  <c r="Y696" i="3"/>
  <c r="Y671" i="3"/>
  <c r="Y670" i="3"/>
  <c r="Y706" i="3"/>
  <c r="Y710" i="3"/>
  <c r="Y732" i="3"/>
  <c r="Y684" i="3"/>
  <c r="Y741" i="3"/>
  <c r="Y752" i="3"/>
  <c r="Y661" i="3"/>
  <c r="Y742" i="3"/>
  <c r="Y698" i="3"/>
  <c r="Y692" i="3"/>
  <c r="Y734" i="3"/>
  <c r="Y654" i="3"/>
  <c r="Y665" i="3"/>
  <c r="Y716" i="3"/>
  <c r="Y728" i="3"/>
  <c r="Y743" i="3"/>
  <c r="Y662" i="3"/>
  <c r="Y678" i="3"/>
  <c r="Y687" i="3"/>
  <c r="Y686" i="3"/>
  <c r="Y726" i="3"/>
  <c r="Y721" i="3"/>
  <c r="Y675" i="3"/>
  <c r="Y703" i="3"/>
  <c r="Y740" i="3"/>
  <c r="Y677" i="3"/>
  <c r="Y723" i="3"/>
  <c r="Y749" i="3"/>
  <c r="Y718" i="3"/>
  <c r="Y659" i="3"/>
  <c r="Y744" i="3"/>
  <c r="Y660" i="3"/>
  <c r="Y720" i="3"/>
  <c r="Y694" i="3"/>
  <c r="Y664" i="3"/>
  <c r="Y719" i="3"/>
  <c r="Y690" i="3"/>
  <c r="Y673" i="3"/>
  <c r="Y736" i="3"/>
  <c r="Y705" i="3"/>
  <c r="Y697" i="3"/>
  <c r="Y707" i="3"/>
  <c r="Y715" i="3"/>
  <c r="Y731" i="3"/>
  <c r="Y751" i="3"/>
  <c r="Y745" i="3"/>
  <c r="Y725" i="3"/>
  <c r="Y655" i="3"/>
  <c r="Y701" i="3"/>
  <c r="Y679" i="3"/>
  <c r="Y724" i="3"/>
  <c r="Y691" i="3"/>
  <c r="Y680" i="3"/>
  <c r="Y727" i="3"/>
  <c r="Y722" i="3"/>
  <c r="Y704" i="3"/>
  <c r="Y668" i="3"/>
  <c r="Y738" i="3"/>
  <c r="Y693" i="3"/>
  <c r="Y709" i="3"/>
  <c r="Y699" i="3"/>
  <c r="Y689" i="3"/>
  <c r="Y729" i="3"/>
  <c r="Y739" i="3"/>
  <c r="Y663" i="3"/>
  <c r="Y669" i="3"/>
  <c r="Y695" i="3"/>
  <c r="Y748" i="3"/>
  <c r="Y750" i="3"/>
  <c r="Y730" i="3"/>
  <c r="Y674" i="3"/>
  <c r="Y656" i="3"/>
  <c r="Y700" i="3"/>
  <c r="Y746" i="3"/>
  <c r="Y667" i="3"/>
  <c r="Y737" i="3"/>
  <c r="Y676" i="3"/>
  <c r="Y747" i="3"/>
  <c r="Y657" i="3"/>
  <c r="Y702" i="3"/>
  <c r="B298" i="3"/>
  <c r="C521" i="5" s="1"/>
  <c r="H18" i="25"/>
  <c r="G790" i="3"/>
  <c r="D116" i="25" s="1"/>
  <c r="D905" i="5"/>
  <c r="C82" i="25"/>
  <c r="E486" i="3"/>
  <c r="F82" i="25" s="1"/>
  <c r="C79" i="25"/>
  <c r="E483" i="3"/>
  <c r="D205" i="24"/>
  <c r="D141" i="32"/>
  <c r="C492" i="5"/>
  <c r="D19" i="24"/>
  <c r="C81" i="25"/>
  <c r="E485" i="3"/>
  <c r="F81" i="25" s="1"/>
  <c r="I145" i="32"/>
  <c r="C516" i="5"/>
  <c r="I32" i="24"/>
  <c r="L41" i="3"/>
  <c r="E210" i="44" s="1"/>
  <c r="A210" i="44" s="1"/>
  <c r="J33" i="24"/>
  <c r="B297" i="3"/>
  <c r="H17" i="25"/>
  <c r="O54" i="3"/>
  <c r="O52" i="3"/>
  <c r="D208" i="24"/>
  <c r="C508" i="5"/>
  <c r="D144" i="32"/>
  <c r="B412" i="3" a="1"/>
  <c r="B412" i="3" s="1"/>
  <c r="C493" i="5"/>
  <c r="K72" i="3"/>
  <c r="C135" i="32"/>
  <c r="B347" i="3"/>
  <c r="D104" i="24" s="1"/>
  <c r="B363" i="3"/>
  <c r="B364" i="3" s="1"/>
  <c r="B366" i="3" s="1"/>
  <c r="B374" i="3" s="1"/>
  <c r="K1574" i="44"/>
  <c r="E1574" i="44" s="1"/>
  <c r="A1574" i="44" s="1"/>
  <c r="E821" i="3"/>
  <c r="E144" i="44"/>
  <c r="B340" i="3"/>
  <c r="C346" i="3" s="1"/>
  <c r="C199" i="24"/>
  <c r="F828" i="3"/>
  <c r="F23" i="24" s="1"/>
  <c r="F823" i="3"/>
  <c r="F827" i="3"/>
  <c r="F27" i="24" s="1"/>
  <c r="F824" i="3"/>
  <c r="F24" i="24" s="1"/>
  <c r="F826" i="3"/>
  <c r="F26" i="24" s="1"/>
  <c r="C13" i="32"/>
  <c r="C15" i="32" s="1"/>
  <c r="C17" i="32" s="1"/>
  <c r="D11" i="32"/>
  <c r="Z671" i="3"/>
  <c r="Z22" i="34" s="1"/>
  <c r="Z734" i="3"/>
  <c r="Z85" i="34" s="1"/>
  <c r="Z737" i="3"/>
  <c r="Z88" i="34" s="1"/>
  <c r="Z682" i="3"/>
  <c r="Z33" i="34" s="1"/>
  <c r="Z722" i="3"/>
  <c r="Z73" i="34" s="1"/>
  <c r="Z726" i="3"/>
  <c r="Z77" i="34" s="1"/>
  <c r="Z710" i="3"/>
  <c r="Z61" i="34" s="1"/>
  <c r="Z738" i="3"/>
  <c r="Z89" i="34" s="1"/>
  <c r="Z719" i="3"/>
  <c r="Z70" i="34" s="1"/>
  <c r="Z667" i="3"/>
  <c r="Z18" i="34" s="1"/>
  <c r="Z656" i="3"/>
  <c r="Z7" i="34" s="1"/>
  <c r="Z685" i="3"/>
  <c r="Z36" i="34" s="1"/>
  <c r="Z688" i="3"/>
  <c r="Z39" i="34" s="1"/>
  <c r="Z658" i="3"/>
  <c r="Z9" i="34" s="1"/>
  <c r="Z673" i="3"/>
  <c r="Z24" i="34" s="1"/>
  <c r="Z691" i="3"/>
  <c r="Z42" i="34" s="1"/>
  <c r="Z729" i="3"/>
  <c r="Z80" i="34" s="1"/>
  <c r="Z676" i="3"/>
  <c r="Z27" i="34" s="1"/>
  <c r="Z749" i="3"/>
  <c r="Z100" i="34" s="1"/>
  <c r="Z695" i="3"/>
  <c r="Z46" i="34" s="1"/>
  <c r="Z675" i="3"/>
  <c r="Z26" i="34" s="1"/>
  <c r="Z746" i="3"/>
  <c r="Z97" i="34" s="1"/>
  <c r="Z741" i="3"/>
  <c r="Z92" i="34" s="1"/>
  <c r="Z750" i="3"/>
  <c r="Z101" i="34" s="1"/>
  <c r="Z715" i="3"/>
  <c r="Z66" i="34" s="1"/>
  <c r="Z751" i="3"/>
  <c r="Z102" i="34" s="1"/>
  <c r="Z655" i="3"/>
  <c r="Z6" i="34" s="1"/>
  <c r="Z689" i="3"/>
  <c r="Z40" i="34" s="1"/>
  <c r="Z732" i="3"/>
  <c r="Z83" i="34" s="1"/>
  <c r="Z661" i="3"/>
  <c r="Z12" i="34" s="1"/>
  <c r="Z745" i="3"/>
  <c r="Z96" i="34" s="1"/>
  <c r="Z720" i="3"/>
  <c r="Z71" i="34" s="1"/>
  <c r="Z670" i="3"/>
  <c r="Z21" i="34" s="1"/>
  <c r="Z683" i="3"/>
  <c r="Z34" i="34" s="1"/>
  <c r="Z742" i="3"/>
  <c r="Z93" i="34" s="1"/>
  <c r="Z705" i="3"/>
  <c r="Z56" i="34" s="1"/>
  <c r="Z728" i="3"/>
  <c r="Z79" i="34" s="1"/>
  <c r="Z721" i="3"/>
  <c r="Z72" i="34" s="1"/>
  <c r="Z739" i="3"/>
  <c r="Z90" i="34" s="1"/>
  <c r="Z714" i="3"/>
  <c r="Z65" i="34" s="1"/>
  <c r="Z662" i="3"/>
  <c r="Z13" i="34" s="1"/>
  <c r="Z701" i="3"/>
  <c r="Z52" i="34" s="1"/>
  <c r="Z693" i="3"/>
  <c r="Z44" i="34" s="1"/>
  <c r="Z723" i="3"/>
  <c r="Z74" i="34" s="1"/>
  <c r="Z657" i="3"/>
  <c r="Z8" i="34" s="1"/>
  <c r="Z718" i="3"/>
  <c r="Z69" i="34" s="1"/>
  <c r="Z698" i="3"/>
  <c r="Z49" i="34" s="1"/>
  <c r="Z696" i="3"/>
  <c r="Z47" i="34" s="1"/>
  <c r="Z740" i="3"/>
  <c r="Z91" i="34" s="1"/>
  <c r="Z679" i="3"/>
  <c r="Z30" i="34" s="1"/>
  <c r="Z664" i="3"/>
  <c r="Z15" i="34" s="1"/>
  <c r="Z672" i="3"/>
  <c r="Z23" i="34" s="1"/>
  <c r="Z704" i="3"/>
  <c r="Z55" i="34" s="1"/>
  <c r="Z684" i="3"/>
  <c r="Z35" i="34" s="1"/>
  <c r="Z699" i="3"/>
  <c r="Z50" i="34" s="1"/>
  <c r="Z678" i="3"/>
  <c r="Z29" i="34" s="1"/>
  <c r="Z725" i="3"/>
  <c r="Z76" i="34" s="1"/>
  <c r="Z716" i="3"/>
  <c r="Z67" i="34" s="1"/>
  <c r="Z747" i="3"/>
  <c r="Z98" i="34" s="1"/>
  <c r="Z700" i="3"/>
  <c r="Z51" i="34" s="1"/>
  <c r="Z708" i="3"/>
  <c r="Z59" i="34" s="1"/>
  <c r="Z669" i="3"/>
  <c r="Z20" i="34" s="1"/>
  <c r="Z686" i="3"/>
  <c r="Z37" i="34" s="1"/>
  <c r="Z663" i="3"/>
  <c r="Z14" i="34" s="1"/>
  <c r="Z694" i="3"/>
  <c r="Z45" i="34" s="1"/>
  <c r="Z677" i="3"/>
  <c r="Z28" i="34" s="1"/>
  <c r="Z743" i="3"/>
  <c r="Z94" i="34" s="1"/>
  <c r="Z717" i="3"/>
  <c r="Z68" i="34" s="1"/>
  <c r="Z711" i="3"/>
  <c r="Z62" i="34" s="1"/>
  <c r="Z703" i="3"/>
  <c r="Z54" i="34" s="1"/>
  <c r="Z727" i="3"/>
  <c r="Z78" i="34" s="1"/>
  <c r="Z709" i="3"/>
  <c r="Z60" i="34" s="1"/>
  <c r="Z687" i="3"/>
  <c r="Z38" i="34" s="1"/>
  <c r="Z733" i="3"/>
  <c r="Z84" i="34" s="1"/>
  <c r="Z659" i="3"/>
  <c r="Z10" i="34" s="1"/>
  <c r="Z654" i="3"/>
  <c r="Z735" i="3"/>
  <c r="Z86" i="34" s="1"/>
  <c r="Z706" i="3"/>
  <c r="Z57" i="34" s="1"/>
  <c r="Z665" i="3"/>
  <c r="Z16" i="34" s="1"/>
  <c r="Z702" i="3"/>
  <c r="Z53" i="34" s="1"/>
  <c r="Z748" i="3"/>
  <c r="Z99" i="34" s="1"/>
  <c r="Z712" i="3"/>
  <c r="Z63" i="34" s="1"/>
  <c r="Z707" i="3"/>
  <c r="Z58" i="34" s="1"/>
  <c r="Z724" i="3"/>
  <c r="Z75" i="34" s="1"/>
  <c r="Z730" i="3"/>
  <c r="Z81" i="34" s="1"/>
  <c r="Z681" i="3"/>
  <c r="Z32" i="34" s="1"/>
  <c r="Z731" i="3"/>
  <c r="Z82" i="34" s="1"/>
  <c r="Z668" i="3"/>
  <c r="Z19" i="34" s="1"/>
  <c r="Z752" i="3"/>
  <c r="Z103" i="34" s="1"/>
  <c r="Z697" i="3"/>
  <c r="Z48" i="34" s="1"/>
  <c r="Z713" i="3"/>
  <c r="Z64" i="34" s="1"/>
  <c r="Z744" i="3"/>
  <c r="Z95" i="34" s="1"/>
  <c r="Z690" i="3"/>
  <c r="Z41" i="34" s="1"/>
  <c r="Z674" i="3"/>
  <c r="Z25" i="34" s="1"/>
  <c r="Z660" i="3"/>
  <c r="Z11" i="34" s="1"/>
  <c r="Z736" i="3"/>
  <c r="Z87" i="34" s="1"/>
  <c r="Z692" i="3"/>
  <c r="Z43" i="34" s="1"/>
  <c r="Z666" i="3"/>
  <c r="Z17" i="34" s="1"/>
  <c r="Z680" i="3"/>
  <c r="Z31" i="34" s="1"/>
  <c r="D2723" i="44" l="1"/>
  <c r="L42" i="3"/>
  <c r="L43" i="3" s="1"/>
  <c r="B16" i="25" s="1"/>
  <c r="F95" i="41"/>
  <c r="A235" i="44"/>
  <c r="B2021" i="44"/>
  <c r="C518" i="5"/>
  <c r="C520" i="5"/>
  <c r="B616" i="3"/>
  <c r="B645" i="3"/>
  <c r="N687" i="3" s="1"/>
  <c r="N38" i="34" s="1"/>
  <c r="L60" i="42"/>
  <c r="L57" i="42"/>
  <c r="G89" i="41"/>
  <c r="E61" i="41"/>
  <c r="E80" i="41"/>
  <c r="E13" i="41"/>
  <c r="E94" i="41"/>
  <c r="E18" i="41"/>
  <c r="E51" i="41"/>
  <c r="E87" i="41"/>
  <c r="E39" i="41"/>
  <c r="E29" i="41"/>
  <c r="H14" i="32"/>
  <c r="H32" i="32" s="1"/>
  <c r="D766" i="44"/>
  <c r="D769" i="44"/>
  <c r="B770" i="44"/>
  <c r="D771" i="44" s="1"/>
  <c r="D767" i="44"/>
  <c r="B1671" i="44"/>
  <c r="B1672" i="44" s="1"/>
  <c r="B1673" i="44" s="1"/>
  <c r="J59" i="42"/>
  <c r="D57" i="42"/>
  <c r="D60" i="43" s="1"/>
  <c r="J58" i="42"/>
  <c r="B2438" i="44"/>
  <c r="D2438" i="44" s="1"/>
  <c r="D2195" i="44"/>
  <c r="B2950" i="44"/>
  <c r="B2951" i="44" s="1"/>
  <c r="B1956" i="44"/>
  <c r="D1956" i="44" s="1"/>
  <c r="D620" i="44"/>
  <c r="B2758" i="44"/>
  <c r="B2759" i="44" s="1"/>
  <c r="D622" i="44"/>
  <c r="B1892" i="44"/>
  <c r="B1893" i="44" s="1"/>
  <c r="B1894" i="44" s="1"/>
  <c r="D621" i="44"/>
  <c r="D619" i="44"/>
  <c r="D2436" i="44"/>
  <c r="B2596" i="44"/>
  <c r="B2597" i="44" s="1"/>
  <c r="B623" i="44"/>
  <c r="D627" i="44" s="1"/>
  <c r="D1890" i="44"/>
  <c r="E543" i="3"/>
  <c r="C204" i="5"/>
  <c r="F72" i="25"/>
  <c r="D1765" i="44"/>
  <c r="B1766" i="44"/>
  <c r="B1619" i="44"/>
  <c r="B1620" i="44" s="1"/>
  <c r="D714" i="44"/>
  <c r="B2660" i="44"/>
  <c r="D2659" i="44"/>
  <c r="B717" i="44"/>
  <c r="D719" i="44" s="1"/>
  <c r="D712" i="44"/>
  <c r="D492" i="44"/>
  <c r="D715" i="44"/>
  <c r="D713" i="44"/>
  <c r="B2275" i="44"/>
  <c r="D494" i="44"/>
  <c r="D493" i="44"/>
  <c r="D2915" i="44"/>
  <c r="B2916" i="44"/>
  <c r="G85" i="25"/>
  <c r="B496" i="44"/>
  <c r="D496" i="44" s="1"/>
  <c r="D491" i="44"/>
  <c r="C230" i="5"/>
  <c r="D3011" i="44"/>
  <c r="B3012" i="44"/>
  <c r="J54" i="24"/>
  <c r="L1186" i="5"/>
  <c r="M1186" i="5"/>
  <c r="E1186" i="5"/>
  <c r="P1186" i="5"/>
  <c r="F1186" i="5"/>
  <c r="I1186" i="5"/>
  <c r="D1186" i="5"/>
  <c r="J1186" i="5"/>
  <c r="S1186" i="5"/>
  <c r="K1186" i="5"/>
  <c r="Q1186" i="5"/>
  <c r="T1186" i="5"/>
  <c r="N1186" i="5"/>
  <c r="H1186" i="5"/>
  <c r="C1186" i="5"/>
  <c r="O1186" i="5"/>
  <c r="R1186" i="5"/>
  <c r="G1186" i="5"/>
  <c r="B1188" i="5"/>
  <c r="A1187" i="5"/>
  <c r="J821" i="3"/>
  <c r="E33" i="24" s="1"/>
  <c r="D1714" i="44"/>
  <c r="B1715" i="44"/>
  <c r="B1782" i="44"/>
  <c r="D1782" i="44" s="1"/>
  <c r="I14" i="32"/>
  <c r="B2115" i="44"/>
  <c r="B2116" i="44" s="1"/>
  <c r="D2626" i="44"/>
  <c r="B2627" i="44"/>
  <c r="V753" i="3"/>
  <c r="C1069" i="5"/>
  <c r="X672" i="3"/>
  <c r="X23" i="34" s="1"/>
  <c r="X745" i="3"/>
  <c r="X96" i="34" s="1"/>
  <c r="X695" i="3"/>
  <c r="X46" i="34" s="1"/>
  <c r="X744" i="3"/>
  <c r="X95" i="34" s="1"/>
  <c r="X703" i="3"/>
  <c r="X54" i="34" s="1"/>
  <c r="X660" i="3"/>
  <c r="X11" i="34" s="1"/>
  <c r="X749" i="3"/>
  <c r="X100" i="34" s="1"/>
  <c r="X717" i="3"/>
  <c r="X68" i="34" s="1"/>
  <c r="X685" i="3"/>
  <c r="X36" i="34" s="1"/>
  <c r="X750" i="3"/>
  <c r="X101" i="34" s="1"/>
  <c r="X746" i="3"/>
  <c r="X97" i="34" s="1"/>
  <c r="X662" i="3"/>
  <c r="X13" i="34" s="1"/>
  <c r="X686" i="3"/>
  <c r="X37" i="34" s="1"/>
  <c r="X720" i="3"/>
  <c r="X71" i="34" s="1"/>
  <c r="X680" i="3"/>
  <c r="X31" i="34" s="1"/>
  <c r="X711" i="3"/>
  <c r="X62" i="34" s="1"/>
  <c r="X740" i="3"/>
  <c r="X91" i="34" s="1"/>
  <c r="X698" i="3"/>
  <c r="X49" i="34" s="1"/>
  <c r="X707" i="3"/>
  <c r="X58" i="34" s="1"/>
  <c r="X732" i="3"/>
  <c r="X83" i="34" s="1"/>
  <c r="X682" i="3"/>
  <c r="X33" i="34" s="1"/>
  <c r="X719" i="3"/>
  <c r="X70" i="34" s="1"/>
  <c r="X655" i="3"/>
  <c r="X6" i="34" s="1"/>
  <c r="X666" i="3"/>
  <c r="X17" i="34" s="1"/>
  <c r="C759" i="3"/>
  <c r="X689" i="3"/>
  <c r="X40" i="34" s="1"/>
  <c r="X704" i="3"/>
  <c r="X55" i="34" s="1"/>
  <c r="X656" i="3"/>
  <c r="X7" i="34" s="1"/>
  <c r="X727" i="3"/>
  <c r="X78" i="34" s="1"/>
  <c r="X692" i="3"/>
  <c r="X43" i="34" s="1"/>
  <c r="X659" i="3"/>
  <c r="X10" i="34" s="1"/>
  <c r="X735" i="3"/>
  <c r="X86" i="34" s="1"/>
  <c r="X710" i="3"/>
  <c r="X61" i="34" s="1"/>
  <c r="X718" i="3"/>
  <c r="X69" i="34" s="1"/>
  <c r="X678" i="3"/>
  <c r="X29" i="34" s="1"/>
  <c r="X724" i="3"/>
  <c r="X75" i="34" s="1"/>
  <c r="X681" i="3"/>
  <c r="X32" i="34" s="1"/>
  <c r="X747" i="3"/>
  <c r="X98" i="34" s="1"/>
  <c r="X708" i="3"/>
  <c r="X59" i="34" s="1"/>
  <c r="X713" i="3"/>
  <c r="X64" i="34" s="1"/>
  <c r="X654" i="3"/>
  <c r="X729" i="3"/>
  <c r="X80" i="34" s="1"/>
  <c r="X700" i="3"/>
  <c r="X51" i="34" s="1"/>
  <c r="X661" i="3"/>
  <c r="X12" i="34" s="1"/>
  <c r="X684" i="3"/>
  <c r="X35" i="34" s="1"/>
  <c r="X667" i="3"/>
  <c r="X18" i="34" s="1"/>
  <c r="X734" i="3"/>
  <c r="X85" i="34" s="1"/>
  <c r="X751" i="3"/>
  <c r="X102" i="34" s="1"/>
  <c r="X737" i="3"/>
  <c r="X88" i="34" s="1"/>
  <c r="X716" i="3"/>
  <c r="X67" i="34" s="1"/>
  <c r="X663" i="3"/>
  <c r="X14" i="34" s="1"/>
  <c r="T104" i="34"/>
  <c r="X736" i="3"/>
  <c r="X87" i="34" s="1"/>
  <c r="X702" i="3"/>
  <c r="X53" i="34" s="1"/>
  <c r="X697" i="3"/>
  <c r="X48" i="34" s="1"/>
  <c r="X738" i="3"/>
  <c r="X89" i="34" s="1"/>
  <c r="X742" i="3"/>
  <c r="X93" i="34" s="1"/>
  <c r="X683" i="3"/>
  <c r="X34" i="34" s="1"/>
  <c r="X701" i="3"/>
  <c r="X52" i="34" s="1"/>
  <c r="X722" i="3"/>
  <c r="X73" i="34" s="1"/>
  <c r="X688" i="3"/>
  <c r="X39" i="34" s="1"/>
  <c r="X657" i="3"/>
  <c r="X8" i="34" s="1"/>
  <c r="X748" i="3"/>
  <c r="X99" i="34" s="1"/>
  <c r="X665" i="3"/>
  <c r="X16" i="34" s="1"/>
  <c r="X709" i="3"/>
  <c r="X60" i="34" s="1"/>
  <c r="X739" i="3"/>
  <c r="X90" i="34" s="1"/>
  <c r="X705" i="3"/>
  <c r="X56" i="34" s="1"/>
  <c r="X723" i="3"/>
  <c r="X74" i="34" s="1"/>
  <c r="X712" i="3"/>
  <c r="X63" i="34" s="1"/>
  <c r="X691" i="3"/>
  <c r="X42" i="34" s="1"/>
  <c r="X696" i="3"/>
  <c r="X47" i="34" s="1"/>
  <c r="X714" i="3"/>
  <c r="X65" i="34" s="1"/>
  <c r="X733" i="3"/>
  <c r="X84" i="34" s="1"/>
  <c r="X669" i="3"/>
  <c r="X20" i="34" s="1"/>
  <c r="X706" i="3"/>
  <c r="X57" i="34" s="1"/>
  <c r="X699" i="3"/>
  <c r="X50" i="34" s="1"/>
  <c r="X721" i="3"/>
  <c r="X72" i="34" s="1"/>
  <c r="X670" i="3"/>
  <c r="X21" i="34" s="1"/>
  <c r="X668" i="3"/>
  <c r="X19" i="34" s="1"/>
  <c r="X725" i="3"/>
  <c r="X76" i="34" s="1"/>
  <c r="X690" i="3"/>
  <c r="X41" i="34" s="1"/>
  <c r="X687" i="3"/>
  <c r="X38" i="34" s="1"/>
  <c r="X674" i="3"/>
  <c r="X25" i="34" s="1"/>
  <c r="X693" i="3"/>
  <c r="X44" i="34" s="1"/>
  <c r="X664" i="3"/>
  <c r="X15" i="34" s="1"/>
  <c r="X743" i="3"/>
  <c r="X94" i="34" s="1"/>
  <c r="X675" i="3"/>
  <c r="X26" i="34" s="1"/>
  <c r="X752" i="3"/>
  <c r="X103" i="34" s="1"/>
  <c r="X673" i="3"/>
  <c r="X24" i="34" s="1"/>
  <c r="X715" i="3"/>
  <c r="X66" i="34" s="1"/>
  <c r="X676" i="3"/>
  <c r="X27" i="34" s="1"/>
  <c r="X741" i="3"/>
  <c r="X92" i="34" s="1"/>
  <c r="X677" i="3"/>
  <c r="X28" i="34" s="1"/>
  <c r="X730" i="3"/>
  <c r="X81" i="34" s="1"/>
  <c r="X731" i="3"/>
  <c r="X82" i="34" s="1"/>
  <c r="X679" i="3"/>
  <c r="X30" i="34" s="1"/>
  <c r="X726" i="3"/>
  <c r="X77" i="34" s="1"/>
  <c r="X694" i="3"/>
  <c r="X45" i="34" s="1"/>
  <c r="X728" i="3"/>
  <c r="X79" i="34" s="1"/>
  <c r="X658" i="3"/>
  <c r="X9" i="34" s="1"/>
  <c r="X671" i="3"/>
  <c r="X22" i="34" s="1"/>
  <c r="B2038" i="44"/>
  <c r="D2037" i="44"/>
  <c r="B3124" i="44"/>
  <c r="D3123" i="44"/>
  <c r="D3028" i="44"/>
  <c r="B3029" i="44"/>
  <c r="B2567" i="44"/>
  <c r="D2566" i="44"/>
  <c r="D2099" i="44"/>
  <c r="B2100" i="44"/>
  <c r="B3155" i="44"/>
  <c r="D3154" i="44"/>
  <c r="D3090" i="44"/>
  <c r="B3091" i="44"/>
  <c r="B871" i="44"/>
  <c r="D870" i="44"/>
  <c r="D869" i="44"/>
  <c r="B2228" i="44"/>
  <c r="D2227" i="44"/>
  <c r="B2771" i="44"/>
  <c r="D2770" i="44"/>
  <c r="D1795" i="44"/>
  <c r="B1796" i="44"/>
  <c r="B2612" i="44"/>
  <c r="D2611" i="44"/>
  <c r="B2291" i="44"/>
  <c r="D2290" i="44"/>
  <c r="D890" i="44"/>
  <c r="D891" i="44"/>
  <c r="B892" i="44"/>
  <c r="D889" i="44"/>
  <c r="B1971" i="44"/>
  <c r="D1970" i="44"/>
  <c r="D1939" i="44"/>
  <c r="B1940" i="44"/>
  <c r="E73" i="32"/>
  <c r="C199" i="5"/>
  <c r="F75" i="25"/>
  <c r="E49" i="24"/>
  <c r="D2820" i="44"/>
  <c r="B2821" i="44"/>
  <c r="B1864" i="44"/>
  <c r="D1863" i="44"/>
  <c r="B2885" i="44"/>
  <c r="D2884" i="44"/>
  <c r="B1604" i="44"/>
  <c r="D1603" i="44"/>
  <c r="D1923" i="44"/>
  <c r="B1924" i="44"/>
  <c r="B1732" i="44"/>
  <c r="D1731" i="44"/>
  <c r="D2979" i="44"/>
  <c r="B2980" i="44"/>
  <c r="D2244" i="44"/>
  <c r="B2245" i="44"/>
  <c r="D2707" i="44"/>
  <c r="B2708" i="44"/>
  <c r="E78" i="32"/>
  <c r="E54" i="24"/>
  <c r="F94" i="25"/>
  <c r="B2791" i="44"/>
  <c r="D2790" i="44"/>
  <c r="D2965" i="44"/>
  <c r="B2966" i="44"/>
  <c r="D1752" i="44"/>
  <c r="B1753" i="44"/>
  <c r="D1652" i="44"/>
  <c r="B1653" i="44"/>
  <c r="D2082" i="44"/>
  <c r="B2083" i="44"/>
  <c r="D2514" i="44"/>
  <c r="B2515" i="44"/>
  <c r="D2388" i="44"/>
  <c r="B2389" i="44"/>
  <c r="B2484" i="44"/>
  <c r="D2483" i="44"/>
  <c r="D3058" i="44"/>
  <c r="B3059" i="44"/>
  <c r="D2741" i="44"/>
  <c r="B2742" i="44"/>
  <c r="B2995" i="44"/>
  <c r="D2994" i="44"/>
  <c r="B2051" i="44"/>
  <c r="D2050" i="44"/>
  <c r="B2197" i="44"/>
  <c r="D2196" i="44"/>
  <c r="D2532" i="44"/>
  <c r="B2533" i="44"/>
  <c r="B2582" i="44"/>
  <c r="D2581" i="44"/>
  <c r="B2421" i="44"/>
  <c r="D2420" i="44"/>
  <c r="B2931" i="44"/>
  <c r="D2930" i="44"/>
  <c r="B2148" i="44"/>
  <c r="D2147" i="44"/>
  <c r="B2675" i="44"/>
  <c r="D2674" i="44"/>
  <c r="B2451" i="44"/>
  <c r="D2450" i="44"/>
  <c r="B2164" i="44"/>
  <c r="D2163" i="44"/>
  <c r="D341" i="44"/>
  <c r="B345" i="44"/>
  <c r="D340" i="44"/>
  <c r="D342" i="44"/>
  <c r="D344" i="44"/>
  <c r="D343" i="44"/>
  <c r="B3044" i="44"/>
  <c r="D3043" i="44"/>
  <c r="D2309" i="44"/>
  <c r="B2310" i="44"/>
  <c r="D913" i="44"/>
  <c r="D912" i="44"/>
  <c r="D911" i="44"/>
  <c r="B2180" i="44"/>
  <c r="D2179" i="44"/>
  <c r="D2724" i="44"/>
  <c r="B2725" i="44"/>
  <c r="B2356" i="44"/>
  <c r="D2355" i="44"/>
  <c r="B1844" i="44"/>
  <c r="D1843" i="44"/>
  <c r="B1876" i="44"/>
  <c r="D1875" i="44"/>
  <c r="B2868" i="44"/>
  <c r="D2867" i="44"/>
  <c r="B1829" i="44"/>
  <c r="D1828" i="44"/>
  <c r="D1682" i="44"/>
  <c r="B1683" i="44"/>
  <c r="B1701" i="44"/>
  <c r="D1700" i="44"/>
  <c r="D3109" i="44"/>
  <c r="B3110" i="44"/>
  <c r="B3076" i="44"/>
  <c r="D3075" i="44"/>
  <c r="B2899" i="44"/>
  <c r="D2898" i="44"/>
  <c r="D809" i="44"/>
  <c r="D810" i="44"/>
  <c r="B811" i="44"/>
  <c r="D1634" i="44"/>
  <c r="B1635" i="44"/>
  <c r="D2341" i="44"/>
  <c r="B2342" i="44"/>
  <c r="D2692" i="44"/>
  <c r="B2693" i="44"/>
  <c r="D2259" i="44"/>
  <c r="B2260" i="44"/>
  <c r="D789" i="44"/>
  <c r="D790" i="44"/>
  <c r="B791" i="44"/>
  <c r="D689" i="44"/>
  <c r="D691" i="44"/>
  <c r="D690" i="44"/>
  <c r="D2402" i="44"/>
  <c r="B2403" i="44"/>
  <c r="B2212" i="44"/>
  <c r="D2211" i="44"/>
  <c r="B2805" i="44"/>
  <c r="D2804" i="44"/>
  <c r="B1811" i="44"/>
  <c r="D1810" i="44"/>
  <c r="D735" i="44"/>
  <c r="D734" i="44"/>
  <c r="D733" i="44"/>
  <c r="D2835" i="44"/>
  <c r="B2836" i="44"/>
  <c r="B2548" i="44"/>
  <c r="D2547" i="44"/>
  <c r="D2500" i="44"/>
  <c r="B2501" i="44"/>
  <c r="D2021" i="44"/>
  <c r="B2022" i="44"/>
  <c r="B2004" i="44"/>
  <c r="D2003" i="44"/>
  <c r="B577" i="44"/>
  <c r="D575" i="44"/>
  <c r="D576" i="44"/>
  <c r="D1586" i="44"/>
  <c r="B1587" i="44"/>
  <c r="D2851" i="44"/>
  <c r="B2852" i="44"/>
  <c r="B2132" i="44"/>
  <c r="D2131" i="44"/>
  <c r="D2068" i="44"/>
  <c r="B2069" i="44"/>
  <c r="D2115" i="44"/>
  <c r="B2374" i="44"/>
  <c r="D2373" i="44"/>
  <c r="D2642" i="44"/>
  <c r="B2643" i="44"/>
  <c r="B1987" i="44"/>
  <c r="D1986" i="44"/>
  <c r="B2326" i="44"/>
  <c r="D2325" i="44"/>
  <c r="B2470" i="44"/>
  <c r="D2469" i="44"/>
  <c r="B1911" i="44"/>
  <c r="D1910" i="44"/>
  <c r="D3140" i="44"/>
  <c r="B3141" i="44"/>
  <c r="B428" i="44"/>
  <c r="D427" i="44"/>
  <c r="D426" i="44"/>
  <c r="D424" i="44"/>
  <c r="D423" i="44"/>
  <c r="D425" i="44"/>
  <c r="D842" i="44"/>
  <c r="D843" i="44"/>
  <c r="B844" i="44"/>
  <c r="E204" i="24"/>
  <c r="E16" i="24"/>
  <c r="J18" i="25"/>
  <c r="C519" i="5"/>
  <c r="J16" i="25"/>
  <c r="C517" i="5"/>
  <c r="C208" i="24"/>
  <c r="K73" i="3"/>
  <c r="C144" i="32"/>
  <c r="B408" i="3"/>
  <c r="E166" i="24"/>
  <c r="E138" i="32"/>
  <c r="E202" i="24"/>
  <c r="E18" i="24"/>
  <c r="G828" i="3"/>
  <c r="D23" i="24" s="1"/>
  <c r="G826" i="3"/>
  <c r="G824" i="3"/>
  <c r="G823" i="3"/>
  <c r="G827" i="3"/>
  <c r="Y98" i="34"/>
  <c r="AA747" i="3"/>
  <c r="AA98" i="34" s="1"/>
  <c r="AA746" i="3"/>
  <c r="AA97" i="34" s="1"/>
  <c r="Y97" i="34"/>
  <c r="Y81" i="34"/>
  <c r="AA730" i="3"/>
  <c r="AA81" i="34" s="1"/>
  <c r="AA669" i="3"/>
  <c r="AA20" i="34" s="1"/>
  <c r="Y20" i="34"/>
  <c r="Y40" i="34"/>
  <c r="AA689" i="3"/>
  <c r="AA40" i="34" s="1"/>
  <c r="AA738" i="3"/>
  <c r="AA89" i="34" s="1"/>
  <c r="Y89" i="34"/>
  <c r="AA727" i="3"/>
  <c r="AA78" i="34" s="1"/>
  <c r="Y78" i="34"/>
  <c r="Y30" i="34"/>
  <c r="AA679" i="3"/>
  <c r="AA30" i="34" s="1"/>
  <c r="Y96" i="34"/>
  <c r="AA745" i="3"/>
  <c r="AA96" i="34" s="1"/>
  <c r="Y58" i="34"/>
  <c r="AA707" i="3"/>
  <c r="AA58" i="34" s="1"/>
  <c r="AA673" i="3"/>
  <c r="AA24" i="34" s="1"/>
  <c r="Y24" i="34"/>
  <c r="AA694" i="3"/>
  <c r="AA45" i="34" s="1"/>
  <c r="Y45" i="34"/>
  <c r="AA659" i="3"/>
  <c r="AA10" i="34" s="1"/>
  <c r="Y10" i="34"/>
  <c r="AA677" i="3"/>
  <c r="AA28" i="34" s="1"/>
  <c r="Y28" i="34"/>
  <c r="Y72" i="34"/>
  <c r="AA721" i="3"/>
  <c r="AA72" i="34" s="1"/>
  <c r="AA678" i="3"/>
  <c r="AA29" i="34" s="1"/>
  <c r="Y29" i="34"/>
  <c r="AA716" i="3"/>
  <c r="AA67" i="34" s="1"/>
  <c r="Y67" i="34"/>
  <c r="Y43" i="34"/>
  <c r="AA692" i="3"/>
  <c r="AA43" i="34" s="1"/>
  <c r="AA752" i="3"/>
  <c r="AA103" i="34" s="1"/>
  <c r="Y103" i="34"/>
  <c r="AA710" i="3"/>
  <c r="AA61" i="34" s="1"/>
  <c r="Y61" i="34"/>
  <c r="AA696" i="3"/>
  <c r="AA47" i="34" s="1"/>
  <c r="Y47" i="34"/>
  <c r="Y9" i="34"/>
  <c r="AA658" i="3"/>
  <c r="AA9" i="34" s="1"/>
  <c r="Y63" i="34"/>
  <c r="AA712" i="3"/>
  <c r="AA63" i="34" s="1"/>
  <c r="AA714" i="3"/>
  <c r="AA65" i="34" s="1"/>
  <c r="Y65" i="34"/>
  <c r="Y86" i="34"/>
  <c r="AA735" i="3"/>
  <c r="AA86" i="34" s="1"/>
  <c r="C490" i="5"/>
  <c r="Z5" i="34"/>
  <c r="Z753" i="3"/>
  <c r="E11" i="32"/>
  <c r="D13" i="32"/>
  <c r="D15" i="32" s="1"/>
  <c r="D17" i="32" s="1"/>
  <c r="E103" i="24"/>
  <c r="G346" i="3"/>
  <c r="G103" i="24" s="1"/>
  <c r="F346" i="3"/>
  <c r="C192" i="5"/>
  <c r="C112" i="24"/>
  <c r="C374" i="3"/>
  <c r="C87" i="32"/>
  <c r="L73" i="3"/>
  <c r="B317" i="3"/>
  <c r="J17" i="25"/>
  <c r="AA676" i="3"/>
  <c r="AA27" i="34" s="1"/>
  <c r="Y27" i="34"/>
  <c r="Y51" i="34"/>
  <c r="AA700" i="3"/>
  <c r="AA51" i="34" s="1"/>
  <c r="Y101" i="34"/>
  <c r="AA750" i="3"/>
  <c r="AA101" i="34" s="1"/>
  <c r="Y14" i="34"/>
  <c r="AA663" i="3"/>
  <c r="AA14" i="34" s="1"/>
  <c r="Y50" i="34"/>
  <c r="AA699" i="3"/>
  <c r="AA50" i="34" s="1"/>
  <c r="AA668" i="3"/>
  <c r="AA19" i="34" s="1"/>
  <c r="Y19" i="34"/>
  <c r="Y31" i="34"/>
  <c r="AA680" i="3"/>
  <c r="AA31" i="34" s="1"/>
  <c r="Y52" i="34"/>
  <c r="AA701" i="3"/>
  <c r="AA52" i="34" s="1"/>
  <c r="AA751" i="3"/>
  <c r="AA102" i="34" s="1"/>
  <c r="Y102" i="34"/>
  <c r="Y48" i="34"/>
  <c r="AA697" i="3"/>
  <c r="AA48" i="34" s="1"/>
  <c r="Y41" i="34"/>
  <c r="AA690" i="3"/>
  <c r="AA41" i="34" s="1"/>
  <c r="Y71" i="34"/>
  <c r="AA720" i="3"/>
  <c r="AA71" i="34" s="1"/>
  <c r="Y69" i="34"/>
  <c r="AA718" i="3"/>
  <c r="AA69" i="34" s="1"/>
  <c r="Y91" i="34"/>
  <c r="AA740" i="3"/>
  <c r="AA91" i="34" s="1"/>
  <c r="Y77" i="34"/>
  <c r="AA726" i="3"/>
  <c r="AA77" i="34" s="1"/>
  <c r="Y13" i="34"/>
  <c r="AA662" i="3"/>
  <c r="AA13" i="34" s="1"/>
  <c r="Y16" i="34"/>
  <c r="AA665" i="3"/>
  <c r="AA16" i="34" s="1"/>
  <c r="Y49" i="34"/>
  <c r="AA698" i="3"/>
  <c r="AA49" i="34" s="1"/>
  <c r="Y92" i="34"/>
  <c r="AA741" i="3"/>
  <c r="AA92" i="34" s="1"/>
  <c r="Y57" i="34"/>
  <c r="AA706" i="3"/>
  <c r="AA57" i="34" s="1"/>
  <c r="Y36" i="34"/>
  <c r="AA685" i="3"/>
  <c r="AA36" i="34" s="1"/>
  <c r="AA688" i="3"/>
  <c r="AA39" i="34" s="1"/>
  <c r="Y39" i="34"/>
  <c r="AA683" i="3"/>
  <c r="AA34" i="34" s="1"/>
  <c r="Y34" i="34"/>
  <c r="Y62" i="34"/>
  <c r="AA711" i="3"/>
  <c r="AA62" i="34" s="1"/>
  <c r="C2" i="5"/>
  <c r="D89" i="24"/>
  <c r="F22" i="24"/>
  <c r="F825" i="3"/>
  <c r="F25" i="24" s="1"/>
  <c r="I17" i="24"/>
  <c r="E137" i="32"/>
  <c r="E201" i="24"/>
  <c r="E17" i="24"/>
  <c r="E489" i="3"/>
  <c r="B545" i="3" s="1"/>
  <c r="F79" i="25"/>
  <c r="Y53" i="34"/>
  <c r="AA702" i="3"/>
  <c r="AA53" i="34" s="1"/>
  <c r="AA737" i="3"/>
  <c r="AA88" i="34" s="1"/>
  <c r="Y88" i="34"/>
  <c r="AA656" i="3"/>
  <c r="AA7" i="34" s="1"/>
  <c r="Y7" i="34"/>
  <c r="Y99" i="34"/>
  <c r="AA748" i="3"/>
  <c r="AA99" i="34" s="1"/>
  <c r="Y90" i="34"/>
  <c r="AA739" i="3"/>
  <c r="AA90" i="34" s="1"/>
  <c r="Y60" i="34"/>
  <c r="AA709" i="3"/>
  <c r="AA60" i="34" s="1"/>
  <c r="Y55" i="34"/>
  <c r="AA704" i="3"/>
  <c r="AA55" i="34" s="1"/>
  <c r="AA691" i="3"/>
  <c r="AA42" i="34" s="1"/>
  <c r="Y42" i="34"/>
  <c r="Y6" i="34"/>
  <c r="AA655" i="3"/>
  <c r="AA6" i="34" s="1"/>
  <c r="Y82" i="34"/>
  <c r="AA731" i="3"/>
  <c r="AA82" i="34" s="1"/>
  <c r="Y56" i="34"/>
  <c r="AA705" i="3"/>
  <c r="AA56" i="34" s="1"/>
  <c r="Y70" i="34"/>
  <c r="AA719" i="3"/>
  <c r="AA70" i="34" s="1"/>
  <c r="AA660" i="3"/>
  <c r="AA11" i="34" s="1"/>
  <c r="Y11" i="34"/>
  <c r="AA749" i="3"/>
  <c r="AA100" i="34" s="1"/>
  <c r="Y100" i="34"/>
  <c r="AA703" i="3"/>
  <c r="AA54" i="34" s="1"/>
  <c r="Y54" i="34"/>
  <c r="AA686" i="3"/>
  <c r="AA37" i="34" s="1"/>
  <c r="Y37" i="34"/>
  <c r="AA743" i="3"/>
  <c r="AA94" i="34" s="1"/>
  <c r="Y94" i="34"/>
  <c r="AA654" i="3"/>
  <c r="Y753" i="3"/>
  <c r="Y5" i="34"/>
  <c r="Y93" i="34"/>
  <c r="AA742" i="3"/>
  <c r="AA93" i="34" s="1"/>
  <c r="Y35" i="34"/>
  <c r="AA684" i="3"/>
  <c r="AA35" i="34" s="1"/>
  <c r="AA670" i="3"/>
  <c r="AA21" i="34" s="1"/>
  <c r="Y21" i="34"/>
  <c r="AA713" i="3"/>
  <c r="AA64" i="34" s="1"/>
  <c r="Y64" i="34"/>
  <c r="Y23" i="34"/>
  <c r="AA672" i="3"/>
  <c r="AA23" i="34" s="1"/>
  <c r="AA708" i="3"/>
  <c r="AA59" i="34" s="1"/>
  <c r="Y59" i="34"/>
  <c r="AA717" i="3"/>
  <c r="AA68" i="34" s="1"/>
  <c r="Y68" i="34"/>
  <c r="B373" i="3"/>
  <c r="F360" i="3"/>
  <c r="C3" i="5"/>
  <c r="C30" i="32"/>
  <c r="D90" i="24"/>
  <c r="E828" i="3"/>
  <c r="E23" i="24" s="1"/>
  <c r="E826" i="3"/>
  <c r="E823" i="3"/>
  <c r="E824" i="3"/>
  <c r="E827" i="3"/>
  <c r="B426" i="3"/>
  <c r="E203" i="24"/>
  <c r="E139" i="32"/>
  <c r="Y8" i="34"/>
  <c r="AA657" i="3"/>
  <c r="AA8" i="34" s="1"/>
  <c r="Y18" i="34"/>
  <c r="AA667" i="3"/>
  <c r="AA18" i="34" s="1"/>
  <c r="AA674" i="3"/>
  <c r="AA25" i="34" s="1"/>
  <c r="Y25" i="34"/>
  <c r="Y46" i="34"/>
  <c r="AA695" i="3"/>
  <c r="AA46" i="34" s="1"/>
  <c r="Y80" i="34"/>
  <c r="AA729" i="3"/>
  <c r="AA80" i="34" s="1"/>
  <c r="Y44" i="34"/>
  <c r="AA693" i="3"/>
  <c r="AA44" i="34" s="1"/>
  <c r="Y73" i="34"/>
  <c r="AA722" i="3"/>
  <c r="AA73" i="34" s="1"/>
  <c r="Y75" i="34"/>
  <c r="AA724" i="3"/>
  <c r="AA75" i="34" s="1"/>
  <c r="AA725" i="3"/>
  <c r="AA76" i="34" s="1"/>
  <c r="Y76" i="34"/>
  <c r="Y66" i="34"/>
  <c r="AA715" i="3"/>
  <c r="AA66" i="34" s="1"/>
  <c r="Y87" i="34"/>
  <c r="AA736" i="3"/>
  <c r="AA87" i="34" s="1"/>
  <c r="Y15" i="34"/>
  <c r="AA664" i="3"/>
  <c r="AA15" i="34" s="1"/>
  <c r="AA744" i="3"/>
  <c r="AA95" i="34" s="1"/>
  <c r="Y95" i="34"/>
  <c r="Y74" i="34"/>
  <c r="AA723" i="3"/>
  <c r="AA74" i="34" s="1"/>
  <c r="AA675" i="3"/>
  <c r="AA26" i="34" s="1"/>
  <c r="Y26" i="34"/>
  <c r="Y38" i="34"/>
  <c r="AA687" i="3"/>
  <c r="AA38" i="34" s="1"/>
  <c r="Y79" i="34"/>
  <c r="AA728" i="3"/>
  <c r="AA79" i="34" s="1"/>
  <c r="Y85" i="34"/>
  <c r="AA734" i="3"/>
  <c r="AA85" i="34" s="1"/>
  <c r="AA661" i="3"/>
  <c r="AA12" i="34" s="1"/>
  <c r="Y12" i="34"/>
  <c r="AA732" i="3"/>
  <c r="AA83" i="34" s="1"/>
  <c r="Y83" i="34"/>
  <c r="Y22" i="34"/>
  <c r="AA671" i="3"/>
  <c r="AA22" i="34" s="1"/>
  <c r="Y84" i="34"/>
  <c r="AA733" i="3"/>
  <c r="AA84" i="34" s="1"/>
  <c r="Y32" i="34"/>
  <c r="AA681" i="3"/>
  <c r="AA32" i="34" s="1"/>
  <c r="Y33" i="34"/>
  <c r="AA682" i="3"/>
  <c r="AA33" i="34" s="1"/>
  <c r="Y17" i="34"/>
  <c r="AA666" i="3"/>
  <c r="AA17" i="34" s="1"/>
  <c r="B772" i="44" l="1"/>
  <c r="N721" i="3"/>
  <c r="N72" i="34" s="1"/>
  <c r="L743" i="3"/>
  <c r="L94" i="34" s="1"/>
  <c r="L699" i="3"/>
  <c r="L50" i="34" s="1"/>
  <c r="N659" i="3"/>
  <c r="N10" i="34" s="1"/>
  <c r="L659" i="3"/>
  <c r="L671" i="3"/>
  <c r="L22" i="34" s="1"/>
  <c r="L664" i="3"/>
  <c r="L15" i="34" s="1"/>
  <c r="L673" i="3"/>
  <c r="L24" i="34" s="1"/>
  <c r="L667" i="3"/>
  <c r="L18" i="34" s="1"/>
  <c r="N691" i="3"/>
  <c r="N42" i="34" s="1"/>
  <c r="L654" i="3"/>
  <c r="L5" i="34" s="1"/>
  <c r="L679" i="3"/>
  <c r="L30" i="34" s="1"/>
  <c r="L714" i="3"/>
  <c r="L65" i="34" s="1"/>
  <c r="N730" i="3"/>
  <c r="N81" i="34" s="1"/>
  <c r="L698" i="3"/>
  <c r="L49" i="34" s="1"/>
  <c r="N690" i="3"/>
  <c r="N41" i="34" s="1"/>
  <c r="N654" i="3"/>
  <c r="N742" i="3"/>
  <c r="N93" i="34" s="1"/>
  <c r="N703" i="3"/>
  <c r="N54" i="34" s="1"/>
  <c r="L703" i="3"/>
  <c r="L54" i="34" s="1"/>
  <c r="N712" i="3"/>
  <c r="N63" i="34" s="1"/>
  <c r="L670" i="3"/>
  <c r="L21" i="34" s="1"/>
  <c r="N701" i="3"/>
  <c r="N52" i="34" s="1"/>
  <c r="L750" i="3"/>
  <c r="L101" i="34" s="1"/>
  <c r="L734" i="3"/>
  <c r="L85" i="34" s="1"/>
  <c r="L690" i="3"/>
  <c r="L694" i="3"/>
  <c r="L45" i="34" s="1"/>
  <c r="L742" i="3"/>
  <c r="L93" i="34" s="1"/>
  <c r="L666" i="3"/>
  <c r="L17" i="34" s="1"/>
  <c r="N705" i="3"/>
  <c r="N56" i="34" s="1"/>
  <c r="N748" i="3"/>
  <c r="N99" i="34" s="1"/>
  <c r="N686" i="3"/>
  <c r="N37" i="34" s="1"/>
  <c r="L719" i="3"/>
  <c r="L70" i="34" s="1"/>
  <c r="N747" i="3"/>
  <c r="N98" i="34" s="1"/>
  <c r="L730" i="3"/>
  <c r="L81" i="34" s="1"/>
  <c r="N710" i="3"/>
  <c r="N61" i="34" s="1"/>
  <c r="L738" i="3"/>
  <c r="L89" i="34" s="1"/>
  <c r="L710" i="3"/>
  <c r="L61" i="34" s="1"/>
  <c r="N709" i="3"/>
  <c r="N60" i="34" s="1"/>
  <c r="N713" i="3"/>
  <c r="N64" i="34" s="1"/>
  <c r="N671" i="3"/>
  <c r="N22" i="34" s="1"/>
  <c r="N678" i="3"/>
  <c r="N29" i="34" s="1"/>
  <c r="N731" i="3"/>
  <c r="N82" i="34" s="1"/>
  <c r="L682" i="3"/>
  <c r="L33" i="34" s="1"/>
  <c r="N664" i="3"/>
  <c r="N15" i="34" s="1"/>
  <c r="L735" i="3"/>
  <c r="L86" i="34" s="1"/>
  <c r="N675" i="3"/>
  <c r="N26" i="34" s="1"/>
  <c r="L701" i="3"/>
  <c r="L52" i="34" s="1"/>
  <c r="N699" i="3"/>
  <c r="N50" i="34" s="1"/>
  <c r="L655" i="3"/>
  <c r="L6" i="34" s="1"/>
  <c r="L688" i="3"/>
  <c r="L39" i="34" s="1"/>
  <c r="N660" i="3"/>
  <c r="N11" i="34" s="1"/>
  <c r="L715" i="3"/>
  <c r="L66" i="34" s="1"/>
  <c r="N720" i="3"/>
  <c r="N71" i="34" s="1"/>
  <c r="N682" i="3"/>
  <c r="N33" i="34" s="1"/>
  <c r="N665" i="3"/>
  <c r="N16" i="34" s="1"/>
  <c r="L657" i="3"/>
  <c r="L8" i="34" s="1"/>
  <c r="N681" i="3"/>
  <c r="N32" i="34" s="1"/>
  <c r="L678" i="3"/>
  <c r="L29" i="34" s="1"/>
  <c r="N717" i="3"/>
  <c r="N68" i="34" s="1"/>
  <c r="L680" i="3"/>
  <c r="L31" i="34" s="1"/>
  <c r="N696" i="3"/>
  <c r="N47" i="34" s="1"/>
  <c r="L705" i="3"/>
  <c r="L749" i="3"/>
  <c r="L100" i="34" s="1"/>
  <c r="N728" i="3"/>
  <c r="N79" i="34" s="1"/>
  <c r="N698" i="3"/>
  <c r="N49" i="34" s="1"/>
  <c r="N706" i="3"/>
  <c r="N57" i="34" s="1"/>
  <c r="N661" i="3"/>
  <c r="N12" i="34" s="1"/>
  <c r="N727" i="3"/>
  <c r="N78" i="34" s="1"/>
  <c r="L675" i="3"/>
  <c r="L26" i="34" s="1"/>
  <c r="L741" i="3"/>
  <c r="L92" i="34" s="1"/>
  <c r="D1672" i="44"/>
  <c r="D1671" i="44"/>
  <c r="L713" i="3"/>
  <c r="N697" i="3"/>
  <c r="N48" i="34" s="1"/>
  <c r="L716" i="3"/>
  <c r="L67" i="34" s="1"/>
  <c r="N676" i="3"/>
  <c r="N27" i="34" s="1"/>
  <c r="L728" i="3"/>
  <c r="L79" i="34" s="1"/>
  <c r="L717" i="3"/>
  <c r="L702" i="3"/>
  <c r="L53" i="34" s="1"/>
  <c r="L721" i="3"/>
  <c r="L72" i="34" s="1"/>
  <c r="L720" i="3"/>
  <c r="L71" i="34" s="1"/>
  <c r="L724" i="3"/>
  <c r="L75" i="34" s="1"/>
  <c r="N707" i="3"/>
  <c r="N58" i="34" s="1"/>
  <c r="N724" i="3"/>
  <c r="N75" i="34" s="1"/>
  <c r="N737" i="3"/>
  <c r="N88" i="34" s="1"/>
  <c r="L683" i="3"/>
  <c r="N695" i="3"/>
  <c r="N46" i="34" s="1"/>
  <c r="N744" i="3"/>
  <c r="N95" i="34" s="1"/>
  <c r="N677" i="3"/>
  <c r="N28" i="34" s="1"/>
  <c r="N685" i="3"/>
  <c r="N36" i="34" s="1"/>
  <c r="N735" i="3"/>
  <c r="N86" i="34" s="1"/>
  <c r="L731" i="3"/>
  <c r="N663" i="3"/>
  <c r="N14" i="34" s="1"/>
  <c r="L718" i="3"/>
  <c r="L69" i="34" s="1"/>
  <c r="N684" i="3"/>
  <c r="N35" i="34" s="1"/>
  <c r="N729" i="3"/>
  <c r="N80" i="34" s="1"/>
  <c r="L739" i="3"/>
  <c r="L90" i="34" s="1"/>
  <c r="L729" i="3"/>
  <c r="L80" i="34" s="1"/>
  <c r="L674" i="3"/>
  <c r="L25" i="34" s="1"/>
  <c r="L747" i="3"/>
  <c r="L98" i="34" s="1"/>
  <c r="L681" i="3"/>
  <c r="L723" i="3"/>
  <c r="L74" i="34" s="1"/>
  <c r="L700" i="3"/>
  <c r="L662" i="3"/>
  <c r="L748" i="3"/>
  <c r="L99" i="34" s="1"/>
  <c r="L692" i="3"/>
  <c r="L43" i="34" s="1"/>
  <c r="N714" i="3"/>
  <c r="N65" i="34" s="1"/>
  <c r="N704" i="3"/>
  <c r="N55" i="34" s="1"/>
  <c r="N668" i="3"/>
  <c r="N19" i="34" s="1"/>
  <c r="N670" i="3"/>
  <c r="N21" i="34" s="1"/>
  <c r="N667" i="3"/>
  <c r="N18" i="34" s="1"/>
  <c r="N711" i="3"/>
  <c r="N62" i="34" s="1"/>
  <c r="N726" i="3"/>
  <c r="N77" i="34" s="1"/>
  <c r="N693" i="3"/>
  <c r="N44" i="34" s="1"/>
  <c r="L736" i="3"/>
  <c r="L689" i="3"/>
  <c r="L40" i="34" s="1"/>
  <c r="N673" i="3"/>
  <c r="N24" i="34" s="1"/>
  <c r="L685" i="3"/>
  <c r="N746" i="3"/>
  <c r="N97" i="34" s="1"/>
  <c r="N739" i="3"/>
  <c r="N90" i="34" s="1"/>
  <c r="L725" i="3"/>
  <c r="L76" i="34" s="1"/>
  <c r="L696" i="3"/>
  <c r="L47" i="34" s="1"/>
  <c r="L740" i="3"/>
  <c r="N669" i="3"/>
  <c r="N20" i="34" s="1"/>
  <c r="L669" i="3"/>
  <c r="L20" i="34" s="1"/>
  <c r="N732" i="3"/>
  <c r="N83" i="34" s="1"/>
  <c r="N680" i="3"/>
  <c r="N31" i="34" s="1"/>
  <c r="L704" i="3"/>
  <c r="L55" i="34" s="1"/>
  <c r="L676" i="3"/>
  <c r="N736" i="3"/>
  <c r="N87" i="34" s="1"/>
  <c r="N658" i="3"/>
  <c r="N9" i="34" s="1"/>
  <c r="N734" i="3"/>
  <c r="N85" i="34" s="1"/>
  <c r="L712" i="3"/>
  <c r="L693" i="3"/>
  <c r="N656" i="3"/>
  <c r="N7" i="34" s="1"/>
  <c r="N672" i="3"/>
  <c r="N23" i="34" s="1"/>
  <c r="N708" i="3"/>
  <c r="N59" i="34" s="1"/>
  <c r="L661" i="3"/>
  <c r="L12" i="34" s="1"/>
  <c r="L668" i="3"/>
  <c r="L697" i="3"/>
  <c r="L48" i="34" s="1"/>
  <c r="N674" i="3"/>
  <c r="N25" i="34" s="1"/>
  <c r="L709" i="3"/>
  <c r="N683" i="3"/>
  <c r="N34" i="34" s="1"/>
  <c r="N750" i="3"/>
  <c r="N101" i="34" s="1"/>
  <c r="N752" i="3"/>
  <c r="N103" i="34" s="1"/>
  <c r="L722" i="3"/>
  <c r="L73" i="34" s="1"/>
  <c r="L711" i="3"/>
  <c r="L62" i="34" s="1"/>
  <c r="L733" i="3"/>
  <c r="L84" i="34" s="1"/>
  <c r="N692" i="3"/>
  <c r="N43" i="34" s="1"/>
  <c r="L708" i="3"/>
  <c r="L59" i="34" s="1"/>
  <c r="N700" i="3"/>
  <c r="N51" i="34" s="1"/>
  <c r="N743" i="3"/>
  <c r="N94" i="34" s="1"/>
  <c r="L672" i="3"/>
  <c r="L23" i="34" s="1"/>
  <c r="L707" i="3"/>
  <c r="L58" i="34" s="1"/>
  <c r="N679" i="3"/>
  <c r="N30" i="34" s="1"/>
  <c r="N655" i="3"/>
  <c r="N6" i="34" s="1"/>
  <c r="N662" i="3"/>
  <c r="N13" i="34" s="1"/>
  <c r="L691" i="3"/>
  <c r="L42" i="34" s="1"/>
  <c r="L752" i="3"/>
  <c r="L103" i="34" s="1"/>
  <c r="L665" i="3"/>
  <c r="N716" i="3"/>
  <c r="N67" i="34" s="1"/>
  <c r="L706" i="3"/>
  <c r="L57" i="34" s="1"/>
  <c r="N740" i="3"/>
  <c r="N91" i="34" s="1"/>
  <c r="N694" i="3"/>
  <c r="N45" i="34" s="1"/>
  <c r="N702" i="3"/>
  <c r="N53" i="34" s="1"/>
  <c r="L684" i="3"/>
  <c r="L35" i="34" s="1"/>
  <c r="L746" i="3"/>
  <c r="L97" i="34" s="1"/>
  <c r="L732" i="3"/>
  <c r="L744" i="3"/>
  <c r="L95" i="34" s="1"/>
  <c r="L658" i="3"/>
  <c r="L9" i="34" s="1"/>
  <c r="L751" i="3"/>
  <c r="L102" i="34" s="1"/>
  <c r="N666" i="3"/>
  <c r="N17" i="34" s="1"/>
  <c r="L687" i="3"/>
  <c r="O687" i="3" s="1"/>
  <c r="N723" i="3"/>
  <c r="N74" i="34" s="1"/>
  <c r="N751" i="3"/>
  <c r="N102" i="34" s="1"/>
  <c r="N689" i="3"/>
  <c r="N40" i="34" s="1"/>
  <c r="N718" i="3"/>
  <c r="N69" i="34" s="1"/>
  <c r="N719" i="3"/>
  <c r="N70" i="34" s="1"/>
  <c r="N715" i="3"/>
  <c r="N66" i="34" s="1"/>
  <c r="L695" i="3"/>
  <c r="L46" i="34" s="1"/>
  <c r="N741" i="3"/>
  <c r="N92" i="34" s="1"/>
  <c r="L660" i="3"/>
  <c r="L11" i="34" s="1"/>
  <c r="N657" i="3"/>
  <c r="N8" i="34" s="1"/>
  <c r="L677" i="3"/>
  <c r="L737" i="3"/>
  <c r="L88" i="34" s="1"/>
  <c r="L745" i="3"/>
  <c r="L96" i="34" s="1"/>
  <c r="N725" i="3"/>
  <c r="N76" i="34" s="1"/>
  <c r="N733" i="3"/>
  <c r="N84" i="34" s="1"/>
  <c r="L726" i="3"/>
  <c r="L686" i="3"/>
  <c r="L37" i="34" s="1"/>
  <c r="N749" i="3"/>
  <c r="N100" i="34" s="1"/>
  <c r="N722" i="3"/>
  <c r="N73" i="34" s="1"/>
  <c r="N688" i="3"/>
  <c r="N39" i="34" s="1"/>
  <c r="L663" i="3"/>
  <c r="L14" i="34" s="1"/>
  <c r="L727" i="3"/>
  <c r="N745" i="3"/>
  <c r="N96" i="34" s="1"/>
  <c r="L656" i="3"/>
  <c r="L7" i="34" s="1"/>
  <c r="N738" i="3"/>
  <c r="N89" i="34" s="1"/>
  <c r="E95" i="41"/>
  <c r="G100" i="41" s="1"/>
  <c r="F34" i="43"/>
  <c r="F26" i="43"/>
  <c r="B2439" i="44"/>
  <c r="D2950" i="44"/>
  <c r="F18" i="43"/>
  <c r="D770" i="44"/>
  <c r="G58" i="42"/>
  <c r="D61" i="43" s="1"/>
  <c r="G57" i="42"/>
  <c r="D2758" i="44"/>
  <c r="D624" i="44"/>
  <c r="D625" i="44"/>
  <c r="B1957" i="44"/>
  <c r="B1958" i="44" s="1"/>
  <c r="D1958" i="44" s="1"/>
  <c r="D1892" i="44"/>
  <c r="D718" i="44"/>
  <c r="D1893" i="44"/>
  <c r="D721" i="44"/>
  <c r="D2596" i="44"/>
  <c r="D1619" i="44"/>
  <c r="B628" i="44"/>
  <c r="B631" i="44" s="1"/>
  <c r="D626" i="44"/>
  <c r="D623" i="44"/>
  <c r="D717" i="44"/>
  <c r="D1766" i="44"/>
  <c r="B1767" i="44"/>
  <c r="D499" i="44"/>
  <c r="D720" i="44"/>
  <c r="B2661" i="44"/>
  <c r="D2660" i="44"/>
  <c r="D500" i="44"/>
  <c r="D497" i="44"/>
  <c r="D2275" i="44"/>
  <c r="B2276" i="44"/>
  <c r="D498" i="44"/>
  <c r="B1783" i="44"/>
  <c r="D1783" i="44" s="1"/>
  <c r="B501" i="44"/>
  <c r="D501" i="44" s="1"/>
  <c r="B2917" i="44"/>
  <c r="D2916" i="44"/>
  <c r="D3012" i="44"/>
  <c r="B3013" i="44"/>
  <c r="K1187" i="5"/>
  <c r="F1187" i="5"/>
  <c r="P1187" i="5"/>
  <c r="M1187" i="5"/>
  <c r="S1187" i="5"/>
  <c r="E1187" i="5"/>
  <c r="C1187" i="5"/>
  <c r="Q1187" i="5"/>
  <c r="D1187" i="5"/>
  <c r="O1187" i="5"/>
  <c r="N1187" i="5"/>
  <c r="R1187" i="5"/>
  <c r="H1187" i="5"/>
  <c r="J1187" i="5"/>
  <c r="I1187" i="5"/>
  <c r="L1187" i="5"/>
  <c r="T1187" i="5"/>
  <c r="G1187" i="5"/>
  <c r="A1188" i="5"/>
  <c r="B1189" i="5"/>
  <c r="B1716" i="44"/>
  <c r="D1715" i="44"/>
  <c r="J14" i="32"/>
  <c r="I32" i="32"/>
  <c r="B2628" i="44"/>
  <c r="D2627" i="44"/>
  <c r="X753" i="3"/>
  <c r="C1072" i="5" s="1"/>
  <c r="X5" i="34"/>
  <c r="V104" i="34"/>
  <c r="C760" i="3"/>
  <c r="C1070" i="5"/>
  <c r="B2039" i="44"/>
  <c r="D2038" i="44"/>
  <c r="D3124" i="44"/>
  <c r="B3125" i="44"/>
  <c r="D3029" i="44"/>
  <c r="B3030" i="44"/>
  <c r="B1972" i="44"/>
  <c r="D1971" i="44"/>
  <c r="D893" i="44"/>
  <c r="D892" i="44"/>
  <c r="D2291" i="44"/>
  <c r="B2292" i="44"/>
  <c r="D2612" i="44"/>
  <c r="B2613" i="44"/>
  <c r="D2771" i="44"/>
  <c r="B2772" i="44"/>
  <c r="B2229" i="44"/>
  <c r="D2228" i="44"/>
  <c r="B3092" i="44"/>
  <c r="D3091" i="44"/>
  <c r="B2101" i="44"/>
  <c r="D2100" i="44"/>
  <c r="D1796" i="44"/>
  <c r="B1797" i="44"/>
  <c r="D873" i="44"/>
  <c r="B874" i="44"/>
  <c r="D871" i="44"/>
  <c r="D872" i="44"/>
  <c r="D3155" i="44"/>
  <c r="B3156" i="44"/>
  <c r="D2567" i="44"/>
  <c r="B2568" i="44"/>
  <c r="D1940" i="44"/>
  <c r="B1941" i="44"/>
  <c r="B2822" i="44"/>
  <c r="D2821" i="44"/>
  <c r="B1865" i="44"/>
  <c r="D1864" i="44"/>
  <c r="D1604" i="44"/>
  <c r="B1605" i="44"/>
  <c r="B2886" i="44"/>
  <c r="D2885" i="44"/>
  <c r="D2708" i="44"/>
  <c r="B2709" i="44"/>
  <c r="D2245" i="44"/>
  <c r="B2246" i="44"/>
  <c r="D2980" i="44"/>
  <c r="B2981" i="44"/>
  <c r="D1924" i="44"/>
  <c r="B1925" i="44"/>
  <c r="D1732" i="44"/>
  <c r="B1733" i="44"/>
  <c r="B2743" i="44"/>
  <c r="D2742" i="44"/>
  <c r="B3060" i="44"/>
  <c r="D3059" i="44"/>
  <c r="B2390" i="44"/>
  <c r="D2389" i="44"/>
  <c r="D2515" i="44"/>
  <c r="B2516" i="44"/>
  <c r="B2084" i="44"/>
  <c r="D2083" i="44"/>
  <c r="B1654" i="44"/>
  <c r="D1653" i="44"/>
  <c r="B1754" i="44"/>
  <c r="D1753" i="44"/>
  <c r="D2966" i="44"/>
  <c r="B2967" i="44"/>
  <c r="B2052" i="44"/>
  <c r="D2051" i="44"/>
  <c r="B2996" i="44"/>
  <c r="D2995" i="44"/>
  <c r="D2484" i="44"/>
  <c r="B2485" i="44"/>
  <c r="B2792" i="44"/>
  <c r="D2791" i="44"/>
  <c r="B1674" i="44"/>
  <c r="D1673" i="44"/>
  <c r="B2198" i="44"/>
  <c r="D2197" i="44"/>
  <c r="B2644" i="44"/>
  <c r="D2643" i="44"/>
  <c r="D2069" i="44"/>
  <c r="B2070" i="44"/>
  <c r="D2852" i="44"/>
  <c r="B2853" i="44"/>
  <c r="D1587" i="44"/>
  <c r="B1588" i="44"/>
  <c r="D578" i="44"/>
  <c r="B579" i="44"/>
  <c r="D577" i="44"/>
  <c r="D2004" i="44"/>
  <c r="B2005" i="44"/>
  <c r="D2548" i="44"/>
  <c r="B2549" i="44"/>
  <c r="B2404" i="44"/>
  <c r="D2403" i="44"/>
  <c r="D2597" i="44"/>
  <c r="B2598" i="44"/>
  <c r="B2261" i="44"/>
  <c r="D2260" i="44"/>
  <c r="D2693" i="44"/>
  <c r="B2694" i="44"/>
  <c r="D2342" i="44"/>
  <c r="B2343" i="44"/>
  <c r="B1636" i="44"/>
  <c r="D1635" i="44"/>
  <c r="D1620" i="44"/>
  <c r="B1621" i="44"/>
  <c r="D811" i="44"/>
  <c r="B813" i="44"/>
  <c r="D812" i="44"/>
  <c r="D2899" i="44"/>
  <c r="B2900" i="44"/>
  <c r="D3110" i="44"/>
  <c r="B3111" i="44"/>
  <c r="B1684" i="44"/>
  <c r="D1683" i="44"/>
  <c r="B2726" i="44"/>
  <c r="D2725" i="44"/>
  <c r="D3044" i="44"/>
  <c r="B3045" i="44"/>
  <c r="D2164" i="44"/>
  <c r="B2165" i="44"/>
  <c r="B2452" i="44"/>
  <c r="D2451" i="44"/>
  <c r="B2676" i="44"/>
  <c r="D2675" i="44"/>
  <c r="B2149" i="44"/>
  <c r="D2148" i="44"/>
  <c r="B2932" i="44"/>
  <c r="D2931" i="44"/>
  <c r="D2421" i="44"/>
  <c r="B2422" i="44"/>
  <c r="D2951" i="44"/>
  <c r="B2952" i="44"/>
  <c r="D2533" i="44"/>
  <c r="B2534" i="44"/>
  <c r="D1987" i="44"/>
  <c r="B1988" i="44"/>
  <c r="B2375" i="44"/>
  <c r="D2374" i="44"/>
  <c r="D2116" i="44"/>
  <c r="B2117" i="44"/>
  <c r="D2132" i="44"/>
  <c r="B2133" i="44"/>
  <c r="B2023" i="44"/>
  <c r="D2022" i="44"/>
  <c r="B2502" i="44"/>
  <c r="D2501" i="44"/>
  <c r="B2837" i="44"/>
  <c r="D2836" i="44"/>
  <c r="B1812" i="44"/>
  <c r="D1811" i="44"/>
  <c r="D2805" i="44"/>
  <c r="B2806" i="44"/>
  <c r="B2213" i="44"/>
  <c r="D2212" i="44"/>
  <c r="D793" i="44"/>
  <c r="B794" i="44"/>
  <c r="D792" i="44"/>
  <c r="D791" i="44"/>
  <c r="D3076" i="44"/>
  <c r="B3077" i="44"/>
  <c r="D1701" i="44"/>
  <c r="B1702" i="44"/>
  <c r="D1829" i="44"/>
  <c r="B1830" i="44"/>
  <c r="B2760" i="44"/>
  <c r="D2759" i="44"/>
  <c r="D2868" i="44"/>
  <c r="B2869" i="44"/>
  <c r="D1876" i="44"/>
  <c r="B1877" i="44"/>
  <c r="B1845" i="44"/>
  <c r="D1844" i="44"/>
  <c r="B2357" i="44"/>
  <c r="D2356" i="44"/>
  <c r="D2180" i="44"/>
  <c r="B2181" i="44"/>
  <c r="B2311" i="44"/>
  <c r="D2310" i="44"/>
  <c r="B350" i="44"/>
  <c r="D347" i="44"/>
  <c r="D346" i="44"/>
  <c r="D349" i="44"/>
  <c r="D345" i="44"/>
  <c r="D348" i="44"/>
  <c r="D772" i="44"/>
  <c r="D773" i="44"/>
  <c r="D774" i="44"/>
  <c r="B775" i="44"/>
  <c r="D2582" i="44"/>
  <c r="B2583" i="44"/>
  <c r="D1894" i="44"/>
  <c r="B1895" i="44"/>
  <c r="D2439" i="44"/>
  <c r="B2440" i="44"/>
  <c r="B846" i="44"/>
  <c r="D845" i="44"/>
  <c r="D844" i="44"/>
  <c r="B433" i="44"/>
  <c r="D430" i="44"/>
  <c r="D432" i="44"/>
  <c r="D429" i="44"/>
  <c r="D431" i="44"/>
  <c r="D428" i="44"/>
  <c r="B3142" i="44"/>
  <c r="D3141" i="44"/>
  <c r="B1912" i="44"/>
  <c r="D1911" i="44"/>
  <c r="B2471" i="44"/>
  <c r="D2470" i="44"/>
  <c r="B2327" i="44"/>
  <c r="D2326" i="44"/>
  <c r="C456" i="5"/>
  <c r="E825" i="3"/>
  <c r="E22" i="24"/>
  <c r="C86" i="32"/>
  <c r="B375" i="3"/>
  <c r="B380" i="3" s="1"/>
  <c r="F393" i="3" s="1"/>
  <c r="C111" i="24"/>
  <c r="C373" i="3"/>
  <c r="E232" i="44"/>
  <c r="A232" i="44" s="1"/>
  <c r="D317" i="3"/>
  <c r="E317" i="3" s="1"/>
  <c r="F41" i="24" s="1"/>
  <c r="C512" i="5"/>
  <c r="J55" i="25"/>
  <c r="C42" i="24"/>
  <c r="F11" i="32"/>
  <c r="E13" i="32"/>
  <c r="E15" i="32" s="1"/>
  <c r="E17" i="32" s="1"/>
  <c r="C455" i="5"/>
  <c r="G825" i="3"/>
  <c r="D22" i="24"/>
  <c r="B409" i="3"/>
  <c r="E165" i="24"/>
  <c r="C460" i="5"/>
  <c r="E26" i="24"/>
  <c r="D30" i="32"/>
  <c r="C33" i="32"/>
  <c r="C36" i="32" s="1"/>
  <c r="C37" i="32" s="1"/>
  <c r="AA5" i="34"/>
  <c r="AA753" i="3"/>
  <c r="C1073" i="5" s="1"/>
  <c r="B491" i="3"/>
  <c r="F85" i="25"/>
  <c r="D112" i="24"/>
  <c r="D374" i="3"/>
  <c r="D87" i="32"/>
  <c r="C451" i="5"/>
  <c r="D24" i="24"/>
  <c r="C458" i="5"/>
  <c r="E27" i="24"/>
  <c r="D26" i="24"/>
  <c r="C459" i="5"/>
  <c r="D145" i="32"/>
  <c r="B516" i="3"/>
  <c r="B547" i="3"/>
  <c r="J74" i="32"/>
  <c r="D209" i="24"/>
  <c r="B463" i="3"/>
  <c r="B464" i="3" s="1"/>
  <c r="B456" i="3"/>
  <c r="F65" i="25" s="1"/>
  <c r="J50" i="24"/>
  <c r="B493" i="3"/>
  <c r="F88" i="25" s="1"/>
  <c r="E24" i="24"/>
  <c r="C452" i="5"/>
  <c r="C457" i="5"/>
  <c r="D27" i="24"/>
  <c r="C516" i="3" l="1"/>
  <c r="G65" i="25" s="1"/>
  <c r="O709" i="3"/>
  <c r="P709" i="3" s="1"/>
  <c r="O659" i="3"/>
  <c r="P659" i="3" s="1"/>
  <c r="L10" i="34"/>
  <c r="O703" i="3"/>
  <c r="P703" i="3" s="1"/>
  <c r="O666" i="3"/>
  <c r="P666" i="3" s="1"/>
  <c r="O731" i="3"/>
  <c r="P731" i="3" s="1"/>
  <c r="L82" i="34"/>
  <c r="O710" i="3"/>
  <c r="O61" i="34" s="1"/>
  <c r="O696" i="3"/>
  <c r="O47" i="34" s="1"/>
  <c r="O712" i="3"/>
  <c r="P712" i="3" s="1"/>
  <c r="O727" i="3"/>
  <c r="P727" i="3" s="1"/>
  <c r="O664" i="3"/>
  <c r="O15" i="34" s="1"/>
  <c r="O661" i="3"/>
  <c r="P661" i="3" s="1"/>
  <c r="O724" i="3"/>
  <c r="P724" i="3" s="1"/>
  <c r="O676" i="3"/>
  <c r="O27" i="34" s="1"/>
  <c r="O715" i="3"/>
  <c r="O66" i="34" s="1"/>
  <c r="O697" i="3"/>
  <c r="O48" i="34" s="1"/>
  <c r="O682" i="3"/>
  <c r="P682" i="3" s="1"/>
  <c r="O730" i="3"/>
  <c r="O81" i="34" s="1"/>
  <c r="O706" i="3"/>
  <c r="P706" i="3" s="1"/>
  <c r="O717" i="3"/>
  <c r="O68" i="34" s="1"/>
  <c r="O705" i="3"/>
  <c r="O56" i="34" s="1"/>
  <c r="L78" i="34"/>
  <c r="O694" i="3"/>
  <c r="P694" i="3" s="1"/>
  <c r="O713" i="3"/>
  <c r="O64" i="34" s="1"/>
  <c r="O690" i="3"/>
  <c r="P690" i="3" s="1"/>
  <c r="O654" i="3"/>
  <c r="O5" i="34" s="1"/>
  <c r="O693" i="3"/>
  <c r="O44" i="34" s="1"/>
  <c r="O685" i="3"/>
  <c r="O36" i="34" s="1"/>
  <c r="O720" i="3"/>
  <c r="O71" i="34" s="1"/>
  <c r="O678" i="3"/>
  <c r="O29" i="34" s="1"/>
  <c r="L64" i="34"/>
  <c r="O688" i="3"/>
  <c r="O39" i="34" s="1"/>
  <c r="L27" i="34"/>
  <c r="O677" i="3"/>
  <c r="P677" i="3" s="1"/>
  <c r="O665" i="3"/>
  <c r="O16" i="34" s="1"/>
  <c r="O747" i="3"/>
  <c r="O98" i="34" s="1"/>
  <c r="L41" i="34"/>
  <c r="O726" i="3"/>
  <c r="O77" i="34" s="1"/>
  <c r="O681" i="3"/>
  <c r="O32" i="34" s="1"/>
  <c r="O742" i="3"/>
  <c r="P742" i="3" s="1"/>
  <c r="O716" i="3"/>
  <c r="P716" i="3" s="1"/>
  <c r="O699" i="3"/>
  <c r="P699" i="3" s="1"/>
  <c r="O748" i="3"/>
  <c r="O99" i="34" s="1"/>
  <c r="L56" i="34"/>
  <c r="O698" i="3"/>
  <c r="O49" i="34" s="1"/>
  <c r="O701" i="3"/>
  <c r="P701" i="3" s="1"/>
  <c r="O675" i="3"/>
  <c r="O26" i="34" s="1"/>
  <c r="O736" i="3"/>
  <c r="P736" i="3" s="1"/>
  <c r="O719" i="3"/>
  <c r="O70" i="34" s="1"/>
  <c r="N5" i="34"/>
  <c r="O671" i="3"/>
  <c r="P671" i="3" s="1"/>
  <c r="O691" i="3"/>
  <c r="O42" i="34" s="1"/>
  <c r="O738" i="3"/>
  <c r="P738" i="3" s="1"/>
  <c r="L68" i="34"/>
  <c r="O718" i="3"/>
  <c r="O69" i="34" s="1"/>
  <c r="L44" i="34"/>
  <c r="O668" i="3"/>
  <c r="O19" i="34" s="1"/>
  <c r="O660" i="3"/>
  <c r="O11" i="34" s="1"/>
  <c r="G99" i="41"/>
  <c r="O740" i="3"/>
  <c r="P740" i="3" s="1"/>
  <c r="L87" i="34"/>
  <c r="O658" i="3"/>
  <c r="P658" i="3" s="1"/>
  <c r="L19" i="34"/>
  <c r="O655" i="3"/>
  <c r="O6" i="34" s="1"/>
  <c r="O735" i="3"/>
  <c r="P735" i="3" s="1"/>
  <c r="O700" i="3"/>
  <c r="P700" i="3" s="1"/>
  <c r="O692" i="3"/>
  <c r="P692" i="3" s="1"/>
  <c r="L77" i="34"/>
  <c r="O669" i="3"/>
  <c r="P669" i="3" s="1"/>
  <c r="O725" i="3"/>
  <c r="P725" i="3" s="1"/>
  <c r="O714" i="3"/>
  <c r="O65" i="34" s="1"/>
  <c r="L32" i="34"/>
  <c r="O733" i="3"/>
  <c r="P733" i="3" s="1"/>
  <c r="L91" i="34"/>
  <c r="O707" i="3"/>
  <c r="P707" i="3" s="1"/>
  <c r="O745" i="3"/>
  <c r="O96" i="34" s="1"/>
  <c r="L38" i="34"/>
  <c r="O734" i="3"/>
  <c r="P734" i="3" s="1"/>
  <c r="O679" i="3"/>
  <c r="P679" i="3" s="1"/>
  <c r="L51" i="34"/>
  <c r="O695" i="3"/>
  <c r="O46" i="34" s="1"/>
  <c r="B1959" i="44"/>
  <c r="O680" i="3"/>
  <c r="P680" i="3" s="1"/>
  <c r="O684" i="3"/>
  <c r="O35" i="34" s="1"/>
  <c r="O752" i="3"/>
  <c r="O103" i="34" s="1"/>
  <c r="O667" i="3"/>
  <c r="O18" i="34" s="1"/>
  <c r="O746" i="3"/>
  <c r="P746" i="3" s="1"/>
  <c r="O751" i="3"/>
  <c r="P751" i="3" s="1"/>
  <c r="O657" i="3"/>
  <c r="P657" i="3" s="1"/>
  <c r="O656" i="3"/>
  <c r="O7" i="34" s="1"/>
  <c r="O683" i="3"/>
  <c r="O34" i="34" s="1"/>
  <c r="O732" i="3"/>
  <c r="O83" i="34" s="1"/>
  <c r="O737" i="3"/>
  <c r="P737" i="3" s="1"/>
  <c r="O741" i="3"/>
  <c r="O92" i="34" s="1"/>
  <c r="O723" i="3"/>
  <c r="O74" i="34" s="1"/>
  <c r="L34" i="34"/>
  <c r="O728" i="3"/>
  <c r="O79" i="34" s="1"/>
  <c r="L60" i="34"/>
  <c r="O670" i="3"/>
  <c r="O21" i="34" s="1"/>
  <c r="L36" i="34"/>
  <c r="O674" i="3"/>
  <c r="P674" i="3" s="1"/>
  <c r="O708" i="3"/>
  <c r="P708" i="3" s="1"/>
  <c r="O686" i="3"/>
  <c r="P686" i="3" s="1"/>
  <c r="L63" i="34"/>
  <c r="O702" i="3"/>
  <c r="P702" i="3" s="1"/>
  <c r="O663" i="3"/>
  <c r="O14" i="34" s="1"/>
  <c r="O673" i="3"/>
  <c r="O24" i="34" s="1"/>
  <c r="L753" i="3"/>
  <c r="O721" i="3"/>
  <c r="O72" i="34" s="1"/>
  <c r="O704" i="3"/>
  <c r="P704" i="3" s="1"/>
  <c r="L83" i="34"/>
  <c r="L28" i="34"/>
  <c r="O689" i="3"/>
  <c r="O40" i="34" s="1"/>
  <c r="L13" i="34"/>
  <c r="O711" i="3"/>
  <c r="P711" i="3" s="1"/>
  <c r="O662" i="3"/>
  <c r="O13" i="34" s="1"/>
  <c r="N753" i="3"/>
  <c r="O729" i="3"/>
  <c r="P729" i="3" s="1"/>
  <c r="O744" i="3"/>
  <c r="P744" i="3" s="1"/>
  <c r="L16" i="34"/>
  <c r="O672" i="3"/>
  <c r="P672" i="3" s="1"/>
  <c r="O722" i="3"/>
  <c r="P722" i="3" s="1"/>
  <c r="O750" i="3"/>
  <c r="O101" i="34" s="1"/>
  <c r="O743" i="3"/>
  <c r="O94" i="34" s="1"/>
  <c r="O739" i="3"/>
  <c r="O90" i="34" s="1"/>
  <c r="O749" i="3"/>
  <c r="O100" i="34" s="1"/>
  <c r="G98" i="41"/>
  <c r="G60" i="43"/>
  <c r="F61" i="43" s="1"/>
  <c r="G90" i="41"/>
  <c r="D1957" i="44"/>
  <c r="D504" i="44"/>
  <c r="B1784" i="44"/>
  <c r="D1784" i="44" s="1"/>
  <c r="D628" i="44"/>
  <c r="D629" i="44"/>
  <c r="D630" i="44"/>
  <c r="D25" i="24"/>
  <c r="C453" i="5"/>
  <c r="D1767" i="44"/>
  <c r="B1768" i="44"/>
  <c r="D2661" i="44"/>
  <c r="B2662" i="44"/>
  <c r="B506" i="44"/>
  <c r="D508" i="44" s="1"/>
  <c r="D502" i="44"/>
  <c r="D503" i="44"/>
  <c r="D505" i="44"/>
  <c r="B2277" i="44"/>
  <c r="D2276" i="44"/>
  <c r="B2918" i="44"/>
  <c r="D2917" i="44"/>
  <c r="B548" i="3"/>
  <c r="G88" i="25"/>
  <c r="D3013" i="44"/>
  <c r="B3014" i="44"/>
  <c r="B1190" i="5"/>
  <c r="A1189" i="5"/>
  <c r="T1188" i="5"/>
  <c r="H1188" i="5"/>
  <c r="M1188" i="5"/>
  <c r="R1188" i="5"/>
  <c r="P1188" i="5"/>
  <c r="E1188" i="5"/>
  <c r="S1188" i="5"/>
  <c r="G1188" i="5"/>
  <c r="J1188" i="5"/>
  <c r="Q1188" i="5"/>
  <c r="C1188" i="5"/>
  <c r="I1188" i="5"/>
  <c r="N1188" i="5"/>
  <c r="K1188" i="5"/>
  <c r="L1188" i="5"/>
  <c r="D1188" i="5"/>
  <c r="F1188" i="5"/>
  <c r="O1188" i="5"/>
  <c r="G393" i="3"/>
  <c r="F37" i="24" s="1"/>
  <c r="C118" i="24"/>
  <c r="C93" i="32"/>
  <c r="D37" i="24"/>
  <c r="C4" i="5"/>
  <c r="B1717" i="44"/>
  <c r="D1716" i="44"/>
  <c r="J32" i="32"/>
  <c r="K14" i="32"/>
  <c r="B2629" i="44"/>
  <c r="D2628" i="44"/>
  <c r="B2040" i="44"/>
  <c r="D2039" i="44"/>
  <c r="B3126" i="44"/>
  <c r="D3125" i="44"/>
  <c r="B3031" i="44"/>
  <c r="D3030" i="44"/>
  <c r="D2568" i="44"/>
  <c r="B2569" i="44"/>
  <c r="B3157" i="44"/>
  <c r="D3156" i="44"/>
  <c r="D874" i="44"/>
  <c r="B877" i="44"/>
  <c r="D875" i="44"/>
  <c r="D876" i="44"/>
  <c r="D1797" i="44"/>
  <c r="B1798" i="44"/>
  <c r="D2772" i="44"/>
  <c r="B2773" i="44"/>
  <c r="D2613" i="44"/>
  <c r="B2614" i="44"/>
  <c r="D2292" i="44"/>
  <c r="B2293" i="44"/>
  <c r="D2101" i="44"/>
  <c r="B2102" i="44"/>
  <c r="D3092" i="44"/>
  <c r="B3093" i="44"/>
  <c r="D2229" i="44"/>
  <c r="B2230" i="44"/>
  <c r="B1973" i="44"/>
  <c r="D1972" i="44"/>
  <c r="B1942" i="44"/>
  <c r="D1941" i="44"/>
  <c r="D1865" i="44"/>
  <c r="B1866" i="44"/>
  <c r="B2823" i="44"/>
  <c r="D2822" i="44"/>
  <c r="D1605" i="44"/>
  <c r="B1606" i="44"/>
  <c r="D2886" i="44"/>
  <c r="B2887" i="44"/>
  <c r="B1734" i="44"/>
  <c r="D1733" i="44"/>
  <c r="D1925" i="44"/>
  <c r="B1926" i="44"/>
  <c r="D2981" i="44"/>
  <c r="B2982" i="44"/>
  <c r="D2246" i="44"/>
  <c r="B2247" i="44"/>
  <c r="D2709" i="44"/>
  <c r="B2710" i="44"/>
  <c r="O38" i="34"/>
  <c r="P687" i="3"/>
  <c r="B2486" i="44"/>
  <c r="D2485" i="44"/>
  <c r="D1959" i="44"/>
  <c r="B1960" i="44"/>
  <c r="B2968" i="44"/>
  <c r="D2967" i="44"/>
  <c r="D2516" i="44"/>
  <c r="B2517" i="44"/>
  <c r="D2792" i="44"/>
  <c r="B2793" i="44"/>
  <c r="B2997" i="44"/>
  <c r="D2996" i="44"/>
  <c r="D2052" i="44"/>
  <c r="B2053" i="44"/>
  <c r="B634" i="44"/>
  <c r="D631" i="44"/>
  <c r="D632" i="44"/>
  <c r="D633" i="44"/>
  <c r="D1754" i="44"/>
  <c r="B1755" i="44"/>
  <c r="B1655" i="44"/>
  <c r="D1654" i="44"/>
  <c r="B2085" i="44"/>
  <c r="D2084" i="44"/>
  <c r="D2390" i="44"/>
  <c r="B2391" i="44"/>
  <c r="D3060" i="44"/>
  <c r="B3061" i="44"/>
  <c r="D2743" i="44"/>
  <c r="B2744" i="44"/>
  <c r="B2199" i="44"/>
  <c r="D2198" i="44"/>
  <c r="D1674" i="44"/>
  <c r="B1675" i="44"/>
  <c r="D2583" i="44"/>
  <c r="B2584" i="44"/>
  <c r="B778" i="44"/>
  <c r="D775" i="44"/>
  <c r="D776" i="44"/>
  <c r="D777" i="44"/>
  <c r="D2181" i="44"/>
  <c r="B2182" i="44"/>
  <c r="B1878" i="44"/>
  <c r="D1877" i="44"/>
  <c r="B2870" i="44"/>
  <c r="D2869" i="44"/>
  <c r="D1830" i="44"/>
  <c r="B1831" i="44"/>
  <c r="D1702" i="44"/>
  <c r="B1703" i="44"/>
  <c r="D3077" i="44"/>
  <c r="B3078" i="44"/>
  <c r="B797" i="44"/>
  <c r="D794" i="44"/>
  <c r="D795" i="44"/>
  <c r="D796" i="44"/>
  <c r="D2806" i="44"/>
  <c r="B2807" i="44"/>
  <c r="B2134" i="44"/>
  <c r="D2133" i="44"/>
  <c r="D2117" i="44"/>
  <c r="B2118" i="44"/>
  <c r="B1989" i="44"/>
  <c r="D1988" i="44"/>
  <c r="D2534" i="44"/>
  <c r="B2535" i="44"/>
  <c r="B2953" i="44"/>
  <c r="D2952" i="44"/>
  <c r="D2422" i="44"/>
  <c r="B2423" i="44"/>
  <c r="D2165" i="44"/>
  <c r="B2166" i="44"/>
  <c r="D3045" i="44"/>
  <c r="B3046" i="44"/>
  <c r="B3112" i="44"/>
  <c r="D3111" i="44"/>
  <c r="B2901" i="44"/>
  <c r="D2900" i="44"/>
  <c r="D1636" i="44"/>
  <c r="B1637" i="44"/>
  <c r="D2261" i="44"/>
  <c r="B2262" i="44"/>
  <c r="D2404" i="44"/>
  <c r="B2405" i="44"/>
  <c r="B581" i="44"/>
  <c r="D580" i="44"/>
  <c r="D579" i="44"/>
  <c r="D1588" i="44"/>
  <c r="B1589" i="44"/>
  <c r="B2854" i="44"/>
  <c r="D2853" i="44"/>
  <c r="B2071" i="44"/>
  <c r="D2070" i="44"/>
  <c r="D352" i="44"/>
  <c r="D350" i="44"/>
  <c r="D353" i="44"/>
  <c r="D354" i="44"/>
  <c r="B355" i="44"/>
  <c r="D351" i="44"/>
  <c r="D2311" i="44"/>
  <c r="B2312" i="44"/>
  <c r="D2357" i="44"/>
  <c r="B2358" i="44"/>
  <c r="B1846" i="44"/>
  <c r="D1845" i="44"/>
  <c r="D2760" i="44"/>
  <c r="B2761" i="44"/>
  <c r="D2213" i="44"/>
  <c r="B2214" i="44"/>
  <c r="D1812" i="44"/>
  <c r="B1813" i="44"/>
  <c r="B2838" i="44"/>
  <c r="D2837" i="44"/>
  <c r="B2503" i="44"/>
  <c r="D2502" i="44"/>
  <c r="D2023" i="44"/>
  <c r="B2024" i="44"/>
  <c r="B2376" i="44"/>
  <c r="D2375" i="44"/>
  <c r="B2933" i="44"/>
  <c r="D2932" i="44"/>
  <c r="D2149" i="44"/>
  <c r="B2150" i="44"/>
  <c r="D2676" i="44"/>
  <c r="B2677" i="44"/>
  <c r="D2452" i="44"/>
  <c r="B2453" i="44"/>
  <c r="B2727" i="44"/>
  <c r="D2726" i="44"/>
  <c r="D1684" i="44"/>
  <c r="B1685" i="44"/>
  <c r="B815" i="44"/>
  <c r="D814" i="44"/>
  <c r="D813" i="44"/>
  <c r="D1621" i="44"/>
  <c r="B1622" i="44"/>
  <c r="D2343" i="44"/>
  <c r="B2344" i="44"/>
  <c r="D2694" i="44"/>
  <c r="B2695" i="44"/>
  <c r="B2599" i="44"/>
  <c r="D2598" i="44"/>
  <c r="B2550" i="44"/>
  <c r="D2549" i="44"/>
  <c r="B2006" i="44"/>
  <c r="D2005" i="44"/>
  <c r="D2644" i="44"/>
  <c r="B2645" i="44"/>
  <c r="B2328" i="44"/>
  <c r="D2327" i="44"/>
  <c r="D2471" i="44"/>
  <c r="B2472" i="44"/>
  <c r="D1912" i="44"/>
  <c r="B1913" i="44"/>
  <c r="B3143" i="44"/>
  <c r="D3142" i="44"/>
  <c r="D436" i="44"/>
  <c r="B438" i="44"/>
  <c r="D437" i="44"/>
  <c r="D435" i="44"/>
  <c r="D433" i="44"/>
  <c r="D434" i="44"/>
  <c r="D2440" i="44"/>
  <c r="B2441" i="44"/>
  <c r="B1896" i="44"/>
  <c r="D1895" i="44"/>
  <c r="B848" i="44"/>
  <c r="D847" i="44"/>
  <c r="D846" i="44"/>
  <c r="B415" i="3"/>
  <c r="B420" i="3" s="1"/>
  <c r="D168" i="24"/>
  <c r="B466" i="3"/>
  <c r="F760" i="3" s="1"/>
  <c r="E1573" i="44" s="1"/>
  <c r="A1573" i="44" s="1"/>
  <c r="F759" i="3"/>
  <c r="E1572" i="44" s="1"/>
  <c r="A1572" i="44" s="1"/>
  <c r="G11" i="32"/>
  <c r="F13" i="32"/>
  <c r="F15" i="32" s="1"/>
  <c r="F17" i="32" s="1"/>
  <c r="C454" i="5"/>
  <c r="E25" i="24"/>
  <c r="B379" i="3"/>
  <c r="C113" i="24"/>
  <c r="C88" i="32"/>
  <c r="E374" i="3"/>
  <c r="E112" i="24"/>
  <c r="E87" i="32"/>
  <c r="B494" i="3"/>
  <c r="B496" i="3" s="1"/>
  <c r="D33" i="32"/>
  <c r="D36" i="32" s="1"/>
  <c r="D37" i="32" s="1"/>
  <c r="E30" i="32"/>
  <c r="D86" i="32"/>
  <c r="C375" i="3"/>
  <c r="C380" i="3" s="1"/>
  <c r="D111" i="24"/>
  <c r="D373" i="3"/>
  <c r="O10" i="34" l="1"/>
  <c r="O60" i="34"/>
  <c r="P664" i="3"/>
  <c r="R664" i="3" s="1"/>
  <c r="R15" i="34" s="1"/>
  <c r="O17" i="34"/>
  <c r="P685" i="3"/>
  <c r="R685" i="3" s="1"/>
  <c r="R36" i="34" s="1"/>
  <c r="O54" i="34"/>
  <c r="O82" i="34"/>
  <c r="P696" i="3"/>
  <c r="P47" i="34" s="1"/>
  <c r="P705" i="3"/>
  <c r="R705" i="3" s="1"/>
  <c r="R56" i="34" s="1"/>
  <c r="P715" i="3"/>
  <c r="P66" i="34" s="1"/>
  <c r="P697" i="3"/>
  <c r="P48" i="34" s="1"/>
  <c r="O63" i="34"/>
  <c r="P710" i="3"/>
  <c r="R710" i="3" s="1"/>
  <c r="R61" i="34" s="1"/>
  <c r="O33" i="34"/>
  <c r="O78" i="34"/>
  <c r="P654" i="3"/>
  <c r="R654" i="3" s="1"/>
  <c r="P730" i="3"/>
  <c r="P81" i="34" s="1"/>
  <c r="P693" i="3"/>
  <c r="P44" i="34" s="1"/>
  <c r="O57" i="34"/>
  <c r="O51" i="34"/>
  <c r="O12" i="34"/>
  <c r="P717" i="3"/>
  <c r="P68" i="34" s="1"/>
  <c r="P752" i="3"/>
  <c r="R752" i="3" s="1"/>
  <c r="R103" i="34" s="1"/>
  <c r="O25" i="34"/>
  <c r="O88" i="34"/>
  <c r="P698" i="3"/>
  <c r="R698" i="3" s="1"/>
  <c r="R49" i="34" s="1"/>
  <c r="O85" i="34"/>
  <c r="P721" i="3"/>
  <c r="P72" i="34" s="1"/>
  <c r="P676" i="3"/>
  <c r="R676" i="3" s="1"/>
  <c r="R27" i="34" s="1"/>
  <c r="P726" i="3"/>
  <c r="P77" i="34" s="1"/>
  <c r="P720" i="3"/>
  <c r="R720" i="3" s="1"/>
  <c r="R71" i="34" s="1"/>
  <c r="O75" i="34"/>
  <c r="O20" i="34"/>
  <c r="O89" i="34"/>
  <c r="P678" i="3"/>
  <c r="P29" i="34" s="1"/>
  <c r="O52" i="34"/>
  <c r="O76" i="34"/>
  <c r="P741" i="3"/>
  <c r="R741" i="3" s="1"/>
  <c r="R92" i="34" s="1"/>
  <c r="O55" i="34"/>
  <c r="P667" i="3"/>
  <c r="P18" i="34" s="1"/>
  <c r="O22" i="34"/>
  <c r="O45" i="34"/>
  <c r="O59" i="34"/>
  <c r="O9" i="34"/>
  <c r="P675" i="3"/>
  <c r="P26" i="34" s="1"/>
  <c r="O93" i="34"/>
  <c r="O41" i="34"/>
  <c r="O87" i="34"/>
  <c r="P713" i="3"/>
  <c r="R713" i="3" s="1"/>
  <c r="R64" i="34" s="1"/>
  <c r="P688" i="3"/>
  <c r="P39" i="34" s="1"/>
  <c r="P655" i="3"/>
  <c r="R655" i="3" s="1"/>
  <c r="R6" i="34" s="1"/>
  <c r="P681" i="3"/>
  <c r="R681" i="3" s="1"/>
  <c r="R32" i="34" s="1"/>
  <c r="O30" i="34"/>
  <c r="P749" i="3"/>
  <c r="P100" i="34" s="1"/>
  <c r="P748" i="3"/>
  <c r="R748" i="3" s="1"/>
  <c r="R99" i="34" s="1"/>
  <c r="P665" i="3"/>
  <c r="P16" i="34" s="1"/>
  <c r="O91" i="34"/>
  <c r="P691" i="3"/>
  <c r="P42" i="34" s="1"/>
  <c r="P747" i="3"/>
  <c r="R747" i="3" s="1"/>
  <c r="R98" i="34" s="1"/>
  <c r="P743" i="3"/>
  <c r="P94" i="34" s="1"/>
  <c r="P745" i="3"/>
  <c r="P96" i="34" s="1"/>
  <c r="O67" i="34"/>
  <c r="O50" i="34"/>
  <c r="P660" i="3"/>
  <c r="P11" i="34" s="1"/>
  <c r="O28" i="34"/>
  <c r="P714" i="3"/>
  <c r="R714" i="3" s="1"/>
  <c r="R65" i="34" s="1"/>
  <c r="O95" i="34"/>
  <c r="O97" i="34"/>
  <c r="P718" i="3"/>
  <c r="R718" i="3" s="1"/>
  <c r="R69" i="34" s="1"/>
  <c r="P719" i="3"/>
  <c r="P70" i="34" s="1"/>
  <c r="O84" i="34"/>
  <c r="P695" i="3"/>
  <c r="R695" i="3" s="1"/>
  <c r="R46" i="34" s="1"/>
  <c r="O86" i="34"/>
  <c r="O58" i="34"/>
  <c r="O43" i="34"/>
  <c r="P683" i="3"/>
  <c r="P34" i="34" s="1"/>
  <c r="O31" i="34"/>
  <c r="P689" i="3"/>
  <c r="P40" i="34" s="1"/>
  <c r="P668" i="3"/>
  <c r="R668" i="3" s="1"/>
  <c r="R19" i="34" s="1"/>
  <c r="O8" i="34"/>
  <c r="P732" i="3"/>
  <c r="R732" i="3" s="1"/>
  <c r="R83" i="34" s="1"/>
  <c r="P684" i="3"/>
  <c r="P35" i="34" s="1"/>
  <c r="P670" i="3"/>
  <c r="R670" i="3" s="1"/>
  <c r="R21" i="34" s="1"/>
  <c r="O37" i="34"/>
  <c r="P723" i="3"/>
  <c r="R723" i="3" s="1"/>
  <c r="R74" i="34" s="1"/>
  <c r="O73" i="34"/>
  <c r="P656" i="3"/>
  <c r="P7" i="34" s="1"/>
  <c r="O102" i="34"/>
  <c r="P663" i="3"/>
  <c r="P14" i="34" s="1"/>
  <c r="O53" i="34"/>
  <c r="P728" i="3"/>
  <c r="P79" i="34" s="1"/>
  <c r="P673" i="3"/>
  <c r="P24" i="34" s="1"/>
  <c r="O23" i="34"/>
  <c r="P750" i="3"/>
  <c r="O62" i="34"/>
  <c r="P662" i="3"/>
  <c r="R662" i="3" s="1"/>
  <c r="R13" i="34" s="1"/>
  <c r="O753" i="3"/>
  <c r="O104" i="34" s="1"/>
  <c r="O80" i="34"/>
  <c r="P739" i="3"/>
  <c r="R739" i="3" s="1"/>
  <c r="R90" i="34" s="1"/>
  <c r="B1785" i="44"/>
  <c r="D1785" i="44" s="1"/>
  <c r="D509" i="44"/>
  <c r="B511" i="44"/>
  <c r="D513" i="44" s="1"/>
  <c r="D506" i="44"/>
  <c r="D510" i="44"/>
  <c r="D507" i="44"/>
  <c r="B1769" i="44"/>
  <c r="D1768" i="44"/>
  <c r="B2663" i="44"/>
  <c r="D2662" i="44"/>
  <c r="B2278" i="44"/>
  <c r="D2277" i="44"/>
  <c r="D2918" i="44"/>
  <c r="B2919" i="44"/>
  <c r="B550" i="3"/>
  <c r="B3015" i="44"/>
  <c r="D3014" i="44"/>
  <c r="L1189" i="5"/>
  <c r="Q1189" i="5"/>
  <c r="S1189" i="5"/>
  <c r="R1189" i="5"/>
  <c r="C1189" i="5"/>
  <c r="O1189" i="5"/>
  <c r="K1189" i="5"/>
  <c r="T1189" i="5"/>
  <c r="F1189" i="5"/>
  <c r="E1189" i="5"/>
  <c r="N1189" i="5"/>
  <c r="D1189" i="5"/>
  <c r="P1189" i="5"/>
  <c r="H1189" i="5"/>
  <c r="I1189" i="5"/>
  <c r="M1189" i="5"/>
  <c r="J1189" i="5"/>
  <c r="G1189" i="5"/>
  <c r="A1190" i="5"/>
  <c r="B1191" i="5"/>
  <c r="D118" i="24"/>
  <c r="D93" i="32"/>
  <c r="C5" i="5"/>
  <c r="D1717" i="44"/>
  <c r="B1718" i="44"/>
  <c r="L14" i="32"/>
  <c r="K32" i="32"/>
  <c r="B2630" i="44"/>
  <c r="D2629" i="44"/>
  <c r="B2041" i="44"/>
  <c r="D2040" i="44"/>
  <c r="D3126" i="44"/>
  <c r="B3127" i="44"/>
  <c r="D3031" i="44"/>
  <c r="B3032" i="44"/>
  <c r="B2231" i="44"/>
  <c r="D2230" i="44"/>
  <c r="D3093" i="44"/>
  <c r="B3094" i="44"/>
  <c r="B2103" i="44"/>
  <c r="D2102" i="44"/>
  <c r="B2294" i="44"/>
  <c r="D2293" i="44"/>
  <c r="D2614" i="44"/>
  <c r="B2615" i="44"/>
  <c r="D2773" i="44"/>
  <c r="B2774" i="44"/>
  <c r="D1798" i="44"/>
  <c r="B1799" i="44"/>
  <c r="D878" i="44"/>
  <c r="D879" i="44"/>
  <c r="D877" i="44"/>
  <c r="D2569" i="44"/>
  <c r="B2570" i="44"/>
  <c r="D1973" i="44"/>
  <c r="B1974" i="44"/>
  <c r="B3158" i="44"/>
  <c r="D3157" i="44"/>
  <c r="D1942" i="44"/>
  <c r="B1943" i="44"/>
  <c r="B1867" i="44"/>
  <c r="D1866" i="44"/>
  <c r="D2823" i="44"/>
  <c r="B2824" i="44"/>
  <c r="B2888" i="44"/>
  <c r="D2887" i="44"/>
  <c r="D1606" i="44"/>
  <c r="B1607" i="44"/>
  <c r="B2711" i="44"/>
  <c r="D2710" i="44"/>
  <c r="B2248" i="44"/>
  <c r="D2247" i="44"/>
  <c r="B2983" i="44"/>
  <c r="D2982" i="44"/>
  <c r="B1927" i="44"/>
  <c r="D1926" i="44"/>
  <c r="B1735" i="44"/>
  <c r="D1734" i="44"/>
  <c r="R707" i="3"/>
  <c r="R58" i="34" s="1"/>
  <c r="P58" i="34"/>
  <c r="P82" i="34"/>
  <c r="R731" i="3"/>
  <c r="R82" i="34" s="1"/>
  <c r="P25" i="34"/>
  <c r="R674" i="3"/>
  <c r="R25" i="34" s="1"/>
  <c r="R687" i="3"/>
  <c r="R38" i="34" s="1"/>
  <c r="P38" i="34"/>
  <c r="R704" i="3"/>
  <c r="R55" i="34" s="1"/>
  <c r="P55" i="34"/>
  <c r="R733" i="3"/>
  <c r="R84" i="34" s="1"/>
  <c r="P84" i="34"/>
  <c r="P50" i="34"/>
  <c r="R699" i="3"/>
  <c r="R50" i="34" s="1"/>
  <c r="R708" i="3"/>
  <c r="R59" i="34" s="1"/>
  <c r="P59" i="34"/>
  <c r="P9" i="34"/>
  <c r="R658" i="3"/>
  <c r="R9" i="34" s="1"/>
  <c r="P51" i="34"/>
  <c r="R700" i="3"/>
  <c r="R51" i="34" s="1"/>
  <c r="R671" i="3"/>
  <c r="R22" i="34" s="1"/>
  <c r="P22" i="34"/>
  <c r="P37" i="34"/>
  <c r="R686" i="3"/>
  <c r="R37" i="34" s="1"/>
  <c r="P102" i="34"/>
  <c r="R751" i="3"/>
  <c r="R102" i="34" s="1"/>
  <c r="P8" i="34"/>
  <c r="R657" i="3"/>
  <c r="R8" i="34" s="1"/>
  <c r="P45" i="34"/>
  <c r="R694" i="3"/>
  <c r="R45" i="34" s="1"/>
  <c r="R742" i="3"/>
  <c r="R93" i="34" s="1"/>
  <c r="P93" i="34"/>
  <c r="P43" i="34"/>
  <c r="R692" i="3"/>
  <c r="R43" i="34" s="1"/>
  <c r="R725" i="3"/>
  <c r="R76" i="34" s="1"/>
  <c r="P76" i="34"/>
  <c r="P28" i="34"/>
  <c r="R677" i="3"/>
  <c r="R28" i="34" s="1"/>
  <c r="R727" i="3"/>
  <c r="R78" i="34" s="1"/>
  <c r="P78" i="34"/>
  <c r="R703" i="3"/>
  <c r="R54" i="34" s="1"/>
  <c r="P54" i="34"/>
  <c r="P41" i="34"/>
  <c r="R690" i="3"/>
  <c r="R41" i="34" s="1"/>
  <c r="P15" i="34"/>
  <c r="R679" i="3"/>
  <c r="R30" i="34" s="1"/>
  <c r="P30" i="34"/>
  <c r="P85" i="34"/>
  <c r="R734" i="3"/>
  <c r="R85" i="34" s="1"/>
  <c r="R729" i="3"/>
  <c r="R80" i="34" s="1"/>
  <c r="P80" i="34"/>
  <c r="R746" i="3"/>
  <c r="R97" i="34" s="1"/>
  <c r="P97" i="34"/>
  <c r="P87" i="34"/>
  <c r="R736" i="3"/>
  <c r="R87" i="34" s="1"/>
  <c r="R722" i="3"/>
  <c r="R73" i="34" s="1"/>
  <c r="P73" i="34"/>
  <c r="P86" i="34"/>
  <c r="R735" i="3"/>
  <c r="R86" i="34" s="1"/>
  <c r="R716" i="3"/>
  <c r="R67" i="34" s="1"/>
  <c r="P67" i="34"/>
  <c r="R672" i="3"/>
  <c r="R23" i="34" s="1"/>
  <c r="P23" i="34"/>
  <c r="P57" i="34"/>
  <c r="R706" i="3"/>
  <c r="R57" i="34" s="1"/>
  <c r="P95" i="34"/>
  <c r="R744" i="3"/>
  <c r="R95" i="34" s="1"/>
  <c r="P31" i="34"/>
  <c r="R680" i="3"/>
  <c r="R31" i="34" s="1"/>
  <c r="P10" i="34"/>
  <c r="R659" i="3"/>
  <c r="R10" i="34" s="1"/>
  <c r="R737" i="3"/>
  <c r="R88" i="34" s="1"/>
  <c r="P88" i="34"/>
  <c r="P60" i="34"/>
  <c r="R709" i="3"/>
  <c r="R60" i="34" s="1"/>
  <c r="R724" i="3"/>
  <c r="R75" i="34" s="1"/>
  <c r="P75" i="34"/>
  <c r="P17" i="34"/>
  <c r="R666" i="3"/>
  <c r="R17" i="34" s="1"/>
  <c r="R669" i="3"/>
  <c r="R20" i="34" s="1"/>
  <c r="P20" i="34"/>
  <c r="R661" i="3"/>
  <c r="R12" i="34" s="1"/>
  <c r="P12" i="34"/>
  <c r="P62" i="34"/>
  <c r="R711" i="3"/>
  <c r="R62" i="34" s="1"/>
  <c r="R702" i="3"/>
  <c r="R53" i="34" s="1"/>
  <c r="P53" i="34"/>
  <c r="R682" i="3"/>
  <c r="R33" i="34" s="1"/>
  <c r="P33" i="34"/>
  <c r="P89" i="34"/>
  <c r="R738" i="3"/>
  <c r="R89" i="34" s="1"/>
  <c r="R740" i="3"/>
  <c r="R91" i="34" s="1"/>
  <c r="P91" i="34"/>
  <c r="P63" i="34"/>
  <c r="R712" i="3"/>
  <c r="R63" i="34" s="1"/>
  <c r="R701" i="3"/>
  <c r="R52" i="34" s="1"/>
  <c r="P52" i="34"/>
  <c r="D2744" i="44"/>
  <c r="B2745" i="44"/>
  <c r="D3061" i="44"/>
  <c r="B3062" i="44"/>
  <c r="B2392" i="44"/>
  <c r="D2391" i="44"/>
  <c r="B1756" i="44"/>
  <c r="D1755" i="44"/>
  <c r="B2054" i="44"/>
  <c r="D2053" i="44"/>
  <c r="D2793" i="44"/>
  <c r="B2794" i="44"/>
  <c r="B2518" i="44"/>
  <c r="D2517" i="44"/>
  <c r="D1960" i="44"/>
  <c r="B1961" i="44"/>
  <c r="D515" i="44"/>
  <c r="B2086" i="44"/>
  <c r="D2085" i="44"/>
  <c r="D1655" i="44"/>
  <c r="B1656" i="44"/>
  <c r="D638" i="44"/>
  <c r="B639" i="44"/>
  <c r="D637" i="44"/>
  <c r="D636" i="44"/>
  <c r="D635" i="44"/>
  <c r="D634" i="44"/>
  <c r="B2998" i="44"/>
  <c r="D2997" i="44"/>
  <c r="B2969" i="44"/>
  <c r="D2968" i="44"/>
  <c r="D2486" i="44"/>
  <c r="B2487" i="44"/>
  <c r="B1676" i="44"/>
  <c r="D1675" i="44"/>
  <c r="D2199" i="44"/>
  <c r="B2200" i="44"/>
  <c r="B2646" i="44"/>
  <c r="D2645" i="44"/>
  <c r="D2695" i="44"/>
  <c r="B2696" i="44"/>
  <c r="B2345" i="44"/>
  <c r="D2344" i="44"/>
  <c r="D1622" i="44"/>
  <c r="B1623" i="44"/>
  <c r="D815" i="44"/>
  <c r="D816" i="44"/>
  <c r="B817" i="44"/>
  <c r="D2727" i="44"/>
  <c r="B2728" i="44"/>
  <c r="D2933" i="44"/>
  <c r="B2934" i="44"/>
  <c r="D2376" i="44"/>
  <c r="B2377" i="44"/>
  <c r="B2504" i="44"/>
  <c r="D2503" i="44"/>
  <c r="B2839" i="44"/>
  <c r="D2838" i="44"/>
  <c r="D1846" i="44"/>
  <c r="B1847" i="44"/>
  <c r="D358" i="44"/>
  <c r="D356" i="44"/>
  <c r="D359" i="44"/>
  <c r="D355" i="44"/>
  <c r="D357" i="44"/>
  <c r="B360" i="44"/>
  <c r="B2072" i="44"/>
  <c r="D2071" i="44"/>
  <c r="B2855" i="44"/>
  <c r="D2854" i="44"/>
  <c r="B2406" i="44"/>
  <c r="D2405" i="44"/>
  <c r="D2262" i="44"/>
  <c r="B2263" i="44"/>
  <c r="D1637" i="44"/>
  <c r="B1638" i="44"/>
  <c r="B3047" i="44"/>
  <c r="D3046" i="44"/>
  <c r="B2167" i="44"/>
  <c r="D2166" i="44"/>
  <c r="B2424" i="44"/>
  <c r="D2423" i="44"/>
  <c r="D2535" i="44"/>
  <c r="B2536" i="44"/>
  <c r="D2118" i="44"/>
  <c r="B2119" i="44"/>
  <c r="B2808" i="44"/>
  <c r="D2807" i="44"/>
  <c r="B3079" i="44"/>
  <c r="D3078" i="44"/>
  <c r="B1704" i="44"/>
  <c r="D1703" i="44"/>
  <c r="B1832" i="44"/>
  <c r="D1831" i="44"/>
  <c r="B2183" i="44"/>
  <c r="D2182" i="44"/>
  <c r="D2584" i="44"/>
  <c r="B2585" i="44"/>
  <c r="D2006" i="44"/>
  <c r="B2007" i="44"/>
  <c r="B2551" i="44"/>
  <c r="D2550" i="44"/>
  <c r="B2600" i="44"/>
  <c r="D2599" i="44"/>
  <c r="D1685" i="44"/>
  <c r="B1686" i="44"/>
  <c r="B2454" i="44"/>
  <c r="D2453" i="44"/>
  <c r="B2678" i="44"/>
  <c r="D2677" i="44"/>
  <c r="D2150" i="44"/>
  <c r="B2151" i="44"/>
  <c r="D2024" i="44"/>
  <c r="B2025" i="44"/>
  <c r="B1814" i="44"/>
  <c r="D1813" i="44"/>
  <c r="B2215" i="44"/>
  <c r="D2214" i="44"/>
  <c r="D2761" i="44"/>
  <c r="B2762" i="44"/>
  <c r="B2359" i="44"/>
  <c r="D2358" i="44"/>
  <c r="B2313" i="44"/>
  <c r="D2312" i="44"/>
  <c r="D1589" i="44"/>
  <c r="B1590" i="44"/>
  <c r="D581" i="44"/>
  <c r="D582" i="44"/>
  <c r="B583" i="44"/>
  <c r="D2901" i="44"/>
  <c r="B2902" i="44"/>
  <c r="D3112" i="44"/>
  <c r="B3113" i="44"/>
  <c r="D2953" i="44"/>
  <c r="B2954" i="44"/>
  <c r="D1989" i="44"/>
  <c r="B1990" i="44"/>
  <c r="D2134" i="44"/>
  <c r="B2135" i="44"/>
  <c r="D797" i="44"/>
  <c r="D798" i="44"/>
  <c r="B2871" i="44"/>
  <c r="D2870" i="44"/>
  <c r="D1878" i="44"/>
  <c r="B1879" i="44"/>
  <c r="D780" i="44"/>
  <c r="D778" i="44"/>
  <c r="D779" i="44"/>
  <c r="D848" i="44"/>
  <c r="D850" i="44"/>
  <c r="D849" i="44"/>
  <c r="B851" i="44"/>
  <c r="B1897" i="44"/>
  <c r="D1896" i="44"/>
  <c r="B2442" i="44"/>
  <c r="D2441" i="44"/>
  <c r="D442" i="44"/>
  <c r="D439" i="44"/>
  <c r="D441" i="44"/>
  <c r="D438" i="44"/>
  <c r="B443" i="44"/>
  <c r="D440" i="44"/>
  <c r="B1914" i="44"/>
  <c r="D1913" i="44"/>
  <c r="D2472" i="44"/>
  <c r="B2473" i="44"/>
  <c r="D3143" i="44"/>
  <c r="B3144" i="44"/>
  <c r="D2328" i="44"/>
  <c r="B2329" i="44"/>
  <c r="E111" i="24"/>
  <c r="E86" i="32"/>
  <c r="E373" i="3"/>
  <c r="D375" i="3"/>
  <c r="D380" i="3" s="1"/>
  <c r="F30" i="32"/>
  <c r="E33" i="32"/>
  <c r="E36" i="32" s="1"/>
  <c r="E37" i="32" s="1"/>
  <c r="D113" i="24"/>
  <c r="D88" i="32"/>
  <c r="C379" i="3"/>
  <c r="E50" i="24"/>
  <c r="C201" i="5"/>
  <c r="F90" i="25"/>
  <c r="E74" i="32"/>
  <c r="F374" i="3"/>
  <c r="F87" i="32"/>
  <c r="F112" i="24"/>
  <c r="B382" i="3"/>
  <c r="C117" i="24"/>
  <c r="C92" i="32"/>
  <c r="H11" i="32"/>
  <c r="G13" i="32"/>
  <c r="G15" i="32" s="1"/>
  <c r="G17" i="32" s="1"/>
  <c r="D175" i="24"/>
  <c r="P36" i="34" l="1"/>
  <c r="P5" i="34"/>
  <c r="R696" i="3"/>
  <c r="R47" i="34" s="1"/>
  <c r="R697" i="3"/>
  <c r="R48" i="34" s="1"/>
  <c r="R693" i="3"/>
  <c r="R44" i="34" s="1"/>
  <c r="R715" i="3"/>
  <c r="R66" i="34" s="1"/>
  <c r="P56" i="34"/>
  <c r="P27" i="34"/>
  <c r="P61" i="34"/>
  <c r="P92" i="34"/>
  <c r="R675" i="3"/>
  <c r="R26" i="34" s="1"/>
  <c r="R717" i="3"/>
  <c r="R68" i="34" s="1"/>
  <c r="R749" i="3"/>
  <c r="R100" i="34" s="1"/>
  <c r="R726" i="3"/>
  <c r="R77" i="34" s="1"/>
  <c r="R730" i="3"/>
  <c r="R81" i="34" s="1"/>
  <c r="P103" i="34"/>
  <c r="R678" i="3"/>
  <c r="R29" i="34" s="1"/>
  <c r="R721" i="3"/>
  <c r="R72" i="34" s="1"/>
  <c r="C755" i="3"/>
  <c r="P83" i="34"/>
  <c r="P64" i="34"/>
  <c r="R745" i="3"/>
  <c r="R96" i="34" s="1"/>
  <c r="P49" i="34"/>
  <c r="P71" i="34"/>
  <c r="R667" i="3"/>
  <c r="R18" i="34" s="1"/>
  <c r="B1786" i="44"/>
  <c r="B1787" i="44" s="1"/>
  <c r="R691" i="3"/>
  <c r="R42" i="34" s="1"/>
  <c r="R688" i="3"/>
  <c r="R39" i="34" s="1"/>
  <c r="R392" i="3"/>
  <c r="R393" i="3" s="1"/>
  <c r="Q389" i="3" s="1"/>
  <c r="D390" i="3" s="1"/>
  <c r="R665" i="3"/>
  <c r="R16" i="34" s="1"/>
  <c r="R743" i="3"/>
  <c r="R94" i="34" s="1"/>
  <c r="P46" i="34"/>
  <c r="P32" i="34"/>
  <c r="P6" i="34"/>
  <c r="P98" i="34"/>
  <c r="P99" i="34"/>
  <c r="R656" i="3"/>
  <c r="R7" i="34" s="1"/>
  <c r="P69" i="34"/>
  <c r="R719" i="3"/>
  <c r="R70" i="34" s="1"/>
  <c r="R660" i="3"/>
  <c r="R11" i="34" s="1"/>
  <c r="P13" i="34"/>
  <c r="R663" i="3"/>
  <c r="R14" i="34" s="1"/>
  <c r="P65" i="34"/>
  <c r="P21" i="34"/>
  <c r="P19" i="34"/>
  <c r="P74" i="34"/>
  <c r="R683" i="3"/>
  <c r="R34" i="34" s="1"/>
  <c r="R673" i="3"/>
  <c r="R24" i="34" s="1"/>
  <c r="R689" i="3"/>
  <c r="R40" i="34" s="1"/>
  <c r="R684" i="3"/>
  <c r="R35" i="34" s="1"/>
  <c r="P90" i="34"/>
  <c r="R728" i="3"/>
  <c r="R79" i="34" s="1"/>
  <c r="P753" i="3"/>
  <c r="W725" i="3" s="1"/>
  <c r="W76" i="34" s="1"/>
  <c r="R750" i="3"/>
  <c r="R101" i="34" s="1"/>
  <c r="P101" i="34"/>
  <c r="B388" i="3"/>
  <c r="C126" i="24" s="1"/>
  <c r="C112" i="5"/>
  <c r="D512" i="44"/>
  <c r="B516" i="44"/>
  <c r="D516" i="44" s="1"/>
  <c r="D514" i="44"/>
  <c r="D511" i="44"/>
  <c r="D1769" i="44"/>
  <c r="B1770" i="44"/>
  <c r="B2664" i="44"/>
  <c r="D2663" i="44"/>
  <c r="D2278" i="44"/>
  <c r="B2279" i="44"/>
  <c r="B2920" i="44"/>
  <c r="D2919" i="44"/>
  <c r="C202" i="5"/>
  <c r="D3015" i="44"/>
  <c r="B3016" i="44"/>
  <c r="A1191" i="5"/>
  <c r="B1192" i="5"/>
  <c r="D1190" i="5"/>
  <c r="O1190" i="5"/>
  <c r="S1190" i="5"/>
  <c r="P1190" i="5"/>
  <c r="K1190" i="5"/>
  <c r="L1190" i="5"/>
  <c r="T1190" i="5"/>
  <c r="E1190" i="5"/>
  <c r="H1190" i="5"/>
  <c r="G1190" i="5"/>
  <c r="J1190" i="5"/>
  <c r="C1190" i="5"/>
  <c r="Q1190" i="5"/>
  <c r="N1190" i="5"/>
  <c r="M1190" i="5"/>
  <c r="R1190" i="5"/>
  <c r="F1190" i="5"/>
  <c r="I1190" i="5"/>
  <c r="E93" i="32"/>
  <c r="E118" i="24"/>
  <c r="D1718" i="44"/>
  <c r="B1719" i="44"/>
  <c r="L32" i="32"/>
  <c r="C23" i="32"/>
  <c r="D23" i="32" s="1"/>
  <c r="E23" i="32" s="1"/>
  <c r="F23" i="32" s="1"/>
  <c r="G23" i="32" s="1"/>
  <c r="B2631" i="44"/>
  <c r="D2630" i="44"/>
  <c r="D2041" i="44"/>
  <c r="B2042" i="44"/>
  <c r="D3127" i="44"/>
  <c r="B3128" i="44"/>
  <c r="B3033" i="44"/>
  <c r="D3032" i="44"/>
  <c r="D3158" i="44"/>
  <c r="B3159" i="44"/>
  <c r="B1800" i="44"/>
  <c r="D1799" i="44"/>
  <c r="D2774" i="44"/>
  <c r="B2775" i="44"/>
  <c r="D2615" i="44"/>
  <c r="B2616" i="44"/>
  <c r="B3095" i="44"/>
  <c r="D3094" i="44"/>
  <c r="B1975" i="44"/>
  <c r="D1974" i="44"/>
  <c r="D2570" i="44"/>
  <c r="B2571" i="44"/>
  <c r="B2295" i="44"/>
  <c r="D2294" i="44"/>
  <c r="B2104" i="44"/>
  <c r="D2103" i="44"/>
  <c r="D2231" i="44"/>
  <c r="B2232" i="44"/>
  <c r="D1943" i="44"/>
  <c r="B1944" i="44"/>
  <c r="D2824" i="44"/>
  <c r="B2825" i="44"/>
  <c r="D1867" i="44"/>
  <c r="B1868" i="44"/>
  <c r="B1608" i="44"/>
  <c r="D1607" i="44"/>
  <c r="D2888" i="44"/>
  <c r="B2889" i="44"/>
  <c r="B1736" i="44"/>
  <c r="D1735" i="44"/>
  <c r="B1928" i="44"/>
  <c r="D1927" i="44"/>
  <c r="D2983" i="44"/>
  <c r="B2984" i="44"/>
  <c r="D2248" i="44"/>
  <c r="B2249" i="44"/>
  <c r="B2712" i="44"/>
  <c r="D2711" i="44"/>
  <c r="R5" i="34"/>
  <c r="B2488" i="44"/>
  <c r="D2487" i="44"/>
  <c r="D640" i="44"/>
  <c r="D643" i="44"/>
  <c r="D639" i="44"/>
  <c r="B644" i="44"/>
  <c r="D641" i="44"/>
  <c r="D642" i="44"/>
  <c r="D1656" i="44"/>
  <c r="B1657" i="44"/>
  <c r="D1961" i="44"/>
  <c r="B1962" i="44"/>
  <c r="D2794" i="44"/>
  <c r="B2795" i="44"/>
  <c r="B3063" i="44"/>
  <c r="D3062" i="44"/>
  <c r="D2745" i="44"/>
  <c r="B2746" i="44"/>
  <c r="D2969" i="44"/>
  <c r="B2970" i="44"/>
  <c r="D2998" i="44"/>
  <c r="B2999" i="44"/>
  <c r="B2087" i="44"/>
  <c r="D2086" i="44"/>
  <c r="B2519" i="44"/>
  <c r="D2518" i="44"/>
  <c r="D2054" i="44"/>
  <c r="B2055" i="44"/>
  <c r="B1757" i="44"/>
  <c r="D1757" i="44" s="1"/>
  <c r="D1756" i="44"/>
  <c r="D2392" i="44"/>
  <c r="B2393" i="44"/>
  <c r="D2200" i="44"/>
  <c r="B2201" i="44"/>
  <c r="B1677" i="44"/>
  <c r="D1677" i="44" s="1"/>
  <c r="D1676" i="44"/>
  <c r="D1879" i="44"/>
  <c r="B1880" i="44"/>
  <c r="D2135" i="44"/>
  <c r="B2136" i="44"/>
  <c r="B1991" i="44"/>
  <c r="D1990" i="44"/>
  <c r="B2955" i="44"/>
  <c r="D2954" i="44"/>
  <c r="B3114" i="44"/>
  <c r="D3113" i="44"/>
  <c r="D2902" i="44"/>
  <c r="B2903" i="44"/>
  <c r="B585" i="44"/>
  <c r="D583" i="44"/>
  <c r="D584" i="44"/>
  <c r="D2313" i="44"/>
  <c r="B2314" i="44"/>
  <c r="B2360" i="44"/>
  <c r="D2359" i="44"/>
  <c r="D2215" i="44"/>
  <c r="B2216" i="44"/>
  <c r="B1815" i="44"/>
  <c r="D1814" i="44"/>
  <c r="D2678" i="44"/>
  <c r="B2679" i="44"/>
  <c r="B2455" i="44"/>
  <c r="D2454" i="44"/>
  <c r="D2600" i="44"/>
  <c r="B2601" i="44"/>
  <c r="D2551" i="44"/>
  <c r="B2552" i="44"/>
  <c r="B2184" i="44"/>
  <c r="D2183" i="44"/>
  <c r="D1832" i="44"/>
  <c r="B1833" i="44"/>
  <c r="D1704" i="44"/>
  <c r="B1705" i="44"/>
  <c r="D3079" i="44"/>
  <c r="B3080" i="44"/>
  <c r="D2808" i="44"/>
  <c r="B2809" i="44"/>
  <c r="B2425" i="44"/>
  <c r="D2424" i="44"/>
  <c r="D2167" i="44"/>
  <c r="B2168" i="44"/>
  <c r="D3047" i="44"/>
  <c r="B3048" i="44"/>
  <c r="D2406" i="44"/>
  <c r="B2407" i="44"/>
  <c r="D2855" i="44"/>
  <c r="B2856" i="44"/>
  <c r="D2072" i="44"/>
  <c r="B2073" i="44"/>
  <c r="B2840" i="44"/>
  <c r="D2839" i="44"/>
  <c r="B2505" i="44"/>
  <c r="D2504" i="44"/>
  <c r="D1623" i="44"/>
  <c r="B1624" i="44"/>
  <c r="B2697" i="44"/>
  <c r="D2696" i="44"/>
  <c r="B2872" i="44"/>
  <c r="D2871" i="44"/>
  <c r="B1591" i="44"/>
  <c r="D1590" i="44"/>
  <c r="B2763" i="44"/>
  <c r="D2762" i="44"/>
  <c r="B2026" i="44"/>
  <c r="D2025" i="44"/>
  <c r="B2152" i="44"/>
  <c r="D2151" i="44"/>
  <c r="D1686" i="44"/>
  <c r="B1687" i="44"/>
  <c r="B2008" i="44"/>
  <c r="D2007" i="44"/>
  <c r="D2585" i="44"/>
  <c r="B2586" i="44"/>
  <c r="D2119" i="44"/>
  <c r="B2120" i="44"/>
  <c r="B2537" i="44"/>
  <c r="D2536" i="44"/>
  <c r="D1638" i="44"/>
  <c r="B1639" i="44"/>
  <c r="D2263" i="44"/>
  <c r="B2264" i="44"/>
  <c r="D361" i="44"/>
  <c r="B365" i="44"/>
  <c r="D364" i="44"/>
  <c r="D363" i="44"/>
  <c r="D360" i="44"/>
  <c r="D362" i="44"/>
  <c r="D1847" i="44"/>
  <c r="B1848" i="44"/>
  <c r="B2378" i="44"/>
  <c r="D2377" i="44"/>
  <c r="D2934" i="44"/>
  <c r="B2935" i="44"/>
  <c r="B2729" i="44"/>
  <c r="D2728" i="44"/>
  <c r="D817" i="44"/>
  <c r="B819" i="44"/>
  <c r="D818" i="44"/>
  <c r="B2346" i="44"/>
  <c r="D2345" i="44"/>
  <c r="B2647" i="44"/>
  <c r="D2646" i="44"/>
  <c r="B2330" i="44"/>
  <c r="D2329" i="44"/>
  <c r="D2473" i="44"/>
  <c r="B2474" i="44"/>
  <c r="D851" i="44"/>
  <c r="D853" i="44"/>
  <c r="B854" i="44"/>
  <c r="D852" i="44"/>
  <c r="D3144" i="44"/>
  <c r="B3145" i="44"/>
  <c r="D1914" i="44"/>
  <c r="B1915" i="44"/>
  <c r="D443" i="44"/>
  <c r="D445" i="44"/>
  <c r="D446" i="44"/>
  <c r="B448" i="44"/>
  <c r="D444" i="44"/>
  <c r="D447" i="44"/>
  <c r="B2443" i="44"/>
  <c r="D2442" i="44"/>
  <c r="D1897" i="44"/>
  <c r="B1898" i="44"/>
  <c r="H13" i="32"/>
  <c r="H15" i="32" s="1"/>
  <c r="H17" i="32" s="1"/>
  <c r="I11" i="32"/>
  <c r="G112" i="24"/>
  <c r="G374" i="3"/>
  <c r="G87" i="32"/>
  <c r="F111" i="24"/>
  <c r="F86" i="32"/>
  <c r="F373" i="3"/>
  <c r="E375" i="3"/>
  <c r="E380" i="3" s="1"/>
  <c r="C382" i="3"/>
  <c r="D92" i="32"/>
  <c r="D117" i="24"/>
  <c r="B421" i="3"/>
  <c r="B424" i="3" s="1"/>
  <c r="B425" i="3"/>
  <c r="E183" i="24" s="1"/>
  <c r="E423" i="3"/>
  <c r="E422" i="3"/>
  <c r="D179" i="24"/>
  <c r="F33" i="32"/>
  <c r="F36" i="32" s="1"/>
  <c r="F37" i="32" s="1"/>
  <c r="G30" i="32"/>
  <c r="C120" i="24"/>
  <c r="C94" i="32"/>
  <c r="D379" i="3"/>
  <c r="E113" i="24"/>
  <c r="E88" i="32"/>
  <c r="D1786" i="44" l="1"/>
  <c r="W712" i="3"/>
  <c r="W63" i="34" s="1"/>
  <c r="W665" i="3"/>
  <c r="W16" i="34" s="1"/>
  <c r="W680" i="3"/>
  <c r="W31" i="34" s="1"/>
  <c r="W739" i="3"/>
  <c r="W90" i="34" s="1"/>
  <c r="W742" i="3"/>
  <c r="W93" i="34" s="1"/>
  <c r="W716" i="3"/>
  <c r="W67" i="34" s="1"/>
  <c r="W746" i="3"/>
  <c r="W97" i="34" s="1"/>
  <c r="W666" i="3"/>
  <c r="W17" i="34" s="1"/>
  <c r="W687" i="3"/>
  <c r="W38" i="34" s="1"/>
  <c r="W708" i="3"/>
  <c r="W59" i="34" s="1"/>
  <c r="W740" i="3"/>
  <c r="W91" i="34" s="1"/>
  <c r="W699" i="3"/>
  <c r="W50" i="34" s="1"/>
  <c r="W722" i="3"/>
  <c r="W73" i="34" s="1"/>
  <c r="W669" i="3"/>
  <c r="W20" i="34" s="1"/>
  <c r="W743" i="3"/>
  <c r="W94" i="34" s="1"/>
  <c r="W677" i="3"/>
  <c r="W28" i="34" s="1"/>
  <c r="W732" i="3"/>
  <c r="W83" i="34" s="1"/>
  <c r="W673" i="3"/>
  <c r="W24" i="34" s="1"/>
  <c r="W718" i="3"/>
  <c r="W69" i="34" s="1"/>
  <c r="W693" i="3"/>
  <c r="W44" i="34" s="1"/>
  <c r="W675" i="3"/>
  <c r="W26" i="34" s="1"/>
  <c r="W662" i="3"/>
  <c r="W13" i="34" s="1"/>
  <c r="W751" i="3"/>
  <c r="W102" i="34" s="1"/>
  <c r="W730" i="3"/>
  <c r="W81" i="34" s="1"/>
  <c r="W671" i="3"/>
  <c r="W22" i="34" s="1"/>
  <c r="W729" i="3"/>
  <c r="W80" i="34" s="1"/>
  <c r="W749" i="3"/>
  <c r="W100" i="34" s="1"/>
  <c r="W734" i="3"/>
  <c r="W85" i="34" s="1"/>
  <c r="W672" i="3"/>
  <c r="W23" i="34" s="1"/>
  <c r="W698" i="3"/>
  <c r="W49" i="34" s="1"/>
  <c r="W681" i="3"/>
  <c r="W32" i="34" s="1"/>
  <c r="R753" i="3"/>
  <c r="C757" i="3" s="1"/>
  <c r="W685" i="3"/>
  <c r="W36" i="34" s="1"/>
  <c r="P104" i="34"/>
  <c r="W720" i="3"/>
  <c r="W71" i="34" s="1"/>
  <c r="W670" i="3"/>
  <c r="W21" i="34" s="1"/>
  <c r="W654" i="3"/>
  <c r="W5" i="34" s="1"/>
  <c r="W719" i="3"/>
  <c r="W70" i="34" s="1"/>
  <c r="W684" i="3"/>
  <c r="W35" i="34" s="1"/>
  <c r="W695" i="3"/>
  <c r="W46" i="34" s="1"/>
  <c r="W717" i="3"/>
  <c r="W68" i="34" s="1"/>
  <c r="W733" i="3"/>
  <c r="W84" i="34" s="1"/>
  <c r="W657" i="3"/>
  <c r="W8" i="34" s="1"/>
  <c r="W713" i="3"/>
  <c r="W64" i="34" s="1"/>
  <c r="W744" i="3"/>
  <c r="W95" i="34" s="1"/>
  <c r="W727" i="3"/>
  <c r="W78" i="34" s="1"/>
  <c r="W747" i="3"/>
  <c r="W98" i="34" s="1"/>
  <c r="W682" i="3"/>
  <c r="W33" i="34" s="1"/>
  <c r="W715" i="3"/>
  <c r="W66" i="34" s="1"/>
  <c r="W668" i="3"/>
  <c r="W19" i="34" s="1"/>
  <c r="W676" i="3"/>
  <c r="W27" i="34" s="1"/>
  <c r="W714" i="3"/>
  <c r="W65" i="34" s="1"/>
  <c r="W702" i="3"/>
  <c r="W53" i="34" s="1"/>
  <c r="W741" i="3"/>
  <c r="W92" i="34" s="1"/>
  <c r="W750" i="3"/>
  <c r="W101" i="34" s="1"/>
  <c r="W694" i="3"/>
  <c r="W45" i="34" s="1"/>
  <c r="W738" i="3"/>
  <c r="W89" i="34" s="1"/>
  <c r="W696" i="3"/>
  <c r="W47" i="34" s="1"/>
  <c r="W748" i="3"/>
  <c r="W99" i="34" s="1"/>
  <c r="W735" i="3"/>
  <c r="W86" i="34" s="1"/>
  <c r="W728" i="3"/>
  <c r="W79" i="34" s="1"/>
  <c r="W706" i="3"/>
  <c r="W57" i="34" s="1"/>
  <c r="W663" i="3"/>
  <c r="W14" i="34" s="1"/>
  <c r="W664" i="3"/>
  <c r="W15" i="34" s="1"/>
  <c r="W736" i="3"/>
  <c r="W87" i="34" s="1"/>
  <c r="W686" i="3"/>
  <c r="W37" i="34" s="1"/>
  <c r="W679" i="3"/>
  <c r="W30" i="34" s="1"/>
  <c r="W661" i="3"/>
  <c r="W12" i="34" s="1"/>
  <c r="W660" i="3"/>
  <c r="W11" i="34" s="1"/>
  <c r="W704" i="3"/>
  <c r="W55" i="34" s="1"/>
  <c r="W655" i="3"/>
  <c r="W6" i="34" s="1"/>
  <c r="W701" i="3"/>
  <c r="W52" i="34" s="1"/>
  <c r="W688" i="3"/>
  <c r="W39" i="34" s="1"/>
  <c r="W723" i="3"/>
  <c r="W74" i="34" s="1"/>
  <c r="W721" i="3"/>
  <c r="W72" i="34" s="1"/>
  <c r="W690" i="3"/>
  <c r="W41" i="34" s="1"/>
  <c r="W737" i="3"/>
  <c r="W88" i="34" s="1"/>
  <c r="W703" i="3"/>
  <c r="W54" i="34" s="1"/>
  <c r="W752" i="3"/>
  <c r="W103" i="34" s="1"/>
  <c r="W711" i="3"/>
  <c r="W62" i="34" s="1"/>
  <c r="W667" i="3"/>
  <c r="W18" i="34" s="1"/>
  <c r="W683" i="3"/>
  <c r="W34" i="34" s="1"/>
  <c r="W705" i="3"/>
  <c r="W56" i="34" s="1"/>
  <c r="W745" i="3"/>
  <c r="W96" i="34" s="1"/>
  <c r="W674" i="3"/>
  <c r="W25" i="34" s="1"/>
  <c r="W689" i="3"/>
  <c r="W40" i="34" s="1"/>
  <c r="W659" i="3"/>
  <c r="W10" i="34" s="1"/>
  <c r="W691" i="3"/>
  <c r="W42" i="34" s="1"/>
  <c r="W678" i="3"/>
  <c r="W29" i="34" s="1"/>
  <c r="W707" i="3"/>
  <c r="W58" i="34" s="1"/>
  <c r="W700" i="3"/>
  <c r="W51" i="34" s="1"/>
  <c r="W726" i="3"/>
  <c r="W77" i="34" s="1"/>
  <c r="C756" i="3"/>
  <c r="W692" i="3"/>
  <c r="W43" i="34" s="1"/>
  <c r="W731" i="3"/>
  <c r="W82" i="34" s="1"/>
  <c r="W656" i="3"/>
  <c r="W7" i="34" s="1"/>
  <c r="W658" i="3"/>
  <c r="W9" i="34" s="1"/>
  <c r="W709" i="3"/>
  <c r="W60" i="34" s="1"/>
  <c r="W724" i="3"/>
  <c r="W75" i="34" s="1"/>
  <c r="W710" i="3"/>
  <c r="W61" i="34" s="1"/>
  <c r="W697" i="3"/>
  <c r="W48" i="34" s="1"/>
  <c r="C100" i="32"/>
  <c r="C13" i="5"/>
  <c r="C388" i="3"/>
  <c r="C127" i="5"/>
  <c r="D120" i="24"/>
  <c r="C113" i="5"/>
  <c r="D517" i="44"/>
  <c r="D518" i="44"/>
  <c r="D520" i="44"/>
  <c r="D519" i="44"/>
  <c r="B521" i="44"/>
  <c r="D522" i="44" s="1"/>
  <c r="B1771" i="44"/>
  <c r="D1770" i="44"/>
  <c r="B2665" i="44"/>
  <c r="D2664" i="44"/>
  <c r="D2279" i="44"/>
  <c r="B2280" i="44"/>
  <c r="D2920" i="44"/>
  <c r="B2921" i="44"/>
  <c r="F50" i="24"/>
  <c r="F74" i="32"/>
  <c r="G90" i="25"/>
  <c r="D3016" i="44"/>
  <c r="B3017" i="44"/>
  <c r="A1192" i="5"/>
  <c r="B1193" i="5"/>
  <c r="R1191" i="5"/>
  <c r="D1191" i="5"/>
  <c r="H1191" i="5"/>
  <c r="F1191" i="5"/>
  <c r="G1191" i="5"/>
  <c r="C1191" i="5"/>
  <c r="S1191" i="5"/>
  <c r="J1191" i="5"/>
  <c r="P1191" i="5"/>
  <c r="E1191" i="5"/>
  <c r="N1191" i="5"/>
  <c r="O1191" i="5"/>
  <c r="K1191" i="5"/>
  <c r="I1191" i="5"/>
  <c r="T1191" i="5"/>
  <c r="L1191" i="5"/>
  <c r="M1191" i="5"/>
  <c r="Q1191" i="5"/>
  <c r="F118" i="24"/>
  <c r="F93" i="32"/>
  <c r="B1720" i="44"/>
  <c r="D1719" i="44"/>
  <c r="D79" i="24"/>
  <c r="B2632" i="44"/>
  <c r="D2631" i="44"/>
  <c r="D2042" i="44"/>
  <c r="B2043" i="44"/>
  <c r="D3128" i="44"/>
  <c r="B3129" i="44"/>
  <c r="B3034" i="44"/>
  <c r="D3033" i="44"/>
  <c r="B2233" i="44"/>
  <c r="D2232" i="44"/>
  <c r="B2572" i="44"/>
  <c r="D2571" i="44"/>
  <c r="B2617" i="44"/>
  <c r="D2616" i="44"/>
  <c r="D2775" i="44"/>
  <c r="B2776" i="44"/>
  <c r="D3159" i="44"/>
  <c r="B3160" i="44"/>
  <c r="B2105" i="44"/>
  <c r="D2104" i="44"/>
  <c r="D2295" i="44"/>
  <c r="B2296" i="44"/>
  <c r="D1975" i="44"/>
  <c r="B1976" i="44"/>
  <c r="D3095" i="44"/>
  <c r="B3096" i="44"/>
  <c r="D1800" i="44"/>
  <c r="B1801" i="44"/>
  <c r="B1945" i="44"/>
  <c r="D1944" i="44"/>
  <c r="B1869" i="44"/>
  <c r="D1869" i="44" s="1"/>
  <c r="D1868" i="44"/>
  <c r="D2825" i="44"/>
  <c r="B2826" i="44"/>
  <c r="D2889" i="44"/>
  <c r="B2890" i="44"/>
  <c r="D1608" i="44"/>
  <c r="B1609" i="44"/>
  <c r="D2712" i="44"/>
  <c r="B2713" i="44"/>
  <c r="D1928" i="44"/>
  <c r="B1929" i="44"/>
  <c r="B1737" i="44"/>
  <c r="D1736" i="44"/>
  <c r="B2250" i="44"/>
  <c r="D2249" i="44"/>
  <c r="D2984" i="44"/>
  <c r="B2985" i="44"/>
  <c r="B2394" i="44"/>
  <c r="D2393" i="44"/>
  <c r="D2055" i="44"/>
  <c r="B2056" i="44"/>
  <c r="D2999" i="44"/>
  <c r="B3000" i="44"/>
  <c r="D2970" i="44"/>
  <c r="B2971" i="44"/>
  <c r="D2746" i="44"/>
  <c r="B2747" i="44"/>
  <c r="B2796" i="44"/>
  <c r="D2795" i="44"/>
  <c r="B1963" i="44"/>
  <c r="D1962" i="44"/>
  <c r="B1658" i="44"/>
  <c r="D1657" i="44"/>
  <c r="D648" i="44"/>
  <c r="D645" i="44"/>
  <c r="B649" i="44"/>
  <c r="D644" i="44"/>
  <c r="D647" i="44"/>
  <c r="D646" i="44"/>
  <c r="B2520" i="44"/>
  <c r="D2519" i="44"/>
  <c r="B2088" i="44"/>
  <c r="D2087" i="44"/>
  <c r="D3063" i="44"/>
  <c r="B3064" i="44"/>
  <c r="B2489" i="44"/>
  <c r="D2488" i="44"/>
  <c r="D2201" i="44"/>
  <c r="B2202" i="44"/>
  <c r="B1788" i="44"/>
  <c r="D1787" i="44"/>
  <c r="D2729" i="44"/>
  <c r="B2730" i="44"/>
  <c r="B2379" i="44"/>
  <c r="D2378" i="44"/>
  <c r="D2537" i="44"/>
  <c r="B2538" i="44"/>
  <c r="D2008" i="44"/>
  <c r="B2009" i="44"/>
  <c r="B2153" i="44"/>
  <c r="D2152" i="44"/>
  <c r="B2027" i="44"/>
  <c r="D2026" i="44"/>
  <c r="B2764" i="44"/>
  <c r="D2763" i="44"/>
  <c r="D1591" i="44"/>
  <c r="B1592" i="44"/>
  <c r="D2872" i="44"/>
  <c r="B2873" i="44"/>
  <c r="D2697" i="44"/>
  <c r="B2698" i="44"/>
  <c r="B2506" i="44"/>
  <c r="D2505" i="44"/>
  <c r="B2841" i="44"/>
  <c r="D2840" i="44"/>
  <c r="D2425" i="44"/>
  <c r="B2426" i="44"/>
  <c r="D2184" i="44"/>
  <c r="B2185" i="44"/>
  <c r="B2456" i="44"/>
  <c r="D2455" i="44"/>
  <c r="D1815" i="44"/>
  <c r="B1816" i="44"/>
  <c r="D2360" i="44"/>
  <c r="B2361" i="44"/>
  <c r="D2903" i="44"/>
  <c r="B2904" i="44"/>
  <c r="D2136" i="44"/>
  <c r="B2137" i="44"/>
  <c r="B1881" i="44"/>
  <c r="D1880" i="44"/>
  <c r="B2648" i="44"/>
  <c r="D2647" i="44"/>
  <c r="B2347" i="44"/>
  <c r="D2346" i="44"/>
  <c r="D820" i="44"/>
  <c r="D819" i="44"/>
  <c r="B821" i="44"/>
  <c r="D2935" i="44"/>
  <c r="B2936" i="44"/>
  <c r="B1849" i="44"/>
  <c r="D1848" i="44"/>
  <c r="D369" i="44"/>
  <c r="D365" i="44"/>
  <c r="D366" i="44"/>
  <c r="D368" i="44"/>
  <c r="D367" i="44"/>
  <c r="B370" i="44"/>
  <c r="B2265" i="44"/>
  <c r="D2264" i="44"/>
  <c r="B1640" i="44"/>
  <c r="D1639" i="44"/>
  <c r="D2120" i="44"/>
  <c r="B2121" i="44"/>
  <c r="B2587" i="44"/>
  <c r="D2586" i="44"/>
  <c r="B1688" i="44"/>
  <c r="D1687" i="44"/>
  <c r="B1625" i="44"/>
  <c r="D1624" i="44"/>
  <c r="B2074" i="44"/>
  <c r="D2073" i="44"/>
  <c r="D2856" i="44"/>
  <c r="B2857" i="44"/>
  <c r="B2408" i="44"/>
  <c r="D2407" i="44"/>
  <c r="B3049" i="44"/>
  <c r="D3048" i="44"/>
  <c r="B2169" i="44"/>
  <c r="D2168" i="44"/>
  <c r="D2809" i="44"/>
  <c r="B2810" i="44"/>
  <c r="D3080" i="44"/>
  <c r="B3081" i="44"/>
  <c r="D1705" i="44"/>
  <c r="B1706" i="44"/>
  <c r="B1834" i="44"/>
  <c r="D1833" i="44"/>
  <c r="D2552" i="44"/>
  <c r="B2553" i="44"/>
  <c r="D2601" i="44"/>
  <c r="B2602" i="44"/>
  <c r="D2679" i="44"/>
  <c r="B2680" i="44"/>
  <c r="B2217" i="44"/>
  <c r="D2216" i="44"/>
  <c r="D2314" i="44"/>
  <c r="B2315" i="44"/>
  <c r="D585" i="44"/>
  <c r="D586" i="44"/>
  <c r="B587" i="44"/>
  <c r="D3114" i="44"/>
  <c r="B3115" i="44"/>
  <c r="D2955" i="44"/>
  <c r="B2956" i="44"/>
  <c r="B1992" i="44"/>
  <c r="D1991" i="44"/>
  <c r="D1898" i="44"/>
  <c r="B1899" i="44"/>
  <c r="D452" i="44"/>
  <c r="B453" i="44"/>
  <c r="D449" i="44"/>
  <c r="D450" i="44"/>
  <c r="D448" i="44"/>
  <c r="D451" i="44"/>
  <c r="B1916" i="44"/>
  <c r="D1915" i="44"/>
  <c r="D3145" i="44"/>
  <c r="B3146" i="44"/>
  <c r="B2475" i="44"/>
  <c r="D2474" i="44"/>
  <c r="D2443" i="44"/>
  <c r="B2444" i="44"/>
  <c r="D854" i="44"/>
  <c r="D856" i="44"/>
  <c r="D855" i="44"/>
  <c r="B2331" i="44"/>
  <c r="D2330" i="44"/>
  <c r="K52" i="32"/>
  <c r="D94" i="32"/>
  <c r="D382" i="3"/>
  <c r="E117" i="24"/>
  <c r="E92" i="32"/>
  <c r="E182" i="24"/>
  <c r="F422" i="3"/>
  <c r="G422" i="3" s="1"/>
  <c r="F182" i="24" s="1"/>
  <c r="H30" i="32"/>
  <c r="G33" i="32"/>
  <c r="G36" i="32" s="1"/>
  <c r="G37" i="32" s="1"/>
  <c r="E181" i="24"/>
  <c r="F423" i="3"/>
  <c r="G423" i="3" s="1"/>
  <c r="F181" i="24" s="1"/>
  <c r="F113" i="24"/>
  <c r="E379" i="3"/>
  <c r="F88" i="32"/>
  <c r="J11" i="32"/>
  <c r="I13" i="32"/>
  <c r="I15" i="32" s="1"/>
  <c r="I17" i="32" s="1"/>
  <c r="G111" i="24"/>
  <c r="G86" i="32"/>
  <c r="F375" i="3"/>
  <c r="F380" i="3" s="1"/>
  <c r="G373" i="3"/>
  <c r="H87" i="32"/>
  <c r="H374" i="3"/>
  <c r="H112" i="24"/>
  <c r="D524" i="44" l="1"/>
  <c r="D521" i="44"/>
  <c r="D523" i="44"/>
  <c r="D525" i="44"/>
  <c r="B526" i="44"/>
  <c r="D528" i="44" s="1"/>
  <c r="C1068" i="5"/>
  <c r="V755" i="3"/>
  <c r="R104" i="34"/>
  <c r="W753" i="3"/>
  <c r="C1071" i="5" s="1"/>
  <c r="D388" i="3"/>
  <c r="C27" i="5" s="1"/>
  <c r="C20" i="5"/>
  <c r="D100" i="32"/>
  <c r="D126" i="24"/>
  <c r="C114" i="5"/>
  <c r="C128" i="5"/>
  <c r="B1772" i="44"/>
  <c r="D1771" i="44"/>
  <c r="D2665" i="44"/>
  <c r="B2666" i="44"/>
  <c r="B2281" i="44"/>
  <c r="D2280" i="44"/>
  <c r="B2922" i="44"/>
  <c r="D2921" i="44"/>
  <c r="D3017" i="44"/>
  <c r="B3018" i="44"/>
  <c r="A1193" i="5"/>
  <c r="B1194" i="5"/>
  <c r="S1192" i="5"/>
  <c r="M1192" i="5"/>
  <c r="L1192" i="5"/>
  <c r="F1192" i="5"/>
  <c r="H1192" i="5"/>
  <c r="O1192" i="5"/>
  <c r="E1192" i="5"/>
  <c r="G1192" i="5"/>
  <c r="J1192" i="5"/>
  <c r="K1192" i="5"/>
  <c r="T1192" i="5"/>
  <c r="C1192" i="5"/>
  <c r="R1192" i="5"/>
  <c r="D1192" i="5"/>
  <c r="Q1192" i="5"/>
  <c r="N1192" i="5"/>
  <c r="P1192" i="5"/>
  <c r="I1192" i="5"/>
  <c r="G93" i="32"/>
  <c r="G118" i="24"/>
  <c r="D1720" i="44"/>
  <c r="B1721" i="44"/>
  <c r="D2632" i="44"/>
  <c r="B2633" i="44"/>
  <c r="D2043" i="44"/>
  <c r="B2044" i="44"/>
  <c r="B3130" i="44"/>
  <c r="D3129" i="44"/>
  <c r="B3035" i="44"/>
  <c r="D3034" i="44"/>
  <c r="D1801" i="44"/>
  <c r="B1802" i="44"/>
  <c r="B3097" i="44"/>
  <c r="D3096" i="44"/>
  <c r="B1977" i="44"/>
  <c r="D1976" i="44"/>
  <c r="D2296" i="44"/>
  <c r="B2297" i="44"/>
  <c r="B3161" i="44"/>
  <c r="D3160" i="44"/>
  <c r="D2776" i="44"/>
  <c r="B2777" i="44"/>
  <c r="D2105" i="44"/>
  <c r="B2106" i="44"/>
  <c r="B2618" i="44"/>
  <c r="D2617" i="44"/>
  <c r="B2573" i="44"/>
  <c r="D2573" i="44" s="1"/>
  <c r="D2572" i="44"/>
  <c r="B2234" i="44"/>
  <c r="D2233" i="44"/>
  <c r="B1946" i="44"/>
  <c r="D1945" i="44"/>
  <c r="D2826" i="44"/>
  <c r="B2827" i="44"/>
  <c r="D1609" i="44"/>
  <c r="B1610" i="44"/>
  <c r="D2890" i="44"/>
  <c r="B2891" i="44"/>
  <c r="D2250" i="44"/>
  <c r="B2251" i="44"/>
  <c r="D1737" i="44"/>
  <c r="B1738" i="44"/>
  <c r="B2986" i="44"/>
  <c r="D2985" i="44"/>
  <c r="D1929" i="44"/>
  <c r="B1930" i="44"/>
  <c r="B2714" i="44"/>
  <c r="D2713" i="44"/>
  <c r="D3064" i="44"/>
  <c r="B3065" i="44"/>
  <c r="D2747" i="44"/>
  <c r="B2748" i="44"/>
  <c r="D2971" i="44"/>
  <c r="B2972" i="44"/>
  <c r="B3001" i="44"/>
  <c r="D3000" i="44"/>
  <c r="B2057" i="44"/>
  <c r="D2056" i="44"/>
  <c r="D2489" i="44"/>
  <c r="B2490" i="44"/>
  <c r="D2088" i="44"/>
  <c r="B2089" i="44"/>
  <c r="D2520" i="44"/>
  <c r="B2521" i="44"/>
  <c r="B654" i="44"/>
  <c r="D653" i="44"/>
  <c r="D650" i="44"/>
  <c r="D649" i="44"/>
  <c r="D651" i="44"/>
  <c r="D652" i="44"/>
  <c r="B1659" i="44"/>
  <c r="D1658" i="44"/>
  <c r="B531" i="44"/>
  <c r="D529" i="44"/>
  <c r="D527" i="44"/>
  <c r="B1964" i="44"/>
  <c r="D1963" i="44"/>
  <c r="B2797" i="44"/>
  <c r="D2797" i="44" s="1"/>
  <c r="D2796" i="44"/>
  <c r="D2394" i="44"/>
  <c r="B2395" i="44"/>
  <c r="D2202" i="44"/>
  <c r="B2203" i="44"/>
  <c r="D1788" i="44"/>
  <c r="B1789" i="44"/>
  <c r="D1789" i="44" s="1"/>
  <c r="B2957" i="44"/>
  <c r="D2957" i="44" s="1"/>
  <c r="D2956" i="44"/>
  <c r="D3115" i="44"/>
  <c r="B3116" i="44"/>
  <c r="D587" i="44"/>
  <c r="D588" i="44"/>
  <c r="D589" i="44"/>
  <c r="B590" i="44"/>
  <c r="D2217" i="44"/>
  <c r="B2218" i="44"/>
  <c r="D1834" i="44"/>
  <c r="B1835" i="44"/>
  <c r="B2170" i="44"/>
  <c r="D2169" i="44"/>
  <c r="D3049" i="44"/>
  <c r="B3050" i="44"/>
  <c r="D2408" i="44"/>
  <c r="B2409" i="44"/>
  <c r="B2075" i="44"/>
  <c r="D2074" i="44"/>
  <c r="B1626" i="44"/>
  <c r="D1625" i="44"/>
  <c r="D1688" i="44"/>
  <c r="B1689" i="44"/>
  <c r="D2587" i="44"/>
  <c r="B2588" i="44"/>
  <c r="D1640" i="44"/>
  <c r="B1641" i="44"/>
  <c r="B2266" i="44"/>
  <c r="D2265" i="44"/>
  <c r="B1850" i="44"/>
  <c r="D1849" i="44"/>
  <c r="D2137" i="44"/>
  <c r="B2138" i="44"/>
  <c r="D2904" i="44"/>
  <c r="B2905" i="44"/>
  <c r="D2361" i="44"/>
  <c r="B2362" i="44"/>
  <c r="D1816" i="44"/>
  <c r="B1817" i="44"/>
  <c r="D2185" i="44"/>
  <c r="B2186" i="44"/>
  <c r="B2427" i="44"/>
  <c r="D2426" i="44"/>
  <c r="B2699" i="44"/>
  <c r="D2698" i="44"/>
  <c r="B2874" i="44"/>
  <c r="D2873" i="44"/>
  <c r="B1593" i="44"/>
  <c r="D1592" i="44"/>
  <c r="D2009" i="44"/>
  <c r="B2010" i="44"/>
  <c r="B2539" i="44"/>
  <c r="D2538" i="44"/>
  <c r="B2731" i="44"/>
  <c r="D2730" i="44"/>
  <c r="B1993" i="44"/>
  <c r="D1992" i="44"/>
  <c r="D2315" i="44"/>
  <c r="B2316" i="44"/>
  <c r="B2681" i="44"/>
  <c r="D2680" i="44"/>
  <c r="D2602" i="44"/>
  <c r="B2603" i="44"/>
  <c r="B2554" i="44"/>
  <c r="D2553" i="44"/>
  <c r="D1706" i="44"/>
  <c r="B1707" i="44"/>
  <c r="B3082" i="44"/>
  <c r="D3081" i="44"/>
  <c r="B2811" i="44"/>
  <c r="D2810" i="44"/>
  <c r="D2857" i="44"/>
  <c r="B2858" i="44"/>
  <c r="B2122" i="44"/>
  <c r="D2121" i="44"/>
  <c r="D370" i="44"/>
  <c r="B376" i="44"/>
  <c r="D375" i="44"/>
  <c r="D371" i="44"/>
  <c r="D374" i="44"/>
  <c r="D372" i="44"/>
  <c r="D373" i="44"/>
  <c r="B2937" i="44"/>
  <c r="D2936" i="44"/>
  <c r="D821" i="44"/>
  <c r="D822" i="44"/>
  <c r="B823" i="44"/>
  <c r="D2347" i="44"/>
  <c r="B2348" i="44"/>
  <c r="D2648" i="44"/>
  <c r="B2649" i="44"/>
  <c r="B1882" i="44"/>
  <c r="D1881" i="44"/>
  <c r="B2457" i="44"/>
  <c r="D2456" i="44"/>
  <c r="D2841" i="44"/>
  <c r="B2842" i="44"/>
  <c r="B2507" i="44"/>
  <c r="D2506" i="44"/>
  <c r="D2764" i="44"/>
  <c r="B2765" i="44"/>
  <c r="D2765" i="44" s="1"/>
  <c r="B2028" i="44"/>
  <c r="D2027" i="44"/>
  <c r="D2153" i="44"/>
  <c r="B2154" i="44"/>
  <c r="D2379" i="44"/>
  <c r="B2380" i="44"/>
  <c r="B2332" i="44"/>
  <c r="D2331" i="44"/>
  <c r="D2444" i="44"/>
  <c r="B2445" i="44"/>
  <c r="D2445" i="44" s="1"/>
  <c r="D1916" i="44"/>
  <c r="B1917" i="44"/>
  <c r="D1917" i="44" s="1"/>
  <c r="B2476" i="44"/>
  <c r="D2475" i="44"/>
  <c r="B3147" i="44"/>
  <c r="D3146" i="44"/>
  <c r="D457" i="44"/>
  <c r="D458" i="44"/>
  <c r="D455" i="44"/>
  <c r="D456" i="44"/>
  <c r="D454" i="44"/>
  <c r="D453" i="44"/>
  <c r="B459" i="44"/>
  <c r="B1900" i="44"/>
  <c r="D1899" i="44"/>
  <c r="H111" i="24"/>
  <c r="H373" i="3"/>
  <c r="H86" i="32"/>
  <c r="G375" i="3"/>
  <c r="G380" i="3" s="1"/>
  <c r="E382" i="3"/>
  <c r="F92" i="32"/>
  <c r="F117" i="24"/>
  <c r="E94" i="32"/>
  <c r="E120" i="24"/>
  <c r="B440" i="3"/>
  <c r="D184" i="24"/>
  <c r="C440" i="3"/>
  <c r="D440" i="3" s="1"/>
  <c r="G113" i="24"/>
  <c r="G88" i="32"/>
  <c r="F379" i="3"/>
  <c r="I112" i="24"/>
  <c r="I374" i="3"/>
  <c r="I87" i="32"/>
  <c r="K11" i="32"/>
  <c r="J13" i="32"/>
  <c r="J15" i="32" s="1"/>
  <c r="J17" i="32" s="1"/>
  <c r="I30" i="32"/>
  <c r="H33" i="32"/>
  <c r="H36" i="32" s="1"/>
  <c r="H37" i="32" s="1"/>
  <c r="D530" i="44" l="1"/>
  <c r="D526" i="44"/>
  <c r="E126" i="24"/>
  <c r="E100" i="32"/>
  <c r="E388" i="3"/>
  <c r="C34" i="5" s="1"/>
  <c r="C115" i="5"/>
  <c r="C129" i="5"/>
  <c r="B1773" i="44"/>
  <c r="D1773" i="44" s="1"/>
  <c r="D1772" i="44"/>
  <c r="D2666" i="44"/>
  <c r="B2667" i="44"/>
  <c r="D2281" i="44"/>
  <c r="B2282" i="44"/>
  <c r="D2922" i="44"/>
  <c r="B2923" i="44"/>
  <c r="C442" i="3"/>
  <c r="G60" i="25"/>
  <c r="B3019" i="44"/>
  <c r="D3018" i="44"/>
  <c r="A1194" i="5"/>
  <c r="B1195" i="5"/>
  <c r="C1193" i="5"/>
  <c r="S1193" i="5"/>
  <c r="N1193" i="5"/>
  <c r="F1193" i="5"/>
  <c r="J1193" i="5"/>
  <c r="T1193" i="5"/>
  <c r="P1193" i="5"/>
  <c r="I1193" i="5"/>
  <c r="O1193" i="5"/>
  <c r="K1193" i="5"/>
  <c r="Q1193" i="5"/>
  <c r="L1193" i="5"/>
  <c r="D1193" i="5"/>
  <c r="G1193" i="5"/>
  <c r="R1193" i="5"/>
  <c r="H1193" i="5"/>
  <c r="E1193" i="5"/>
  <c r="M1193" i="5"/>
  <c r="H93" i="32"/>
  <c r="H118" i="24"/>
  <c r="D1721" i="44"/>
  <c r="B1722" i="44"/>
  <c r="B2634" i="44"/>
  <c r="D2633" i="44"/>
  <c r="B2045" i="44"/>
  <c r="D2045" i="44" s="1"/>
  <c r="D2044" i="44"/>
  <c r="B3131" i="44"/>
  <c r="D3130" i="44"/>
  <c r="B3036" i="44"/>
  <c r="D3035" i="44"/>
  <c r="B2107" i="44"/>
  <c r="D2106" i="44"/>
  <c r="B2778" i="44"/>
  <c r="D2777" i="44"/>
  <c r="B2298" i="44"/>
  <c r="D2297" i="44"/>
  <c r="B1803" i="44"/>
  <c r="D1802" i="44"/>
  <c r="D2234" i="44"/>
  <c r="B2235" i="44"/>
  <c r="D2618" i="44"/>
  <c r="B2619" i="44"/>
  <c r="B3162" i="44"/>
  <c r="D3161" i="44"/>
  <c r="B1978" i="44"/>
  <c r="D1977" i="44"/>
  <c r="B3098" i="44"/>
  <c r="D3097" i="44"/>
  <c r="D1946" i="44"/>
  <c r="B1947" i="44"/>
  <c r="D2827" i="44"/>
  <c r="B2828" i="44"/>
  <c r="B2892" i="44"/>
  <c r="D2891" i="44"/>
  <c r="D1610" i="44"/>
  <c r="B1611" i="44"/>
  <c r="D1930" i="44"/>
  <c r="B1931" i="44"/>
  <c r="B1739" i="44"/>
  <c r="D1738" i="44"/>
  <c r="B2252" i="44"/>
  <c r="D2251" i="44"/>
  <c r="B2715" i="44"/>
  <c r="D2714" i="44"/>
  <c r="B2987" i="44"/>
  <c r="D2986" i="44"/>
  <c r="D2395" i="44"/>
  <c r="B2396" i="44"/>
  <c r="B2522" i="44"/>
  <c r="D2521" i="44"/>
  <c r="B2090" i="44"/>
  <c r="D2089" i="44"/>
  <c r="B2491" i="44"/>
  <c r="D2490" i="44"/>
  <c r="D2972" i="44"/>
  <c r="B2973" i="44"/>
  <c r="D2973" i="44" s="1"/>
  <c r="B2749" i="44"/>
  <c r="D2749" i="44" s="1"/>
  <c r="D2748" i="44"/>
  <c r="D3065" i="44"/>
  <c r="B3066" i="44"/>
  <c r="B1965" i="44"/>
  <c r="D1965" i="44" s="1"/>
  <c r="D1964" i="44"/>
  <c r="D531" i="44"/>
  <c r="D535" i="44"/>
  <c r="B536" i="44"/>
  <c r="B541" i="44" s="1"/>
  <c r="D534" i="44"/>
  <c r="D532" i="44"/>
  <c r="D533" i="44"/>
  <c r="D1659" i="44"/>
  <c r="B1660" i="44"/>
  <c r="D656" i="44"/>
  <c r="D655" i="44"/>
  <c r="D658" i="44"/>
  <c r="D657" i="44"/>
  <c r="D654" i="44"/>
  <c r="B659" i="44"/>
  <c r="B2058" i="44"/>
  <c r="D2057" i="44"/>
  <c r="D3001" i="44"/>
  <c r="B3002" i="44"/>
  <c r="D2203" i="44"/>
  <c r="B2204" i="44"/>
  <c r="B2381" i="44"/>
  <c r="D2381" i="44" s="1"/>
  <c r="D2380" i="44"/>
  <c r="D2154" i="44"/>
  <c r="B2155" i="44"/>
  <c r="D2842" i="44"/>
  <c r="B2843" i="44"/>
  <c r="B2650" i="44"/>
  <c r="D2649" i="44"/>
  <c r="D2348" i="44"/>
  <c r="B2349" i="44"/>
  <c r="D2349" i="44" s="1"/>
  <c r="B826" i="44"/>
  <c r="D825" i="44"/>
  <c r="D823" i="44"/>
  <c r="D824" i="44"/>
  <c r="B2938" i="44"/>
  <c r="D2937" i="44"/>
  <c r="D380" i="44"/>
  <c r="D377" i="44"/>
  <c r="D376" i="44"/>
  <c r="D379" i="44"/>
  <c r="D378" i="44"/>
  <c r="D381" i="44"/>
  <c r="B382" i="44"/>
  <c r="D2858" i="44"/>
  <c r="B2859" i="44"/>
  <c r="D1707" i="44"/>
  <c r="B1708" i="44"/>
  <c r="D2603" i="44"/>
  <c r="B2604" i="44"/>
  <c r="B2317" i="44"/>
  <c r="D2317" i="44" s="1"/>
  <c r="D2316" i="44"/>
  <c r="D2010" i="44"/>
  <c r="B2011" i="44"/>
  <c r="D2186" i="44"/>
  <c r="B2187" i="44"/>
  <c r="B1818" i="44"/>
  <c r="D1817" i="44"/>
  <c r="B2363" i="44"/>
  <c r="D2362" i="44"/>
  <c r="B2906" i="44"/>
  <c r="D2905" i="44"/>
  <c r="D2138" i="44"/>
  <c r="B2139" i="44"/>
  <c r="B1642" i="44"/>
  <c r="D1641" i="44"/>
  <c r="D2588" i="44"/>
  <c r="B2589" i="44"/>
  <c r="D2589" i="44" s="1"/>
  <c r="D1689" i="44"/>
  <c r="B1690" i="44"/>
  <c r="B2410" i="44"/>
  <c r="D2409" i="44"/>
  <c r="B3051" i="44"/>
  <c r="D3050" i="44"/>
  <c r="D1835" i="44"/>
  <c r="B1836" i="44"/>
  <c r="B2219" i="44"/>
  <c r="D2218" i="44"/>
  <c r="D592" i="44"/>
  <c r="B593" i="44"/>
  <c r="D590" i="44"/>
  <c r="D591" i="44"/>
  <c r="B3117" i="44"/>
  <c r="D3117" i="44" s="1"/>
  <c r="D3116" i="44"/>
  <c r="B2029" i="44"/>
  <c r="D2029" i="44" s="1"/>
  <c r="D2028" i="44"/>
  <c r="D2507" i="44"/>
  <c r="B2508" i="44"/>
  <c r="D2457" i="44"/>
  <c r="B2458" i="44"/>
  <c r="D1882" i="44"/>
  <c r="B1883" i="44"/>
  <c r="D2122" i="44"/>
  <c r="B2123" i="44"/>
  <c r="D2811" i="44"/>
  <c r="B2812" i="44"/>
  <c r="B3083" i="44"/>
  <c r="D3082" i="44"/>
  <c r="D2554" i="44"/>
  <c r="B2555" i="44"/>
  <c r="B2682" i="44"/>
  <c r="D2681" i="44"/>
  <c r="D1993" i="44"/>
  <c r="B1994" i="44"/>
  <c r="B2732" i="44"/>
  <c r="D2731" i="44"/>
  <c r="B2540" i="44"/>
  <c r="D2539" i="44"/>
  <c r="D1593" i="44"/>
  <c r="B1594" i="44"/>
  <c r="D2874" i="44"/>
  <c r="B2875" i="44"/>
  <c r="B2700" i="44"/>
  <c r="D2699" i="44"/>
  <c r="B2428" i="44"/>
  <c r="D2427" i="44"/>
  <c r="D1850" i="44"/>
  <c r="B1851" i="44"/>
  <c r="D2266" i="44"/>
  <c r="B2267" i="44"/>
  <c r="D1626" i="44"/>
  <c r="B1627" i="44"/>
  <c r="B2076" i="44"/>
  <c r="D2075" i="44"/>
  <c r="D2170" i="44"/>
  <c r="B2171" i="44"/>
  <c r="B1901" i="44"/>
  <c r="D1901" i="44" s="1"/>
  <c r="D1900" i="44"/>
  <c r="D459" i="44"/>
  <c r="D460" i="44"/>
  <c r="D463" i="44"/>
  <c r="D462" i="44"/>
  <c r="D464" i="44"/>
  <c r="D461" i="44"/>
  <c r="B465" i="44"/>
  <c r="B3148" i="44"/>
  <c r="D3147" i="44"/>
  <c r="D2476" i="44"/>
  <c r="B2477" i="44"/>
  <c r="D2477" i="44" s="1"/>
  <c r="B2333" i="44"/>
  <c r="D2333" i="44" s="1"/>
  <c r="D2332" i="44"/>
  <c r="G117" i="24"/>
  <c r="F382" i="3"/>
  <c r="G92" i="32"/>
  <c r="J30" i="32"/>
  <c r="I33" i="32"/>
  <c r="I36" i="32" s="1"/>
  <c r="I37" i="32" s="1"/>
  <c r="J87" i="32"/>
  <c r="J374" i="3"/>
  <c r="J112" i="24"/>
  <c r="I86" i="32"/>
  <c r="H375" i="3"/>
  <c r="H380" i="3" s="1"/>
  <c r="I111" i="24"/>
  <c r="I373" i="3"/>
  <c r="B442" i="3"/>
  <c r="F60" i="25"/>
  <c r="F94" i="32"/>
  <c r="F120" i="24"/>
  <c r="K13" i="32"/>
  <c r="K15" i="32" s="1"/>
  <c r="K17" i="32" s="1"/>
  <c r="L11" i="32"/>
  <c r="H113" i="24"/>
  <c r="H88" i="32"/>
  <c r="G379" i="3"/>
  <c r="C541" i="44"/>
  <c r="C544" i="44"/>
  <c r="C543" i="44"/>
  <c r="C542" i="44"/>
  <c r="C545" i="44"/>
  <c r="D442" i="3" l="1"/>
  <c r="G62" i="25" s="1"/>
  <c r="D544" i="44"/>
  <c r="F544" i="44" s="1"/>
  <c r="D543" i="44"/>
  <c r="F543" i="44" s="1"/>
  <c r="D545" i="44"/>
  <c r="F545" i="44" s="1"/>
  <c r="D542" i="44"/>
  <c r="F542" i="44" s="1"/>
  <c r="B546" i="44"/>
  <c r="D541" i="44"/>
  <c r="F541" i="44" s="1"/>
  <c r="F126" i="24"/>
  <c r="F100" i="32"/>
  <c r="F388" i="3"/>
  <c r="C41" i="5" s="1"/>
  <c r="C116" i="5"/>
  <c r="C130" i="5"/>
  <c r="B2668" i="44"/>
  <c r="D2667" i="44"/>
  <c r="B2283" i="44"/>
  <c r="D2282" i="44"/>
  <c r="D2923" i="44"/>
  <c r="B2924" i="44"/>
  <c r="D3019" i="44"/>
  <c r="B3020" i="44"/>
  <c r="A1195" i="5"/>
  <c r="B1196" i="5"/>
  <c r="N1194" i="5"/>
  <c r="D1194" i="5"/>
  <c r="R1194" i="5"/>
  <c r="O1194" i="5"/>
  <c r="K1194" i="5"/>
  <c r="Q1194" i="5"/>
  <c r="C1194" i="5"/>
  <c r="M1194" i="5"/>
  <c r="L1194" i="5"/>
  <c r="J1194" i="5"/>
  <c r="P1194" i="5"/>
  <c r="S1194" i="5"/>
  <c r="H1194" i="5"/>
  <c r="I1194" i="5"/>
  <c r="G1194" i="5"/>
  <c r="T1194" i="5"/>
  <c r="F1194" i="5"/>
  <c r="E1194" i="5"/>
  <c r="I93" i="32"/>
  <c r="I118" i="24"/>
  <c r="B1723" i="44"/>
  <c r="D1722" i="44"/>
  <c r="D2634" i="44"/>
  <c r="B2635" i="44"/>
  <c r="D3131" i="44"/>
  <c r="B3132" i="44"/>
  <c r="D3036" i="44"/>
  <c r="B3037" i="44"/>
  <c r="D3037" i="44" s="1"/>
  <c r="B2620" i="44"/>
  <c r="D2619" i="44"/>
  <c r="B2236" i="44"/>
  <c r="D2235" i="44"/>
  <c r="D3098" i="44"/>
  <c r="B3099" i="44"/>
  <c r="B1979" i="44"/>
  <c r="D1978" i="44"/>
  <c r="D3162" i="44"/>
  <c r="B3163" i="44"/>
  <c r="D1803" i="44"/>
  <c r="B1804" i="44"/>
  <c r="B2299" i="44"/>
  <c r="D2298" i="44"/>
  <c r="D2778" i="44"/>
  <c r="B2779" i="44"/>
  <c r="D2107" i="44"/>
  <c r="B2108" i="44"/>
  <c r="D1947" i="44"/>
  <c r="B1948" i="44"/>
  <c r="B2829" i="44"/>
  <c r="D2829" i="44" s="1"/>
  <c r="D2828" i="44"/>
  <c r="B1612" i="44"/>
  <c r="D1611" i="44"/>
  <c r="B2893" i="44"/>
  <c r="D2893" i="44" s="1"/>
  <c r="D2892" i="44"/>
  <c r="B1932" i="44"/>
  <c r="D1931" i="44"/>
  <c r="B2988" i="44"/>
  <c r="D2987" i="44"/>
  <c r="D2715" i="44"/>
  <c r="B2716" i="44"/>
  <c r="B2253" i="44"/>
  <c r="D2253" i="44" s="1"/>
  <c r="D2252" i="44"/>
  <c r="D1739" i="44"/>
  <c r="B1740" i="44"/>
  <c r="B3003" i="44"/>
  <c r="D3002" i="44"/>
  <c r="D663" i="44"/>
  <c r="D664" i="44"/>
  <c r="D660" i="44"/>
  <c r="D662" i="44"/>
  <c r="D661" i="44"/>
  <c r="B665" i="44"/>
  <c r="D659" i="44"/>
  <c r="D1660" i="44"/>
  <c r="B1661" i="44"/>
  <c r="D1661" i="44" s="1"/>
  <c r="D3066" i="44"/>
  <c r="B3067" i="44"/>
  <c r="D2396" i="44"/>
  <c r="B2397" i="44"/>
  <c r="D2397" i="44" s="1"/>
  <c r="D2058" i="44"/>
  <c r="B2059" i="44"/>
  <c r="D537" i="44"/>
  <c r="D538" i="44"/>
  <c r="D536" i="44"/>
  <c r="D539" i="44"/>
  <c r="D540" i="44"/>
  <c r="D2491" i="44"/>
  <c r="B2492" i="44"/>
  <c r="D2090" i="44"/>
  <c r="B2091" i="44"/>
  <c r="B2523" i="44"/>
  <c r="D2522" i="44"/>
  <c r="B2205" i="44"/>
  <c r="D2205" i="44" s="1"/>
  <c r="D2204" i="44"/>
  <c r="B2077" i="44"/>
  <c r="D2077" i="44" s="1"/>
  <c r="D2076" i="44"/>
  <c r="B2429" i="44"/>
  <c r="D2429" i="44" s="1"/>
  <c r="D2428" i="44"/>
  <c r="B2701" i="44"/>
  <c r="D2701" i="44" s="1"/>
  <c r="D2700" i="44"/>
  <c r="B2541" i="44"/>
  <c r="D2541" i="44" s="1"/>
  <c r="D2540" i="44"/>
  <c r="B2733" i="44"/>
  <c r="D2733" i="44" s="1"/>
  <c r="D2732" i="44"/>
  <c r="B2683" i="44"/>
  <c r="D2682" i="44"/>
  <c r="D3083" i="44"/>
  <c r="B3084" i="44"/>
  <c r="B2220" i="44"/>
  <c r="D2219" i="44"/>
  <c r="D3051" i="44"/>
  <c r="B3052" i="44"/>
  <c r="B2411" i="44"/>
  <c r="D2410" i="44"/>
  <c r="B1643" i="44"/>
  <c r="D1642" i="44"/>
  <c r="B2907" i="44"/>
  <c r="D2906" i="44"/>
  <c r="D2363" i="44"/>
  <c r="B2364" i="44"/>
  <c r="D1818" i="44"/>
  <c r="B1819" i="44"/>
  <c r="D2843" i="44"/>
  <c r="B2844" i="44"/>
  <c r="D2155" i="44"/>
  <c r="B2156" i="44"/>
  <c r="B2172" i="44"/>
  <c r="D2171" i="44"/>
  <c r="D1627" i="44"/>
  <c r="B1628" i="44"/>
  <c r="D2267" i="44"/>
  <c r="B2268" i="44"/>
  <c r="B1852" i="44"/>
  <c r="D1851" i="44"/>
  <c r="B2876" i="44"/>
  <c r="D2875" i="44"/>
  <c r="D1594" i="44"/>
  <c r="B1595" i="44"/>
  <c r="B1995" i="44"/>
  <c r="D1994" i="44"/>
  <c r="B2556" i="44"/>
  <c r="D2555" i="44"/>
  <c r="B2813" i="44"/>
  <c r="D2813" i="44" s="1"/>
  <c r="D2812" i="44"/>
  <c r="D2123" i="44"/>
  <c r="B2124" i="44"/>
  <c r="D1883" i="44"/>
  <c r="B1884" i="44"/>
  <c r="D2458" i="44"/>
  <c r="B2459" i="44"/>
  <c r="D2508" i="44"/>
  <c r="B2509" i="44"/>
  <c r="D2509" i="44" s="1"/>
  <c r="D594" i="44"/>
  <c r="D593" i="44"/>
  <c r="D595" i="44"/>
  <c r="B1837" i="44"/>
  <c r="D1837" i="44" s="1"/>
  <c r="D1836" i="44"/>
  <c r="D1690" i="44"/>
  <c r="B1691" i="44"/>
  <c r="D2139" i="44"/>
  <c r="B2140" i="44"/>
  <c r="B2188" i="44"/>
  <c r="D2187" i="44"/>
  <c r="D2011" i="44"/>
  <c r="B2012" i="44"/>
  <c r="B2605" i="44"/>
  <c r="D2605" i="44" s="1"/>
  <c r="D2604" i="44"/>
  <c r="D1708" i="44"/>
  <c r="B1709" i="44"/>
  <c r="D1709" i="44" s="1"/>
  <c r="B2860" i="44"/>
  <c r="D2859" i="44"/>
  <c r="D385" i="44"/>
  <c r="D384" i="44"/>
  <c r="D382" i="44"/>
  <c r="D387" i="44"/>
  <c r="D386" i="44"/>
  <c r="D383" i="44"/>
  <c r="D2938" i="44"/>
  <c r="B2939" i="44"/>
  <c r="D826" i="44"/>
  <c r="D827" i="44"/>
  <c r="D828" i="44"/>
  <c r="B829" i="44"/>
  <c r="D2650" i="44"/>
  <c r="B2651" i="44"/>
  <c r="D468" i="44"/>
  <c r="D467" i="44"/>
  <c r="D470" i="44"/>
  <c r="D465" i="44"/>
  <c r="D466" i="44"/>
  <c r="D469" i="44"/>
  <c r="D3148" i="44"/>
  <c r="B3149" i="44"/>
  <c r="D3149" i="44" s="1"/>
  <c r="G382" i="3"/>
  <c r="H92" i="32"/>
  <c r="H117" i="24"/>
  <c r="L13" i="32"/>
  <c r="L15" i="32" s="1"/>
  <c r="L17" i="32" s="1"/>
  <c r="C20" i="32"/>
  <c r="B451" i="3"/>
  <c r="F62" i="25"/>
  <c r="B513" i="3"/>
  <c r="C513" i="3" s="1"/>
  <c r="I113" i="24"/>
  <c r="I88" i="32"/>
  <c r="H379" i="3"/>
  <c r="C130" i="24"/>
  <c r="C104" i="32"/>
  <c r="K374" i="3"/>
  <c r="J373" i="3"/>
  <c r="C103" i="32" s="1"/>
  <c r="J111" i="24"/>
  <c r="I375" i="3"/>
  <c r="I380" i="3" s="1"/>
  <c r="J86" i="32"/>
  <c r="G94" i="32"/>
  <c r="G120" i="24"/>
  <c r="J33" i="32"/>
  <c r="J36" i="32" s="1"/>
  <c r="J37" i="32" s="1"/>
  <c r="K30" i="32"/>
  <c r="E544" i="44"/>
  <c r="E542" i="44"/>
  <c r="E543" i="44"/>
  <c r="E545" i="44"/>
  <c r="E541" i="44"/>
  <c r="G100" i="32" l="1"/>
  <c r="G126" i="24"/>
  <c r="G388" i="3"/>
  <c r="H100" i="32" s="1"/>
  <c r="C117" i="5"/>
  <c r="C131" i="5"/>
  <c r="D2668" i="44"/>
  <c r="B2669" i="44"/>
  <c r="D2669" i="44" s="1"/>
  <c r="B2284" i="44"/>
  <c r="D2283" i="44"/>
  <c r="D2924" i="44"/>
  <c r="B2925" i="44"/>
  <c r="D2925" i="44" s="1"/>
  <c r="B515" i="3"/>
  <c r="C515" i="3" s="1"/>
  <c r="D3020" i="44"/>
  <c r="B3021" i="44"/>
  <c r="D3021" i="44" s="1"/>
  <c r="A1196" i="5"/>
  <c r="B1197" i="5"/>
  <c r="O1195" i="5"/>
  <c r="T1195" i="5"/>
  <c r="G1195" i="5"/>
  <c r="K1195" i="5"/>
  <c r="L1195" i="5"/>
  <c r="I1195" i="5"/>
  <c r="H1195" i="5"/>
  <c r="E1195" i="5"/>
  <c r="P1195" i="5"/>
  <c r="J1195" i="5"/>
  <c r="N1195" i="5"/>
  <c r="M1195" i="5"/>
  <c r="C1195" i="5"/>
  <c r="D1195" i="5"/>
  <c r="Q1195" i="5"/>
  <c r="R1195" i="5"/>
  <c r="S1195" i="5"/>
  <c r="F1195" i="5"/>
  <c r="J118" i="24"/>
  <c r="J93" i="32"/>
  <c r="D1723" i="44"/>
  <c r="B1724" i="44"/>
  <c r="D2635" i="44"/>
  <c r="B2636" i="44"/>
  <c r="D3132" i="44"/>
  <c r="B3133" i="44"/>
  <c r="D3133" i="44" s="1"/>
  <c r="D2108" i="44"/>
  <c r="B2109" i="44"/>
  <c r="D2109" i="44" s="1"/>
  <c r="B2780" i="44"/>
  <c r="D2779" i="44"/>
  <c r="B1805" i="44"/>
  <c r="D1805" i="44" s="1"/>
  <c r="D1804" i="44"/>
  <c r="D3163" i="44"/>
  <c r="B3164" i="44"/>
  <c r="B3100" i="44"/>
  <c r="D3099" i="44"/>
  <c r="D2299" i="44"/>
  <c r="B2300" i="44"/>
  <c r="D1979" i="44"/>
  <c r="B1980" i="44"/>
  <c r="D2236" i="44"/>
  <c r="B2237" i="44"/>
  <c r="D2237" i="44" s="1"/>
  <c r="B2621" i="44"/>
  <c r="D2621" i="44" s="1"/>
  <c r="D2620" i="44"/>
  <c r="D1948" i="44"/>
  <c r="B1949" i="44"/>
  <c r="D1949" i="44" s="1"/>
  <c r="B1613" i="44"/>
  <c r="D1613" i="44" s="1"/>
  <c r="D1612" i="44"/>
  <c r="B1741" i="44"/>
  <c r="D1741" i="44" s="1"/>
  <c r="D1740" i="44"/>
  <c r="B2717" i="44"/>
  <c r="D2717" i="44" s="1"/>
  <c r="D2716" i="44"/>
  <c r="B2989" i="44"/>
  <c r="D2989" i="44" s="1"/>
  <c r="D2988" i="44"/>
  <c r="B1933" i="44"/>
  <c r="D1933" i="44" s="1"/>
  <c r="D1932" i="44"/>
  <c r="D2523" i="44"/>
  <c r="B2524" i="44"/>
  <c r="B671" i="44"/>
  <c r="D667" i="44"/>
  <c r="D668" i="44"/>
  <c r="D665" i="44"/>
  <c r="D670" i="44"/>
  <c r="D669" i="44"/>
  <c r="D666" i="44"/>
  <c r="D2091" i="44"/>
  <c r="B2092" i="44"/>
  <c r="D2492" i="44"/>
  <c r="B2493" i="44"/>
  <c r="D2493" i="44" s="1"/>
  <c r="B552" i="44"/>
  <c r="D550" i="44"/>
  <c r="D551" i="44"/>
  <c r="D548" i="44"/>
  <c r="D546" i="44"/>
  <c r="D547" i="44"/>
  <c r="D549" i="44"/>
  <c r="D2059" i="44"/>
  <c r="B2060" i="44"/>
  <c r="B3068" i="44"/>
  <c r="D3067" i="44"/>
  <c r="B3004" i="44"/>
  <c r="D3003" i="44"/>
  <c r="B2460" i="44"/>
  <c r="D2459" i="44"/>
  <c r="B2125" i="44"/>
  <c r="D2125" i="44" s="1"/>
  <c r="D2124" i="44"/>
  <c r="D2268" i="44"/>
  <c r="B2269" i="44"/>
  <c r="D2269" i="44" s="1"/>
  <c r="B1629" i="44"/>
  <c r="D1629" i="44" s="1"/>
  <c r="D1628" i="44"/>
  <c r="D2156" i="44"/>
  <c r="B2157" i="44"/>
  <c r="D2157" i="44" s="1"/>
  <c r="B1820" i="44"/>
  <c r="D1819" i="44"/>
  <c r="B2365" i="44"/>
  <c r="D2365" i="44" s="1"/>
  <c r="D2364" i="44"/>
  <c r="B3085" i="44"/>
  <c r="D3085" i="44" s="1"/>
  <c r="D3084" i="44"/>
  <c r="D2860" i="44"/>
  <c r="B2861" i="44"/>
  <c r="D2861" i="44" s="1"/>
  <c r="D2188" i="44"/>
  <c r="B2189" i="44"/>
  <c r="D2189" i="44" s="1"/>
  <c r="B1885" i="44"/>
  <c r="D1885" i="44" s="1"/>
  <c r="D1884" i="44"/>
  <c r="D1595" i="44"/>
  <c r="B1596" i="44"/>
  <c r="D2844" i="44"/>
  <c r="B2845" i="44"/>
  <c r="D2845" i="44" s="1"/>
  <c r="D3052" i="44"/>
  <c r="B3053" i="44"/>
  <c r="D3053" i="44" s="1"/>
  <c r="B2652" i="44"/>
  <c r="D2651" i="44"/>
  <c r="D831" i="44"/>
  <c r="D830" i="44"/>
  <c r="D829" i="44"/>
  <c r="D2939" i="44"/>
  <c r="B2940" i="44"/>
  <c r="D2012" i="44"/>
  <c r="B2013" i="44"/>
  <c r="D2013" i="44" s="1"/>
  <c r="B2141" i="44"/>
  <c r="D2141" i="44" s="1"/>
  <c r="D2140" i="44"/>
  <c r="D1691" i="44"/>
  <c r="B1692" i="44"/>
  <c r="D2556" i="44"/>
  <c r="B2557" i="44"/>
  <c r="D2557" i="44" s="1"/>
  <c r="D1995" i="44"/>
  <c r="B1996" i="44"/>
  <c r="B2877" i="44"/>
  <c r="D2877" i="44" s="1"/>
  <c r="D2876" i="44"/>
  <c r="D1852" i="44"/>
  <c r="B1853" i="44"/>
  <c r="D1853" i="44" s="1"/>
  <c r="B2173" i="44"/>
  <c r="D2173" i="44" s="1"/>
  <c r="D2172" i="44"/>
  <c r="D2907" i="44"/>
  <c r="B2908" i="44"/>
  <c r="B1644" i="44"/>
  <c r="D1643" i="44"/>
  <c r="B2412" i="44"/>
  <c r="D2411" i="44"/>
  <c r="D2220" i="44"/>
  <c r="B2221" i="44"/>
  <c r="D2221" i="44" s="1"/>
  <c r="B2684" i="44"/>
  <c r="D2683" i="44"/>
  <c r="J113" i="24"/>
  <c r="J88" i="32"/>
  <c r="I379" i="3"/>
  <c r="L30" i="32"/>
  <c r="K33" i="32"/>
  <c r="K36" i="32" s="1"/>
  <c r="K37" i="32" s="1"/>
  <c r="B453" i="3"/>
  <c r="B768" i="3"/>
  <c r="D20" i="32"/>
  <c r="C22" i="32"/>
  <c r="C24" i="32" s="1"/>
  <c r="C26" i="32" s="1"/>
  <c r="H120" i="24"/>
  <c r="H94" i="32"/>
  <c r="C129" i="24"/>
  <c r="J375" i="3"/>
  <c r="J380" i="3" s="1"/>
  <c r="K373" i="3"/>
  <c r="L374" i="3"/>
  <c r="D104" i="32"/>
  <c r="D130" i="24"/>
  <c r="I92" i="32"/>
  <c r="H382" i="3"/>
  <c r="I117" i="24"/>
  <c r="C48" i="5" l="1"/>
  <c r="G390" i="3"/>
  <c r="H126" i="24"/>
  <c r="H388" i="3"/>
  <c r="C55" i="5" s="1"/>
  <c r="C118" i="5"/>
  <c r="C132" i="5"/>
  <c r="B2285" i="44"/>
  <c r="D2285" i="44" s="1"/>
  <c r="D2284" i="44"/>
  <c r="B517" i="3"/>
  <c r="A1197" i="5"/>
  <c r="B1198" i="5"/>
  <c r="R1196" i="5"/>
  <c r="M1196" i="5"/>
  <c r="H1196" i="5"/>
  <c r="T1196" i="5"/>
  <c r="L1196" i="5"/>
  <c r="F1196" i="5"/>
  <c r="N1196" i="5"/>
  <c r="D1196" i="5"/>
  <c r="J1196" i="5"/>
  <c r="E1196" i="5"/>
  <c r="P1196" i="5"/>
  <c r="S1196" i="5"/>
  <c r="K1196" i="5"/>
  <c r="C1196" i="5"/>
  <c r="I1196" i="5"/>
  <c r="O1196" i="5"/>
  <c r="G1196" i="5"/>
  <c r="Q1196" i="5"/>
  <c r="C136" i="24"/>
  <c r="C110" i="32"/>
  <c r="D1724" i="44"/>
  <c r="B1725" i="44"/>
  <c r="D1725" i="44" s="1"/>
  <c r="B455" i="3"/>
  <c r="B457" i="3" s="1"/>
  <c r="K1580" i="44"/>
  <c r="F1580" i="44" s="1"/>
  <c r="B2637" i="44"/>
  <c r="D2637" i="44" s="1"/>
  <c r="D2636" i="44"/>
  <c r="D1980" i="44"/>
  <c r="B1981" i="44"/>
  <c r="D1981" i="44" s="1"/>
  <c r="D2300" i="44"/>
  <c r="B2301" i="44"/>
  <c r="D2301" i="44" s="1"/>
  <c r="B3165" i="44"/>
  <c r="D3165" i="44" s="1"/>
  <c r="D3164" i="44"/>
  <c r="D3100" i="44"/>
  <c r="B3101" i="44"/>
  <c r="D3101" i="44" s="1"/>
  <c r="D2780" i="44"/>
  <c r="B2781" i="44"/>
  <c r="D2781" i="44" s="1"/>
  <c r="B2061" i="44"/>
  <c r="D2061" i="44" s="1"/>
  <c r="D2060" i="44"/>
  <c r="D553" i="44"/>
  <c r="D556" i="44"/>
  <c r="D557" i="44"/>
  <c r="B558" i="44"/>
  <c r="D555" i="44"/>
  <c r="D552" i="44"/>
  <c r="D554" i="44"/>
  <c r="D2524" i="44"/>
  <c r="B2525" i="44"/>
  <c r="D2525" i="44" s="1"/>
  <c r="B3005" i="44"/>
  <c r="D3005" i="44" s="1"/>
  <c r="D3004" i="44"/>
  <c r="B3069" i="44"/>
  <c r="D3069" i="44" s="1"/>
  <c r="D3068" i="44"/>
  <c r="D2092" i="44"/>
  <c r="B2093" i="44"/>
  <c r="D2093" i="44" s="1"/>
  <c r="D671" i="44"/>
  <c r="D676" i="44"/>
  <c r="D672" i="44"/>
  <c r="D675" i="44"/>
  <c r="D673" i="44"/>
  <c r="D674" i="44"/>
  <c r="B2685" i="44"/>
  <c r="D2685" i="44" s="1"/>
  <c r="D2684" i="44"/>
  <c r="D2412" i="44"/>
  <c r="B2413" i="44"/>
  <c r="D2413" i="44" s="1"/>
  <c r="B1645" i="44"/>
  <c r="D1645" i="44" s="1"/>
  <c r="D1644" i="44"/>
  <c r="B1597" i="44"/>
  <c r="D1597" i="44" s="1"/>
  <c r="D1596" i="44"/>
  <c r="B2909" i="44"/>
  <c r="D2909" i="44" s="1"/>
  <c r="D2908" i="44"/>
  <c r="B1997" i="44"/>
  <c r="D1997" i="44" s="1"/>
  <c r="D1996" i="44"/>
  <c r="B1693" i="44"/>
  <c r="D1693" i="44" s="1"/>
  <c r="D1692" i="44"/>
  <c r="D2940" i="44"/>
  <c r="B2941" i="44"/>
  <c r="D2941" i="44" s="1"/>
  <c r="B2653" i="44"/>
  <c r="D2653" i="44" s="1"/>
  <c r="D2652" i="44"/>
  <c r="B1821" i="44"/>
  <c r="D1821" i="44" s="1"/>
  <c r="D1820" i="44"/>
  <c r="B2461" i="44"/>
  <c r="D2461" i="44" s="1"/>
  <c r="D2460" i="44"/>
  <c r="D22" i="32"/>
  <c r="D24" i="32" s="1"/>
  <c r="D26" i="32" s="1"/>
  <c r="E20" i="32"/>
  <c r="J92" i="32"/>
  <c r="J117" i="24"/>
  <c r="I382" i="3"/>
  <c r="M374" i="3"/>
  <c r="E130" i="24"/>
  <c r="E104" i="32"/>
  <c r="J379" i="3"/>
  <c r="C105" i="32"/>
  <c r="C131" i="24"/>
  <c r="I120" i="24"/>
  <c r="I94" i="32"/>
  <c r="D103" i="32"/>
  <c r="D129" i="24"/>
  <c r="L373" i="3"/>
  <c r="K375" i="3"/>
  <c r="K380" i="3" s="1"/>
  <c r="L33" i="32"/>
  <c r="L36" i="32" s="1"/>
  <c r="L37" i="32" s="1"/>
  <c r="C40" i="32"/>
  <c r="C517" i="3" l="1"/>
  <c r="G523" i="3"/>
  <c r="F146" i="24"/>
  <c r="I100" i="32"/>
  <c r="I126" i="24"/>
  <c r="I388" i="3"/>
  <c r="C62" i="5" s="1"/>
  <c r="C119" i="5"/>
  <c r="C133" i="5"/>
  <c r="C212" i="5"/>
  <c r="A1198" i="5"/>
  <c r="B1199" i="5"/>
  <c r="G1197" i="5"/>
  <c r="P1197" i="5"/>
  <c r="D1197" i="5"/>
  <c r="T1197" i="5"/>
  <c r="Q1197" i="5"/>
  <c r="K1197" i="5"/>
  <c r="R1197" i="5"/>
  <c r="N1197" i="5"/>
  <c r="F1197" i="5"/>
  <c r="E1197" i="5"/>
  <c r="J1197" i="5"/>
  <c r="O1197" i="5"/>
  <c r="S1197" i="5"/>
  <c r="L1197" i="5"/>
  <c r="H1197" i="5"/>
  <c r="I1197" i="5"/>
  <c r="C1197" i="5"/>
  <c r="M1197" i="5"/>
  <c r="D136" i="24"/>
  <c r="D110" i="32"/>
  <c r="E1580" i="44"/>
  <c r="A1580" i="44" s="1"/>
  <c r="F755" i="3"/>
  <c r="E1568" i="44" s="1"/>
  <c r="A1568" i="44" s="1"/>
  <c r="D560" i="44"/>
  <c r="D558" i="44"/>
  <c r="D562" i="44"/>
  <c r="D561" i="44"/>
  <c r="D563" i="44"/>
  <c r="D559" i="44"/>
  <c r="J382" i="3"/>
  <c r="C109" i="32"/>
  <c r="C135" i="24"/>
  <c r="F130" i="24"/>
  <c r="F104" i="32"/>
  <c r="N374" i="3"/>
  <c r="C43" i="32"/>
  <c r="C46" i="32" s="1"/>
  <c r="C47" i="32" s="1"/>
  <c r="D40" i="32"/>
  <c r="K379" i="3"/>
  <c r="D131" i="24"/>
  <c r="D105" i="32"/>
  <c r="J94" i="32"/>
  <c r="J120" i="24"/>
  <c r="F20" i="32"/>
  <c r="E22" i="32"/>
  <c r="E24" i="32" s="1"/>
  <c r="E26" i="32" s="1"/>
  <c r="M373" i="3"/>
  <c r="E103" i="32"/>
  <c r="E129" i="24"/>
  <c r="L375" i="3"/>
  <c r="L380" i="3" s="1"/>
  <c r="B459" i="3"/>
  <c r="B604" i="3"/>
  <c r="B607" i="3" s="1"/>
  <c r="B608" i="3" s="1"/>
  <c r="F756" i="3"/>
  <c r="E1569" i="44" s="1"/>
  <c r="A1569" i="44" s="1"/>
  <c r="J100" i="32" l="1"/>
  <c r="J126" i="24"/>
  <c r="J388" i="3"/>
  <c r="C69" i="5" s="1"/>
  <c r="C120" i="5"/>
  <c r="C134" i="5"/>
  <c r="A1199" i="5"/>
  <c r="B1200" i="5"/>
  <c r="G1198" i="5"/>
  <c r="L1198" i="5"/>
  <c r="R1198" i="5"/>
  <c r="N1198" i="5"/>
  <c r="H1198" i="5"/>
  <c r="E1198" i="5"/>
  <c r="I1198" i="5"/>
  <c r="P1198" i="5"/>
  <c r="C1198" i="5"/>
  <c r="O1198" i="5"/>
  <c r="J1198" i="5"/>
  <c r="D1198" i="5"/>
  <c r="F1198" i="5"/>
  <c r="K1198" i="5"/>
  <c r="Q1198" i="5"/>
  <c r="T1198" i="5"/>
  <c r="S1198" i="5"/>
  <c r="M1198" i="5"/>
  <c r="E110" i="32"/>
  <c r="E136" i="24"/>
  <c r="B468" i="3"/>
  <c r="F757" i="3"/>
  <c r="E1570" i="44" s="1"/>
  <c r="A1570" i="44" s="1"/>
  <c r="G20" i="32"/>
  <c r="G22" i="32" s="1"/>
  <c r="G24" i="32" s="1"/>
  <c r="G26" i="32" s="1"/>
  <c r="F22" i="32"/>
  <c r="F24" i="32" s="1"/>
  <c r="F26" i="32" s="1"/>
  <c r="K382" i="3"/>
  <c r="B391" i="3" s="1"/>
  <c r="D135" i="24"/>
  <c r="D109" i="32"/>
  <c r="O374" i="3"/>
  <c r="G130" i="24"/>
  <c r="G104" i="32"/>
  <c r="E40" i="32"/>
  <c r="D43" i="32"/>
  <c r="D46" i="32" s="1"/>
  <c r="D47" i="32" s="1"/>
  <c r="F129" i="24"/>
  <c r="F103" i="32"/>
  <c r="M375" i="3"/>
  <c r="M380" i="3" s="1"/>
  <c r="N373" i="3"/>
  <c r="C111" i="32"/>
  <c r="C138" i="24"/>
  <c r="E105" i="32"/>
  <c r="L379" i="3"/>
  <c r="E131" i="24"/>
  <c r="C117" i="32" l="1"/>
  <c r="K388" i="3"/>
  <c r="D111" i="32"/>
  <c r="C121" i="5"/>
  <c r="C135" i="5"/>
  <c r="A1200" i="5"/>
  <c r="B1201" i="5"/>
  <c r="L1199" i="5"/>
  <c r="F1199" i="5"/>
  <c r="G1199" i="5"/>
  <c r="C1199" i="5"/>
  <c r="O1199" i="5"/>
  <c r="P1199" i="5"/>
  <c r="K1199" i="5"/>
  <c r="N1199" i="5"/>
  <c r="Q1199" i="5"/>
  <c r="I1199" i="5"/>
  <c r="D1199" i="5"/>
  <c r="E1199" i="5"/>
  <c r="H1199" i="5"/>
  <c r="R1199" i="5"/>
  <c r="M1199" i="5"/>
  <c r="T1199" i="5"/>
  <c r="J1199" i="5"/>
  <c r="S1199" i="5"/>
  <c r="F110" i="32"/>
  <c r="F136" i="24"/>
  <c r="C197" i="5"/>
  <c r="E72" i="32"/>
  <c r="O373" i="3"/>
  <c r="N375" i="3"/>
  <c r="N380" i="3" s="1"/>
  <c r="G129" i="24"/>
  <c r="G103" i="32"/>
  <c r="L382" i="3"/>
  <c r="E109" i="32"/>
  <c r="E135" i="24"/>
  <c r="H130" i="24"/>
  <c r="P374" i="3"/>
  <c r="H104" i="32"/>
  <c r="D138" i="24"/>
  <c r="B501" i="3"/>
  <c r="E48" i="24"/>
  <c r="F67" i="25"/>
  <c r="F105" i="32"/>
  <c r="F131" i="24"/>
  <c r="M379" i="3"/>
  <c r="F40" i="32"/>
  <c r="E43" i="32"/>
  <c r="E46" i="32" s="1"/>
  <c r="E47" i="32" s="1"/>
  <c r="C144" i="24"/>
  <c r="L388" i="3" l="1"/>
  <c r="E111" i="32"/>
  <c r="C76" i="5"/>
  <c r="D117" i="32"/>
  <c r="C122" i="5"/>
  <c r="C136" i="5"/>
  <c r="A1201" i="5"/>
  <c r="B1202" i="5"/>
  <c r="R1200" i="5"/>
  <c r="K1200" i="5"/>
  <c r="M1200" i="5"/>
  <c r="I1200" i="5"/>
  <c r="N1200" i="5"/>
  <c r="T1200" i="5"/>
  <c r="S1200" i="5"/>
  <c r="P1200" i="5"/>
  <c r="E1200" i="5"/>
  <c r="D1200" i="5"/>
  <c r="J1200" i="5"/>
  <c r="O1200" i="5"/>
  <c r="Q1200" i="5"/>
  <c r="H1200" i="5"/>
  <c r="G1200" i="5"/>
  <c r="L1200" i="5"/>
  <c r="C1200" i="5"/>
  <c r="F1200" i="5"/>
  <c r="G110" i="32"/>
  <c r="G136" i="24"/>
  <c r="M382" i="3"/>
  <c r="F109" i="32"/>
  <c r="F135" i="24"/>
  <c r="D144" i="24"/>
  <c r="C143" i="5"/>
  <c r="I104" i="32"/>
  <c r="I130" i="24"/>
  <c r="B561" i="3"/>
  <c r="B564" i="3" s="1"/>
  <c r="B586" i="3"/>
  <c r="B589" i="3" s="1"/>
  <c r="F93" i="25"/>
  <c r="B503" i="3"/>
  <c r="B505" i="3" s="1"/>
  <c r="B648" i="3" s="1"/>
  <c r="E53" i="24"/>
  <c r="E77" i="32"/>
  <c r="E138" i="24"/>
  <c r="G105" i="32"/>
  <c r="G131" i="24"/>
  <c r="N379" i="3"/>
  <c r="F43" i="32"/>
  <c r="F46" i="32" s="1"/>
  <c r="F47" i="32" s="1"/>
  <c r="G40" i="32"/>
  <c r="G43" i="32" s="1"/>
  <c r="G46" i="32" s="1"/>
  <c r="G47" i="32" s="1"/>
  <c r="O375" i="3"/>
  <c r="O380" i="3" s="1"/>
  <c r="H103" i="32"/>
  <c r="H129" i="24"/>
  <c r="P373" i="3"/>
  <c r="M388" i="3" l="1"/>
  <c r="F111" i="32"/>
  <c r="C83" i="5"/>
  <c r="E117" i="32"/>
  <c r="C123" i="5"/>
  <c r="C137" i="5"/>
  <c r="A1202" i="5"/>
  <c r="B1203" i="5"/>
  <c r="J1201" i="5"/>
  <c r="L1201" i="5"/>
  <c r="K1201" i="5"/>
  <c r="O1201" i="5"/>
  <c r="F1201" i="5"/>
  <c r="I1201" i="5"/>
  <c r="T1201" i="5"/>
  <c r="G1201" i="5"/>
  <c r="R1201" i="5"/>
  <c r="C1201" i="5"/>
  <c r="D1201" i="5"/>
  <c r="H1201" i="5"/>
  <c r="S1201" i="5"/>
  <c r="N1201" i="5"/>
  <c r="E1201" i="5"/>
  <c r="M1201" i="5"/>
  <c r="P1201" i="5"/>
  <c r="Q1201" i="5"/>
  <c r="H136" i="24"/>
  <c r="H110" i="32"/>
  <c r="AD654" i="3"/>
  <c r="AB654" i="3"/>
  <c r="AE654" i="3"/>
  <c r="AC654" i="3"/>
  <c r="I103" i="32"/>
  <c r="I129" i="24"/>
  <c r="P375" i="3"/>
  <c r="P380" i="3" s="1"/>
  <c r="G109" i="32"/>
  <c r="G135" i="24"/>
  <c r="N382" i="3"/>
  <c r="B526" i="3"/>
  <c r="C526" i="3" s="1"/>
  <c r="F391" i="3"/>
  <c r="D148" i="24"/>
  <c r="D120" i="32"/>
  <c r="E144" i="24"/>
  <c r="B774" i="3"/>
  <c r="F95" i="25"/>
  <c r="B566" i="3"/>
  <c r="E37" i="43" s="1"/>
  <c r="C207" i="5"/>
  <c r="C208" i="5"/>
  <c r="E55" i="24"/>
  <c r="C1067" i="5"/>
  <c r="E79" i="32"/>
  <c r="O379" i="3"/>
  <c r="H131" i="24"/>
  <c r="H105" i="32"/>
  <c r="B597" i="3"/>
  <c r="F138" i="24"/>
  <c r="N388" i="3" l="1"/>
  <c r="G111" i="32"/>
  <c r="C90" i="5"/>
  <c r="F117" i="32"/>
  <c r="C124" i="5"/>
  <c r="G391" i="3"/>
  <c r="F120" i="32" s="1"/>
  <c r="C145" i="5"/>
  <c r="C138" i="5"/>
  <c r="C209" i="5"/>
  <c r="E38" i="43"/>
  <c r="B527" i="3"/>
  <c r="C527" i="3" s="1"/>
  <c r="A1203" i="5"/>
  <c r="B1204" i="5"/>
  <c r="I1202" i="5"/>
  <c r="T1202" i="5"/>
  <c r="K1202" i="5"/>
  <c r="R1202" i="5"/>
  <c r="S1202" i="5"/>
  <c r="Q1202" i="5"/>
  <c r="N1202" i="5"/>
  <c r="G1202" i="5"/>
  <c r="E1202" i="5"/>
  <c r="M1202" i="5"/>
  <c r="C1202" i="5"/>
  <c r="D1202" i="5"/>
  <c r="P1202" i="5"/>
  <c r="F1202" i="5"/>
  <c r="J1202" i="5"/>
  <c r="L1202" i="5"/>
  <c r="O1202" i="5"/>
  <c r="H1202" i="5"/>
  <c r="C6" i="5"/>
  <c r="I110" i="32"/>
  <c r="I136" i="24"/>
  <c r="G138" i="24"/>
  <c r="I131" i="24"/>
  <c r="P379" i="3"/>
  <c r="I105" i="32"/>
  <c r="F144" i="24"/>
  <c r="E564" i="3"/>
  <c r="D59" i="32" s="1"/>
  <c r="C761" i="3"/>
  <c r="AD661" i="3"/>
  <c r="AB712" i="3"/>
  <c r="AE670" i="3"/>
  <c r="AB752" i="3"/>
  <c r="AC673" i="3"/>
  <c r="AB730" i="3"/>
  <c r="AB719" i="3"/>
  <c r="AC726" i="3"/>
  <c r="AB749" i="3"/>
  <c r="AD713" i="3"/>
  <c r="AB734" i="3"/>
  <c r="AB700" i="3"/>
  <c r="AC662" i="3"/>
  <c r="AD680" i="3"/>
  <c r="AC749" i="3"/>
  <c r="AD683" i="3"/>
  <c r="AB671" i="3"/>
  <c r="AD724" i="3"/>
  <c r="AD682" i="3"/>
  <c r="AE676" i="3"/>
  <c r="AD691" i="3"/>
  <c r="AD727" i="3"/>
  <c r="AE671" i="3"/>
  <c r="AC725" i="3"/>
  <c r="AC679" i="3"/>
  <c r="AD729" i="3"/>
  <c r="AD662" i="3"/>
  <c r="AB716" i="3"/>
  <c r="AE739" i="3"/>
  <c r="AC666" i="3"/>
  <c r="AE699" i="3"/>
  <c r="AE685" i="3"/>
  <c r="AB670" i="3"/>
  <c r="AB694" i="3"/>
  <c r="AD703" i="3"/>
  <c r="AE720" i="3"/>
  <c r="AB698" i="3"/>
  <c r="AB731" i="3"/>
  <c r="AB688" i="3"/>
  <c r="AD721" i="3"/>
  <c r="AC720" i="3"/>
  <c r="AB736" i="3"/>
  <c r="AD741" i="3"/>
  <c r="AB724" i="3"/>
  <c r="AE724" i="3"/>
  <c r="AE740" i="3"/>
  <c r="AD693" i="3"/>
  <c r="AD722" i="3"/>
  <c r="AE743" i="3"/>
  <c r="AD669" i="3"/>
  <c r="AD660" i="3"/>
  <c r="AC751" i="3"/>
  <c r="AB729" i="3"/>
  <c r="AB745" i="3"/>
  <c r="AB676" i="3"/>
  <c r="AD698" i="3"/>
  <c r="AB733" i="3"/>
  <c r="AB672" i="3"/>
  <c r="AB739" i="3"/>
  <c r="AC689" i="3"/>
  <c r="AE715" i="3"/>
  <c r="AD732" i="3"/>
  <c r="AC728" i="3"/>
  <c r="AB679" i="3"/>
  <c r="AD730" i="3"/>
  <c r="AE691" i="3"/>
  <c r="AD688" i="3"/>
  <c r="AE660" i="3"/>
  <c r="AC745" i="3"/>
  <c r="AE675" i="3"/>
  <c r="AC734" i="3"/>
  <c r="AD692" i="3"/>
  <c r="AE741" i="3"/>
  <c r="AC680" i="3"/>
  <c r="AB705" i="3"/>
  <c r="AE667" i="3"/>
  <c r="AE719" i="3"/>
  <c r="AE744" i="3"/>
  <c r="AC724" i="3"/>
  <c r="AE701" i="3"/>
  <c r="AC690" i="3"/>
  <c r="AE674" i="3"/>
  <c r="AD663" i="3"/>
  <c r="AE708" i="3"/>
  <c r="AB682" i="3"/>
  <c r="AB709" i="3"/>
  <c r="AE687" i="3"/>
  <c r="AB692" i="3"/>
  <c r="AC716" i="3"/>
  <c r="AD667" i="3"/>
  <c r="AB727" i="3"/>
  <c r="AE747" i="3"/>
  <c r="AD750" i="3"/>
  <c r="AC705" i="3"/>
  <c r="AD687" i="3"/>
  <c r="AE731" i="3"/>
  <c r="AD720" i="3"/>
  <c r="AD676" i="3"/>
  <c r="AC742" i="3"/>
  <c r="AC681" i="3"/>
  <c r="AD738" i="3"/>
  <c r="AB684" i="3"/>
  <c r="AC712" i="3"/>
  <c r="AB663" i="3"/>
  <c r="AD745" i="3"/>
  <c r="AE723" i="3"/>
  <c r="AE726" i="3"/>
  <c r="AE655" i="3"/>
  <c r="AD734" i="3"/>
  <c r="AE689" i="3"/>
  <c r="AD749" i="3"/>
  <c r="AD694" i="3"/>
  <c r="AE709" i="3"/>
  <c r="AE686" i="3"/>
  <c r="AD728" i="3"/>
  <c r="AD746" i="3"/>
  <c r="AE742" i="3"/>
  <c r="AD678" i="3"/>
  <c r="AC719" i="3"/>
  <c r="AD658" i="3"/>
  <c r="AD718" i="3"/>
  <c r="AE735" i="3"/>
  <c r="AE684" i="3"/>
  <c r="AE693" i="3"/>
  <c r="AC746" i="3"/>
  <c r="AB658" i="3"/>
  <c r="AE663" i="3"/>
  <c r="AD707" i="3"/>
  <c r="AE728" i="3"/>
  <c r="AC657" i="3"/>
  <c r="AC700" i="3"/>
  <c r="AB704" i="3"/>
  <c r="AD670" i="3"/>
  <c r="AC686" i="3"/>
  <c r="AB721" i="3"/>
  <c r="AE751" i="3"/>
  <c r="AB720" i="3"/>
  <c r="AE722" i="3"/>
  <c r="AB722" i="3"/>
  <c r="AC687" i="3"/>
  <c r="AE672" i="3"/>
  <c r="AC682" i="3"/>
  <c r="AD674" i="3"/>
  <c r="AB699" i="3"/>
  <c r="AC675" i="3"/>
  <c r="AE736" i="3"/>
  <c r="AC715" i="3"/>
  <c r="AB714" i="3"/>
  <c r="AB701" i="3"/>
  <c r="AB693" i="3"/>
  <c r="AB728" i="3"/>
  <c r="AB666" i="3"/>
  <c r="AB735" i="3"/>
  <c r="AD733" i="3"/>
  <c r="AE713" i="3"/>
  <c r="AE659" i="3"/>
  <c r="AC688" i="3"/>
  <c r="AC676" i="3"/>
  <c r="AE705" i="3"/>
  <c r="AE700" i="3"/>
  <c r="AD731" i="3"/>
  <c r="AE664" i="3"/>
  <c r="AB657" i="3"/>
  <c r="AB690" i="3"/>
  <c r="AD714" i="3"/>
  <c r="AD672" i="3"/>
  <c r="AB743" i="3"/>
  <c r="AE698" i="3"/>
  <c r="AE692" i="3"/>
  <c r="AB662" i="3"/>
  <c r="AC752" i="3"/>
  <c r="AD657" i="3"/>
  <c r="AC738" i="3"/>
  <c r="AD736" i="3"/>
  <c r="AB740" i="3"/>
  <c r="AD708" i="3"/>
  <c r="AE677" i="3"/>
  <c r="AC733" i="3"/>
  <c r="AD735" i="3"/>
  <c r="AC732" i="3"/>
  <c r="AE668" i="3"/>
  <c r="AC721" i="3"/>
  <c r="AC667" i="3"/>
  <c r="AB711" i="3"/>
  <c r="AB706" i="3"/>
  <c r="AC678" i="3"/>
  <c r="AB723" i="3"/>
  <c r="AC691" i="3"/>
  <c r="AE673" i="3"/>
  <c r="AC747" i="3"/>
  <c r="AB661" i="3"/>
  <c r="AD685" i="3"/>
  <c r="AB750" i="3"/>
  <c r="AD709" i="3"/>
  <c r="AE748" i="3"/>
  <c r="AE666" i="3"/>
  <c r="AD666" i="3"/>
  <c r="AD751" i="3"/>
  <c r="AE721" i="3"/>
  <c r="AB673" i="3"/>
  <c r="AB747" i="3"/>
  <c r="AC670" i="3"/>
  <c r="AD740" i="3"/>
  <c r="AB685" i="3"/>
  <c r="AB664" i="3"/>
  <c r="AC665" i="3"/>
  <c r="AD747" i="3"/>
  <c r="AE658" i="3"/>
  <c r="AD704" i="3"/>
  <c r="AB710" i="3"/>
  <c r="AB713" i="3"/>
  <c r="AC707" i="3"/>
  <c r="AB691" i="3"/>
  <c r="AC740" i="3"/>
  <c r="AC669" i="3"/>
  <c r="AD684" i="3"/>
  <c r="AC730" i="3"/>
  <c r="AE695" i="3"/>
  <c r="AB683" i="3"/>
  <c r="AD715" i="3"/>
  <c r="AC683" i="3"/>
  <c r="AE737" i="3"/>
  <c r="AE712" i="3"/>
  <c r="AC737" i="3"/>
  <c r="AB707" i="3"/>
  <c r="AB677" i="3"/>
  <c r="AE681" i="3"/>
  <c r="AD719" i="3"/>
  <c r="AC663" i="3"/>
  <c r="AE749" i="3"/>
  <c r="AE738" i="3"/>
  <c r="AE752" i="3"/>
  <c r="AC750" i="3"/>
  <c r="AB751" i="3"/>
  <c r="AC710" i="3"/>
  <c r="AC727" i="3"/>
  <c r="AD725" i="3"/>
  <c r="AD668" i="3"/>
  <c r="AB656" i="3"/>
  <c r="AB655" i="3"/>
  <c r="AC685" i="3"/>
  <c r="AC671" i="3"/>
  <c r="AD743" i="3"/>
  <c r="AE694" i="3"/>
  <c r="AE703" i="3"/>
  <c r="AD664" i="3"/>
  <c r="AE678" i="3"/>
  <c r="AE665" i="3"/>
  <c r="AD655" i="3"/>
  <c r="AD748" i="3"/>
  <c r="AC744" i="3"/>
  <c r="AB667" i="3"/>
  <c r="AE727" i="3"/>
  <c r="AC697" i="3"/>
  <c r="AE732" i="3"/>
  <c r="AB717" i="3"/>
  <c r="AC656" i="3"/>
  <c r="AB675" i="3"/>
  <c r="AC660" i="3"/>
  <c r="AD752" i="3"/>
  <c r="AE697" i="3"/>
  <c r="AE707" i="3"/>
  <c r="AE680" i="3"/>
  <c r="AE657" i="3"/>
  <c r="AB660" i="3"/>
  <c r="AD700" i="3"/>
  <c r="AD673" i="3"/>
  <c r="AC664" i="3"/>
  <c r="AC694" i="3"/>
  <c r="AC735" i="3"/>
  <c r="AB746" i="3"/>
  <c r="AE690" i="3"/>
  <c r="AE725" i="3"/>
  <c r="AC736" i="3"/>
  <c r="AD744" i="3"/>
  <c r="AB680" i="3"/>
  <c r="AD677" i="3"/>
  <c r="AC706" i="3"/>
  <c r="AD699" i="3"/>
  <c r="AB738" i="3"/>
  <c r="AD679" i="3"/>
  <c r="AB748" i="3"/>
  <c r="AB689" i="3"/>
  <c r="AE734" i="3"/>
  <c r="AE745" i="3"/>
  <c r="AE706" i="3"/>
  <c r="AD695" i="3"/>
  <c r="AB744" i="3"/>
  <c r="AE746" i="3"/>
  <c r="AB703" i="3"/>
  <c r="AE702" i="3"/>
  <c r="AE730" i="3"/>
  <c r="AC693" i="3"/>
  <c r="AD701" i="3"/>
  <c r="AD696" i="3"/>
  <c r="AD689" i="3"/>
  <c r="AB665" i="3"/>
  <c r="AC739" i="3"/>
  <c r="AE679" i="3"/>
  <c r="AD675" i="3"/>
  <c r="AE717" i="3"/>
  <c r="AC696" i="3"/>
  <c r="AE704" i="3"/>
  <c r="AB741" i="3"/>
  <c r="AC714" i="3"/>
  <c r="AC731" i="3"/>
  <c r="AD712" i="3"/>
  <c r="AB696" i="3"/>
  <c r="AD665" i="3"/>
  <c r="AD716" i="3"/>
  <c r="AE729" i="3"/>
  <c r="AE696" i="3"/>
  <c r="AD659" i="3"/>
  <c r="AC704" i="3"/>
  <c r="AB726" i="3"/>
  <c r="AC708" i="3"/>
  <c r="AE733" i="3"/>
  <c r="AB742" i="3"/>
  <c r="AE656" i="3"/>
  <c r="AC711" i="3"/>
  <c r="AC699" i="3"/>
  <c r="AC723" i="3"/>
  <c r="AB718" i="3"/>
  <c r="AE716" i="3"/>
  <c r="AD706" i="3"/>
  <c r="AD723" i="3"/>
  <c r="AD711" i="3"/>
  <c r="AC713" i="3"/>
  <c r="AE750" i="3"/>
  <c r="AC748" i="3"/>
  <c r="AC717" i="3"/>
  <c r="AC695" i="3"/>
  <c r="AE683" i="3"/>
  <c r="AE714" i="3"/>
  <c r="AD705" i="3"/>
  <c r="AD690" i="3"/>
  <c r="AE688" i="3"/>
  <c r="AC658" i="3"/>
  <c r="AB674" i="3"/>
  <c r="AD739" i="3"/>
  <c r="AB669" i="3"/>
  <c r="AC674" i="3"/>
  <c r="AB686" i="3"/>
  <c r="AB678" i="3"/>
  <c r="AB732" i="3"/>
  <c r="AC668" i="3"/>
  <c r="AD726" i="3"/>
  <c r="AD717" i="3"/>
  <c r="AC698" i="3"/>
  <c r="AB708" i="3"/>
  <c r="AB697" i="3"/>
  <c r="AD686" i="3"/>
  <c r="AD710" i="3"/>
  <c r="AE661" i="3"/>
  <c r="AB687" i="3"/>
  <c r="AB737" i="3"/>
  <c r="AB659" i="3"/>
  <c r="AE718" i="3"/>
  <c r="AE669" i="3"/>
  <c r="AC703" i="3"/>
  <c r="AC722" i="3"/>
  <c r="AD656" i="3"/>
  <c r="AC743" i="3"/>
  <c r="AC701" i="3"/>
  <c r="AC661" i="3"/>
  <c r="AB695" i="3"/>
  <c r="AC684" i="3"/>
  <c r="AC692" i="3"/>
  <c r="AD681" i="3"/>
  <c r="AC709" i="3"/>
  <c r="AE682" i="3"/>
  <c r="AE662" i="3"/>
  <c r="AD702" i="3"/>
  <c r="AD737" i="3"/>
  <c r="AC672" i="3"/>
  <c r="AC702" i="3"/>
  <c r="AB725" i="3"/>
  <c r="AB668" i="3"/>
  <c r="AC718" i="3"/>
  <c r="AD697" i="3"/>
  <c r="AE711" i="3"/>
  <c r="AE710" i="3"/>
  <c r="AB715" i="3"/>
  <c r="AC729" i="3"/>
  <c r="AD742" i="3"/>
  <c r="AC659" i="3"/>
  <c r="AC655" i="3"/>
  <c r="AC741" i="3"/>
  <c r="AC677" i="3"/>
  <c r="AB702" i="3"/>
  <c r="AB681" i="3"/>
  <c r="AD671" i="3"/>
  <c r="H135" i="24"/>
  <c r="O382" i="3"/>
  <c r="H109" i="32"/>
  <c r="O388" i="3" l="1"/>
  <c r="H111" i="32"/>
  <c r="C97" i="5"/>
  <c r="G117" i="32"/>
  <c r="F148" i="24"/>
  <c r="C125" i="5"/>
  <c r="C139" i="5"/>
  <c r="B529" i="3"/>
  <c r="C529" i="3" s="1"/>
  <c r="G72" i="25"/>
  <c r="A1204" i="5"/>
  <c r="B1205" i="5"/>
  <c r="T1203" i="5"/>
  <c r="K1203" i="5"/>
  <c r="S1203" i="5"/>
  <c r="P1203" i="5"/>
  <c r="D1203" i="5"/>
  <c r="Q1203" i="5"/>
  <c r="R1203" i="5"/>
  <c r="F1203" i="5"/>
  <c r="E1203" i="5"/>
  <c r="J1203" i="5"/>
  <c r="O1203" i="5"/>
  <c r="M1203" i="5"/>
  <c r="I1203" i="5"/>
  <c r="C1203" i="5"/>
  <c r="L1203" i="5"/>
  <c r="H1203" i="5"/>
  <c r="N1203" i="5"/>
  <c r="G1203" i="5"/>
  <c r="AC753" i="3"/>
  <c r="AB753" i="3"/>
  <c r="AE753" i="3"/>
  <c r="AD753" i="3"/>
  <c r="D69" i="24"/>
  <c r="H138" i="24"/>
  <c r="G144" i="24"/>
  <c r="P382" i="3"/>
  <c r="B392" i="3" s="1"/>
  <c r="I109" i="32"/>
  <c r="I135" i="24"/>
  <c r="P388" i="3" l="1"/>
  <c r="I111" i="32"/>
  <c r="C104" i="5"/>
  <c r="H117" i="32"/>
  <c r="C126" i="5"/>
  <c r="C140" i="5"/>
  <c r="C200" i="5"/>
  <c r="A1205" i="5"/>
  <c r="B1206" i="5"/>
  <c r="L1204" i="5"/>
  <c r="D1204" i="5"/>
  <c r="Q1204" i="5"/>
  <c r="S1204" i="5"/>
  <c r="J1204" i="5"/>
  <c r="K1204" i="5"/>
  <c r="C1204" i="5"/>
  <c r="P1204" i="5"/>
  <c r="H1204" i="5"/>
  <c r="N1204" i="5"/>
  <c r="M1204" i="5"/>
  <c r="G1204" i="5"/>
  <c r="O1204" i="5"/>
  <c r="E1204" i="5"/>
  <c r="T1204" i="5"/>
  <c r="I1204" i="5"/>
  <c r="R1204" i="5"/>
  <c r="F1204" i="5"/>
  <c r="I138" i="24"/>
  <c r="H144" i="24"/>
  <c r="C111" i="5" l="1"/>
  <c r="I117" i="32"/>
  <c r="C144" i="5"/>
  <c r="C141" i="5"/>
  <c r="F49" i="24"/>
  <c r="F73" i="32"/>
  <c r="G75" i="25"/>
  <c r="E1205" i="5"/>
  <c r="Q1205" i="5"/>
  <c r="F1205" i="5"/>
  <c r="J1205" i="5"/>
  <c r="G1205" i="5"/>
  <c r="R1205" i="5"/>
  <c r="S1205" i="5"/>
  <c r="P1205" i="5"/>
  <c r="K1205" i="5"/>
  <c r="D1205" i="5"/>
  <c r="N1205" i="5"/>
  <c r="H1205" i="5"/>
  <c r="C1205" i="5"/>
  <c r="O1205" i="5"/>
  <c r="M1205" i="5"/>
  <c r="L1205" i="5"/>
  <c r="T1205" i="5"/>
  <c r="I1205" i="5"/>
  <c r="A1206" i="5"/>
  <c r="B1207" i="5"/>
  <c r="I144" i="24"/>
  <c r="F1206" i="5" l="1"/>
  <c r="L1206" i="5"/>
  <c r="D1206" i="5"/>
  <c r="G1206" i="5"/>
  <c r="K1206" i="5"/>
  <c r="J1206" i="5"/>
  <c r="H1206" i="5"/>
  <c r="O1206" i="5"/>
  <c r="I1206" i="5"/>
  <c r="P1206" i="5"/>
  <c r="T1206" i="5"/>
  <c r="N1206" i="5"/>
  <c r="R1206" i="5"/>
  <c r="S1206" i="5"/>
  <c r="C1206" i="5"/>
  <c r="Q1206" i="5"/>
  <c r="E1206" i="5"/>
  <c r="M1206" i="5"/>
  <c r="A1207" i="5"/>
  <c r="B1208" i="5"/>
  <c r="D121" i="32"/>
  <c r="D149" i="24"/>
  <c r="F392" i="3"/>
  <c r="G392" i="3" l="1"/>
  <c r="C146" i="5"/>
  <c r="M1207" i="5"/>
  <c r="L1207" i="5"/>
  <c r="J1207" i="5"/>
  <c r="P1207" i="5"/>
  <c r="E1207" i="5"/>
  <c r="F1207" i="5"/>
  <c r="G1207" i="5"/>
  <c r="S1207" i="5"/>
  <c r="R1207" i="5"/>
  <c r="K1207" i="5"/>
  <c r="O1207" i="5"/>
  <c r="T1207" i="5"/>
  <c r="C1207" i="5"/>
  <c r="H1207" i="5"/>
  <c r="D1207" i="5"/>
  <c r="Q1207" i="5"/>
  <c r="I1207" i="5"/>
  <c r="N1207" i="5"/>
  <c r="A1208" i="5"/>
  <c r="B1209" i="5"/>
  <c r="F149" i="24" l="1"/>
  <c r="F121" i="32"/>
  <c r="A1209" i="5"/>
  <c r="B1210" i="5"/>
  <c r="O1208" i="5"/>
  <c r="I1208" i="5"/>
  <c r="N1208" i="5"/>
  <c r="K1208" i="5"/>
  <c r="T1208" i="5"/>
  <c r="H1208" i="5"/>
  <c r="J1208" i="5"/>
  <c r="D1208" i="5"/>
  <c r="G1208" i="5"/>
  <c r="M1208" i="5"/>
  <c r="F1208" i="5"/>
  <c r="C1208" i="5"/>
  <c r="Q1208" i="5"/>
  <c r="E1208" i="5"/>
  <c r="P1208" i="5"/>
  <c r="S1208" i="5"/>
  <c r="R1208" i="5"/>
  <c r="L1208" i="5"/>
  <c r="A1210" i="5" l="1"/>
  <c r="B1211" i="5"/>
  <c r="D1209" i="5"/>
  <c r="K1209" i="5"/>
  <c r="S1209" i="5"/>
  <c r="Q1209" i="5"/>
  <c r="H1209" i="5"/>
  <c r="J1209" i="5"/>
  <c r="L1209" i="5"/>
  <c r="P1209" i="5"/>
  <c r="M1209" i="5"/>
  <c r="C1209" i="5"/>
  <c r="G1209" i="5"/>
  <c r="R1209" i="5"/>
  <c r="T1209" i="5"/>
  <c r="F1209" i="5"/>
  <c r="N1209" i="5"/>
  <c r="E1209" i="5"/>
  <c r="O1209" i="5"/>
  <c r="I1209" i="5"/>
  <c r="A1211" i="5" l="1"/>
  <c r="B1212" i="5"/>
  <c r="I1210" i="5"/>
  <c r="K1210" i="5"/>
  <c r="G1210" i="5"/>
  <c r="P1210" i="5"/>
  <c r="T1210" i="5"/>
  <c r="J1210" i="5"/>
  <c r="R1210" i="5"/>
  <c r="S1210" i="5"/>
  <c r="D1210" i="5"/>
  <c r="Q1210" i="5"/>
  <c r="N1210" i="5"/>
  <c r="O1210" i="5"/>
  <c r="L1210" i="5"/>
  <c r="M1210" i="5"/>
  <c r="H1210" i="5"/>
  <c r="F1210" i="5"/>
  <c r="C1210" i="5"/>
  <c r="E1210" i="5"/>
  <c r="A1212" i="5" l="1"/>
  <c r="B1213" i="5"/>
  <c r="N1211" i="5"/>
  <c r="I1211" i="5"/>
  <c r="T1211" i="5"/>
  <c r="C1211" i="5"/>
  <c r="G1211" i="5"/>
  <c r="O1211" i="5"/>
  <c r="J1211" i="5"/>
  <c r="D1211" i="5"/>
  <c r="H1211" i="5"/>
  <c r="M1211" i="5"/>
  <c r="S1211" i="5"/>
  <c r="L1211" i="5"/>
  <c r="R1211" i="5"/>
  <c r="P1211" i="5"/>
  <c r="K1211" i="5"/>
  <c r="Q1211" i="5"/>
  <c r="F1211" i="5"/>
  <c r="E1211" i="5"/>
  <c r="A1213" i="5" l="1"/>
  <c r="B1214" i="5"/>
  <c r="T1212" i="5"/>
  <c r="N1212" i="5"/>
  <c r="R1212" i="5"/>
  <c r="I1212" i="5"/>
  <c r="O1212" i="5"/>
  <c r="D1212" i="5"/>
  <c r="L1212" i="5"/>
  <c r="F1212" i="5"/>
  <c r="Q1212" i="5"/>
  <c r="C1212" i="5"/>
  <c r="S1212" i="5"/>
  <c r="G1212" i="5"/>
  <c r="M1212" i="5"/>
  <c r="E1212" i="5"/>
  <c r="K1212" i="5"/>
  <c r="P1212" i="5"/>
  <c r="H1212" i="5"/>
  <c r="J1212" i="5"/>
  <c r="A1214" i="5" l="1"/>
  <c r="B1215" i="5"/>
  <c r="H1213" i="5"/>
  <c r="P1213" i="5"/>
  <c r="M1213" i="5"/>
  <c r="J1213" i="5"/>
  <c r="E1213" i="5"/>
  <c r="D1213" i="5"/>
  <c r="R1213" i="5"/>
  <c r="F1213" i="5"/>
  <c r="G1213" i="5"/>
  <c r="N1213" i="5"/>
  <c r="O1213" i="5"/>
  <c r="C1213" i="5"/>
  <c r="L1213" i="5"/>
  <c r="T1213" i="5"/>
  <c r="K1213" i="5"/>
  <c r="Q1213" i="5"/>
  <c r="I1213" i="5"/>
  <c r="S1213" i="5"/>
  <c r="A1215" i="5" l="1"/>
  <c r="B1216" i="5"/>
  <c r="E1214" i="5"/>
  <c r="I1214" i="5"/>
  <c r="S1214" i="5"/>
  <c r="O1214" i="5"/>
  <c r="J1214" i="5"/>
  <c r="T1214" i="5"/>
  <c r="D1214" i="5"/>
  <c r="P1214" i="5"/>
  <c r="G1214" i="5"/>
  <c r="Q1214" i="5"/>
  <c r="F1214" i="5"/>
  <c r="L1214" i="5"/>
  <c r="M1214" i="5"/>
  <c r="N1214" i="5"/>
  <c r="R1214" i="5"/>
  <c r="C1214" i="5"/>
  <c r="H1214" i="5"/>
  <c r="K1214" i="5"/>
  <c r="A1216" i="5" l="1"/>
  <c r="B1217" i="5"/>
  <c r="Q1215" i="5"/>
  <c r="R1215" i="5"/>
  <c r="C1215" i="5"/>
  <c r="M1215" i="5"/>
  <c r="H1215" i="5"/>
  <c r="J1215" i="5"/>
  <c r="S1215" i="5"/>
  <c r="P1215" i="5"/>
  <c r="E1215" i="5"/>
  <c r="N1215" i="5"/>
  <c r="F1215" i="5"/>
  <c r="I1215" i="5"/>
  <c r="L1215" i="5"/>
  <c r="T1215" i="5"/>
  <c r="K1215" i="5"/>
  <c r="G1215" i="5"/>
  <c r="O1215" i="5"/>
  <c r="D1215" i="5"/>
  <c r="A1217" i="5" l="1"/>
  <c r="B1218" i="5"/>
  <c r="F1216" i="5"/>
  <c r="D1216" i="5"/>
  <c r="P1216" i="5"/>
  <c r="G1216" i="5"/>
  <c r="M1216" i="5"/>
  <c r="C1216" i="5"/>
  <c r="Q1216" i="5"/>
  <c r="J1216" i="5"/>
  <c r="O1216" i="5"/>
  <c r="K1216" i="5"/>
  <c r="L1216" i="5"/>
  <c r="S1216" i="5"/>
  <c r="T1216" i="5"/>
  <c r="I1216" i="5"/>
  <c r="R1216" i="5"/>
  <c r="E1216" i="5"/>
  <c r="N1216" i="5"/>
  <c r="H1216" i="5"/>
  <c r="A1218" i="5" l="1"/>
  <c r="B1219" i="5"/>
  <c r="T1217" i="5"/>
  <c r="H1217" i="5"/>
  <c r="N1217" i="5"/>
  <c r="G1217" i="5"/>
  <c r="C1217" i="5"/>
  <c r="L1217" i="5"/>
  <c r="P1217" i="5"/>
  <c r="K1217" i="5"/>
  <c r="F1217" i="5"/>
  <c r="D1217" i="5"/>
  <c r="R1217" i="5"/>
  <c r="S1217" i="5"/>
  <c r="J1217" i="5"/>
  <c r="O1217" i="5"/>
  <c r="M1217" i="5"/>
  <c r="Q1217" i="5"/>
  <c r="I1217" i="5"/>
  <c r="E1217" i="5"/>
  <c r="A1219" i="5" l="1"/>
  <c r="B1220" i="5"/>
  <c r="Q1218" i="5"/>
  <c r="T1218" i="5"/>
  <c r="R1218" i="5"/>
  <c r="I1218" i="5"/>
  <c r="L1218" i="5"/>
  <c r="H1218" i="5"/>
  <c r="N1218" i="5"/>
  <c r="D1218" i="5"/>
  <c r="S1218" i="5"/>
  <c r="F1218" i="5"/>
  <c r="E1218" i="5"/>
  <c r="C1218" i="5"/>
  <c r="G1218" i="5"/>
  <c r="O1218" i="5"/>
  <c r="M1218" i="5"/>
  <c r="K1218" i="5"/>
  <c r="J1218" i="5"/>
  <c r="P1218" i="5"/>
  <c r="A1220" i="5" l="1"/>
  <c r="B1221" i="5"/>
  <c r="O1219" i="5"/>
  <c r="H1219" i="5"/>
  <c r="D1219" i="5"/>
  <c r="L1219" i="5"/>
  <c r="S1219" i="5"/>
  <c r="T1219" i="5"/>
  <c r="P1219" i="5"/>
  <c r="J1219" i="5"/>
  <c r="N1219" i="5"/>
  <c r="I1219" i="5"/>
  <c r="C1219" i="5"/>
  <c r="F1219" i="5"/>
  <c r="K1219" i="5"/>
  <c r="Q1219" i="5"/>
  <c r="M1219" i="5"/>
  <c r="E1219" i="5"/>
  <c r="R1219" i="5"/>
  <c r="G1219" i="5"/>
  <c r="A1221" i="5" l="1"/>
  <c r="B1222" i="5"/>
  <c r="I1220" i="5"/>
  <c r="H1220" i="5"/>
  <c r="O1220" i="5"/>
  <c r="R1220" i="5"/>
  <c r="P1220" i="5"/>
  <c r="Q1220" i="5"/>
  <c r="T1220" i="5"/>
  <c r="G1220" i="5"/>
  <c r="K1220" i="5"/>
  <c r="D1220" i="5"/>
  <c r="S1220" i="5"/>
  <c r="N1220" i="5"/>
  <c r="J1220" i="5"/>
  <c r="M1220" i="5"/>
  <c r="F1220" i="5"/>
  <c r="C1220" i="5"/>
  <c r="L1220" i="5"/>
  <c r="E1220" i="5"/>
  <c r="A1222" i="5" l="1"/>
  <c r="B1223" i="5"/>
  <c r="P1221" i="5"/>
  <c r="R1221" i="5"/>
  <c r="O1221" i="5"/>
  <c r="M1221" i="5"/>
  <c r="D1221" i="5"/>
  <c r="N1221" i="5"/>
  <c r="T1221" i="5"/>
  <c r="C1221" i="5"/>
  <c r="K1221" i="5"/>
  <c r="E1221" i="5"/>
  <c r="H1221" i="5"/>
  <c r="Q1221" i="5"/>
  <c r="I1221" i="5"/>
  <c r="G1221" i="5"/>
  <c r="S1221" i="5"/>
  <c r="F1221" i="5"/>
  <c r="J1221" i="5"/>
  <c r="L1221" i="5"/>
  <c r="A1223" i="5" l="1"/>
  <c r="B1224" i="5"/>
  <c r="T1222" i="5"/>
  <c r="P1222" i="5"/>
  <c r="G1222" i="5"/>
  <c r="I1222" i="5"/>
  <c r="N1222" i="5"/>
  <c r="L1222" i="5"/>
  <c r="Q1222" i="5"/>
  <c r="K1222" i="5"/>
  <c r="M1222" i="5"/>
  <c r="S1222" i="5"/>
  <c r="R1222" i="5"/>
  <c r="E1222" i="5"/>
  <c r="H1222" i="5"/>
  <c r="O1222" i="5"/>
  <c r="J1222" i="5"/>
  <c r="D1222" i="5"/>
  <c r="F1222" i="5"/>
  <c r="C1222" i="5"/>
  <c r="A1224" i="5" l="1"/>
  <c r="B1225" i="5"/>
  <c r="R1223" i="5"/>
  <c r="C1223" i="5"/>
  <c r="S1223" i="5"/>
  <c r="E1223" i="5"/>
  <c r="Q1223" i="5"/>
  <c r="F1223" i="5"/>
  <c r="L1223" i="5"/>
  <c r="H1223" i="5"/>
  <c r="J1223" i="5"/>
  <c r="G1223" i="5"/>
  <c r="P1223" i="5"/>
  <c r="T1223" i="5"/>
  <c r="K1223" i="5"/>
  <c r="N1223" i="5"/>
  <c r="O1223" i="5"/>
  <c r="I1223" i="5"/>
  <c r="D1223" i="5"/>
  <c r="M1223" i="5"/>
  <c r="A1225" i="5" l="1"/>
  <c r="B1226" i="5"/>
  <c r="H1224" i="5"/>
  <c r="I1224" i="5"/>
  <c r="P1224" i="5"/>
  <c r="R1224" i="5"/>
  <c r="K1224" i="5"/>
  <c r="S1224" i="5"/>
  <c r="T1224" i="5"/>
  <c r="E1224" i="5"/>
  <c r="Q1224" i="5"/>
  <c r="M1224" i="5"/>
  <c r="J1224" i="5"/>
  <c r="G1224" i="5"/>
  <c r="L1224" i="5"/>
  <c r="C1224" i="5"/>
  <c r="N1224" i="5"/>
  <c r="F1224" i="5"/>
  <c r="O1224" i="5"/>
  <c r="D1224" i="5"/>
  <c r="A1226" i="5" l="1"/>
  <c r="B1227" i="5"/>
  <c r="J1225" i="5"/>
  <c r="R1225" i="5"/>
  <c r="G1225" i="5"/>
  <c r="N1225" i="5"/>
  <c r="F1225" i="5"/>
  <c r="I1225" i="5"/>
  <c r="L1225" i="5"/>
  <c r="C1225" i="5"/>
  <c r="D1225" i="5"/>
  <c r="S1225" i="5"/>
  <c r="E1225" i="5"/>
  <c r="M1225" i="5"/>
  <c r="T1225" i="5"/>
  <c r="K1225" i="5"/>
  <c r="H1225" i="5"/>
  <c r="O1225" i="5"/>
  <c r="P1225" i="5"/>
  <c r="Q1225" i="5"/>
  <c r="A1227" i="5" l="1"/>
  <c r="B1228" i="5"/>
  <c r="D1226" i="5"/>
  <c r="E1226" i="5"/>
  <c r="C1226" i="5"/>
  <c r="R1226" i="5"/>
  <c r="G1226" i="5"/>
  <c r="K1226" i="5"/>
  <c r="L1226" i="5"/>
  <c r="F1226" i="5"/>
  <c r="H1226" i="5"/>
  <c r="T1226" i="5"/>
  <c r="O1226" i="5"/>
  <c r="Q1226" i="5"/>
  <c r="P1226" i="5"/>
  <c r="I1226" i="5"/>
  <c r="N1226" i="5"/>
  <c r="M1226" i="5"/>
  <c r="S1226" i="5"/>
  <c r="J1226" i="5"/>
  <c r="A1228" i="5" l="1"/>
  <c r="B1229" i="5"/>
  <c r="H1227" i="5"/>
  <c r="K1227" i="5"/>
  <c r="N1227" i="5"/>
  <c r="T1227" i="5"/>
  <c r="Q1227" i="5"/>
  <c r="I1227" i="5"/>
  <c r="S1227" i="5"/>
  <c r="C1227" i="5"/>
  <c r="J1227" i="5"/>
  <c r="F1227" i="5"/>
  <c r="L1227" i="5"/>
  <c r="D1227" i="5"/>
  <c r="M1227" i="5"/>
  <c r="P1227" i="5"/>
  <c r="O1227" i="5"/>
  <c r="E1227" i="5"/>
  <c r="G1227" i="5"/>
  <c r="R1227" i="5"/>
  <c r="A1229" i="5" l="1"/>
  <c r="B1230" i="5"/>
  <c r="K1228" i="5"/>
  <c r="N1228" i="5"/>
  <c r="H1228" i="5"/>
  <c r="Q1228" i="5"/>
  <c r="I1228" i="5"/>
  <c r="D1228" i="5"/>
  <c r="L1228" i="5"/>
  <c r="F1228" i="5"/>
  <c r="P1228" i="5"/>
  <c r="O1228" i="5"/>
  <c r="E1228" i="5"/>
  <c r="G1228" i="5"/>
  <c r="S1228" i="5"/>
  <c r="M1228" i="5"/>
  <c r="C1228" i="5"/>
  <c r="R1228" i="5"/>
  <c r="T1228" i="5"/>
  <c r="J1228" i="5"/>
  <c r="A1230" i="5" l="1"/>
  <c r="B1231" i="5"/>
  <c r="J1229" i="5"/>
  <c r="H1229" i="5"/>
  <c r="I1229" i="5"/>
  <c r="K1229" i="5"/>
  <c r="O1229" i="5"/>
  <c r="P1229" i="5"/>
  <c r="S1229" i="5"/>
  <c r="D1229" i="5"/>
  <c r="G1229" i="5"/>
  <c r="R1229" i="5"/>
  <c r="L1229" i="5"/>
  <c r="F1229" i="5"/>
  <c r="T1229" i="5"/>
  <c r="E1229" i="5"/>
  <c r="M1229" i="5"/>
  <c r="Q1229" i="5"/>
  <c r="C1229" i="5"/>
  <c r="N1229" i="5"/>
  <c r="A1231" i="5" l="1"/>
  <c r="B1232" i="5"/>
  <c r="G1230" i="5"/>
  <c r="L1230" i="5"/>
  <c r="K1230" i="5"/>
  <c r="H1230" i="5"/>
  <c r="P1230" i="5"/>
  <c r="S1230" i="5"/>
  <c r="D1230" i="5"/>
  <c r="C1230" i="5"/>
  <c r="R1230" i="5"/>
  <c r="J1230" i="5"/>
  <c r="T1230" i="5"/>
  <c r="F1230" i="5"/>
  <c r="O1230" i="5"/>
  <c r="Q1230" i="5"/>
  <c r="E1230" i="5"/>
  <c r="I1230" i="5"/>
  <c r="M1230" i="5"/>
  <c r="N1230" i="5"/>
  <c r="A1232" i="5" l="1"/>
  <c r="B1233" i="5"/>
  <c r="P1231" i="5"/>
  <c r="D1231" i="5"/>
  <c r="E1231" i="5"/>
  <c r="F1231" i="5"/>
  <c r="M1231" i="5"/>
  <c r="C1231" i="5"/>
  <c r="L1231" i="5"/>
  <c r="R1231" i="5"/>
  <c r="J1231" i="5"/>
  <c r="N1231" i="5"/>
  <c r="K1231" i="5"/>
  <c r="G1231" i="5"/>
  <c r="O1231" i="5"/>
  <c r="T1231" i="5"/>
  <c r="I1231" i="5"/>
  <c r="S1231" i="5"/>
  <c r="H1231" i="5"/>
  <c r="Q1231" i="5"/>
  <c r="A1233" i="5" l="1"/>
  <c r="B1234" i="5"/>
  <c r="Q1232" i="5"/>
  <c r="M1232" i="5"/>
  <c r="D1232" i="5"/>
  <c r="E1232" i="5"/>
  <c r="L1232" i="5"/>
  <c r="G1232" i="5"/>
  <c r="P1232" i="5"/>
  <c r="O1232" i="5"/>
  <c r="K1232" i="5"/>
  <c r="J1232" i="5"/>
  <c r="N1232" i="5"/>
  <c r="H1232" i="5"/>
  <c r="T1232" i="5"/>
  <c r="R1232" i="5"/>
  <c r="S1232" i="5"/>
  <c r="I1232" i="5"/>
  <c r="C1232" i="5"/>
  <c r="F1232" i="5"/>
  <c r="A1234" i="5" l="1"/>
  <c r="B1235" i="5"/>
  <c r="D1233" i="5"/>
  <c r="I1233" i="5"/>
  <c r="R1233" i="5"/>
  <c r="G1233" i="5"/>
  <c r="Q1233" i="5"/>
  <c r="M1233" i="5"/>
  <c r="C1233" i="5"/>
  <c r="L1233" i="5"/>
  <c r="N1233" i="5"/>
  <c r="F1233" i="5"/>
  <c r="P1233" i="5"/>
  <c r="S1233" i="5"/>
  <c r="J1233" i="5"/>
  <c r="E1233" i="5"/>
  <c r="O1233" i="5"/>
  <c r="K1233" i="5"/>
  <c r="T1233" i="5"/>
  <c r="H1233" i="5"/>
  <c r="E1234" i="5" l="1"/>
  <c r="T1234" i="5"/>
  <c r="R1234" i="5"/>
  <c r="I1234" i="5"/>
  <c r="N1234" i="5"/>
  <c r="O1234" i="5"/>
  <c r="F1234" i="5"/>
  <c r="Q1234" i="5"/>
  <c r="P1234" i="5"/>
  <c r="M1234" i="5"/>
  <c r="J1234" i="5"/>
  <c r="S1234" i="5"/>
  <c r="G1234" i="5"/>
  <c r="C1234" i="5"/>
  <c r="L1234" i="5"/>
  <c r="H1234" i="5"/>
  <c r="D1234" i="5"/>
  <c r="K1234" i="5"/>
  <c r="A1235" i="5"/>
  <c r="B1236" i="5"/>
  <c r="A1236" i="5" l="1"/>
  <c r="B1237" i="5"/>
  <c r="T1235" i="5"/>
  <c r="S1235" i="5"/>
  <c r="Q1235" i="5"/>
  <c r="E1235" i="5"/>
  <c r="C1235" i="5"/>
  <c r="I1235" i="5"/>
  <c r="M1235" i="5"/>
  <c r="D1235" i="5"/>
  <c r="O1235" i="5"/>
  <c r="L1235" i="5"/>
  <c r="H1235" i="5"/>
  <c r="F1235" i="5"/>
  <c r="K1235" i="5"/>
  <c r="R1235" i="5"/>
  <c r="J1235" i="5"/>
  <c r="P1235" i="5"/>
  <c r="N1235" i="5"/>
  <c r="G1235" i="5"/>
  <c r="A1237" i="5" l="1"/>
  <c r="B1238" i="5"/>
  <c r="D1236" i="5"/>
  <c r="R1236" i="5"/>
  <c r="M1236" i="5"/>
  <c r="P1236" i="5"/>
  <c r="K1236" i="5"/>
  <c r="G1236" i="5"/>
  <c r="S1236" i="5"/>
  <c r="F1236" i="5"/>
  <c r="Q1236" i="5"/>
  <c r="H1236" i="5"/>
  <c r="O1236" i="5"/>
  <c r="L1236" i="5"/>
  <c r="J1236" i="5"/>
  <c r="C1236" i="5"/>
  <c r="N1236" i="5"/>
  <c r="T1236" i="5"/>
  <c r="I1236" i="5"/>
  <c r="E1236" i="5"/>
  <c r="A1238" i="5" l="1"/>
  <c r="B1239" i="5"/>
  <c r="L1237" i="5"/>
  <c r="D1237" i="5"/>
  <c r="I1237" i="5"/>
  <c r="M1237" i="5"/>
  <c r="S1237" i="5"/>
  <c r="G1237" i="5"/>
  <c r="K1237" i="5"/>
  <c r="F1237" i="5"/>
  <c r="O1237" i="5"/>
  <c r="N1237" i="5"/>
  <c r="H1237" i="5"/>
  <c r="E1237" i="5"/>
  <c r="Q1237" i="5"/>
  <c r="J1237" i="5"/>
  <c r="C1237" i="5"/>
  <c r="R1237" i="5"/>
  <c r="P1237" i="5"/>
  <c r="T1237" i="5"/>
  <c r="A1239" i="5" l="1"/>
  <c r="B1240" i="5"/>
  <c r="R1238" i="5"/>
  <c r="I1238" i="5"/>
  <c r="N1238" i="5"/>
  <c r="Q1238" i="5"/>
  <c r="F1238" i="5"/>
  <c r="T1238" i="5"/>
  <c r="M1238" i="5"/>
  <c r="E1238" i="5"/>
  <c r="S1238" i="5"/>
  <c r="J1238" i="5"/>
  <c r="P1238" i="5"/>
  <c r="H1238" i="5"/>
  <c r="C1238" i="5"/>
  <c r="O1238" i="5"/>
  <c r="L1238" i="5"/>
  <c r="D1238" i="5"/>
  <c r="K1238" i="5"/>
  <c r="G1238" i="5"/>
  <c r="A1240" i="5" l="1"/>
  <c r="B1241" i="5"/>
  <c r="C1239" i="5"/>
  <c r="O1239" i="5"/>
  <c r="Q1239" i="5"/>
  <c r="K1239" i="5"/>
  <c r="F1239" i="5"/>
  <c r="T1239" i="5"/>
  <c r="M1239" i="5"/>
  <c r="N1239" i="5"/>
  <c r="P1239" i="5"/>
  <c r="S1239" i="5"/>
  <c r="G1239" i="5"/>
  <c r="R1239" i="5"/>
  <c r="H1239" i="5"/>
  <c r="D1239" i="5"/>
  <c r="I1239" i="5"/>
  <c r="J1239" i="5"/>
  <c r="L1239" i="5"/>
  <c r="E1239" i="5"/>
  <c r="A1241" i="5" l="1"/>
  <c r="B1242" i="5"/>
  <c r="D1240" i="5"/>
  <c r="S1240" i="5"/>
  <c r="P1240" i="5"/>
  <c r="C1240" i="5"/>
  <c r="T1240" i="5"/>
  <c r="H1240" i="5"/>
  <c r="F1240" i="5"/>
  <c r="I1240" i="5"/>
  <c r="E1240" i="5"/>
  <c r="J1240" i="5"/>
  <c r="Q1240" i="5"/>
  <c r="G1240" i="5"/>
  <c r="K1240" i="5"/>
  <c r="M1240" i="5"/>
  <c r="L1240" i="5"/>
  <c r="R1240" i="5"/>
  <c r="N1240" i="5"/>
  <c r="O1240" i="5"/>
  <c r="A1242" i="5" l="1"/>
  <c r="B1243" i="5"/>
  <c r="P1241" i="5"/>
  <c r="D1241" i="5"/>
  <c r="Q1241" i="5"/>
  <c r="F1241" i="5"/>
  <c r="E1241" i="5"/>
  <c r="O1241" i="5"/>
  <c r="T1241" i="5"/>
  <c r="K1241" i="5"/>
  <c r="I1241" i="5"/>
  <c r="J1241" i="5"/>
  <c r="S1241" i="5"/>
  <c r="R1241" i="5"/>
  <c r="H1241" i="5"/>
  <c r="N1241" i="5"/>
  <c r="C1241" i="5"/>
  <c r="L1241" i="5"/>
  <c r="G1241" i="5"/>
  <c r="M1241" i="5"/>
  <c r="A1243" i="5" l="1"/>
  <c r="B1244" i="5"/>
  <c r="J1242" i="5"/>
  <c r="L1242" i="5"/>
  <c r="M1242" i="5"/>
  <c r="I1242" i="5"/>
  <c r="E1242" i="5"/>
  <c r="Q1242" i="5"/>
  <c r="K1242" i="5"/>
  <c r="O1242" i="5"/>
  <c r="H1242" i="5"/>
  <c r="T1242" i="5"/>
  <c r="R1242" i="5"/>
  <c r="F1242" i="5"/>
  <c r="S1242" i="5"/>
  <c r="C1242" i="5"/>
  <c r="P1242" i="5"/>
  <c r="N1242" i="5"/>
  <c r="G1242" i="5"/>
  <c r="D1242" i="5"/>
  <c r="A1244" i="5" l="1"/>
  <c r="B1245" i="5"/>
  <c r="L1243" i="5"/>
  <c r="H1243" i="5"/>
  <c r="I1243" i="5"/>
  <c r="T1243" i="5"/>
  <c r="G1243" i="5"/>
  <c r="F1243" i="5"/>
  <c r="K1243" i="5"/>
  <c r="Q1243" i="5"/>
  <c r="O1243" i="5"/>
  <c r="M1243" i="5"/>
  <c r="P1243" i="5"/>
  <c r="J1243" i="5"/>
  <c r="N1243" i="5"/>
  <c r="S1243" i="5"/>
  <c r="E1243" i="5"/>
  <c r="R1243" i="5"/>
  <c r="D1243" i="5"/>
  <c r="C1243" i="5"/>
  <c r="A1245" i="5" l="1"/>
  <c r="B1246" i="5"/>
  <c r="S1244" i="5"/>
  <c r="H1244" i="5"/>
  <c r="K1244" i="5"/>
  <c r="O1244" i="5"/>
  <c r="Q1244" i="5"/>
  <c r="F1244" i="5"/>
  <c r="M1244" i="5"/>
  <c r="G1244" i="5"/>
  <c r="C1244" i="5"/>
  <c r="E1244" i="5"/>
  <c r="J1244" i="5"/>
  <c r="N1244" i="5"/>
  <c r="I1244" i="5"/>
  <c r="T1244" i="5"/>
  <c r="R1244" i="5"/>
  <c r="D1244" i="5"/>
  <c r="L1244" i="5"/>
  <c r="P1244" i="5"/>
  <c r="A1246" i="5" l="1"/>
  <c r="B1247" i="5"/>
  <c r="C1245" i="5"/>
  <c r="S1245" i="5"/>
  <c r="F1245" i="5"/>
  <c r="O1245" i="5"/>
  <c r="J1245" i="5"/>
  <c r="T1245" i="5"/>
  <c r="L1245" i="5"/>
  <c r="H1245" i="5"/>
  <c r="E1245" i="5"/>
  <c r="M1245" i="5"/>
  <c r="P1245" i="5"/>
  <c r="D1245" i="5"/>
  <c r="K1245" i="5"/>
  <c r="R1245" i="5"/>
  <c r="G1245" i="5"/>
  <c r="I1245" i="5"/>
  <c r="N1245" i="5"/>
  <c r="Q1245" i="5"/>
  <c r="A1247" i="5" l="1"/>
  <c r="B1248" i="5"/>
  <c r="E1246" i="5"/>
  <c r="F1246" i="5"/>
  <c r="J1246" i="5"/>
  <c r="G1246" i="5"/>
  <c r="D1246" i="5"/>
  <c r="L1246" i="5"/>
  <c r="Q1246" i="5"/>
  <c r="C1246" i="5"/>
  <c r="K1246" i="5"/>
  <c r="P1246" i="5"/>
  <c r="N1246" i="5"/>
  <c r="S1246" i="5"/>
  <c r="H1246" i="5"/>
  <c r="M1246" i="5"/>
  <c r="O1246" i="5"/>
  <c r="I1246" i="5"/>
  <c r="T1246" i="5"/>
  <c r="R1246" i="5"/>
  <c r="A1248" i="5" l="1"/>
  <c r="B1249" i="5"/>
  <c r="I1247" i="5"/>
  <c r="M1247" i="5"/>
  <c r="P1247" i="5"/>
  <c r="S1247" i="5"/>
  <c r="C1247" i="5"/>
  <c r="G1247" i="5"/>
  <c r="J1247" i="5"/>
  <c r="E1247" i="5"/>
  <c r="T1247" i="5"/>
  <c r="N1247" i="5"/>
  <c r="D1247" i="5"/>
  <c r="R1247" i="5"/>
  <c r="H1247" i="5"/>
  <c r="O1247" i="5"/>
  <c r="F1247" i="5"/>
  <c r="L1247" i="5"/>
  <c r="Q1247" i="5"/>
  <c r="K1247" i="5"/>
  <c r="A1249" i="5" l="1"/>
  <c r="B1250" i="5"/>
  <c r="N1248" i="5"/>
  <c r="O1248" i="5"/>
  <c r="M1248" i="5"/>
  <c r="J1248" i="5"/>
  <c r="E1248" i="5"/>
  <c r="Q1248" i="5"/>
  <c r="L1248" i="5"/>
  <c r="R1248" i="5"/>
  <c r="C1248" i="5"/>
  <c r="D1248" i="5"/>
  <c r="P1248" i="5"/>
  <c r="S1248" i="5"/>
  <c r="T1248" i="5"/>
  <c r="K1248" i="5"/>
  <c r="F1248" i="5"/>
  <c r="I1248" i="5"/>
  <c r="H1248" i="5"/>
  <c r="G1248" i="5"/>
  <c r="A1250" i="5" l="1"/>
  <c r="B1251" i="5"/>
  <c r="N1249" i="5"/>
  <c r="D1249" i="5"/>
  <c r="S1249" i="5"/>
  <c r="M1249" i="5"/>
  <c r="J1249" i="5"/>
  <c r="Q1249" i="5"/>
  <c r="R1249" i="5"/>
  <c r="E1249" i="5"/>
  <c r="H1249" i="5"/>
  <c r="O1249" i="5"/>
  <c r="I1249" i="5"/>
  <c r="K1249" i="5"/>
  <c r="P1249" i="5"/>
  <c r="C1249" i="5"/>
  <c r="T1249" i="5"/>
  <c r="F1249" i="5"/>
  <c r="L1249" i="5"/>
  <c r="G1249" i="5"/>
  <c r="A1251" i="5" l="1"/>
  <c r="B1252" i="5"/>
  <c r="K1250" i="5"/>
  <c r="P1250" i="5"/>
  <c r="H1250" i="5"/>
  <c r="J1250" i="5"/>
  <c r="M1250" i="5"/>
  <c r="N1250" i="5"/>
  <c r="E1250" i="5"/>
  <c r="F1250" i="5"/>
  <c r="C1250" i="5"/>
  <c r="R1250" i="5"/>
  <c r="G1250" i="5"/>
  <c r="Q1250" i="5"/>
  <c r="L1250" i="5"/>
  <c r="S1250" i="5"/>
  <c r="O1250" i="5"/>
  <c r="I1250" i="5"/>
  <c r="T1250" i="5"/>
  <c r="D1250" i="5"/>
  <c r="A1252" i="5" l="1"/>
  <c r="B1253" i="5"/>
  <c r="S1251" i="5"/>
  <c r="D1251" i="5"/>
  <c r="O1251" i="5"/>
  <c r="P1251" i="5"/>
  <c r="L1251" i="5"/>
  <c r="G1251" i="5"/>
  <c r="H1251" i="5"/>
  <c r="K1251" i="5"/>
  <c r="C1251" i="5"/>
  <c r="N1251" i="5"/>
  <c r="E1251" i="5"/>
  <c r="M1251" i="5"/>
  <c r="J1251" i="5"/>
  <c r="F1251" i="5"/>
  <c r="I1251" i="5"/>
  <c r="T1251" i="5"/>
  <c r="Q1251" i="5"/>
  <c r="R1251" i="5"/>
  <c r="A1253" i="5" l="1"/>
  <c r="B1254" i="5"/>
  <c r="O1252" i="5"/>
  <c r="K1252" i="5"/>
  <c r="N1252" i="5"/>
  <c r="S1252" i="5"/>
  <c r="R1252" i="5"/>
  <c r="L1252" i="5"/>
  <c r="P1252" i="5"/>
  <c r="E1252" i="5"/>
  <c r="J1252" i="5"/>
  <c r="T1252" i="5"/>
  <c r="F1252" i="5"/>
  <c r="I1252" i="5"/>
  <c r="D1252" i="5"/>
  <c r="H1252" i="5"/>
  <c r="G1252" i="5"/>
  <c r="M1252" i="5"/>
  <c r="C1252" i="5"/>
  <c r="Q1252" i="5"/>
  <c r="A1254" i="5" l="1"/>
  <c r="B1255" i="5"/>
  <c r="S1253" i="5"/>
  <c r="T1253" i="5"/>
  <c r="C1253" i="5"/>
  <c r="J1253" i="5"/>
  <c r="P1253" i="5"/>
  <c r="E1253" i="5"/>
  <c r="O1253" i="5"/>
  <c r="D1253" i="5"/>
  <c r="G1253" i="5"/>
  <c r="N1253" i="5"/>
  <c r="K1253" i="5"/>
  <c r="Q1253" i="5"/>
  <c r="F1253" i="5"/>
  <c r="M1253" i="5"/>
  <c r="R1253" i="5"/>
  <c r="H1253" i="5"/>
  <c r="L1253" i="5"/>
  <c r="I1253" i="5"/>
  <c r="A1255" i="5" l="1"/>
  <c r="B1256" i="5"/>
  <c r="P1254" i="5"/>
  <c r="F1254" i="5"/>
  <c r="R1254" i="5"/>
  <c r="M1254" i="5"/>
  <c r="H1254" i="5"/>
  <c r="I1254" i="5"/>
  <c r="D1254" i="5"/>
  <c r="T1254" i="5"/>
  <c r="Q1254" i="5"/>
  <c r="K1254" i="5"/>
  <c r="G1254" i="5"/>
  <c r="L1254" i="5"/>
  <c r="S1254" i="5"/>
  <c r="C1254" i="5"/>
  <c r="N1254" i="5"/>
  <c r="E1254" i="5"/>
  <c r="O1254" i="5"/>
  <c r="J1254" i="5"/>
  <c r="A1256" i="5" l="1"/>
  <c r="B1257" i="5"/>
  <c r="D1255" i="5"/>
  <c r="E1255" i="5"/>
  <c r="S1255" i="5"/>
  <c r="K1255" i="5"/>
  <c r="Q1255" i="5"/>
  <c r="R1255" i="5"/>
  <c r="J1255" i="5"/>
  <c r="F1255" i="5"/>
  <c r="O1255" i="5"/>
  <c r="P1255" i="5"/>
  <c r="T1255" i="5"/>
  <c r="N1255" i="5"/>
  <c r="M1255" i="5"/>
  <c r="H1255" i="5"/>
  <c r="L1255" i="5"/>
  <c r="C1255" i="5"/>
  <c r="I1255" i="5"/>
  <c r="G1255" i="5"/>
  <c r="A1257" i="5" l="1"/>
  <c r="B1258" i="5"/>
  <c r="J1256" i="5"/>
  <c r="Q1256" i="5"/>
  <c r="K1256" i="5"/>
  <c r="T1256" i="5"/>
  <c r="D1256" i="5"/>
  <c r="N1256" i="5"/>
  <c r="S1256" i="5"/>
  <c r="E1256" i="5"/>
  <c r="C1256" i="5"/>
  <c r="I1256" i="5"/>
  <c r="L1256" i="5"/>
  <c r="P1256" i="5"/>
  <c r="O1256" i="5"/>
  <c r="H1256" i="5"/>
  <c r="R1256" i="5"/>
  <c r="F1256" i="5"/>
  <c r="M1256" i="5"/>
  <c r="G1256" i="5"/>
  <c r="A1258" i="5" l="1"/>
  <c r="B1259" i="5"/>
  <c r="G1257" i="5"/>
  <c r="R1257" i="5"/>
  <c r="E1257" i="5"/>
  <c r="Q1257" i="5"/>
  <c r="M1257" i="5"/>
  <c r="K1257" i="5"/>
  <c r="F1257" i="5"/>
  <c r="O1257" i="5"/>
  <c r="J1257" i="5"/>
  <c r="H1257" i="5"/>
  <c r="D1257" i="5"/>
  <c r="L1257" i="5"/>
  <c r="T1257" i="5"/>
  <c r="N1257" i="5"/>
  <c r="S1257" i="5"/>
  <c r="I1257" i="5"/>
  <c r="C1257" i="5"/>
  <c r="P1257" i="5"/>
  <c r="A1259" i="5" l="1"/>
  <c r="B1260" i="5"/>
  <c r="L1258" i="5"/>
  <c r="S1258" i="5"/>
  <c r="Q1258" i="5"/>
  <c r="P1258" i="5"/>
  <c r="O1258" i="5"/>
  <c r="H1258" i="5"/>
  <c r="M1258" i="5"/>
  <c r="N1258" i="5"/>
  <c r="J1258" i="5"/>
  <c r="T1258" i="5"/>
  <c r="F1258" i="5"/>
  <c r="D1258" i="5"/>
  <c r="E1258" i="5"/>
  <c r="G1258" i="5"/>
  <c r="I1258" i="5"/>
  <c r="C1258" i="5"/>
  <c r="K1258" i="5"/>
  <c r="R1258" i="5"/>
  <c r="A1260" i="5" l="1"/>
  <c r="B1261" i="5"/>
  <c r="K1259" i="5"/>
  <c r="Q1259" i="5"/>
  <c r="L1259" i="5"/>
  <c r="P1259" i="5"/>
  <c r="T1259" i="5"/>
  <c r="I1259" i="5"/>
  <c r="R1259" i="5"/>
  <c r="E1259" i="5"/>
  <c r="J1259" i="5"/>
  <c r="N1259" i="5"/>
  <c r="S1259" i="5"/>
  <c r="O1259" i="5"/>
  <c r="C1259" i="5"/>
  <c r="M1259" i="5"/>
  <c r="D1259" i="5"/>
  <c r="H1259" i="5"/>
  <c r="G1259" i="5"/>
  <c r="F1259" i="5"/>
  <c r="A1261" i="5" l="1"/>
  <c r="B1262" i="5"/>
  <c r="T1260" i="5"/>
  <c r="C1260" i="5"/>
  <c r="Q1260" i="5"/>
  <c r="H1260" i="5"/>
  <c r="M1260" i="5"/>
  <c r="P1260" i="5"/>
  <c r="R1260" i="5"/>
  <c r="K1260" i="5"/>
  <c r="S1260" i="5"/>
  <c r="N1260" i="5"/>
  <c r="D1260" i="5"/>
  <c r="I1260" i="5"/>
  <c r="F1260" i="5"/>
  <c r="J1260" i="5"/>
  <c r="G1260" i="5"/>
  <c r="L1260" i="5"/>
  <c r="O1260" i="5"/>
  <c r="E1260" i="5"/>
  <c r="A1262" i="5" l="1"/>
  <c r="B1263" i="5"/>
  <c r="C1261" i="5"/>
  <c r="E1261" i="5"/>
  <c r="T1261" i="5"/>
  <c r="G1261" i="5"/>
  <c r="I1261" i="5"/>
  <c r="D1261" i="5"/>
  <c r="K1261" i="5"/>
  <c r="O1261" i="5"/>
  <c r="N1261" i="5"/>
  <c r="Q1261" i="5"/>
  <c r="L1261" i="5"/>
  <c r="R1261" i="5"/>
  <c r="H1261" i="5"/>
  <c r="P1261" i="5"/>
  <c r="S1261" i="5"/>
  <c r="M1261" i="5"/>
  <c r="F1261" i="5"/>
  <c r="J1261" i="5"/>
  <c r="A1263" i="5" l="1"/>
  <c r="B1264" i="5"/>
  <c r="F1262" i="5"/>
  <c r="G1262" i="5"/>
  <c r="K1262" i="5"/>
  <c r="E1262" i="5"/>
  <c r="I1262" i="5"/>
  <c r="H1262" i="5"/>
  <c r="R1262" i="5"/>
  <c r="O1262" i="5"/>
  <c r="Q1262" i="5"/>
  <c r="S1262" i="5"/>
  <c r="D1262" i="5"/>
  <c r="C1262" i="5"/>
  <c r="T1262" i="5"/>
  <c r="N1262" i="5"/>
  <c r="M1262" i="5"/>
  <c r="J1262" i="5"/>
  <c r="P1262" i="5"/>
  <c r="L1262" i="5"/>
  <c r="A1264" i="5" l="1"/>
  <c r="B1265" i="5"/>
  <c r="E1263" i="5"/>
  <c r="H1263" i="5"/>
  <c r="F1263" i="5"/>
  <c r="J1263" i="5"/>
  <c r="R1263" i="5"/>
  <c r="I1263" i="5"/>
  <c r="L1263" i="5"/>
  <c r="D1263" i="5"/>
  <c r="K1263" i="5"/>
  <c r="S1263" i="5"/>
  <c r="N1263" i="5"/>
  <c r="M1263" i="5"/>
  <c r="G1263" i="5"/>
  <c r="C1263" i="5"/>
  <c r="T1263" i="5"/>
  <c r="P1263" i="5"/>
  <c r="Q1263" i="5"/>
  <c r="O1263" i="5"/>
  <c r="A1265" i="5" l="1"/>
  <c r="B1266" i="5"/>
  <c r="K1264" i="5"/>
  <c r="P1264" i="5"/>
  <c r="I1264" i="5"/>
  <c r="J1264" i="5"/>
  <c r="Q1264" i="5"/>
  <c r="R1264" i="5"/>
  <c r="D1264" i="5"/>
  <c r="S1264" i="5"/>
  <c r="M1264" i="5"/>
  <c r="H1264" i="5"/>
  <c r="O1264" i="5"/>
  <c r="T1264" i="5"/>
  <c r="L1264" i="5"/>
  <c r="C1264" i="5"/>
  <c r="G1264" i="5"/>
  <c r="N1264" i="5"/>
  <c r="F1264" i="5"/>
  <c r="E1264" i="5"/>
  <c r="A1266" i="5" l="1"/>
  <c r="B1267" i="5"/>
  <c r="R1265" i="5"/>
  <c r="H1265" i="5"/>
  <c r="J1265" i="5"/>
  <c r="M1265" i="5"/>
  <c r="S1265" i="5"/>
  <c r="D1265" i="5"/>
  <c r="G1265" i="5"/>
  <c r="O1265" i="5"/>
  <c r="K1265" i="5"/>
  <c r="C1265" i="5"/>
  <c r="E1265" i="5"/>
  <c r="T1265" i="5"/>
  <c r="I1265" i="5"/>
  <c r="Q1265" i="5"/>
  <c r="N1265" i="5"/>
  <c r="L1265" i="5"/>
  <c r="P1265" i="5"/>
  <c r="F1265" i="5"/>
  <c r="A1267" i="5" l="1"/>
  <c r="B1268" i="5"/>
  <c r="H1266" i="5"/>
  <c r="T1266" i="5"/>
  <c r="J1266" i="5"/>
  <c r="S1266" i="5"/>
  <c r="Q1266" i="5"/>
  <c r="L1266" i="5"/>
  <c r="K1266" i="5"/>
  <c r="M1266" i="5"/>
  <c r="N1266" i="5"/>
  <c r="F1266" i="5"/>
  <c r="D1266" i="5"/>
  <c r="G1266" i="5"/>
  <c r="E1266" i="5"/>
  <c r="I1266" i="5"/>
  <c r="P1266" i="5"/>
  <c r="C1266" i="5"/>
  <c r="R1266" i="5"/>
  <c r="O1266" i="5"/>
  <c r="A1268" i="5" l="1"/>
  <c r="B1269" i="5"/>
  <c r="H1267" i="5"/>
  <c r="J1267" i="5"/>
  <c r="F1267" i="5"/>
  <c r="E1267" i="5"/>
  <c r="N1267" i="5"/>
  <c r="D1267" i="5"/>
  <c r="C1267" i="5"/>
  <c r="P1267" i="5"/>
  <c r="M1267" i="5"/>
  <c r="G1267" i="5"/>
  <c r="T1267" i="5"/>
  <c r="L1267" i="5"/>
  <c r="K1267" i="5"/>
  <c r="S1267" i="5"/>
  <c r="Q1267" i="5"/>
  <c r="O1267" i="5"/>
  <c r="I1267" i="5"/>
  <c r="R1267" i="5"/>
  <c r="A1269" i="5" l="1"/>
  <c r="B1270" i="5"/>
  <c r="N1268" i="5"/>
  <c r="L1268" i="5"/>
  <c r="G1268" i="5"/>
  <c r="D1268" i="5"/>
  <c r="P1268" i="5"/>
  <c r="R1268" i="5"/>
  <c r="S1268" i="5"/>
  <c r="I1268" i="5"/>
  <c r="K1268" i="5"/>
  <c r="M1268" i="5"/>
  <c r="J1268" i="5"/>
  <c r="C1268" i="5"/>
  <c r="F1268" i="5"/>
  <c r="O1268" i="5"/>
  <c r="T1268" i="5"/>
  <c r="Q1268" i="5"/>
  <c r="H1268" i="5"/>
  <c r="E1268" i="5"/>
  <c r="A1270" i="5" l="1"/>
  <c r="B1271" i="5"/>
  <c r="D1269" i="5"/>
  <c r="L1269" i="5"/>
  <c r="Q1269" i="5"/>
  <c r="N1269" i="5"/>
  <c r="M1269" i="5"/>
  <c r="G1269" i="5"/>
  <c r="S1269" i="5"/>
  <c r="R1269" i="5"/>
  <c r="J1269" i="5"/>
  <c r="I1269" i="5"/>
  <c r="K1269" i="5"/>
  <c r="E1269" i="5"/>
  <c r="C1269" i="5"/>
  <c r="P1269" i="5"/>
  <c r="T1269" i="5"/>
  <c r="O1269" i="5"/>
  <c r="H1269" i="5"/>
  <c r="F1269" i="5"/>
  <c r="A1271" i="5" l="1"/>
  <c r="B1272" i="5"/>
  <c r="D1270" i="5"/>
  <c r="L1270" i="5"/>
  <c r="R1270" i="5"/>
  <c r="M1270" i="5"/>
  <c r="K1270" i="5"/>
  <c r="Q1270" i="5"/>
  <c r="G1270" i="5"/>
  <c r="F1270" i="5"/>
  <c r="C1270" i="5"/>
  <c r="I1270" i="5"/>
  <c r="T1270" i="5"/>
  <c r="H1270" i="5"/>
  <c r="J1270" i="5"/>
  <c r="N1270" i="5"/>
  <c r="O1270" i="5"/>
  <c r="P1270" i="5"/>
  <c r="S1270" i="5"/>
  <c r="E1270" i="5"/>
  <c r="A1272" i="5" l="1"/>
  <c r="B1273" i="5"/>
  <c r="L1271" i="5"/>
  <c r="M1271" i="5"/>
  <c r="E1271" i="5"/>
  <c r="J1271" i="5"/>
  <c r="I1271" i="5"/>
  <c r="D1271" i="5"/>
  <c r="K1271" i="5"/>
  <c r="Q1271" i="5"/>
  <c r="N1271" i="5"/>
  <c r="T1271" i="5"/>
  <c r="G1271" i="5"/>
  <c r="P1271" i="5"/>
  <c r="R1271" i="5"/>
  <c r="O1271" i="5"/>
  <c r="F1271" i="5"/>
  <c r="H1271" i="5"/>
  <c r="S1271" i="5"/>
  <c r="C1271" i="5"/>
  <c r="A1273" i="5" l="1"/>
  <c r="B1274" i="5"/>
  <c r="L1272" i="5"/>
  <c r="C1272" i="5"/>
  <c r="E1272" i="5"/>
  <c r="Q1272" i="5"/>
  <c r="M1272" i="5"/>
  <c r="R1272" i="5"/>
  <c r="I1272" i="5"/>
  <c r="G1272" i="5"/>
  <c r="H1272" i="5"/>
  <c r="T1272" i="5"/>
  <c r="F1272" i="5"/>
  <c r="K1272" i="5"/>
  <c r="D1272" i="5"/>
  <c r="S1272" i="5"/>
  <c r="P1272" i="5"/>
  <c r="O1272" i="5"/>
  <c r="J1272" i="5"/>
  <c r="N1272" i="5"/>
  <c r="A1274" i="5" l="1"/>
  <c r="B1275" i="5"/>
  <c r="R1273" i="5"/>
  <c r="N1273" i="5"/>
  <c r="J1273" i="5"/>
  <c r="D1273" i="5"/>
  <c r="M1273" i="5"/>
  <c r="O1273" i="5"/>
  <c r="C1273" i="5"/>
  <c r="Q1273" i="5"/>
  <c r="G1273" i="5"/>
  <c r="K1273" i="5"/>
  <c r="L1273" i="5"/>
  <c r="E1273" i="5"/>
  <c r="I1273" i="5"/>
  <c r="H1273" i="5"/>
  <c r="F1273" i="5"/>
  <c r="P1273" i="5"/>
  <c r="S1273" i="5"/>
  <c r="T1273" i="5"/>
  <c r="F120" i="44"/>
  <c r="A120" i="44" s="1"/>
  <c r="F121" i="44"/>
  <c r="F126" i="44"/>
  <c r="F123" i="44"/>
  <c r="F124" i="44"/>
  <c r="F122" i="44"/>
  <c r="F125" i="44"/>
  <c r="A1275" i="5" l="1"/>
  <c r="B1276" i="5"/>
  <c r="S1274" i="5"/>
  <c r="D1274" i="5"/>
  <c r="K1274" i="5"/>
  <c r="G1274" i="5"/>
  <c r="R1274" i="5"/>
  <c r="L1274" i="5"/>
  <c r="O1274" i="5"/>
  <c r="I1274" i="5"/>
  <c r="E1274" i="5"/>
  <c r="Q1274" i="5"/>
  <c r="M1274" i="5"/>
  <c r="J1274" i="5"/>
  <c r="T1274" i="5"/>
  <c r="F1274" i="5"/>
  <c r="N1274" i="5"/>
  <c r="H1274" i="5"/>
  <c r="C1274" i="5"/>
  <c r="P1274" i="5"/>
  <c r="A1276" i="5" l="1"/>
  <c r="B1277" i="5"/>
  <c r="K1275" i="5"/>
  <c r="F1275" i="5"/>
  <c r="E1275" i="5"/>
  <c r="P1275" i="5"/>
  <c r="D1275" i="5"/>
  <c r="N1275" i="5"/>
  <c r="R1275" i="5"/>
  <c r="O1275" i="5"/>
  <c r="J1275" i="5"/>
  <c r="L1275" i="5"/>
  <c r="C1275" i="5"/>
  <c r="Q1275" i="5"/>
  <c r="G1275" i="5"/>
  <c r="I1275" i="5"/>
  <c r="M1275" i="5"/>
  <c r="S1275" i="5"/>
  <c r="T1275" i="5"/>
  <c r="H1275" i="5"/>
  <c r="A1277" i="5" l="1"/>
  <c r="B1278" i="5"/>
  <c r="N1276" i="5"/>
  <c r="C1276" i="5"/>
  <c r="J1276" i="5"/>
  <c r="H1276" i="5"/>
  <c r="P1276" i="5"/>
  <c r="L1276" i="5"/>
  <c r="E1276" i="5"/>
  <c r="M1276" i="5"/>
  <c r="R1276" i="5"/>
  <c r="K1276" i="5"/>
  <c r="Q1276" i="5"/>
  <c r="S1276" i="5"/>
  <c r="I1276" i="5"/>
  <c r="D1276" i="5"/>
  <c r="O1276" i="5"/>
  <c r="T1276" i="5"/>
  <c r="G1276" i="5"/>
  <c r="F1276" i="5"/>
  <c r="A1278" i="5" l="1"/>
  <c r="B1279" i="5"/>
  <c r="I1277" i="5"/>
  <c r="J1277" i="5"/>
  <c r="E1277" i="5"/>
  <c r="O1277" i="5"/>
  <c r="M1277" i="5"/>
  <c r="Q1277" i="5"/>
  <c r="S1277" i="5"/>
  <c r="D1277" i="5"/>
  <c r="R1277" i="5"/>
  <c r="K1277" i="5"/>
  <c r="H1277" i="5"/>
  <c r="F1277" i="5"/>
  <c r="N1277" i="5"/>
  <c r="T1277" i="5"/>
  <c r="C1277" i="5"/>
  <c r="L1277" i="5"/>
  <c r="G1277" i="5"/>
  <c r="P1277" i="5"/>
  <c r="A1279" i="5" l="1"/>
  <c r="B1280" i="5"/>
  <c r="A1280" i="5" s="1"/>
  <c r="M1278" i="5"/>
  <c r="N1278" i="5"/>
  <c r="D1278" i="5"/>
  <c r="F1278" i="5"/>
  <c r="O1278" i="5"/>
  <c r="L1278" i="5"/>
  <c r="I1278" i="5"/>
  <c r="C1278" i="5"/>
  <c r="G1278" i="5"/>
  <c r="Q1278" i="5"/>
  <c r="J1278" i="5"/>
  <c r="T1278" i="5"/>
  <c r="R1278" i="5"/>
  <c r="K1278" i="5"/>
  <c r="S1278" i="5"/>
  <c r="E1278" i="5"/>
  <c r="H1278" i="5"/>
  <c r="P1278" i="5"/>
  <c r="R1280" i="5" l="1"/>
  <c r="Q1280" i="5"/>
  <c r="J1280" i="5"/>
  <c r="O1280" i="5"/>
  <c r="D1280" i="5"/>
  <c r="P1280" i="5"/>
  <c r="E1280" i="5"/>
  <c r="S1280" i="5"/>
  <c r="M1280" i="5"/>
  <c r="K1280" i="5"/>
  <c r="T1280" i="5"/>
  <c r="C1280" i="5"/>
  <c r="L1280" i="5"/>
  <c r="I1280" i="5"/>
  <c r="G1280" i="5"/>
  <c r="N1280" i="5"/>
  <c r="H1280" i="5"/>
  <c r="F1280" i="5"/>
  <c r="D1279" i="5"/>
  <c r="K1279" i="5"/>
  <c r="F1279" i="5"/>
  <c r="H1279" i="5"/>
  <c r="S1279" i="5"/>
  <c r="C1279" i="5"/>
  <c r="J1279" i="5"/>
  <c r="Q1279" i="5"/>
  <c r="M1279" i="5"/>
  <c r="O1279" i="5"/>
  <c r="G1279" i="5"/>
  <c r="R1279" i="5"/>
  <c r="P1279" i="5"/>
  <c r="I1279" i="5"/>
  <c r="L1279" i="5"/>
  <c r="T1279" i="5"/>
  <c r="N1279" i="5"/>
  <c r="E1279" i="5"/>
  <c r="G1567" i="44" l="1"/>
  <c r="G1568" i="44" s="1"/>
  <c r="G1569" i="44" s="1"/>
  <c r="G1570" i="44" s="1"/>
  <c r="G1571" i="44" s="1"/>
  <c r="G1572" i="44" s="1"/>
  <c r="G1573" i="44" s="1"/>
  <c r="G1574" i="44" s="1"/>
  <c r="G1575" i="44" s="1"/>
  <c r="G1576" i="44" s="1"/>
  <c r="G1577" i="44" s="1"/>
  <c r="G1578" i="44" s="1"/>
  <c r="G1579" i="44" s="1"/>
  <c r="G1580" i="44" s="1"/>
  <c r="G1581" i="44" s="1"/>
  <c r="G1104" i="44" l="1"/>
  <c r="G1105" i="44" s="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G1126" i="44" s="1"/>
  <c r="G1127" i="44" s="1"/>
  <c r="G1128" i="44" s="1"/>
  <c r="G1129" i="44" s="1"/>
  <c r="G1130" i="44" s="1"/>
  <c r="G1131" i="44" s="1"/>
  <c r="G1132" i="44" s="1"/>
  <c r="L1133" i="44" l="1"/>
  <c r="F1133" i="44" l="1"/>
  <c r="D1134" i="44" l="1"/>
  <c r="L1134" i="44" s="1"/>
  <c r="F1134" i="44"/>
  <c r="D1135" i="44" l="1"/>
  <c r="L1135" i="44" s="1"/>
  <c r="D1136" i="44" l="1"/>
  <c r="L1136" i="44" s="1"/>
  <c r="F1137" i="44" l="1"/>
  <c r="A1137" i="44" s="1"/>
  <c r="S391" i="3" l="1"/>
  <c r="S392" i="3" s="1"/>
  <c r="S393" i="3" l="1"/>
  <c r="T391" i="3" s="1"/>
  <c r="T392" i="3" s="1"/>
  <c r="T393" i="3" l="1"/>
  <c r="U391" i="3" s="1"/>
  <c r="U392" i="3" s="1"/>
  <c r="U393" i="3" l="1"/>
  <c r="V391" i="3" s="1"/>
  <c r="V392" i="3" s="1"/>
  <c r="V393" i="3" l="1"/>
  <c r="W391" i="3" s="1"/>
  <c r="W392" i="3" s="1"/>
  <c r="W393" i="3" l="1"/>
  <c r="X391" i="3" s="1"/>
  <c r="X392" i="3" s="1"/>
  <c r="X393" i="3" l="1"/>
  <c r="Y391" i="3" s="1"/>
  <c r="Y392" i="3" s="1"/>
  <c r="Y393" i="3" l="1"/>
  <c r="Z391" i="3" s="1"/>
  <c r="Z392" i="3" s="1"/>
  <c r="Z393" i="3" l="1"/>
  <c r="AA391" i="3" s="1"/>
  <c r="AA392" i="3" s="1"/>
  <c r="AA393" i="3" l="1"/>
  <c r="AB391" i="3" s="1"/>
  <c r="AB392" i="3" s="1"/>
  <c r="AB393" i="3" l="1"/>
  <c r="AC391" i="3" s="1"/>
  <c r="AC392" i="3" s="1"/>
  <c r="AC393" i="3" l="1"/>
  <c r="AD391" i="3" s="1"/>
  <c r="AD392" i="3" s="1"/>
  <c r="AD393" i="3" l="1"/>
  <c r="AE391" i="3" s="1"/>
  <c r="AE392" i="3" s="1"/>
  <c r="AE393" i="3" l="1"/>
  <c r="AF391" i="3" s="1"/>
  <c r="AF392" i="3" s="1"/>
  <c r="AF393" i="3" l="1"/>
  <c r="A15" i="21" l="1"/>
  <c r="G119" i="32" l="1"/>
  <c r="G147" i="24"/>
  <c r="F839" i="3" l="1"/>
  <c r="F847" i="3"/>
  <c r="F887" i="3"/>
  <c r="F864" i="3"/>
  <c r="F882" i="3"/>
  <c r="F837" i="3"/>
  <c r="F878" i="3"/>
  <c r="F841" i="3"/>
  <c r="F851" i="3"/>
  <c r="F862" i="3"/>
  <c r="F868" i="3"/>
  <c r="F876" i="3"/>
  <c r="F845" i="3"/>
  <c r="F889" i="3"/>
  <c r="F843" i="3"/>
  <c r="F853" i="3"/>
  <c r="F891" i="3"/>
  <c r="F890" i="3"/>
  <c r="F856" i="3"/>
  <c r="F854" i="3"/>
  <c r="F850" i="3"/>
  <c r="F872" i="3"/>
  <c r="F861" i="3"/>
  <c r="F859" i="3"/>
  <c r="F881" i="3"/>
  <c r="F888" i="3"/>
  <c r="F852" i="3"/>
  <c r="F848" i="3"/>
  <c r="F858" i="3"/>
  <c r="F892" i="3"/>
  <c r="F870" i="3"/>
  <c r="F879" i="3"/>
  <c r="F849" i="3"/>
  <c r="F855" i="3"/>
  <c r="F869" i="3"/>
  <c r="F865" i="3"/>
  <c r="F873" i="3"/>
  <c r="F886" i="3"/>
  <c r="F846" i="3"/>
  <c r="F866" i="3"/>
  <c r="F842" i="3"/>
  <c r="F874" i="3"/>
  <c r="F838" i="3"/>
  <c r="F836" i="3"/>
  <c r="F857" i="3"/>
  <c r="F883" i="3"/>
  <c r="F867" i="3"/>
  <c r="F871" i="3"/>
  <c r="F884" i="3"/>
  <c r="F844" i="3"/>
  <c r="F860" i="3"/>
  <c r="F840" i="3"/>
  <c r="F863" i="3"/>
  <c r="F877" i="3"/>
  <c r="F835" i="3"/>
  <c r="F885" i="3"/>
  <c r="F875" i="3"/>
  <c r="F880" i="3"/>
  <c r="H185" i="32" l="1"/>
  <c r="G247" i="24"/>
  <c r="H867" i="3"/>
  <c r="H201" i="32"/>
  <c r="H883" i="3"/>
  <c r="G263" i="24"/>
  <c r="H190" i="32"/>
  <c r="H872" i="3"/>
  <c r="G252" i="24"/>
  <c r="H175" i="32"/>
  <c r="G237" i="24"/>
  <c r="H857" i="3"/>
  <c r="H850" i="3"/>
  <c r="G230" i="24"/>
  <c r="H168" i="32"/>
  <c r="H163" i="32"/>
  <c r="H845" i="3"/>
  <c r="G225" i="24"/>
  <c r="H200" i="32"/>
  <c r="H882" i="3"/>
  <c r="G262" i="24"/>
  <c r="G220" i="24"/>
  <c r="H158" i="32"/>
  <c r="H840" i="3"/>
  <c r="H154" i="32"/>
  <c r="H836" i="3"/>
  <c r="G216" i="24"/>
  <c r="H183" i="32"/>
  <c r="G245" i="24"/>
  <c r="H865" i="3"/>
  <c r="H166" i="32"/>
  <c r="G228" i="24"/>
  <c r="H848" i="3"/>
  <c r="H172" i="32"/>
  <c r="H854" i="3"/>
  <c r="G234" i="24"/>
  <c r="G256" i="24"/>
  <c r="H876" i="3"/>
  <c r="H194" i="32"/>
  <c r="H182" i="32"/>
  <c r="G244" i="24"/>
  <c r="H864" i="3"/>
  <c r="H164" i="32"/>
  <c r="H846" i="3"/>
  <c r="G226" i="24"/>
  <c r="H195" i="32"/>
  <c r="H877" i="3"/>
  <c r="G257" i="24"/>
  <c r="G272" i="24"/>
  <c r="H210" i="32"/>
  <c r="H892" i="3"/>
  <c r="G238" i="24"/>
  <c r="H858" i="3"/>
  <c r="H176" i="32"/>
  <c r="H178" i="32"/>
  <c r="H860" i="3"/>
  <c r="G240" i="24"/>
  <c r="H838" i="3"/>
  <c r="G218" i="24"/>
  <c r="H156" i="32"/>
  <c r="G249" i="24"/>
  <c r="H869" i="3"/>
  <c r="H187" i="32"/>
  <c r="G232" i="24"/>
  <c r="H852" i="3"/>
  <c r="H170" i="32"/>
  <c r="G236" i="24"/>
  <c r="H174" i="32"/>
  <c r="H856" i="3"/>
  <c r="H186" i="32"/>
  <c r="H868" i="3"/>
  <c r="G248" i="24"/>
  <c r="G267" i="24"/>
  <c r="H205" i="32"/>
  <c r="H887" i="3"/>
  <c r="G254" i="24"/>
  <c r="H874" i="3"/>
  <c r="H192" i="32"/>
  <c r="H889" i="3"/>
  <c r="H207" i="32"/>
  <c r="G269" i="24"/>
  <c r="H863" i="3"/>
  <c r="G243" i="24"/>
  <c r="H181" i="32"/>
  <c r="G224" i="24"/>
  <c r="H162" i="32"/>
  <c r="H844" i="3"/>
  <c r="H888" i="3"/>
  <c r="H206" i="32"/>
  <c r="G268" i="24"/>
  <c r="H180" i="32"/>
  <c r="H862" i="3"/>
  <c r="G242" i="24"/>
  <c r="H875" i="3"/>
  <c r="H193" i="32"/>
  <c r="G255" i="24"/>
  <c r="H202" i="32"/>
  <c r="H884" i="3"/>
  <c r="G264" i="24"/>
  <c r="G222" i="24"/>
  <c r="H842" i="3"/>
  <c r="H160" i="32"/>
  <c r="H849" i="3"/>
  <c r="G229" i="24"/>
  <c r="H167" i="32"/>
  <c r="G261" i="24"/>
  <c r="H199" i="32"/>
  <c r="H881" i="3"/>
  <c r="H891" i="3"/>
  <c r="G271" i="24"/>
  <c r="H209" i="32"/>
  <c r="H851" i="3"/>
  <c r="H169" i="32"/>
  <c r="G231" i="24"/>
  <c r="H839" i="3"/>
  <c r="H157" i="32"/>
  <c r="G219" i="24"/>
  <c r="H835" i="3"/>
  <c r="G215" i="24"/>
  <c r="H153" i="32"/>
  <c r="H870" i="3"/>
  <c r="G250" i="24"/>
  <c r="H188" i="32"/>
  <c r="H204" i="32"/>
  <c r="H886" i="3"/>
  <c r="G266" i="24"/>
  <c r="G253" i="24"/>
  <c r="H873" i="3"/>
  <c r="H191" i="32"/>
  <c r="G260" i="24"/>
  <c r="H880" i="3"/>
  <c r="H198" i="32"/>
  <c r="G235" i="24"/>
  <c r="H173" i="32"/>
  <c r="H855" i="3"/>
  <c r="H208" i="32"/>
  <c r="G270" i="24"/>
  <c r="H890" i="3"/>
  <c r="H847" i="3"/>
  <c r="G227" i="24"/>
  <c r="H165" i="32"/>
  <c r="H203" i="32"/>
  <c r="G265" i="24"/>
  <c r="H885" i="3"/>
  <c r="H871" i="3"/>
  <c r="G251" i="24"/>
  <c r="H189" i="32"/>
  <c r="H184" i="32"/>
  <c r="G246" i="24"/>
  <c r="H866" i="3"/>
  <c r="H879" i="3"/>
  <c r="G259" i="24"/>
  <c r="H197" i="32"/>
  <c r="H177" i="32"/>
  <c r="G239" i="24"/>
  <c r="H859" i="3"/>
  <c r="H853" i="3"/>
  <c r="G233" i="24"/>
  <c r="H171" i="32"/>
  <c r="G221" i="24"/>
  <c r="H841" i="3"/>
  <c r="H159" i="32"/>
  <c r="H861" i="3"/>
  <c r="G241" i="24"/>
  <c r="H179" i="32"/>
  <c r="H843" i="3"/>
  <c r="G223" i="24"/>
  <c r="H161" i="32"/>
  <c r="H196" i="32"/>
  <c r="H878" i="3"/>
  <c r="G258" i="24"/>
  <c r="G217" i="24"/>
  <c r="H837" i="3"/>
  <c r="H155" i="32"/>
  <c r="I231" i="24" l="1"/>
  <c r="J169" i="32"/>
  <c r="J206" i="32"/>
  <c r="I268" i="24"/>
  <c r="I240" i="24"/>
  <c r="J178" i="32"/>
  <c r="I220" i="24"/>
  <c r="J158" i="32"/>
  <c r="I252" i="24"/>
  <c r="J190" i="32"/>
  <c r="J171" i="32"/>
  <c r="I233" i="24"/>
  <c r="J167" i="32"/>
  <c r="I229" i="24"/>
  <c r="J162" i="32"/>
  <c r="I224" i="24"/>
  <c r="I269" i="24"/>
  <c r="J207" i="32"/>
  <c r="J186" i="32"/>
  <c r="I248" i="24"/>
  <c r="I257" i="24"/>
  <c r="J195" i="32"/>
  <c r="I217" i="24"/>
  <c r="J155" i="32"/>
  <c r="I249" i="24"/>
  <c r="J187" i="32"/>
  <c r="J183" i="32"/>
  <c r="I245" i="24"/>
  <c r="I241" i="24"/>
  <c r="J179" i="32"/>
  <c r="J165" i="32"/>
  <c r="I227" i="24"/>
  <c r="I260" i="24"/>
  <c r="J198" i="32"/>
  <c r="I266" i="24"/>
  <c r="J204" i="32"/>
  <c r="I271" i="24"/>
  <c r="J209" i="32"/>
  <c r="I222" i="24"/>
  <c r="J160" i="32"/>
  <c r="I254" i="24"/>
  <c r="J192" i="32"/>
  <c r="I236" i="24"/>
  <c r="J174" i="32"/>
  <c r="J176" i="32"/>
  <c r="I238" i="24"/>
  <c r="I230" i="24"/>
  <c r="J168" i="32"/>
  <c r="J201" i="32"/>
  <c r="I263" i="24"/>
  <c r="I215" i="24"/>
  <c r="J153" i="32"/>
  <c r="I255" i="24"/>
  <c r="J193" i="32"/>
  <c r="J194" i="32"/>
  <c r="I256" i="24"/>
  <c r="I258" i="24"/>
  <c r="J196" i="32"/>
  <c r="J208" i="32"/>
  <c r="I270" i="24"/>
  <c r="J199" i="32"/>
  <c r="I261" i="24"/>
  <c r="J180" i="32"/>
  <c r="I242" i="24"/>
  <c r="I226" i="24"/>
  <c r="J164" i="32"/>
  <c r="I262" i="24"/>
  <c r="J200" i="32"/>
  <c r="J175" i="32"/>
  <c r="I237" i="24"/>
  <c r="J161" i="32"/>
  <c r="I223" i="24"/>
  <c r="I246" i="24"/>
  <c r="J184" i="32"/>
  <c r="I219" i="24"/>
  <c r="J157" i="32"/>
  <c r="I267" i="24"/>
  <c r="J205" i="32"/>
  <c r="I272" i="24"/>
  <c r="J210" i="32"/>
  <c r="J172" i="32"/>
  <c r="I234" i="24"/>
  <c r="J185" i="32"/>
  <c r="I247" i="24"/>
  <c r="I239" i="24"/>
  <c r="J177" i="32"/>
  <c r="J159" i="32"/>
  <c r="I221" i="24"/>
  <c r="I251" i="24"/>
  <c r="J189" i="32"/>
  <c r="J203" i="32"/>
  <c r="I265" i="24"/>
  <c r="I253" i="24"/>
  <c r="J191" i="32"/>
  <c r="J202" i="32"/>
  <c r="I264" i="24"/>
  <c r="J181" i="32"/>
  <c r="I243" i="24"/>
  <c r="J156" i="32"/>
  <c r="I218" i="24"/>
  <c r="J182" i="32"/>
  <c r="I244" i="24"/>
  <c r="J154" i="32"/>
  <c r="I216" i="24"/>
  <c r="J197" i="32"/>
  <c r="I259" i="24"/>
  <c r="I235" i="24"/>
  <c r="J173" i="32"/>
  <c r="J188" i="32"/>
  <c r="I250" i="24"/>
  <c r="I232" i="24"/>
  <c r="J170" i="32"/>
  <c r="I228" i="24"/>
  <c r="J166" i="32"/>
  <c r="I225" i="24"/>
  <c r="J163" i="32"/>
  <c r="G214" i="24" l="1"/>
  <c r="H152" i="32"/>
  <c r="H834" i="3"/>
  <c r="G213" i="24"/>
  <c r="H833" i="3"/>
  <c r="H151" i="32"/>
  <c r="J151" i="32" l="1"/>
  <c r="I213" i="24"/>
  <c r="J152" i="32"/>
  <c r="I214" i="24"/>
  <c r="B519" i="3"/>
  <c r="B521" i="3" s="1"/>
  <c r="C519" i="3" l="1"/>
  <c r="C198" i="5"/>
  <c r="C521" i="3"/>
  <c r="H1791" i="44"/>
  <c r="H2303" i="44"/>
  <c r="H2162" i="44"/>
  <c r="H2873" i="44"/>
  <c r="H1868" i="44"/>
  <c r="I1710" i="44"/>
  <c r="H2350" i="44"/>
  <c r="E2119" i="44"/>
  <c r="C3158" i="44"/>
  <c r="E2943" i="44"/>
  <c r="E3377" i="44"/>
  <c r="H185" i="44"/>
  <c r="C1665" i="44"/>
  <c r="E1805" i="44"/>
  <c r="H181" i="44"/>
  <c r="H2295" i="44"/>
  <c r="C393" i="44"/>
  <c r="C302" i="44"/>
  <c r="C3040" i="44"/>
  <c r="C875" i="44"/>
  <c r="E639" i="44"/>
  <c r="E700" i="44"/>
  <c r="C2281" i="44"/>
  <c r="C2365" i="44"/>
  <c r="E2410" i="44"/>
  <c r="E2489" i="44"/>
  <c r="C3075" i="44"/>
  <c r="E2004" i="44"/>
  <c r="C3385" i="44"/>
  <c r="H2777" i="44"/>
  <c r="H2510" i="44"/>
  <c r="C1749" i="44"/>
  <c r="E2511" i="44"/>
  <c r="C2405" i="44"/>
  <c r="E2039" i="44"/>
  <c r="C2122" i="44"/>
  <c r="H2940" i="44"/>
  <c r="C2324" i="44"/>
  <c r="H2638" i="44"/>
  <c r="D111" i="3"/>
  <c r="E1618" i="44"/>
  <c r="C118" i="44"/>
  <c r="H2848" i="44"/>
  <c r="H1841" i="44"/>
  <c r="C137" i="44"/>
  <c r="C563" i="44"/>
  <c r="C2418" i="44"/>
  <c r="E1017" i="44"/>
  <c r="H1958" i="44"/>
  <c r="H3092" i="44"/>
  <c r="C2890" i="44"/>
  <c r="C1791" i="44"/>
  <c r="E2156" i="44"/>
  <c r="E2291" i="44"/>
  <c r="E2849" i="44"/>
  <c r="E1867" i="44"/>
  <c r="C2518" i="44"/>
  <c r="C91" i="44"/>
  <c r="E32" i="44"/>
  <c r="E390" i="44"/>
  <c r="E2069" i="44"/>
  <c r="C883" i="44"/>
  <c r="E3129" i="44"/>
  <c r="E2405" i="44"/>
  <c r="E2496" i="44"/>
  <c r="H2720" i="44"/>
  <c r="C1824" i="44"/>
  <c r="H2948" i="44"/>
  <c r="E2049" i="44"/>
  <c r="E925" i="44"/>
  <c r="E1530" i="44"/>
  <c r="H1587" i="44"/>
  <c r="C1832" i="44"/>
  <c r="H1714" i="44"/>
  <c r="E2335" i="44"/>
  <c r="E3387" i="44"/>
  <c r="E227" i="44"/>
  <c r="C1856" i="44"/>
  <c r="E812" i="44"/>
  <c r="H2081" i="44"/>
  <c r="H3090" i="44"/>
  <c r="E1957" i="44"/>
  <c r="E2952" i="44"/>
  <c r="C1770" i="44"/>
  <c r="H3080" i="44"/>
  <c r="E3052" i="44"/>
  <c r="C1712" i="44"/>
  <c r="H2222" i="44"/>
  <c r="E1536" i="44"/>
  <c r="C492" i="44"/>
  <c r="C2506" i="44"/>
  <c r="C1890" i="44"/>
  <c r="E1651" i="44"/>
  <c r="H2346" i="44"/>
  <c r="C530" i="44"/>
  <c r="C2969" i="44"/>
  <c r="C1909" i="44"/>
  <c r="I1886" i="44"/>
  <c r="H1988" i="44"/>
  <c r="E1762" i="44"/>
  <c r="E3095" i="44"/>
  <c r="E2777" i="44"/>
  <c r="C1034" i="44"/>
  <c r="E2615" i="44"/>
  <c r="E2677" i="44"/>
  <c r="E163" i="44"/>
  <c r="E1954" i="44"/>
  <c r="C3028" i="44"/>
  <c r="E3386" i="44"/>
  <c r="E2767" i="44"/>
  <c r="H2466" i="44"/>
  <c r="E2199" i="44"/>
  <c r="C2481" i="44"/>
  <c r="C2694" i="44"/>
  <c r="E2872" i="44"/>
  <c r="C923" i="44"/>
  <c r="C729" i="44"/>
  <c r="C1823" i="44"/>
  <c r="H2898" i="44"/>
  <c r="C2084" i="44"/>
  <c r="E2065" i="44"/>
  <c r="C871" i="44"/>
  <c r="E2605" i="44"/>
  <c r="E169" i="44"/>
  <c r="E2524" i="44"/>
  <c r="C2228" i="44"/>
  <c r="C793" i="44"/>
  <c r="C1544" i="44"/>
  <c r="E2594" i="44"/>
  <c r="C1879" i="44"/>
  <c r="H2277" i="44"/>
  <c r="E2482" i="44"/>
  <c r="E1546" i="44"/>
  <c r="E2163" i="44"/>
  <c r="C2545" i="44"/>
  <c r="E324" i="44"/>
  <c r="C2443" i="44"/>
  <c r="E469" i="44"/>
  <c r="E2632" i="44"/>
  <c r="H2454" i="44"/>
  <c r="H1642" i="44"/>
  <c r="C3132" i="44"/>
  <c r="H2364" i="44"/>
  <c r="H1923" i="44"/>
  <c r="E3413" i="44"/>
  <c r="E307" i="44"/>
  <c r="E3430" i="44"/>
  <c r="E562" i="44"/>
  <c r="E1054" i="44"/>
  <c r="E1526" i="44"/>
  <c r="C728" i="44"/>
  <c r="C2217" i="44"/>
  <c r="C2224" i="44"/>
  <c r="C1726" i="44"/>
  <c r="C941" i="44"/>
  <c r="E2088" i="44"/>
  <c r="C385" i="44"/>
  <c r="C79" i="44"/>
  <c r="C2965" i="44"/>
  <c r="H2869" i="44"/>
  <c r="E2584" i="44"/>
  <c r="H2451" i="44"/>
  <c r="H2220" i="44"/>
  <c r="H3041" i="44"/>
  <c r="C2334" i="44"/>
  <c r="C2859" i="44"/>
  <c r="H2750" i="44"/>
  <c r="C843" i="44"/>
  <c r="H1593" i="44"/>
  <c r="E2183" i="44"/>
  <c r="C64" i="44"/>
  <c r="H1759" i="44"/>
  <c r="C437" i="44"/>
  <c r="C3057" i="44"/>
  <c r="H1948" i="44"/>
  <c r="C3416" i="44"/>
  <c r="C896" i="44"/>
  <c r="E552" i="44"/>
  <c r="E615" i="44"/>
  <c r="C2638" i="44"/>
  <c r="E2715" i="44"/>
  <c r="E1853" i="44"/>
  <c r="C797" i="44"/>
  <c r="C2590" i="44"/>
  <c r="E3148" i="44"/>
  <c r="H2216" i="44"/>
  <c r="H2154" i="44"/>
  <c r="H3114" i="44"/>
  <c r="C589" i="44"/>
  <c r="C2672" i="44"/>
  <c r="C943" i="44"/>
  <c r="E1531" i="44"/>
  <c r="H2698" i="44"/>
  <c r="E1014" i="44"/>
  <c r="H2288" i="44"/>
  <c r="H2905" i="44"/>
  <c r="E3094" i="44"/>
  <c r="E1912" i="44"/>
  <c r="H2343" i="44"/>
  <c r="E1862" i="44"/>
  <c r="E468" i="44"/>
  <c r="E2423" i="44"/>
  <c r="C701" i="44"/>
  <c r="E857" i="44"/>
  <c r="E2271" i="44"/>
  <c r="H1657" i="44"/>
  <c r="C1986" i="44"/>
  <c r="E1988" i="44"/>
  <c r="E2580" i="44"/>
  <c r="E3393" i="44"/>
  <c r="H2706" i="44"/>
  <c r="E510" i="44"/>
  <c r="H2857" i="44"/>
  <c r="C519" i="44"/>
  <c r="E849" i="44"/>
  <c r="E611" i="44"/>
  <c r="E561" i="44"/>
  <c r="C1789" i="44"/>
  <c r="E1080" i="44"/>
  <c r="C395" i="44"/>
  <c r="E715" i="44"/>
  <c r="E1550" i="44"/>
  <c r="I2894" i="44"/>
  <c r="E532" i="44"/>
  <c r="E50" i="44"/>
  <c r="E2342" i="44"/>
  <c r="C938" i="44"/>
  <c r="E498" i="44"/>
  <c r="E2212" i="44"/>
  <c r="E3433" i="44"/>
  <c r="C2588" i="44"/>
  <c r="E906" i="44"/>
  <c r="C2863" i="44"/>
  <c r="C1060" i="44"/>
  <c r="I1838" i="44"/>
  <c r="E3041" i="44"/>
  <c r="C1088" i="44"/>
  <c r="H2701" i="44"/>
  <c r="E2453" i="44"/>
  <c r="C683" i="44"/>
  <c r="C529" i="44"/>
  <c r="E646" i="44"/>
  <c r="E2278" i="44"/>
  <c r="H3047" i="44"/>
  <c r="C2345" i="44"/>
  <c r="C2485" i="44"/>
  <c r="E2193" i="44"/>
  <c r="C2263" i="44"/>
  <c r="H1895" i="44"/>
  <c r="H2826" i="44"/>
  <c r="H2131" i="44"/>
  <c r="C2579" i="44"/>
  <c r="E890" i="44"/>
  <c r="C3150" i="44"/>
  <c r="C2190" i="44"/>
  <c r="I2110" i="44"/>
  <c r="C798" i="44"/>
  <c r="C3088" i="44"/>
  <c r="E2741" i="44"/>
  <c r="H2053" i="44"/>
  <c r="C447" i="44"/>
  <c r="C2635" i="44"/>
  <c r="H1620" i="44"/>
  <c r="C2817" i="44"/>
  <c r="C2956" i="44"/>
  <c r="E822" i="44"/>
  <c r="H2516" i="44"/>
  <c r="E1785" i="44"/>
  <c r="E2608" i="44"/>
  <c r="E978" i="44"/>
  <c r="E3075" i="44"/>
  <c r="C2839" i="44"/>
  <c r="C715" i="44"/>
  <c r="C2750" i="44"/>
  <c r="H2072" i="44"/>
  <c r="C2054" i="44"/>
  <c r="H1970" i="44"/>
  <c r="E326" i="44"/>
  <c r="E500" i="44"/>
  <c r="E2096" i="44"/>
  <c r="H3150" i="44"/>
  <c r="H2188" i="44"/>
  <c r="C1042" i="44"/>
  <c r="C1028" i="44"/>
  <c r="C1862" i="44"/>
  <c r="H2618" i="44"/>
  <c r="C2748" i="44"/>
  <c r="C2736" i="44"/>
  <c r="H2753" i="44"/>
  <c r="C2259" i="44"/>
  <c r="C1951" i="44"/>
  <c r="E1034" i="44"/>
  <c r="E2506" i="44"/>
  <c r="H2287" i="44"/>
  <c r="C508" i="44"/>
  <c r="C443" i="44"/>
  <c r="E1676" i="44"/>
  <c r="H2663" i="44"/>
  <c r="H2080" i="44"/>
  <c r="C2689" i="44"/>
  <c r="C1807" i="44"/>
  <c r="E2809" i="44"/>
  <c r="E253" i="44"/>
  <c r="E1044" i="44"/>
  <c r="H2227" i="44"/>
  <c r="C90" i="44"/>
  <c r="C2250" i="44"/>
  <c r="E1027" i="44"/>
  <c r="C6" i="44"/>
  <c r="C3062" i="44"/>
  <c r="E2887" i="44"/>
  <c r="H3079" i="44"/>
  <c r="H2468" i="44"/>
  <c r="C60" i="44"/>
  <c r="C2984" i="44"/>
  <c r="E2427" i="44"/>
  <c r="E2150" i="44"/>
  <c r="E520" i="44"/>
  <c r="H1732" i="44"/>
  <c r="E2507" i="44"/>
  <c r="E2181" i="44"/>
  <c r="C2942" i="44"/>
  <c r="C491" i="44"/>
  <c r="E343" i="44"/>
  <c r="C435" i="44"/>
  <c r="C2943" i="44"/>
  <c r="C2841" i="44"/>
  <c r="I1582" i="44"/>
  <c r="C801" i="44"/>
  <c r="E2793" i="44"/>
  <c r="C3034" i="44"/>
  <c r="E2935" i="44"/>
  <c r="E1989" i="44"/>
  <c r="C2231" i="44"/>
  <c r="E2811" i="44"/>
  <c r="C1555" i="44"/>
  <c r="E2781" i="44"/>
  <c r="H2821" i="44"/>
  <c r="I2062" i="44"/>
  <c r="C774" i="44"/>
  <c r="E11" i="44"/>
  <c r="C1692" i="44"/>
  <c r="C3026" i="44"/>
  <c r="C1865" i="44"/>
  <c r="H3029" i="44"/>
  <c r="E1782" i="44"/>
  <c r="C2366" i="44"/>
  <c r="C655" i="44"/>
  <c r="C2813" i="44"/>
  <c r="C711" i="44"/>
  <c r="E2260" i="44"/>
  <c r="E2176" i="44"/>
  <c r="H2616" i="44"/>
  <c r="H2062" i="44"/>
  <c r="E262" i="44"/>
  <c r="E881" i="44"/>
  <c r="C1030" i="44"/>
  <c r="E716" i="44"/>
  <c r="C2033" i="44"/>
  <c r="C665" i="44"/>
  <c r="H2613" i="44"/>
  <c r="C562" i="44"/>
  <c r="E2867" i="44"/>
  <c r="E3079" i="44"/>
  <c r="E2498" i="44"/>
  <c r="H1633" i="44"/>
  <c r="H2808" i="44"/>
  <c r="H2902" i="44"/>
  <c r="C1837" i="44"/>
  <c r="C1689" i="44"/>
  <c r="C367" i="44"/>
  <c r="H2606" i="44"/>
  <c r="E1997" i="44"/>
  <c r="E680" i="44"/>
  <c r="E708" i="44"/>
  <c r="C970" i="44"/>
  <c r="C582" i="44"/>
  <c r="E2700" i="44"/>
  <c r="C2019" i="44"/>
  <c r="H926" i="44"/>
  <c r="E865" i="44"/>
  <c r="E2045" i="44"/>
  <c r="C1923" i="44"/>
  <c r="H1816" i="44"/>
  <c r="H2709" i="44"/>
  <c r="E1509" i="44"/>
  <c r="E1064" i="44"/>
  <c r="C484" i="44"/>
  <c r="E934" i="44"/>
  <c r="C2576" i="44"/>
  <c r="C1872" i="44"/>
  <c r="H2716" i="44"/>
  <c r="E1040" i="44"/>
  <c r="H1915" i="44"/>
  <c r="E625" i="44"/>
  <c r="I2014" i="44"/>
  <c r="E2908" i="44"/>
  <c r="C3163" i="44"/>
  <c r="H2304" i="44"/>
  <c r="H1967" i="44"/>
  <c r="C1969" i="44"/>
  <c r="H1729" i="44"/>
  <c r="E1539" i="44"/>
  <c r="C2809" i="44"/>
  <c r="E2690" i="44"/>
  <c r="H2795" i="44"/>
  <c r="C1819" i="44"/>
  <c r="C2792" i="44"/>
  <c r="H1723" i="44"/>
  <c r="E658" i="44"/>
  <c r="C2823" i="44"/>
  <c r="E1508" i="44"/>
  <c r="E1972" i="44"/>
  <c r="H1853" i="44"/>
  <c r="H1894" i="44"/>
  <c r="E305" i="44"/>
  <c r="E834" i="44"/>
  <c r="H1896" i="44"/>
  <c r="H3116" i="44"/>
  <c r="E1641" i="44"/>
  <c r="H2038" i="44"/>
  <c r="C1855" i="44"/>
  <c r="C823" i="44"/>
  <c r="E697" i="44"/>
  <c r="I1646" i="44"/>
  <c r="H2206" i="44"/>
  <c r="E1842" i="44"/>
  <c r="C2666" i="44"/>
  <c r="E624" i="44"/>
  <c r="H197" i="44"/>
  <c r="C682" i="44"/>
  <c r="C2052" i="44"/>
  <c r="C2230" i="44"/>
  <c r="E69" i="44"/>
  <c r="C1752" i="44"/>
  <c r="H1926" i="44"/>
  <c r="E2979" i="44"/>
  <c r="E582" i="44"/>
  <c r="E1654" i="44"/>
  <c r="E1924" i="44"/>
  <c r="E1537" i="44"/>
  <c r="C2478" i="44"/>
  <c r="H2835" i="44"/>
  <c r="H2155" i="44"/>
  <c r="H2123" i="44"/>
  <c r="C510" i="44"/>
  <c r="C752" i="44"/>
  <c r="C14" i="44"/>
  <c r="C2822" i="44"/>
  <c r="C2928" i="44"/>
  <c r="E3429" i="44"/>
  <c r="E1602" i="44"/>
  <c r="C1714" i="44"/>
  <c r="E2313" i="44"/>
  <c r="E726" i="44"/>
  <c r="E531" i="44"/>
  <c r="H2265" i="44"/>
  <c r="H2373" i="44"/>
  <c r="H2756" i="44"/>
  <c r="C1785" i="44"/>
  <c r="E2428" i="44"/>
  <c r="E2950" i="44"/>
  <c r="C2980" i="44"/>
  <c r="E2481" i="44"/>
  <c r="E2265" i="44"/>
  <c r="C2830" i="44"/>
  <c r="C68" i="44"/>
  <c r="H153" i="44"/>
  <c r="E316" i="44"/>
  <c r="C1526" i="44"/>
  <c r="C2570" i="44"/>
  <c r="H1691" i="44"/>
  <c r="H2583" i="44"/>
  <c r="E643" i="44"/>
  <c r="E3000" i="44"/>
  <c r="H2929" i="44"/>
  <c r="C3425" i="44"/>
  <c r="C462" i="44"/>
  <c r="C1860" i="44"/>
  <c r="C2264" i="44"/>
  <c r="E3001" i="44"/>
  <c r="C746" i="44"/>
  <c r="H195" i="44"/>
  <c r="E2881" i="44"/>
  <c r="E1894" i="44"/>
  <c r="C3404" i="44"/>
  <c r="E2394" i="44"/>
  <c r="H2372" i="44"/>
  <c r="C1610" i="44"/>
  <c r="H2125" i="44"/>
  <c r="E3025" i="44"/>
  <c r="C2793" i="44"/>
  <c r="C2437" i="44"/>
  <c r="E665" i="44"/>
  <c r="C2541" i="44"/>
  <c r="E2911" i="44"/>
  <c r="C444" i="44"/>
  <c r="C909" i="44"/>
  <c r="E2725" i="44"/>
  <c r="C2069" i="44"/>
  <c r="E123" i="44"/>
  <c r="E1675" i="44"/>
  <c r="C1787" i="44"/>
  <c r="E758" i="44"/>
  <c r="E2719" i="44"/>
  <c r="E1088" i="44"/>
  <c r="H1677" i="44"/>
  <c r="C967" i="44"/>
  <c r="E3136" i="44"/>
  <c r="C1834" i="44"/>
  <c r="H2612" i="44"/>
  <c r="H2478" i="44"/>
  <c r="E1981" i="44"/>
  <c r="C322" i="44"/>
  <c r="H2588" i="44"/>
  <c r="C430" i="44"/>
  <c r="C2209" i="44"/>
  <c r="C2930" i="44"/>
  <c r="C411" i="44"/>
  <c r="E773" i="44"/>
  <c r="E1872" i="44"/>
  <c r="C441" i="44"/>
  <c r="E1692" i="44"/>
  <c r="C999" i="44"/>
  <c r="H3001" i="44"/>
  <c r="H1913" i="44"/>
  <c r="E2502" i="44"/>
  <c r="E851" i="44"/>
  <c r="E976" i="44"/>
  <c r="E3424" i="44"/>
  <c r="H1661" i="44"/>
  <c r="H2656" i="44"/>
  <c r="E997" i="44"/>
  <c r="C3402" i="44"/>
  <c r="C539" i="44"/>
  <c r="E364" i="44"/>
  <c r="E706" i="44"/>
  <c r="C1613" i="44"/>
  <c r="C2947" i="44"/>
  <c r="E684" i="44"/>
  <c r="E2966" i="44"/>
  <c r="H1711" i="44"/>
  <c r="H2555" i="44"/>
  <c r="H2218" i="44"/>
  <c r="C2002" i="44"/>
  <c r="E3045" i="44"/>
  <c r="E1704" i="44"/>
  <c r="C1636" i="44"/>
  <c r="H2426" i="44"/>
  <c r="H3099" i="44"/>
  <c r="C1844" i="44"/>
  <c r="E1600" i="44"/>
  <c r="C1053" i="44"/>
  <c r="H2872" i="44"/>
  <c r="E2939" i="44"/>
  <c r="E245" i="44"/>
  <c r="C2088" i="44"/>
  <c r="H1796" i="44"/>
  <c r="C1691" i="44"/>
  <c r="E2596" i="44"/>
  <c r="H2573" i="44"/>
  <c r="H2077" i="44"/>
  <c r="E3055" i="44"/>
  <c r="C2063" i="44"/>
  <c r="E2061" i="44"/>
  <c r="C2242" i="44"/>
  <c r="C2899" i="44"/>
  <c r="E2948" i="44"/>
  <c r="C2700" i="44"/>
  <c r="E1706" i="44"/>
  <c r="C424" i="44"/>
  <c r="C1548" i="44"/>
  <c r="E2722" i="44"/>
  <c r="E2743" i="44"/>
  <c r="C485" i="44"/>
  <c r="E3073" i="44"/>
  <c r="C321" i="44"/>
  <c r="E1679" i="44"/>
  <c r="H2035" i="44"/>
  <c r="C929" i="44"/>
  <c r="E1828" i="44"/>
  <c r="C635" i="44"/>
  <c r="E39" i="44"/>
  <c r="C3408" i="44"/>
  <c r="H1719" i="44"/>
  <c r="C613" i="44"/>
  <c r="C517" i="44"/>
  <c r="E1067" i="44"/>
  <c r="C1588" i="44"/>
  <c r="J1135" i="44"/>
  <c r="E772" i="44"/>
  <c r="E1901" i="44"/>
  <c r="C2946" i="44"/>
  <c r="E2854" i="44"/>
  <c r="E1523" i="44"/>
  <c r="H2697" i="44"/>
  <c r="C2118" i="44"/>
  <c r="H2608" i="44"/>
  <c r="H2739" i="44"/>
  <c r="C1915" i="44"/>
  <c r="C1766" i="44"/>
  <c r="C333" i="44"/>
  <c r="E2553" i="44"/>
  <c r="C1590" i="44"/>
  <c r="E751" i="44"/>
  <c r="E717" i="44"/>
  <c r="C1817" i="44"/>
  <c r="C2336" i="44"/>
  <c r="E2155" i="44"/>
  <c r="C342" i="44"/>
  <c r="E1075" i="44"/>
  <c r="E1647" i="44"/>
  <c r="E1891" i="44"/>
  <c r="H2863" i="44"/>
  <c r="H2104" i="44"/>
  <c r="E2180" i="44"/>
  <c r="C32" i="44"/>
  <c r="C2180" i="44"/>
  <c r="H1720" i="44"/>
  <c r="C641" i="44"/>
  <c r="C2210" i="44"/>
  <c r="H2927" i="44"/>
  <c r="H2730" i="44"/>
  <c r="H3119" i="44"/>
  <c r="E2579" i="44"/>
  <c r="E617" i="44"/>
  <c r="E2125" i="44"/>
  <c r="E2586" i="44"/>
  <c r="H2323" i="44"/>
  <c r="H2224" i="44"/>
  <c r="H2034" i="44"/>
  <c r="C866" i="44"/>
  <c r="H2084" i="44"/>
  <c r="H1750" i="44"/>
  <c r="C2313" i="44"/>
  <c r="C1601" i="44"/>
  <c r="C304" i="44"/>
  <c r="E601" i="44"/>
  <c r="H968" i="44"/>
  <c r="C596" i="44"/>
  <c r="H2768" i="44"/>
  <c r="H2476" i="44"/>
  <c r="H1799" i="44"/>
  <c r="E2994" i="44"/>
  <c r="C2546" i="44"/>
  <c r="H2349" i="44"/>
  <c r="E179" i="44"/>
  <c r="C3160" i="44"/>
  <c r="C2329" i="44"/>
  <c r="E891" i="44"/>
  <c r="C1875" i="44"/>
  <c r="C2527" i="44"/>
  <c r="H2574" i="44"/>
  <c r="I1742" i="44"/>
  <c r="H2899" i="44"/>
  <c r="E1868" i="44"/>
  <c r="C2163" i="44"/>
  <c r="C1554" i="44"/>
  <c r="E1885" i="44"/>
  <c r="E2290" i="44"/>
  <c r="E3421" i="44"/>
  <c r="E270" i="44"/>
  <c r="E2807" i="44"/>
  <c r="C769" i="44"/>
  <c r="H1765" i="44"/>
  <c r="E414" i="44"/>
  <c r="E2775" i="44"/>
  <c r="E1607" i="44"/>
  <c r="E2886" i="44"/>
  <c r="C2484" i="44"/>
  <c r="E2628" i="44"/>
  <c r="H1615" i="44"/>
  <c r="E2884" i="44"/>
  <c r="I149" i="44"/>
  <c r="E3017" i="44"/>
  <c r="E2391" i="44"/>
  <c r="H2696" i="44"/>
  <c r="E1032" i="44"/>
  <c r="E2548" i="44"/>
  <c r="H2221" i="44"/>
  <c r="C1906" i="44"/>
  <c r="E905" i="44"/>
  <c r="C2471" i="44"/>
  <c r="C2759" i="44"/>
  <c r="H1735" i="44"/>
  <c r="E483" i="44"/>
  <c r="C1995" i="44"/>
  <c r="C37" i="44"/>
  <c r="E2340" i="44"/>
  <c r="E1844" i="44"/>
  <c r="E924" i="44"/>
  <c r="H3084" i="44"/>
  <c r="H1843" i="44"/>
  <c r="I1870" i="44"/>
  <c r="E2953" i="44"/>
  <c r="E632" i="44"/>
  <c r="C453" i="44"/>
  <c r="H1883" i="44"/>
  <c r="E2607" i="44"/>
  <c r="C2618" i="44"/>
  <c r="E2054" i="44"/>
  <c r="H2395" i="44"/>
  <c r="C2275" i="44"/>
  <c r="E2184" i="44"/>
  <c r="E2797" i="44"/>
  <c r="C981" i="44"/>
  <c r="C1750" i="44"/>
  <c r="E157" i="44"/>
  <c r="C2808" i="44"/>
  <c r="C2040" i="44"/>
  <c r="E1588" i="44"/>
  <c r="H3124" i="44"/>
  <c r="E2175" i="44"/>
  <c r="H2079" i="44"/>
  <c r="E2951" i="44"/>
  <c r="E1513" i="44"/>
  <c r="H2875" i="44"/>
  <c r="E1033" i="44"/>
  <c r="C2801" i="44"/>
  <c r="C820" i="44"/>
  <c r="E2779" i="44"/>
  <c r="C3030" i="44"/>
  <c r="H3137" i="44"/>
  <c r="C2678" i="44"/>
  <c r="H2845" i="44"/>
  <c r="E3415" i="44"/>
  <c r="E622" i="44"/>
  <c r="H3081" i="44"/>
  <c r="C414" i="44"/>
  <c r="H2632" i="44"/>
  <c r="E585" i="44"/>
  <c r="C559" i="44"/>
  <c r="E267" i="44"/>
  <c r="E2568" i="44"/>
  <c r="H2243" i="44"/>
  <c r="E2411" i="44"/>
  <c r="E584" i="44"/>
  <c r="I2926" i="44"/>
  <c r="E1831" i="44"/>
  <c r="C1867" i="44"/>
  <c r="E2122" i="44"/>
  <c r="C669" i="44"/>
  <c r="C2277" i="44"/>
  <c r="E935" i="44"/>
  <c r="E2918" i="44"/>
  <c r="C676" i="44"/>
  <c r="E3146" i="44"/>
  <c r="H2591" i="44"/>
  <c r="H2870" i="44"/>
  <c r="E320" i="44"/>
  <c r="E1669" i="44"/>
  <c r="C668" i="44"/>
  <c r="H2800" i="44"/>
  <c r="C785" i="44"/>
  <c r="E1689" i="44"/>
  <c r="C1996" i="44"/>
  <c r="E1638" i="44"/>
  <c r="C406" i="44"/>
  <c r="E2997" i="44"/>
  <c r="C1887" i="44"/>
  <c r="H2791" i="44"/>
  <c r="H2610" i="44"/>
  <c r="E2959" i="44"/>
  <c r="H3121" i="44"/>
  <c r="C2257" i="44"/>
  <c r="H2748" i="44"/>
  <c r="E2343" i="44"/>
  <c r="E1948" i="44"/>
  <c r="E2471" i="44"/>
  <c r="H2834" i="44"/>
  <c r="E78" i="44"/>
  <c r="H1879" i="44"/>
  <c r="C1936" i="44"/>
  <c r="C1893" i="44"/>
  <c r="H1598" i="44"/>
  <c r="C1069" i="44"/>
  <c r="C1757" i="44"/>
  <c r="E831" i="44"/>
  <c r="E201" i="44"/>
  <c r="E1846" i="44"/>
  <c r="C1880" i="44"/>
  <c r="C2331" i="44"/>
  <c r="C936" i="44"/>
  <c r="E2519" i="44"/>
  <c r="C58" i="44"/>
  <c r="C1065" i="44"/>
  <c r="H1685" i="44"/>
  <c r="E1744" i="44"/>
  <c r="E1649" i="44"/>
  <c r="H2366" i="44"/>
  <c r="H1659" i="44"/>
  <c r="C1779" i="44"/>
  <c r="H1678" i="44"/>
  <c r="C1942" i="44"/>
  <c r="E1633" i="44"/>
  <c r="E2021" i="44"/>
  <c r="H3089" i="44"/>
  <c r="C386" i="44"/>
  <c r="C136" i="44"/>
  <c r="H2354" i="44"/>
  <c r="E3103" i="44"/>
  <c r="C1992" i="44"/>
  <c r="C828" i="44"/>
  <c r="C2854" i="44"/>
  <c r="E2499" i="44"/>
  <c r="C467" i="44"/>
  <c r="E3096" i="44"/>
  <c r="E600" i="44"/>
  <c r="H165" i="44"/>
  <c r="E883" i="44"/>
  <c r="E440" i="44"/>
  <c r="E2246" i="44"/>
  <c r="C2691" i="44"/>
  <c r="C2258" i="44"/>
  <c r="E2516" i="44"/>
  <c r="H1845" i="44"/>
  <c r="E508" i="44"/>
  <c r="E3162" i="44"/>
  <c r="E1731" i="44"/>
  <c r="E1808" i="44"/>
  <c r="H2509" i="44"/>
  <c r="E1005" i="44"/>
  <c r="E2947" i="44"/>
  <c r="C3022" i="44"/>
  <c r="C639" i="44"/>
  <c r="C419" i="44"/>
  <c r="H2843" i="44"/>
  <c r="E3420" i="44"/>
  <c r="C3381" i="44"/>
  <c r="E540" i="44"/>
  <c r="H1777" i="44"/>
  <c r="E838" i="44"/>
  <c r="C555" i="44"/>
  <c r="H2981" i="44"/>
  <c r="H2587" i="44"/>
  <c r="H2136" i="44"/>
  <c r="C1724" i="44"/>
  <c r="H2024" i="44"/>
  <c r="H2774" i="44"/>
  <c r="E19" i="44"/>
  <c r="E2856" i="44"/>
  <c r="E3039" i="44"/>
  <c r="H2369" i="44"/>
  <c r="C1092" i="44"/>
  <c r="C2583" i="44"/>
  <c r="C366" i="44"/>
  <c r="E2822" i="44"/>
  <c r="C833" i="44"/>
  <c r="E511" i="44"/>
  <c r="C1931" i="44"/>
  <c r="C1810" i="44"/>
  <c r="H1909" i="44"/>
  <c r="C2164" i="44"/>
  <c r="C990" i="44"/>
  <c r="C3112" i="44"/>
  <c r="C2876" i="44"/>
  <c r="H2962" i="44"/>
  <c r="E655" i="44"/>
  <c r="E277" i="44"/>
  <c r="H2341" i="44"/>
  <c r="E2624" i="44"/>
  <c r="C667" i="44"/>
  <c r="H1817" i="44"/>
  <c r="E1798" i="44"/>
  <c r="I1598" i="44"/>
  <c r="H2675" i="44"/>
  <c r="C850" i="44"/>
  <c r="E1084" i="44"/>
  <c r="H1775" i="44"/>
  <c r="H3082" i="44"/>
  <c r="H1828" i="44"/>
  <c r="E526" i="44"/>
  <c r="I1966" i="44"/>
  <c r="H1784" i="44"/>
  <c r="E1639" i="44"/>
  <c r="E2024" i="44"/>
  <c r="E2992" i="44"/>
  <c r="C620" i="44"/>
  <c r="E2345" i="44"/>
  <c r="C3049" i="44"/>
  <c r="H2498" i="44"/>
  <c r="E1672" i="44"/>
  <c r="C1874" i="44"/>
  <c r="H2604" i="44"/>
  <c r="C2410" i="44"/>
  <c r="C2949" i="44"/>
  <c r="C2687" i="44"/>
  <c r="E2971" i="44"/>
  <c r="E888" i="44"/>
  <c r="H2511" i="44"/>
  <c r="E589" i="44"/>
  <c r="C564" i="44"/>
  <c r="C2690" i="44"/>
  <c r="H2987" i="44"/>
  <c r="C2399" i="44"/>
  <c r="C1642" i="44"/>
  <c r="E17" i="44"/>
  <c r="H1702" i="44"/>
  <c r="H2212" i="44"/>
  <c r="H1897" i="44"/>
  <c r="H2647" i="44"/>
  <c r="C3091" i="44"/>
  <c r="C2654" i="44"/>
  <c r="C2109" i="44"/>
  <c r="E2909" i="44"/>
  <c r="C2196" i="44"/>
  <c r="E2314" i="44"/>
  <c r="E438" i="44"/>
  <c r="E2019" i="44"/>
  <c r="C2566" i="44"/>
  <c r="E686" i="44"/>
  <c r="H3054" i="44"/>
  <c r="E2317" i="44"/>
  <c r="E2724" i="44"/>
  <c r="H2881" i="44"/>
  <c r="E2323" i="44"/>
  <c r="C2020" i="44"/>
  <c r="H2073" i="44"/>
  <c r="H3006" i="44"/>
  <c r="C2256" i="44"/>
  <c r="E2644" i="44"/>
  <c r="E271" i="44"/>
  <c r="E1947" i="44"/>
  <c r="C900" i="44"/>
  <c r="E2458" i="44"/>
  <c r="C2732" i="44"/>
  <c r="H1705" i="44"/>
  <c r="H1688" i="44"/>
  <c r="C1087" i="44"/>
  <c r="C3074" i="44"/>
  <c r="E3027" i="44"/>
  <c r="H1930" i="44"/>
  <c r="H1886" i="44"/>
  <c r="C3390" i="44"/>
  <c r="E2978" i="44"/>
  <c r="E1031" i="44"/>
  <c r="C1511" i="44"/>
  <c r="I197" i="44"/>
  <c r="C2370" i="44"/>
  <c r="C587" i="44"/>
  <c r="E2740" i="44"/>
  <c r="E103" i="44"/>
  <c r="H1953" i="44"/>
  <c r="H2644" i="44"/>
  <c r="E2455" i="44"/>
  <c r="E2409" i="44"/>
  <c r="E3404" i="44"/>
  <c r="E23" i="44"/>
  <c r="H2007" i="44"/>
  <c r="C680" i="44"/>
  <c r="C2423" i="44"/>
  <c r="C656" i="44"/>
  <c r="H2676" i="44"/>
  <c r="H149" i="44"/>
  <c r="H2321" i="44"/>
  <c r="E2131" i="44"/>
  <c r="H3070" i="44"/>
  <c r="E2815" i="44"/>
  <c r="E2868" i="44"/>
  <c r="E2388" i="44"/>
  <c r="I3038" i="44"/>
  <c r="C3407" i="44"/>
  <c r="E2791" i="44"/>
  <c r="C459" i="44"/>
  <c r="C556" i="44"/>
  <c r="E205" i="44"/>
  <c r="H2441" i="44"/>
  <c r="H1965" i="44"/>
  <c r="H2172" i="44"/>
  <c r="E1009" i="44"/>
  <c r="C1599" i="44"/>
  <c r="C2049" i="44"/>
  <c r="E2124" i="44"/>
  <c r="E1849" i="44"/>
  <c r="C2923" i="44"/>
  <c r="H2745" i="44"/>
  <c r="C1764" i="44"/>
  <c r="I2174" i="44"/>
  <c r="C3428" i="44"/>
  <c r="E2708" i="44"/>
  <c r="E3069" i="44"/>
  <c r="C599" i="44"/>
  <c r="H931" i="44"/>
  <c r="H2558" i="44"/>
  <c r="E2384" i="44"/>
  <c r="E626" i="44"/>
  <c r="E1686" i="44"/>
  <c r="C2414" i="44"/>
  <c r="E2015" i="44"/>
  <c r="C2670" i="44"/>
  <c r="H2913" i="44"/>
  <c r="E1071" i="44"/>
  <c r="H2052" i="44"/>
  <c r="E1968" i="44"/>
  <c r="C3152" i="44"/>
  <c r="E641" i="44"/>
  <c r="E1727" i="44"/>
  <c r="E2968" i="44"/>
  <c r="E138" i="44"/>
  <c r="C2804" i="44"/>
  <c r="C1522" i="44"/>
  <c r="H1673" i="44"/>
  <c r="C3047" i="44"/>
  <c r="E1884" i="44"/>
  <c r="E3154" i="44"/>
  <c r="C1604" i="44"/>
  <c r="H2582" i="44"/>
  <c r="E3007" i="44"/>
  <c r="H2901" i="44"/>
  <c r="C2702" i="44"/>
  <c r="E3109" i="44"/>
  <c r="E2041" i="44"/>
  <c r="E3431" i="44"/>
  <c r="C2278" i="44"/>
  <c r="H3038" i="44"/>
  <c r="C802" i="44"/>
  <c r="E2315" i="44"/>
  <c r="E462" i="44"/>
  <c r="E529" i="44"/>
  <c r="H2755" i="44"/>
  <c r="E2472" i="44"/>
  <c r="H3043" i="44"/>
  <c r="C718" i="44"/>
  <c r="H2824" i="44"/>
  <c r="E266" i="44"/>
  <c r="C3424" i="44"/>
  <c r="E173" i="44"/>
  <c r="H3112" i="44"/>
  <c r="E1712" i="44"/>
  <c r="E2493" i="44"/>
  <c r="C2075" i="44"/>
  <c r="C3450" i="44"/>
  <c r="C1868" i="44"/>
  <c r="C1918" i="44"/>
  <c r="C2041" i="44"/>
  <c r="E2099" i="44"/>
  <c r="H2652" i="44"/>
  <c r="E1547" i="44"/>
  <c r="C463" i="44"/>
  <c r="C653" i="44"/>
  <c r="H2775" i="44"/>
  <c r="H1957" i="44"/>
  <c r="E1028" i="44"/>
  <c r="C675" i="44"/>
  <c r="E2093" i="44"/>
  <c r="H2550" i="44"/>
  <c r="H2422" i="44"/>
  <c r="E2209" i="44"/>
  <c r="H2105" i="44"/>
  <c r="H2551" i="44"/>
  <c r="E82" i="44"/>
  <c r="C928" i="44"/>
  <c r="E28" i="44"/>
  <c r="E1029" i="44"/>
  <c r="H1668" i="44"/>
  <c r="C2436" i="44"/>
  <c r="C1831" i="44"/>
  <c r="H2883" i="44"/>
  <c r="H2636" i="44"/>
  <c r="C2997" i="44"/>
  <c r="C2347" i="44"/>
  <c r="C1600" i="44"/>
  <c r="H3059" i="44"/>
  <c r="C2729" i="44"/>
  <c r="C2401" i="44"/>
  <c r="E1589" i="44"/>
  <c r="H2282" i="44"/>
  <c r="E2385" i="44"/>
  <c r="C2529" i="44"/>
  <c r="C930" i="44"/>
  <c r="H2668" i="44"/>
  <c r="E1802" i="44"/>
  <c r="H1625" i="44"/>
  <c r="C776" i="44"/>
  <c r="H3067" i="44"/>
  <c r="E2879" i="44"/>
  <c r="C2117" i="44"/>
  <c r="C3151" i="44"/>
  <c r="H1875" i="44"/>
  <c r="C3149" i="44"/>
  <c r="C1840" i="44"/>
  <c r="E2048" i="44"/>
  <c r="C1044" i="44"/>
  <c r="H1663" i="44"/>
  <c r="E56" i="44"/>
  <c r="C572" i="44"/>
  <c r="H936" i="44"/>
  <c r="C2660" i="44"/>
  <c r="E926" i="44"/>
  <c r="H2117" i="44"/>
  <c r="E1750" i="44"/>
  <c r="C2464" i="44"/>
  <c r="E2448" i="44"/>
  <c r="C707" i="44"/>
  <c r="E654" i="44"/>
  <c r="E2529" i="44"/>
  <c r="H2735" i="44"/>
  <c r="C1953" i="44"/>
  <c r="C1804" i="44"/>
  <c r="E729" i="44"/>
  <c r="H1910" i="44"/>
  <c r="C2001" i="44"/>
  <c r="E2820" i="44"/>
  <c r="C1583" i="44"/>
  <c r="E2609" i="44"/>
  <c r="C2321" i="44"/>
  <c r="E821" i="44"/>
  <c r="H2903" i="44"/>
  <c r="C2246" i="44"/>
  <c r="C2611" i="44"/>
  <c r="E2728" i="44"/>
  <c r="H1811" i="44"/>
  <c r="H2486" i="44"/>
  <c r="C2673" i="44"/>
  <c r="H2497" i="44"/>
  <c r="H2500" i="44"/>
  <c r="C3393" i="44"/>
  <c r="C1958" i="44"/>
  <c r="C876" i="44"/>
  <c r="E15" i="44"/>
  <c r="C860" i="44"/>
  <c r="E2657" i="44"/>
  <c r="C2003" i="44"/>
  <c r="H1610" i="44"/>
  <c r="E1623" i="44"/>
  <c r="E2116" i="44"/>
  <c r="H2144" i="44"/>
  <c r="E3144" i="44"/>
  <c r="E835" i="44"/>
  <c r="C2087" i="44"/>
  <c r="C2791" i="44"/>
  <c r="C588" i="44"/>
  <c r="E693" i="44"/>
  <c r="E1765" i="44"/>
  <c r="C2855" i="44"/>
  <c r="C3031" i="44"/>
  <c r="E2487" i="44"/>
  <c r="C2111" i="44"/>
  <c r="H2991" i="44"/>
  <c r="H1628" i="44"/>
  <c r="I2734" i="44"/>
  <c r="E2633" i="44"/>
  <c r="C2197" i="44"/>
  <c r="E558" i="44"/>
  <c r="C1773" i="44"/>
  <c r="E418" i="44"/>
  <c r="C3147" i="44"/>
  <c r="C3085" i="44"/>
  <c r="E1037" i="44"/>
  <c r="C2843" i="44"/>
  <c r="H2783" i="44"/>
  <c r="C937" i="44"/>
  <c r="E1841" i="44"/>
  <c r="C1937" i="44"/>
  <c r="I1614" i="44"/>
  <c r="E767" i="44"/>
  <c r="E3049" i="44"/>
  <c r="C317" i="44"/>
  <c r="H2893" i="44"/>
  <c r="E3104" i="44"/>
  <c r="E1955" i="44"/>
  <c r="E149" i="44"/>
  <c r="E554" i="44"/>
  <c r="H2043" i="44"/>
  <c r="H1858" i="44"/>
  <c r="H1741" i="44"/>
  <c r="C829" i="44"/>
  <c r="H2982" i="44"/>
  <c r="C3145" i="44"/>
  <c r="E3081" i="44"/>
  <c r="H2825" i="44"/>
  <c r="H1655" i="44"/>
  <c r="E2642" i="44"/>
  <c r="C1859" i="44"/>
  <c r="H1689" i="44"/>
  <c r="C901" i="44"/>
  <c r="E422" i="44"/>
  <c r="E3119" i="44"/>
  <c r="E3026" i="44"/>
  <c r="H3076" i="44"/>
  <c r="C2761" i="44"/>
  <c r="H3151" i="44"/>
  <c r="H2560" i="44"/>
  <c r="C387" i="44"/>
  <c r="E586" i="44"/>
  <c r="C1919" i="44"/>
  <c r="C595" i="44"/>
  <c r="E2641" i="44"/>
  <c r="C1553" i="44"/>
  <c r="E256" i="44"/>
  <c r="H1874" i="44"/>
  <c r="H1804" i="44"/>
  <c r="I165" i="44"/>
  <c r="C2871" i="44"/>
  <c r="C2103" i="44"/>
  <c r="E922" i="44"/>
  <c r="E676" i="44"/>
  <c r="C2624" i="44"/>
  <c r="E2127" i="44"/>
  <c r="C263" i="44"/>
  <c r="C2221" i="44"/>
  <c r="C912" i="44"/>
  <c r="E207" i="44"/>
  <c r="E124" i="44"/>
  <c r="H3068" i="44"/>
  <c r="C1647" i="44"/>
  <c r="E333" i="44"/>
  <c r="H1944" i="44"/>
  <c r="E815" i="44"/>
  <c r="E999" i="44"/>
  <c r="H1984" i="44"/>
  <c r="E2949" i="44"/>
  <c r="C625" i="44"/>
  <c r="H2888" i="44"/>
  <c r="C2430" i="44"/>
  <c r="E60" i="44"/>
  <c r="C2438" i="44"/>
  <c r="C1928" i="44"/>
  <c r="C309" i="44"/>
  <c r="E3133" i="44"/>
  <c r="C281" i="44"/>
  <c r="C2915" i="44"/>
  <c r="C750" i="44"/>
  <c r="C1033" i="44"/>
  <c r="E2432" i="44"/>
  <c r="E747" i="44"/>
  <c r="C2435" i="44"/>
  <c r="H2319" i="44"/>
  <c r="H2724" i="44"/>
  <c r="C3043" i="44"/>
  <c r="H1614" i="44"/>
  <c r="H2417" i="44"/>
  <c r="H169" i="44"/>
  <c r="H1778" i="44"/>
  <c r="H167" i="44"/>
  <c r="C983" i="44"/>
  <c r="E2066" i="44"/>
  <c r="H1938" i="44"/>
  <c r="C1031" i="44"/>
  <c r="H1876" i="44"/>
  <c r="H3044" i="44"/>
  <c r="C2904" i="44"/>
  <c r="C493" i="44"/>
  <c r="E602" i="44"/>
  <c r="E2346" i="44"/>
  <c r="H193" i="44"/>
  <c r="H2711" i="44"/>
  <c r="C19" i="44"/>
  <c r="H2027" i="44"/>
  <c r="E781" i="44"/>
  <c r="E1635" i="44"/>
  <c r="E1683" i="44"/>
  <c r="I2862" i="44"/>
  <c r="E3004" i="44"/>
  <c r="E3410" i="44"/>
  <c r="H1690" i="44"/>
  <c r="C77" i="44"/>
  <c r="E2934" i="44"/>
  <c r="C1892" i="44"/>
  <c r="C908" i="44"/>
  <c r="H163" i="44"/>
  <c r="E3143" i="44"/>
  <c r="C2216" i="44"/>
  <c r="E671" i="44"/>
  <c r="C1873" i="44"/>
  <c r="C603" i="44"/>
  <c r="C892" i="44"/>
  <c r="C3071" i="44"/>
  <c r="E2993" i="44"/>
  <c r="H2446" i="44"/>
  <c r="C2585" i="44"/>
  <c r="C20" i="44"/>
  <c r="H2461" i="44"/>
  <c r="E1622" i="44"/>
  <c r="C1040" i="44"/>
  <c r="E513" i="44"/>
  <c r="H3110" i="44"/>
  <c r="E1055" i="44"/>
  <c r="E2603" i="44"/>
  <c r="H3064" i="44"/>
  <c r="H2439" i="44"/>
  <c r="C1733" i="44"/>
  <c r="C2777" i="44"/>
  <c r="E2187" i="44"/>
  <c r="C3128" i="44"/>
  <c r="E2402" i="44"/>
  <c r="H1955" i="44"/>
  <c r="H2048" i="44"/>
  <c r="H2463" i="44"/>
  <c r="C2376" i="44"/>
  <c r="C887" i="44"/>
  <c r="E2771" i="44"/>
  <c r="C1051" i="44"/>
  <c r="E776" i="44"/>
  <c r="C27" i="44"/>
  <c r="H1956" i="44"/>
  <c r="E193" i="44"/>
  <c r="C2479" i="44"/>
  <c r="E3388" i="44"/>
  <c r="E1804" i="44"/>
  <c r="E2235" i="44"/>
  <c r="E2831" i="44"/>
  <c r="C2850" i="44"/>
  <c r="E347" i="44"/>
  <c r="E2727" i="44"/>
  <c r="C2812" i="44"/>
  <c r="H2339" i="44"/>
  <c r="E1023" i="44"/>
  <c r="H2490" i="44"/>
  <c r="C2292" i="44"/>
  <c r="H1831" i="44"/>
  <c r="H2483" i="44"/>
  <c r="C3415" i="44"/>
  <c r="C685" i="44"/>
  <c r="C2384" i="44"/>
  <c r="C2717" i="44"/>
  <c r="E2897" i="44"/>
  <c r="C1722" i="44"/>
  <c r="E444" i="44"/>
  <c r="H1800" i="44"/>
  <c r="C1849" i="44"/>
  <c r="C1898" i="44"/>
  <c r="E2713" i="44"/>
  <c r="H1752" i="44"/>
  <c r="E2480" i="44"/>
  <c r="E2780" i="44"/>
  <c r="H2431" i="44"/>
  <c r="C857" i="44"/>
  <c r="C2794" i="44"/>
  <c r="E3031" i="44"/>
  <c r="C2989" i="44"/>
  <c r="H2045" i="44"/>
  <c r="E538" i="44"/>
  <c r="E1621" i="44"/>
  <c r="E1888" i="44"/>
  <c r="H2529" i="44"/>
  <c r="C670" i="44"/>
  <c r="E618" i="44"/>
  <c r="C1701" i="44"/>
  <c r="E518" i="44"/>
  <c r="E1624" i="44"/>
  <c r="C138" i="44"/>
  <c r="C1614" i="44"/>
  <c r="H1774" i="44"/>
  <c r="E944" i="44"/>
  <c r="H3122" i="44"/>
  <c r="C2733" i="44"/>
  <c r="H2649" i="44"/>
  <c r="C2533" i="44"/>
  <c r="H3162" i="44"/>
  <c r="C2344" i="44"/>
  <c r="E2930" i="44"/>
  <c r="E1657" i="44"/>
  <c r="E1545" i="44"/>
  <c r="C2036" i="44"/>
  <c r="E2739" i="44"/>
  <c r="E3445" i="44"/>
  <c r="C2922" i="44"/>
  <c r="E1552" i="44"/>
  <c r="E2363" i="44"/>
  <c r="E3043" i="44"/>
  <c r="H2802" i="44"/>
  <c r="E3439" i="44"/>
  <c r="E480" i="44"/>
  <c r="E340" i="44"/>
  <c r="H2673" i="44"/>
  <c r="H980" i="44"/>
  <c r="C22" i="44"/>
  <c r="C3142" i="44"/>
  <c r="E592" i="44"/>
  <c r="H1619" i="44"/>
  <c r="C1649" i="44"/>
  <c r="E1953" i="44"/>
  <c r="H2183" i="44"/>
  <c r="E2408" i="44"/>
  <c r="C2781" i="44"/>
  <c r="H3058" i="44"/>
  <c r="C2215" i="44"/>
  <c r="C2363" i="44"/>
  <c r="C1956" i="44"/>
  <c r="C578" i="44"/>
  <c r="E2747" i="44"/>
  <c r="H2387" i="44"/>
  <c r="E3405" i="44"/>
  <c r="H3021" i="44"/>
  <c r="C3155" i="44"/>
  <c r="E1591" i="44"/>
  <c r="C2567" i="44"/>
  <c r="C2756" i="44"/>
  <c r="H2707" i="44"/>
  <c r="C872" i="44"/>
  <c r="E568" i="44"/>
  <c r="C2735" i="44"/>
  <c r="E394" i="44"/>
  <c r="E389" i="44"/>
  <c r="C775" i="44"/>
  <c r="C2358" i="44"/>
  <c r="H2442" i="44"/>
  <c r="H3011" i="44"/>
  <c r="C2945" i="44"/>
  <c r="C2795" i="44"/>
  <c r="H2946" i="44"/>
  <c r="C2337" i="44"/>
  <c r="E1905" i="44"/>
  <c r="H1591" i="44"/>
  <c r="C2133" i="44"/>
  <c r="H3159" i="44"/>
  <c r="H2135" i="44"/>
  <c r="E2308" i="44"/>
  <c r="H2262" i="44"/>
  <c r="E2267" i="44"/>
  <c r="E912" i="44"/>
  <c r="I1630" i="44"/>
  <c r="H1622" i="44"/>
  <c r="E1631" i="44"/>
  <c r="C2612" i="44"/>
  <c r="E2236" i="44"/>
  <c r="C2095" i="44"/>
  <c r="C1089" i="44"/>
  <c r="H3042" i="44"/>
  <c r="C2176" i="44"/>
  <c r="E2013" i="44"/>
  <c r="C1539" i="44"/>
  <c r="C2630" i="44"/>
  <c r="E3057" i="44"/>
  <c r="E2900" i="44"/>
  <c r="E786" i="44"/>
  <c r="C3019" i="44"/>
  <c r="E118" i="44"/>
  <c r="C2800" i="44"/>
  <c r="H2437" i="44"/>
  <c r="C889" i="44"/>
  <c r="C2039" i="44"/>
  <c r="C2866" i="44"/>
  <c r="C698" i="44"/>
  <c r="E929" i="44"/>
  <c r="E363" i="44"/>
  <c r="E222" i="44"/>
  <c r="E1763" i="44"/>
  <c r="E2052" i="44"/>
  <c r="E2522" i="44"/>
  <c r="H2823" i="44"/>
  <c r="H1787" i="44"/>
  <c r="H2526" i="44"/>
  <c r="H3161" i="44"/>
  <c r="C2601" i="44"/>
  <c r="H1712" i="44"/>
  <c r="C2290" i="44"/>
  <c r="C2584" i="44"/>
  <c r="C305" i="44"/>
  <c r="C2269" i="44"/>
  <c r="C2896" i="44"/>
  <c r="H1641" i="44"/>
  <c r="E613" i="44"/>
  <c r="E2566" i="44"/>
  <c r="H2023" i="44"/>
  <c r="H2208" i="44"/>
  <c r="C586" i="44"/>
  <c r="C96" i="44"/>
  <c r="E452" i="44"/>
  <c r="E2865" i="44"/>
  <c r="E724" i="44"/>
  <c r="E229" i="44"/>
  <c r="C1697" i="44"/>
  <c r="C2526" i="44"/>
  <c r="E3419" i="44"/>
  <c r="C1943" i="44"/>
  <c r="H2742" i="44"/>
  <c r="H2958" i="44"/>
  <c r="H3015" i="44"/>
  <c r="E937" i="44"/>
  <c r="E1771" i="44"/>
  <c r="C1639" i="44"/>
  <c r="E873" i="44"/>
  <c r="C574" i="44"/>
  <c r="C1740" i="44"/>
  <c r="C2416" i="44"/>
  <c r="H2771" i="44"/>
  <c r="H2794" i="44"/>
  <c r="E829" i="44"/>
  <c r="C2429" i="44"/>
  <c r="H2119" i="44"/>
  <c r="C1003" i="44"/>
  <c r="H2964" i="44"/>
  <c r="C826" i="44"/>
  <c r="H2626" i="44"/>
  <c r="E2870" i="44"/>
  <c r="C2734" i="44"/>
  <c r="E2319" i="44"/>
  <c r="C631" i="44"/>
  <c r="C2406" i="44"/>
  <c r="C521" i="44"/>
  <c r="H2648" i="44"/>
  <c r="E1911" i="44"/>
  <c r="H2787" i="44"/>
  <c r="C2301" i="44"/>
  <c r="C2383" i="44"/>
  <c r="H2398" i="44"/>
  <c r="E3444" i="44"/>
  <c r="E3157" i="44"/>
  <c r="H1708" i="44"/>
  <c r="E604" i="44"/>
  <c r="H2242" i="44"/>
  <c r="C2207" i="44"/>
  <c r="C2721" i="44"/>
  <c r="E833" i="44"/>
  <c r="C3137" i="44"/>
  <c r="C568" i="44"/>
  <c r="C2155" i="44"/>
  <c r="H2757" i="44"/>
  <c r="C1633" i="44"/>
  <c r="E1920" i="44"/>
  <c r="C566" i="44"/>
  <c r="C2995" i="44"/>
  <c r="E1810" i="44"/>
  <c r="E209" i="44"/>
  <c r="H1907" i="44"/>
  <c r="E2773" i="44"/>
  <c r="H977" i="44"/>
  <c r="E225" i="44"/>
  <c r="H2839" i="44"/>
  <c r="E619" i="44"/>
  <c r="H2737" i="44"/>
  <c r="C2378" i="44"/>
  <c r="C1912" i="44"/>
  <c r="C995" i="44"/>
  <c r="H2515" i="44"/>
  <c r="H2584" i="44"/>
  <c r="E1776" i="44"/>
  <c r="E96" i="44"/>
  <c r="I191" i="44"/>
  <c r="C3387" i="44"/>
  <c r="E1728" i="44"/>
  <c r="C2517" i="44"/>
  <c r="E794" i="44"/>
  <c r="H2376" i="44"/>
  <c r="H2251" i="44"/>
  <c r="H1929" i="44"/>
  <c r="H1887" i="44"/>
  <c r="I3086" i="44"/>
  <c r="C1828" i="44"/>
  <c r="E722" i="44"/>
  <c r="C2512" i="44"/>
  <c r="H2130" i="44"/>
  <c r="E2210" i="44"/>
  <c r="C2964" i="44"/>
  <c r="E1766" i="44"/>
  <c r="C3016" i="44"/>
  <c r="E850" i="44"/>
  <c r="H2371" i="44"/>
  <c r="H2264" i="44"/>
  <c r="C2487" i="44"/>
  <c r="H1583" i="44"/>
  <c r="C3076" i="44"/>
  <c r="C2314" i="44"/>
  <c r="H2018" i="44"/>
  <c r="C2882" i="44"/>
  <c r="H2165" i="44"/>
  <c r="C2845" i="44"/>
  <c r="H1808" i="44"/>
  <c r="E451" i="44"/>
  <c r="C2994" i="44"/>
  <c r="E2645" i="44"/>
  <c r="H2669" i="44"/>
  <c r="C749" i="44"/>
  <c r="H974" i="44"/>
  <c r="C1751" i="44"/>
  <c r="E248" i="44"/>
  <c r="H2986" i="44"/>
  <c r="C114" i="44"/>
  <c r="C1902" i="44"/>
  <c r="H1937" i="44"/>
  <c r="H2093" i="44"/>
  <c r="H2862" i="44"/>
  <c r="H2643" i="44"/>
  <c r="E1594" i="44"/>
  <c r="H1632" i="44"/>
  <c r="H1873" i="44"/>
  <c r="C2270" i="44"/>
  <c r="E2520" i="44"/>
  <c r="E3389" i="44"/>
  <c r="H3138" i="44"/>
  <c r="C1619" i="44"/>
  <c r="C1703" i="44"/>
  <c r="H2256" i="44"/>
  <c r="C1020" i="44"/>
  <c r="C2350" i="44"/>
  <c r="E2530" i="44"/>
  <c r="H2055" i="44"/>
  <c r="C1850" i="44"/>
  <c r="E859" i="44"/>
  <c r="E2073" i="44"/>
  <c r="E40" i="44"/>
  <c r="C2790" i="44"/>
  <c r="C662" i="44"/>
  <c r="C984" i="44"/>
  <c r="E928" i="44"/>
  <c r="C2463" i="44"/>
  <c r="E1850" i="44"/>
  <c r="E2855" i="44"/>
  <c r="I2958" i="44"/>
  <c r="E372" i="44"/>
  <c r="E2772" i="44"/>
  <c r="H3140" i="44"/>
  <c r="C1515" i="44"/>
  <c r="C143" i="44"/>
  <c r="E1937" i="44"/>
  <c r="E998" i="44"/>
  <c r="E1070" i="44"/>
  <c r="E1999" i="44"/>
  <c r="H2653" i="44"/>
  <c r="H2094" i="44"/>
  <c r="C2931" i="44"/>
  <c r="H173" i="44"/>
  <c r="H3117" i="44"/>
  <c r="E846" i="44"/>
  <c r="C2779" i="44"/>
  <c r="C2037" i="44"/>
  <c r="E224" i="44"/>
  <c r="C1812" i="44"/>
  <c r="E2738" i="44"/>
  <c r="H1973" i="44"/>
  <c r="H2036" i="44"/>
  <c r="C2499" i="44"/>
  <c r="H1606" i="44"/>
  <c r="E766" i="44"/>
  <c r="C2996" i="44"/>
  <c r="H1660" i="44"/>
  <c r="E969" i="44"/>
  <c r="H2736" i="44"/>
  <c r="C3035" i="44"/>
  <c r="E1025" i="44"/>
  <c r="H2058" i="44"/>
  <c r="C1941" i="44"/>
  <c r="C426" i="44"/>
  <c r="H1671" i="44"/>
  <c r="C590" i="44"/>
  <c r="E2178" i="44"/>
  <c r="E2833" i="44"/>
  <c r="H3132" i="44"/>
  <c r="C3379" i="44"/>
  <c r="C2299" i="44"/>
  <c r="H2578" i="44"/>
  <c r="C2925" i="44"/>
  <c r="H2549" i="44"/>
  <c r="H2061" i="44"/>
  <c r="E1889" i="44"/>
  <c r="H2818" i="44"/>
  <c r="C1664" i="44"/>
  <c r="H2177" i="44"/>
  <c r="H2725" i="44"/>
  <c r="H1658" i="44"/>
  <c r="C110" i="44"/>
  <c r="H3100" i="44"/>
  <c r="C946" i="44"/>
  <c r="E2916" i="44"/>
  <c r="E115" i="44"/>
  <c r="I2974" i="44"/>
  <c r="C2642" i="44"/>
  <c r="E614" i="44"/>
  <c r="E1645" i="44"/>
  <c r="E634" i="44"/>
  <c r="E1733" i="44"/>
  <c r="H1856" i="44"/>
  <c r="H2614" i="44"/>
  <c r="E1796" i="44"/>
  <c r="E571" i="44"/>
  <c r="I2414" i="44"/>
  <c r="C494" i="44"/>
  <c r="H2054" i="44"/>
  <c r="C2535" i="44"/>
  <c r="C404" i="44"/>
  <c r="H1996" i="44"/>
  <c r="E909" i="44"/>
  <c r="C2380" i="44"/>
  <c r="E121" i="44"/>
  <c r="C2877" i="44"/>
  <c r="E2812" i="44"/>
  <c r="E1012" i="44"/>
  <c r="H3020" i="44"/>
  <c r="E1907" i="44"/>
  <c r="C985" i="44"/>
  <c r="C3431" i="44"/>
  <c r="E366" i="44"/>
  <c r="E2457" i="44"/>
  <c r="H1888" i="44"/>
  <c r="E2692" i="44"/>
  <c r="E2613" i="44"/>
  <c r="H2046" i="44"/>
  <c r="E397" i="44"/>
  <c r="E968" i="44"/>
  <c r="C1621" i="44"/>
  <c r="H3078" i="44"/>
  <c r="E1857" i="44"/>
  <c r="E1834" i="44"/>
  <c r="E3106" i="44"/>
  <c r="C696" i="44"/>
  <c r="E2098" i="44"/>
  <c r="H1770" i="44"/>
  <c r="C1589" i="44"/>
  <c r="E1587" i="44"/>
  <c r="C2663" i="44"/>
  <c r="C26" i="44"/>
  <c r="H2414" i="44"/>
  <c r="C1035" i="44"/>
  <c r="C615" i="44"/>
  <c r="C2874" i="44"/>
  <c r="E985" i="44"/>
  <c r="H2571" i="44"/>
  <c r="E2106" i="44"/>
  <c r="E770" i="44"/>
  <c r="E1987" i="44"/>
  <c r="E3003" i="44"/>
  <c r="C2938" i="44"/>
  <c r="E861" i="44"/>
  <c r="C416" i="44"/>
  <c r="H3056" i="44"/>
  <c r="H3049" i="44"/>
  <c r="H2732" i="44"/>
  <c r="E2095" i="44"/>
  <c r="E2672" i="44"/>
  <c r="C1609" i="44"/>
  <c r="E2445" i="44"/>
  <c r="C2593" i="44"/>
  <c r="C2236" i="44"/>
  <c r="E1506" i="44"/>
  <c r="C1965" i="44"/>
  <c r="E533" i="44"/>
  <c r="H1639" i="44"/>
  <c r="H3105" i="44"/>
  <c r="H1905" i="44"/>
  <c r="C2211" i="44"/>
  <c r="E685" i="44"/>
  <c r="I2030" i="44"/>
  <c r="H2861" i="44"/>
  <c r="E782" i="44"/>
  <c r="C2167" i="44"/>
  <c r="H1865" i="44"/>
  <c r="H2575" i="44"/>
  <c r="H2585" i="44"/>
  <c r="H2856" i="44"/>
  <c r="H1951" i="44"/>
  <c r="C2565" i="44"/>
  <c r="H2103" i="44"/>
  <c r="C2340" i="44"/>
  <c r="E2561" i="44"/>
  <c r="H2047" i="44"/>
  <c r="E2216" i="44"/>
  <c r="C950" i="44"/>
  <c r="C3429" i="44"/>
  <c r="H3045" i="44"/>
  <c r="E434" i="44"/>
  <c r="E2422" i="44"/>
  <c r="E3072" i="44"/>
  <c r="E3088" i="44"/>
  <c r="E3423" i="44"/>
  <c r="H1611" i="44"/>
  <c r="E3381" i="44"/>
  <c r="E3447" i="44"/>
  <c r="E175" i="44"/>
  <c r="H2995" i="44"/>
  <c r="C1835" i="44"/>
  <c r="E2835" i="44"/>
  <c r="E1057" i="44"/>
  <c r="C3443" i="44"/>
  <c r="E730" i="44"/>
  <c r="C400" i="44"/>
  <c r="E2484" i="44"/>
  <c r="C2560" i="44"/>
  <c r="H203" i="44"/>
  <c r="H2286" i="44"/>
  <c r="E3390" i="44"/>
  <c r="C2004" i="44"/>
  <c r="E889" i="44"/>
  <c r="C2457" i="44"/>
  <c r="E2433" i="44"/>
  <c r="H2934" i="44"/>
  <c r="H2191" i="44"/>
  <c r="C3386" i="44"/>
  <c r="E3397" i="44"/>
  <c r="E419" i="44"/>
  <c r="C1606" i="44"/>
  <c r="E2395" i="44"/>
  <c r="E423" i="44"/>
  <c r="H2627" i="44"/>
  <c r="E2192" i="44"/>
  <c r="E1011" i="44"/>
  <c r="H978" i="44"/>
  <c r="C3107" i="44"/>
  <c r="C2415" i="44"/>
  <c r="E2816" i="44"/>
  <c r="I3102" i="44"/>
  <c r="C3054" i="44"/>
  <c r="H1680" i="44"/>
  <c r="E2058" i="44"/>
  <c r="E2794" i="44"/>
  <c r="H2140" i="44"/>
  <c r="E989" i="44"/>
  <c r="E874" i="44"/>
  <c r="C2971" i="44"/>
  <c r="C2007" i="44"/>
  <c r="C2719" i="44"/>
  <c r="C861" i="44"/>
  <c r="H2744" i="44"/>
  <c r="I2990" i="44"/>
  <c r="C2934" i="44"/>
  <c r="C2674" i="44"/>
  <c r="C2919" i="44"/>
  <c r="E1674" i="44"/>
  <c r="E3032" i="44"/>
  <c r="E474" i="44"/>
  <c r="E113" i="44"/>
  <c r="E2010" i="44"/>
  <c r="E1527" i="44"/>
  <c r="C102" i="44"/>
  <c r="E711" i="44"/>
  <c r="C2768" i="44"/>
  <c r="C768" i="44"/>
  <c r="E863" i="44"/>
  <c r="E1962" i="44"/>
  <c r="E119" i="44"/>
  <c r="H1813" i="44"/>
  <c r="E2071" i="44"/>
  <c r="E399" i="44"/>
  <c r="E2888" i="44"/>
  <c r="H2310" i="44"/>
  <c r="C2909" i="44"/>
  <c r="E3044" i="44"/>
  <c r="E2082" i="44"/>
  <c r="C2412" i="44"/>
  <c r="C2774" i="44"/>
  <c r="C1517" i="44"/>
  <c r="C885" i="44"/>
  <c r="E799" i="44"/>
  <c r="C1054" i="44"/>
  <c r="E2077" i="44"/>
  <c r="H2531" i="44"/>
  <c r="H3063" i="44"/>
  <c r="E278" i="44"/>
  <c r="H1881" i="44"/>
  <c r="C2665" i="44"/>
  <c r="C811" i="44"/>
  <c r="C455" i="44"/>
  <c r="C2844" i="44"/>
  <c r="H3023" i="44"/>
  <c r="H1916" i="44"/>
  <c r="C622" i="44"/>
  <c r="H2512" i="44"/>
  <c r="C2498" i="44"/>
  <c r="H2900" i="44"/>
  <c r="C2623" i="44"/>
  <c r="C372" i="44"/>
  <c r="C2992" i="44"/>
  <c r="H2300" i="44"/>
  <c r="C538" i="44"/>
  <c r="C1518" i="44"/>
  <c r="H2440" i="44"/>
  <c r="C2172" i="44"/>
  <c r="H1826" i="44"/>
  <c r="C2950" i="44"/>
  <c r="C2573" i="44"/>
  <c r="E3408" i="44"/>
  <c r="E335" i="44"/>
  <c r="E878" i="44"/>
  <c r="E332" i="44"/>
  <c r="H2430" i="44"/>
  <c r="H2365" i="44"/>
  <c r="E1748" i="44"/>
  <c r="C440" i="44"/>
  <c r="C623" i="44"/>
  <c r="H1751" i="44"/>
  <c r="H2100" i="44"/>
  <c r="C2614" i="44"/>
  <c r="E2570" i="44"/>
  <c r="H3022" i="44"/>
  <c r="H2383" i="44"/>
  <c r="H1998" i="44"/>
  <c r="E3140" i="44"/>
  <c r="C910" i="44"/>
  <c r="C2065" i="44"/>
  <c r="E3165" i="44"/>
  <c r="C1761" i="44"/>
  <c r="C1711" i="44"/>
  <c r="E1837" i="44"/>
  <c r="C924" i="44"/>
  <c r="E1544" i="44"/>
  <c r="H1582" i="44"/>
  <c r="C978" i="44"/>
  <c r="C307" i="44"/>
  <c r="C1932" i="44"/>
  <c r="C2304" i="44"/>
  <c r="C2177" i="44"/>
  <c r="H3160" i="44"/>
  <c r="H3012" i="44"/>
  <c r="E2003" i="44"/>
  <c r="C2449" i="44"/>
  <c r="H1925" i="44"/>
  <c r="C2713" i="44"/>
  <c r="E3105" i="44"/>
  <c r="E269" i="44"/>
  <c r="E2221" i="44"/>
  <c r="C2030" i="44"/>
  <c r="E2851" i="44"/>
  <c r="C1993" i="44"/>
  <c r="E487" i="44"/>
  <c r="E455" i="44"/>
  <c r="E2972" i="44"/>
  <c r="C1505" i="44"/>
  <c r="C2291" i="44"/>
  <c r="H2967" i="44"/>
  <c r="H1734" i="44"/>
  <c r="E2745" i="44"/>
  <c r="E393" i="44"/>
  <c r="I1758" i="44"/>
  <c r="E933" i="44"/>
  <c r="H2650" i="44"/>
  <c r="C2160" i="44"/>
  <c r="C1007" i="44"/>
  <c r="H1666" i="44"/>
  <c r="E2417" i="44"/>
  <c r="C2967" i="44"/>
  <c r="C2102" i="44"/>
  <c r="E279" i="44"/>
  <c r="E503" i="44"/>
  <c r="E303" i="44"/>
  <c r="C2061" i="44"/>
  <c r="E2341" i="44"/>
  <c r="C3067" i="44"/>
  <c r="E801" i="44"/>
  <c r="E2955" i="44"/>
  <c r="C723" i="44"/>
  <c r="E1072" i="44"/>
  <c r="C1821" i="44"/>
  <c r="H2860" i="44"/>
  <c r="C2861" i="44"/>
  <c r="C472" i="44"/>
  <c r="E2353" i="44"/>
  <c r="H2401" i="44"/>
  <c r="C2644" i="44"/>
  <c r="I209" i="44"/>
  <c r="E789" i="44"/>
  <c r="C2659" i="44"/>
  <c r="H2189" i="44"/>
  <c r="E231" i="44"/>
  <c r="E445" i="44"/>
  <c r="C2786" i="44"/>
  <c r="E2123" i="44"/>
  <c r="E2059" i="44"/>
  <c r="E631" i="44"/>
  <c r="E535" i="44"/>
  <c r="C3044" i="44"/>
  <c r="H2830" i="44"/>
  <c r="C561" i="44"/>
  <c r="E663" i="44"/>
  <c r="H2434" i="44"/>
  <c r="K1134" i="44"/>
  <c r="C1719" i="44"/>
  <c r="E7" i="44"/>
  <c r="E1813" i="44"/>
  <c r="E1590" i="44"/>
  <c r="H1981" i="44"/>
  <c r="C500" i="44"/>
  <c r="C1820" i="44"/>
  <c r="C659" i="44"/>
  <c r="C1618" i="44"/>
  <c r="C3004" i="44"/>
  <c r="C1851" i="44"/>
  <c r="H2792" i="44"/>
  <c r="C1882" i="44"/>
  <c r="H2904" i="44"/>
  <c r="E3395" i="44"/>
  <c r="H2595" i="44"/>
  <c r="C2225" i="44"/>
  <c r="H2397" i="44"/>
  <c r="E640" i="44"/>
  <c r="C2375" i="44"/>
  <c r="E2248" i="44"/>
  <c r="E2344" i="44"/>
  <c r="C2146" i="44"/>
  <c r="E2027" i="44"/>
  <c r="H1700" i="44"/>
  <c r="E1965" i="44"/>
  <c r="H1766" i="44"/>
  <c r="E2892" i="44"/>
  <c r="E522" i="44"/>
  <c r="E2549" i="44"/>
  <c r="E2602" i="44"/>
  <c r="E2198" i="44"/>
  <c r="H2719" i="44"/>
  <c r="H933" i="44"/>
  <c r="H2039" i="44"/>
  <c r="E1829" i="44"/>
  <c r="H2374" i="44"/>
  <c r="E1601" i="44"/>
  <c r="E2490" i="44"/>
  <c r="E1809" i="44"/>
  <c r="C2148" i="44"/>
  <c r="C2161" i="44"/>
  <c r="E3074" i="44"/>
  <c r="C3042" i="44"/>
  <c r="E570" i="44"/>
  <c r="E3441" i="44"/>
  <c r="C3374" i="44"/>
  <c r="C770" i="44"/>
  <c r="E2860" i="44"/>
  <c r="C560" i="44"/>
  <c r="C2865" i="44"/>
  <c r="E3107" i="44"/>
  <c r="E391" i="44"/>
  <c r="E2468" i="44"/>
  <c r="C1004" i="44"/>
  <c r="E2274" i="44"/>
  <c r="C2510" i="44"/>
  <c r="H934" i="44"/>
  <c r="C2867" i="44"/>
  <c r="C501" i="44"/>
  <c r="E1861" i="44"/>
  <c r="E140" i="44"/>
  <c r="E392" i="44"/>
  <c r="C2458" i="44"/>
  <c r="C1547" i="44"/>
  <c r="E3065" i="44"/>
  <c r="C643" i="44"/>
  <c r="E2631" i="44"/>
  <c r="E1525" i="44"/>
  <c r="E902" i="44"/>
  <c r="C2126" i="44"/>
  <c r="C3391" i="44"/>
  <c r="C1037" i="44"/>
  <c r="C1019" i="44"/>
  <c r="H2530" i="44"/>
  <c r="E3141" i="44"/>
  <c r="C111" i="44"/>
  <c r="H3095" i="44"/>
  <c r="C3397" i="44"/>
  <c r="C2261" i="44"/>
  <c r="I2222" i="44"/>
  <c r="C3452" i="44"/>
  <c r="C1900" i="44"/>
  <c r="H199" i="44"/>
  <c r="E1543" i="44"/>
  <c r="H2407" i="44"/>
  <c r="E428" i="44"/>
  <c r="H2953" i="44"/>
  <c r="C2978" i="44"/>
  <c r="C1998" i="44"/>
  <c r="C593" i="44"/>
  <c r="I1790" i="44"/>
  <c r="C2508" i="44"/>
  <c r="H2257" i="44"/>
  <c r="C1980" i="44"/>
  <c r="E2685" i="44"/>
  <c r="C3082" i="44"/>
  <c r="C3436" i="44"/>
  <c r="H2234" i="44"/>
  <c r="E2714" i="44"/>
  <c r="C2327" i="44"/>
  <c r="C2071" i="44"/>
  <c r="I2942" i="44"/>
  <c r="E3085" i="44"/>
  <c r="E2292" i="44"/>
  <c r="C648" i="44"/>
  <c r="C1605" i="44"/>
  <c r="E2903" i="44"/>
  <c r="H1928" i="44"/>
  <c r="E2330" i="44"/>
  <c r="E275" i="44"/>
  <c r="E1716" i="44"/>
  <c r="H2979" i="44"/>
  <c r="H2248" i="44"/>
  <c r="C606" i="44"/>
  <c r="H2778" i="44"/>
  <c r="C2924" i="44"/>
  <c r="E882" i="44"/>
  <c r="E2460" i="44"/>
  <c r="C3063" i="44"/>
  <c r="C1888" i="44"/>
  <c r="C602" i="44"/>
  <c r="H1697" i="44"/>
  <c r="C836" i="44"/>
  <c r="H3148" i="44"/>
  <c r="C2907" i="44"/>
  <c r="E2132" i="44"/>
  <c r="H2664" i="44"/>
  <c r="E254" i="44"/>
  <c r="C67" i="44"/>
  <c r="E439" i="44"/>
  <c r="E576" i="44"/>
  <c r="H1869" i="44"/>
  <c r="C2754" i="44"/>
  <c r="H1629" i="44"/>
  <c r="E94" i="44"/>
  <c r="C533" i="44"/>
  <c r="E1875" i="44"/>
  <c r="C3080" i="44"/>
  <c r="H1903" i="44"/>
  <c r="C1550" i="44"/>
  <c r="H2334" i="44"/>
  <c r="C767" i="44"/>
  <c r="C3146" i="44"/>
  <c r="C573" i="44"/>
  <c r="E621" i="44"/>
  <c r="C2333" i="44"/>
  <c r="C1708" i="44"/>
  <c r="E362" i="44"/>
  <c r="C1948" i="44"/>
  <c r="H2129" i="44"/>
  <c r="E2383" i="44"/>
  <c r="E2483" i="44"/>
  <c r="H1613" i="44"/>
  <c r="E272" i="44"/>
  <c r="H967" i="44"/>
  <c r="C2013" i="44"/>
  <c r="C2821" i="44"/>
  <c r="H2361" i="44"/>
  <c r="C2284" i="44"/>
  <c r="E3402" i="44"/>
  <c r="C1748" i="44"/>
  <c r="I183" i="44"/>
  <c r="H2677" i="44"/>
  <c r="E2224" i="44"/>
  <c r="H2122" i="44"/>
  <c r="E539" i="44"/>
  <c r="E3030" i="44"/>
  <c r="E875" i="44"/>
  <c r="H3040" i="44"/>
  <c r="E2701" i="44"/>
  <c r="C713" i="44"/>
  <c r="E811" i="44"/>
  <c r="C3414" i="44"/>
  <c r="E203" i="44"/>
  <c r="C2424" i="44"/>
  <c r="E2601" i="44"/>
  <c r="E2396" i="44"/>
  <c r="E2912" i="44"/>
  <c r="E690" i="44"/>
  <c r="E735" i="44"/>
  <c r="E2883" i="44"/>
  <c r="E1723" i="44"/>
  <c r="H2695" i="44"/>
  <c r="C661" i="44"/>
  <c r="C939" i="44"/>
  <c r="C2500" i="44"/>
  <c r="E2637" i="44"/>
  <c r="C3432" i="44"/>
  <c r="E3138" i="44"/>
  <c r="H2728" i="44"/>
  <c r="C727" i="44"/>
  <c r="I193" i="44"/>
  <c r="C1055" i="44"/>
  <c r="C2312" i="44"/>
  <c r="E2263" i="44"/>
  <c r="C2186" i="44"/>
  <c r="E2033" i="44"/>
  <c r="C3096" i="44"/>
  <c r="H2566" i="44"/>
  <c r="E809" i="44"/>
  <c r="C2667" i="44"/>
  <c r="C3418" i="44"/>
  <c r="C2402" i="44"/>
  <c r="H3016" i="44"/>
  <c r="C3059" i="44"/>
  <c r="C1510" i="44"/>
  <c r="E309" i="44"/>
  <c r="E1896" i="44"/>
  <c r="E2749" i="44"/>
  <c r="H2956" i="44"/>
  <c r="E1739" i="44"/>
  <c r="C448" i="44"/>
  <c r="E668" i="44"/>
  <c r="C523" i="44"/>
  <c r="E2904" i="44"/>
  <c r="C2537" i="44"/>
  <c r="H2268" i="44"/>
  <c r="C3017" i="44"/>
  <c r="E597" i="44"/>
  <c r="H2107" i="44"/>
  <c r="E273" i="44"/>
  <c r="E2424" i="44"/>
  <c r="C2770" i="44"/>
  <c r="C703" i="44"/>
  <c r="C3069" i="44"/>
  <c r="E2145" i="44"/>
  <c r="C1077" i="44"/>
  <c r="E1807" i="44"/>
  <c r="E97" i="44"/>
  <c r="C2679" i="44"/>
  <c r="C644" i="44"/>
  <c r="H2897" i="44"/>
  <c r="E2477" i="44"/>
  <c r="E2258" i="44"/>
  <c r="H2444" i="44"/>
  <c r="E2932" i="44"/>
  <c r="C343" i="44"/>
  <c r="C2400" i="44"/>
  <c r="E2117" i="44"/>
  <c r="C1519" i="44"/>
  <c r="E2232" i="44"/>
  <c r="E2866" i="44"/>
  <c r="C2648" i="44"/>
  <c r="H3153" i="44"/>
  <c r="E499" i="44"/>
  <c r="C479" i="44"/>
  <c r="C2581" i="44"/>
  <c r="E177" i="44"/>
  <c r="H1761" i="44"/>
  <c r="C18" i="44"/>
  <c r="E458" i="44"/>
  <c r="H2671" i="44"/>
  <c r="H1763" i="44"/>
  <c r="E1644" i="44"/>
  <c r="C2613" i="44"/>
  <c r="C935" i="44"/>
  <c r="C2829" i="44"/>
  <c r="C646" i="44"/>
  <c r="H2121" i="44"/>
  <c r="H2390" i="44"/>
  <c r="C3412" i="44"/>
  <c r="C664" i="44"/>
  <c r="C3403" i="44"/>
  <c r="C2705" i="44"/>
  <c r="E2303" i="44"/>
  <c r="C2807" i="44"/>
  <c r="H1736" i="44"/>
  <c r="E2689" i="44"/>
  <c r="E27" i="44"/>
  <c r="C1858" i="44"/>
  <c r="E501" i="44"/>
  <c r="C3401" i="44"/>
  <c r="H2978" i="44"/>
  <c r="C949" i="44"/>
  <c r="D100" i="3"/>
  <c r="H1902" i="44"/>
  <c r="E1922" i="44"/>
  <c r="E2937" i="44"/>
  <c r="C2908" i="44"/>
  <c r="H2267" i="44"/>
  <c r="C2825" i="44"/>
  <c r="C2571" i="44"/>
  <c r="E2858" i="44"/>
  <c r="C1090" i="44"/>
  <c r="C340" i="44"/>
  <c r="H1921" i="44"/>
  <c r="E329" i="44"/>
  <c r="H2363" i="44"/>
  <c r="H2605" i="44"/>
  <c r="C2504" i="44"/>
  <c r="H2324" i="44"/>
  <c r="E2337" i="44"/>
  <c r="C803" i="44"/>
  <c r="H2932" i="44"/>
  <c r="C2657" i="44"/>
  <c r="C2093" i="44"/>
  <c r="C2486" i="44"/>
  <c r="C474" i="44"/>
  <c r="C652" i="44"/>
  <c r="C678" i="44"/>
  <c r="H3046" i="44"/>
  <c r="H2022" i="44"/>
  <c r="E1994" i="44"/>
  <c r="E2195" i="44"/>
  <c r="C2851" i="44"/>
  <c r="C3097" i="44"/>
  <c r="C2778" i="44"/>
  <c r="C2166" i="44"/>
  <c r="H2338" i="44"/>
  <c r="E2986" i="44"/>
  <c r="H3052" i="44"/>
  <c r="H2846" i="44"/>
  <c r="C3435" i="44"/>
  <c r="H2161" i="44"/>
  <c r="E949" i="44"/>
  <c r="E2874" i="44"/>
  <c r="C1772" i="44"/>
  <c r="E3137" i="44"/>
  <c r="E2378" i="44"/>
  <c r="C496" i="44"/>
  <c r="E870" i="44"/>
  <c r="H1596" i="44"/>
  <c r="H2469" i="44"/>
  <c r="H1748" i="44"/>
  <c r="H2347" i="44"/>
  <c r="H1726" i="44"/>
  <c r="C2727" i="44"/>
  <c r="E3010" i="44"/>
  <c r="E2913" i="44"/>
  <c r="E3009" i="44"/>
  <c r="E1681" i="44"/>
  <c r="E2352" i="44"/>
  <c r="C537" i="44"/>
  <c r="E2149" i="44"/>
  <c r="C884" i="44"/>
  <c r="C1080" i="44"/>
  <c r="C2637" i="44"/>
  <c r="E430" i="44"/>
  <c r="E2461" i="44"/>
  <c r="H1797" i="44"/>
  <c r="C1896" i="44"/>
  <c r="E3080" i="44"/>
  <c r="E2429" i="44"/>
  <c r="E2742" i="44"/>
  <c r="C627" i="44"/>
  <c r="H1746" i="44"/>
  <c r="E3448" i="44"/>
  <c r="H2565" i="44"/>
  <c r="E993" i="44"/>
  <c r="I1982" i="44"/>
  <c r="H2894" i="44"/>
  <c r="C2165" i="44"/>
  <c r="H2712" i="44"/>
  <c r="C3055" i="44"/>
  <c r="H1832" i="44"/>
  <c r="C2885" i="44"/>
  <c r="H2623" i="44"/>
  <c r="C765" i="44"/>
  <c r="C2606" i="44"/>
  <c r="C663" i="44"/>
  <c r="H2559" i="44"/>
  <c r="H2450" i="44"/>
  <c r="H2617" i="44"/>
  <c r="C2157" i="44"/>
  <c r="C1717" i="44"/>
  <c r="C778" i="44"/>
  <c r="H2453" i="44"/>
  <c r="C1531" i="44"/>
  <c r="E484" i="44"/>
  <c r="C1670" i="44"/>
  <c r="E752" i="44"/>
  <c r="E489" i="44"/>
  <c r="H2410" i="44"/>
  <c r="C2944" i="44"/>
  <c r="C2569" i="44"/>
  <c r="C1792" i="44"/>
  <c r="C3161" i="44"/>
  <c r="H1612" i="44"/>
  <c r="C2607" i="44"/>
  <c r="C2316" i="44"/>
  <c r="E76" i="44"/>
  <c r="C886" i="44"/>
  <c r="E242" i="44"/>
  <c r="H2590" i="44"/>
  <c r="E2241" i="44"/>
  <c r="H2202" i="44"/>
  <c r="E1046" i="44"/>
  <c r="E923" i="44"/>
  <c r="C2542" i="44"/>
  <c r="E183" i="44"/>
  <c r="C1602" i="44"/>
  <c r="E869" i="44"/>
  <c r="E2768" i="44"/>
  <c r="C1538" i="44"/>
  <c r="C1802" i="44"/>
  <c r="E406" i="44"/>
  <c r="E1699" i="44"/>
  <c r="I1918" i="44"/>
  <c r="H2178" i="44"/>
  <c r="H2432" i="44"/>
  <c r="E2890" i="44"/>
  <c r="E2376" i="44"/>
  <c r="C621" i="44"/>
  <c r="E2927" i="44"/>
  <c r="C786" i="44"/>
  <c r="E2667" i="44"/>
  <c r="E2157" i="44"/>
  <c r="C1598" i="44"/>
  <c r="E506" i="44"/>
  <c r="C339" i="44"/>
  <c r="C2868" i="44"/>
  <c r="C306" i="44"/>
  <c r="C1968" i="44"/>
  <c r="E2559" i="44"/>
  <c r="E470" i="44"/>
  <c r="C2805" i="44"/>
  <c r="C3409" i="44"/>
  <c r="C16" i="44"/>
  <c r="C933" i="44"/>
  <c r="H2272" i="44"/>
  <c r="H3050" i="44"/>
  <c r="E1909" i="44"/>
  <c r="E126" i="44"/>
  <c r="C3089" i="44"/>
  <c r="E197" i="44"/>
  <c r="E672" i="44"/>
  <c r="H2662" i="44"/>
  <c r="E1825" i="44"/>
  <c r="H3061" i="44"/>
  <c r="E1593" i="44"/>
  <c r="E3083" i="44"/>
  <c r="E1018" i="44"/>
  <c r="E2841" i="44"/>
  <c r="I1774" i="44"/>
  <c r="H2460" i="44"/>
  <c r="C338" i="44"/>
  <c r="C2124" i="44"/>
  <c r="C2094" i="44"/>
  <c r="C2395" i="44"/>
  <c r="C2285" i="44"/>
  <c r="E2281" i="44"/>
  <c r="H1692" i="44"/>
  <c r="C848" i="44"/>
  <c r="C2439" i="44"/>
  <c r="E2147" i="44"/>
  <c r="H2938" i="44"/>
  <c r="H2625" i="44"/>
  <c r="C261" i="44"/>
  <c r="C2714" i="44"/>
  <c r="C2182" i="44"/>
  <c r="C1816" i="44"/>
  <c r="E808" i="44"/>
  <c r="E2202" i="44"/>
  <c r="H2524" i="44"/>
  <c r="C2519" i="44"/>
  <c r="E492" i="44"/>
  <c r="E2113" i="44"/>
  <c r="C601" i="44"/>
  <c r="E1916" i="44"/>
  <c r="C50" i="44"/>
  <c r="E612" i="44"/>
  <c r="E3401" i="44"/>
  <c r="I163" i="44"/>
  <c r="C2872" i="44"/>
  <c r="E1926" i="44"/>
  <c r="E436" i="44"/>
  <c r="H1805" i="44"/>
  <c r="C452" i="44"/>
  <c r="E2585" i="44"/>
  <c r="C2028" i="44"/>
  <c r="E2367" i="44"/>
  <c r="H2472" i="44"/>
  <c r="E1753" i="44"/>
  <c r="E2845" i="44"/>
  <c r="E2165" i="44"/>
  <c r="E502" i="44"/>
  <c r="C507" i="44"/>
  <c r="C709" i="44"/>
  <c r="E301" i="44"/>
  <c r="C1036" i="44"/>
  <c r="H2482" i="44"/>
  <c r="E2285" i="44"/>
  <c r="C1709" i="44"/>
  <c r="E3392" i="44"/>
  <c r="E727" i="44"/>
  <c r="C2447" i="44"/>
  <c r="H2557" i="44"/>
  <c r="H1846" i="44"/>
  <c r="C927" i="44"/>
  <c r="I2830" i="44"/>
  <c r="H1724" i="44"/>
  <c r="C1534" i="44"/>
  <c r="H3036" i="44"/>
  <c r="E2751" i="44"/>
  <c r="E2977" i="44"/>
  <c r="E763" i="44"/>
  <c r="E972" i="44"/>
  <c r="H2949" i="44"/>
  <c r="E2623" i="44"/>
  <c r="H2508" i="44"/>
  <c r="E2103" i="44"/>
  <c r="E1835" i="44"/>
  <c r="C771" i="44"/>
  <c r="H2682" i="44"/>
  <c r="E3153" i="44"/>
  <c r="C708" i="44"/>
  <c r="H2010" i="44"/>
  <c r="H2851" i="44"/>
  <c r="E467" i="44"/>
  <c r="E49" i="44"/>
  <c r="C1940" i="44"/>
  <c r="E610" i="44"/>
  <c r="E1787" i="44"/>
  <c r="E830" i="44"/>
  <c r="E349" i="44"/>
  <c r="E318" i="44"/>
  <c r="E1021" i="44"/>
  <c r="H2933" i="44"/>
  <c r="C525" i="44"/>
  <c r="C3114" i="44"/>
  <c r="H2358" i="44"/>
  <c r="H1827" i="44"/>
  <c r="C1720" i="44"/>
  <c r="H2379" i="44"/>
  <c r="C637" i="44"/>
  <c r="H2520" i="44"/>
  <c r="H1864" i="44"/>
  <c r="C2557" i="44"/>
  <c r="C2223" i="44"/>
  <c r="H1654" i="44"/>
  <c r="E3013" i="44"/>
  <c r="E670" i="44"/>
  <c r="H1911" i="44"/>
  <c r="E1081" i="44"/>
  <c r="C2460" i="44"/>
  <c r="E647" i="44"/>
  <c r="C1763" i="44"/>
  <c r="C1041" i="44"/>
  <c r="C1002" i="44"/>
  <c r="E1719" i="44"/>
  <c r="E102" i="44"/>
  <c r="E1974" i="44"/>
  <c r="C907" i="44"/>
  <c r="E2000" i="44"/>
  <c r="E2562" i="44"/>
  <c r="H2828" i="44"/>
  <c r="C2554" i="44"/>
  <c r="E2681" i="44"/>
  <c r="C689" i="44"/>
  <c r="H1781" i="44"/>
  <c r="E387" i="44"/>
  <c r="C2598" i="44"/>
  <c r="C2755" i="44"/>
  <c r="C62" i="44"/>
  <c r="C547" i="44"/>
  <c r="H2164" i="44"/>
  <c r="H1991" i="44"/>
  <c r="C2070" i="44"/>
  <c r="C2079" i="44"/>
  <c r="H2465" i="44"/>
  <c r="E650" i="44"/>
  <c r="C475" i="44"/>
  <c r="C2326" i="44"/>
  <c r="C449" i="44"/>
  <c r="C2101" i="44"/>
  <c r="C841" i="44"/>
  <c r="C2720" i="44"/>
  <c r="C2461" i="44"/>
  <c r="E2152" i="44"/>
  <c r="C1521" i="44"/>
  <c r="H2124" i="44"/>
  <c r="H1940" i="44"/>
  <c r="E398" i="44"/>
  <c r="C2699" i="44"/>
  <c r="C1686" i="44"/>
  <c r="C1685" i="44"/>
  <c r="C2683" i="44"/>
  <c r="E880" i="44"/>
  <c r="E1887" i="44"/>
  <c r="E2331" i="44"/>
  <c r="E2710" i="44"/>
  <c r="C2393" i="44"/>
  <c r="E2696" i="44"/>
  <c r="H1824" i="44"/>
  <c r="H2572" i="44"/>
  <c r="C2640" i="44"/>
  <c r="C2188" i="44"/>
  <c r="H2368" i="44"/>
  <c r="E1847" i="44"/>
  <c r="C373" i="44"/>
  <c r="C3050" i="44"/>
  <c r="H2149" i="44"/>
  <c r="C1624" i="44"/>
  <c r="E2726" i="44"/>
  <c r="C3444" i="44"/>
  <c r="E1700" i="44"/>
  <c r="H2827" i="44"/>
  <c r="C2538" i="44"/>
  <c r="E703" i="44"/>
  <c r="E2356" i="44"/>
  <c r="C1050" i="44"/>
  <c r="C1012" i="44"/>
  <c r="C1032" i="44"/>
  <c r="E1839" i="44"/>
  <c r="C505" i="44"/>
  <c r="C2178" i="44"/>
  <c r="E2712" i="44"/>
  <c r="C1666" i="44"/>
  <c r="C2548" i="44"/>
  <c r="E2074" i="44"/>
  <c r="E885" i="44"/>
  <c r="H2852" i="44"/>
  <c r="E2914" i="44"/>
  <c r="E1628" i="44"/>
  <c r="E2316" i="44"/>
  <c r="H1920" i="44"/>
  <c r="C498" i="44"/>
  <c r="C3095" i="44"/>
  <c r="E2922" i="44"/>
  <c r="E2266" i="44"/>
  <c r="H2954" i="44"/>
  <c r="C3078" i="44"/>
  <c r="C504" i="44"/>
  <c r="C2869" i="44"/>
  <c r="C69" i="44"/>
  <c r="H2139" i="44"/>
  <c r="E858" i="44"/>
  <c r="C1084" i="44"/>
  <c r="C716" i="44"/>
  <c r="I2158" i="44"/>
  <c r="C2693" i="44"/>
  <c r="E2837" i="44"/>
  <c r="E901" i="44"/>
  <c r="E2252" i="44"/>
  <c r="H2279" i="44"/>
  <c r="E1663" i="44"/>
  <c r="C2912" i="44"/>
  <c r="E25" i="44"/>
  <c r="E2852" i="44"/>
  <c r="C973" i="44"/>
  <c r="E2162" i="44"/>
  <c r="C1607" i="44"/>
  <c r="C618" i="44"/>
  <c r="C624" i="44"/>
  <c r="C3014" i="44"/>
  <c r="H2367" i="44"/>
  <c r="H2246" i="44"/>
  <c r="E2287" i="44"/>
  <c r="C1723" i="44"/>
  <c r="H2738" i="44"/>
  <c r="C425" i="44"/>
  <c r="C1963" i="44"/>
  <c r="E2170" i="44"/>
  <c r="C2062" i="44"/>
  <c r="C1593" i="44"/>
  <c r="I155" i="44"/>
  <c r="C2342" i="44"/>
  <c r="C2018" i="44"/>
  <c r="E396" i="44"/>
  <c r="C334" i="44"/>
  <c r="C3141" i="44"/>
  <c r="C364" i="44"/>
  <c r="E660" i="44"/>
  <c r="C1514" i="44"/>
  <c r="E161" i="44"/>
  <c r="E481" i="44"/>
  <c r="H1592" i="44"/>
  <c r="H2298" i="44"/>
  <c r="H2296" i="44"/>
  <c r="H1772" i="44"/>
  <c r="E2656" i="44"/>
  <c r="H2965" i="44"/>
  <c r="C2073" i="44"/>
  <c r="E3097" i="44"/>
  <c r="E3108" i="44"/>
  <c r="C392" i="44"/>
  <c r="C1877" i="44"/>
  <c r="H2691" i="44"/>
  <c r="E2525" i="44"/>
  <c r="E1866" i="44"/>
  <c r="H2184" i="44"/>
  <c r="E938" i="44"/>
  <c r="E750" i="44"/>
  <c r="C2599" i="44"/>
  <c r="E2617" i="44"/>
  <c r="C827" i="44"/>
  <c r="C3009" i="44"/>
  <c r="E1900" i="44"/>
  <c r="H2819" i="44"/>
  <c r="C2119" i="44"/>
  <c r="E3053" i="44"/>
  <c r="C1630" i="44"/>
  <c r="C847" i="44"/>
  <c r="H2329" i="44"/>
  <c r="E553" i="44"/>
  <c r="C1520" i="44"/>
  <c r="C1648" i="44"/>
  <c r="E1892" i="44"/>
  <c r="E1511" i="44"/>
  <c r="E771" i="44"/>
  <c r="H3072" i="44"/>
  <c r="H2112" i="44"/>
  <c r="E509" i="44"/>
  <c r="H2225" i="44"/>
  <c r="E1874" i="44"/>
  <c r="C795" i="44"/>
  <c r="C394" i="44"/>
  <c r="I2286" i="44"/>
  <c r="E3117" i="44"/>
  <c r="E1760" i="44"/>
  <c r="E377" i="44"/>
  <c r="H1986" i="44"/>
  <c r="H3034" i="44"/>
  <c r="E1772" i="44"/>
  <c r="C2151" i="44"/>
  <c r="C2534" i="44"/>
  <c r="C482" i="44"/>
  <c r="C3025" i="44"/>
  <c r="C2142" i="44"/>
  <c r="H2228" i="44"/>
  <c r="H2877" i="44"/>
  <c r="H2762" i="44"/>
  <c r="E1815" i="44"/>
  <c r="H2309" i="44"/>
  <c r="E2539" i="44"/>
  <c r="C619" i="44"/>
  <c r="H2435" i="44"/>
  <c r="C331" i="44"/>
  <c r="C2339" i="44"/>
  <c r="C2000" i="44"/>
  <c r="C2381" i="44"/>
  <c r="E761" i="44"/>
  <c r="H2059" i="44"/>
  <c r="C2686" i="44"/>
  <c r="E2824" i="44"/>
  <c r="E681" i="44"/>
  <c r="E2081" i="44"/>
  <c r="H2299" i="44"/>
  <c r="H2399" i="44"/>
  <c r="E765" i="44"/>
  <c r="E701" i="44"/>
  <c r="C2127" i="44"/>
  <c r="E813" i="44"/>
  <c r="E2688" i="44"/>
  <c r="E2723" i="44"/>
  <c r="H1758" i="44"/>
  <c r="H2892" i="44"/>
  <c r="E1522" i="44"/>
  <c r="E1041" i="44"/>
  <c r="C1591" i="44"/>
  <c r="E2040" i="44"/>
  <c r="C2897" i="44"/>
  <c r="C1073" i="44"/>
  <c r="C2283" i="44"/>
  <c r="H2537" i="44"/>
  <c r="H2690" i="44"/>
  <c r="C3045" i="44"/>
  <c r="E257" i="44"/>
  <c r="E2169" i="44"/>
  <c r="C891" i="44"/>
  <c r="C2703" i="44"/>
  <c r="E441" i="44"/>
  <c r="H2404" i="44"/>
  <c r="C2451" i="44"/>
  <c r="C838" i="44"/>
  <c r="E2365" i="44"/>
  <c r="H1648" i="44"/>
  <c r="E2671" i="44"/>
  <c r="C1013" i="44"/>
  <c r="E3382" i="44"/>
  <c r="C3394" i="44"/>
  <c r="C1513" i="44"/>
  <c r="C2776" i="44"/>
  <c r="E2301" i="44"/>
  <c r="H2163" i="44"/>
  <c r="E2975" i="44"/>
  <c r="C2591" i="44"/>
  <c r="C2305" i="44"/>
  <c r="H1898" i="44"/>
  <c r="C1546" i="44"/>
  <c r="E749" i="44"/>
  <c r="E2399" i="44"/>
  <c r="E494" i="44"/>
  <c r="C2106" i="44"/>
  <c r="H3101" i="44"/>
  <c r="E478" i="44"/>
  <c r="C567" i="44"/>
  <c r="H3108" i="44"/>
  <c r="H1794" i="44"/>
  <c r="E594" i="44"/>
  <c r="E2392" i="44"/>
  <c r="C2916" i="44"/>
  <c r="E1050" i="44"/>
  <c r="C721" i="44"/>
  <c r="C3008" i="44"/>
  <c r="C2952" i="44"/>
  <c r="H1740" i="44"/>
  <c r="C458" i="44"/>
  <c r="E2268" i="44"/>
  <c r="E2128" i="44"/>
  <c r="C380" i="44"/>
  <c r="E1074" i="44"/>
  <c r="E3374" i="44"/>
  <c r="C1910" i="44"/>
  <c r="E3425" i="44"/>
  <c r="H2715" i="44"/>
  <c r="E1079" i="44"/>
  <c r="E1613" i="44"/>
  <c r="C557" i="44"/>
  <c r="E151" i="44"/>
  <c r="E689" i="44"/>
  <c r="H1821" i="44"/>
  <c r="C755" i="44"/>
  <c r="E1619" i="44"/>
  <c r="E1520" i="44"/>
  <c r="C2974" i="44"/>
  <c r="H1588" i="44"/>
  <c r="E252" i="44"/>
  <c r="E2459" i="44"/>
  <c r="C2108" i="44"/>
  <c r="E2070" i="44"/>
  <c r="C359" i="44"/>
  <c r="C3106" i="44"/>
  <c r="C413" i="44"/>
  <c r="E657" i="44"/>
  <c r="C763" i="44"/>
  <c r="C330" i="44"/>
  <c r="H2501" i="44"/>
  <c r="E299" i="44"/>
  <c r="C991" i="44"/>
  <c r="C2582" i="44"/>
  <c r="H2375" i="44"/>
  <c r="H1798" i="44"/>
  <c r="C2318" i="44"/>
  <c r="C3094" i="44"/>
  <c r="H3143" i="44"/>
  <c r="H2235" i="44"/>
  <c r="H1949" i="44"/>
  <c r="C1838" i="44"/>
  <c r="E3432" i="44"/>
  <c r="C328" i="44"/>
  <c r="H2784" i="44"/>
  <c r="C1861" i="44"/>
  <c r="H2874" i="44"/>
  <c r="H2781" i="44"/>
  <c r="E315" i="44"/>
  <c r="E165" i="44"/>
  <c r="E1620" i="44"/>
  <c r="C2027" i="44"/>
  <c r="H3165" i="44"/>
  <c r="E2836" i="44"/>
  <c r="C94" i="44"/>
  <c r="H2793" i="44"/>
  <c r="H2655" i="44"/>
  <c r="H3125" i="44"/>
  <c r="E1039" i="44"/>
  <c r="H3027" i="44"/>
  <c r="E341" i="44"/>
  <c r="C1947" i="44"/>
  <c r="C1966" i="44"/>
  <c r="C1632" i="44"/>
  <c r="E2218" i="44"/>
  <c r="E2463" i="44"/>
  <c r="E2626" i="44"/>
  <c r="E2387" i="44"/>
  <c r="C1715" i="44"/>
  <c r="E662" i="44"/>
  <c r="E698" i="44"/>
  <c r="H1872" i="44"/>
  <c r="H2871" i="44"/>
  <c r="E2005" i="44"/>
  <c r="H2607" i="44"/>
  <c r="E2442" i="44"/>
  <c r="H1630" i="44"/>
  <c r="H2044" i="44"/>
  <c r="I2126" i="44"/>
  <c r="C2043" i="44"/>
  <c r="C2169" i="44"/>
  <c r="E383" i="44"/>
  <c r="C363" i="44"/>
  <c r="C3041" i="44"/>
  <c r="E1836" i="44"/>
  <c r="C890" i="44"/>
  <c r="E1665" i="44"/>
  <c r="E106" i="44"/>
  <c r="I2718" i="44"/>
  <c r="C2488" i="44"/>
  <c r="C324" i="44"/>
  <c r="E410" i="44"/>
  <c r="E779" i="44"/>
  <c r="H2535" i="44"/>
  <c r="E1073" i="44"/>
  <c r="E2219" i="44"/>
  <c r="H2603" i="44"/>
  <c r="C632" i="44"/>
  <c r="E1045" i="44"/>
  <c r="E512" i="44"/>
  <c r="E2843" i="44"/>
  <c r="C2144" i="44"/>
  <c r="C1889" i="44"/>
  <c r="H1891" i="44"/>
  <c r="C679" i="44"/>
  <c r="H2143" i="44"/>
  <c r="E482" i="44"/>
  <c r="H1624" i="44"/>
  <c r="C378" i="44"/>
  <c r="H2385" i="44"/>
  <c r="C3012" i="44"/>
  <c r="E2060" i="44"/>
  <c r="E645" i="44"/>
  <c r="E2194" i="44"/>
  <c r="C730" i="44"/>
  <c r="E1764" i="44"/>
  <c r="I1998" i="44"/>
  <c r="H1780" i="44"/>
  <c r="H2197" i="44"/>
  <c r="E1648" i="44"/>
  <c r="C554" i="44"/>
  <c r="C1063" i="44"/>
  <c r="E2891" i="44"/>
  <c r="C2641" i="44"/>
  <c r="H2734" i="44"/>
  <c r="E2421" i="44"/>
  <c r="C1949" i="44"/>
  <c r="C3423" i="44"/>
  <c r="C105" i="44"/>
  <c r="H3094" i="44"/>
  <c r="H2568" i="44"/>
  <c r="E2111" i="44"/>
  <c r="C794" i="44"/>
  <c r="H1835" i="44"/>
  <c r="H2348" i="44"/>
  <c r="H2292" i="44"/>
  <c r="C3084" i="44"/>
  <c r="C2738" i="44"/>
  <c r="C2244" i="44"/>
  <c r="E1653" i="44"/>
  <c r="E2964" i="44"/>
  <c r="E2008" i="44"/>
  <c r="C2578" i="44"/>
  <c r="H2306" i="44"/>
  <c r="C2682" i="44"/>
  <c r="E3132" i="44"/>
  <c r="E2197" i="44"/>
  <c r="C314" i="44"/>
  <c r="C888" i="44"/>
  <c r="E841" i="44"/>
  <c r="C1074" i="44"/>
  <c r="C2213" i="44"/>
  <c r="H1819" i="44"/>
  <c r="E753" i="44"/>
  <c r="E327" i="44"/>
  <c r="C947" i="44"/>
  <c r="E2989" i="44"/>
  <c r="C2758" i="44"/>
  <c r="C2860" i="44"/>
  <c r="C607" i="44"/>
  <c r="H2391" i="44"/>
  <c r="C948" i="44"/>
  <c r="E1068" i="44"/>
  <c r="E2611" i="44"/>
  <c r="C2138" i="44"/>
  <c r="C1784" i="44"/>
  <c r="H3113" i="44"/>
  <c r="D114" i="3"/>
  <c r="E2029" i="44"/>
  <c r="H2687" i="44"/>
  <c r="H970" i="44"/>
  <c r="C993" i="44"/>
  <c r="C3447" i="44"/>
  <c r="H2400" i="44"/>
  <c r="E2733" i="44"/>
  <c r="E806" i="44"/>
  <c r="H3088" i="44"/>
  <c r="E370" i="44"/>
  <c r="H922" i="44"/>
  <c r="E2765" i="44"/>
  <c r="H2681" i="44"/>
  <c r="E707" i="44"/>
  <c r="H2008" i="44"/>
  <c r="H2305" i="44"/>
  <c r="E2288" i="44"/>
  <c r="E1946" i="44"/>
  <c r="C2893" i="44"/>
  <c r="C1528" i="44"/>
  <c r="E1010" i="44"/>
  <c r="C2594" i="44"/>
  <c r="C13" i="44"/>
  <c r="E2146" i="44"/>
  <c r="C2034" i="44"/>
  <c r="C112" i="44"/>
  <c r="E2466" i="44"/>
  <c r="E1761" i="44"/>
  <c r="C2769" i="44"/>
  <c r="C396" i="44"/>
  <c r="H2980" i="44"/>
  <c r="H2533" i="44"/>
  <c r="H2836" i="44"/>
  <c r="E117" i="44"/>
  <c r="C584" i="44"/>
  <c r="H1945" i="44"/>
  <c r="E734" i="44"/>
  <c r="H3009" i="44"/>
  <c r="E2759" i="44"/>
  <c r="C356" i="44"/>
  <c r="C2120" i="44"/>
  <c r="J1136" i="44"/>
  <c r="C880" i="44"/>
  <c r="H2153" i="44"/>
  <c r="H175" i="44"/>
  <c r="C611" i="44"/>
  <c r="H1889" i="44"/>
  <c r="E515" i="44"/>
  <c r="E987" i="44"/>
  <c r="E3436" i="44"/>
  <c r="C2459" i="44"/>
  <c r="H2713" i="44"/>
  <c r="C2147" i="44"/>
  <c r="H1927" i="44"/>
  <c r="C524" i="44"/>
  <c r="H1675" i="44"/>
  <c r="C2372" i="44"/>
  <c r="C2505" i="44"/>
  <c r="C2184" i="44"/>
  <c r="E1673" i="44"/>
  <c r="C2273" i="44"/>
  <c r="C312" i="44"/>
  <c r="H1586" i="44"/>
  <c r="E2898" i="44"/>
  <c r="C3119" i="44"/>
  <c r="C1927" i="44"/>
  <c r="H2879" i="44"/>
  <c r="E55" i="44"/>
  <c r="E1093" i="44"/>
  <c r="E460" i="44"/>
  <c r="C310" i="44"/>
  <c r="C53" i="44"/>
  <c r="E2435" i="44"/>
  <c r="H3118" i="44"/>
  <c r="E189" i="44"/>
  <c r="E792" i="44"/>
  <c r="H1674" i="44"/>
  <c r="H2593" i="44"/>
  <c r="C499" i="44"/>
  <c r="C107" i="44"/>
  <c r="C1843" i="44"/>
  <c r="E2653" i="44"/>
  <c r="E2349" i="44"/>
  <c r="E2296" i="44"/>
  <c r="C735" i="44"/>
  <c r="E2063" i="44"/>
  <c r="E2537" i="44"/>
  <c r="E2515" i="44"/>
  <c r="E583" i="44"/>
  <c r="C3164" i="44"/>
  <c r="E1773" i="44"/>
  <c r="E2703" i="44"/>
  <c r="C450" i="44"/>
  <c r="C1017" i="44"/>
  <c r="E2284" i="44"/>
  <c r="E2757" i="44"/>
  <c r="H2814" i="44"/>
  <c r="E416" i="44"/>
  <c r="E1741" i="44"/>
  <c r="C2398" i="44"/>
  <c r="H2503" i="44"/>
  <c r="C1046" i="44"/>
  <c r="E454" i="44"/>
  <c r="C2105" i="44"/>
  <c r="C80" i="44"/>
  <c r="C2022" i="44"/>
  <c r="C2179" i="44"/>
  <c r="C546" i="44"/>
  <c r="E2873" i="44"/>
  <c r="I2702" i="44"/>
  <c r="E2748" i="44"/>
  <c r="C1683" i="44"/>
  <c r="H2169" i="44"/>
  <c r="C822" i="44"/>
  <c r="E2118" i="44"/>
  <c r="H171" i="44"/>
  <c r="E3163" i="44"/>
  <c r="E2550" i="44"/>
  <c r="C2555" i="44"/>
  <c r="E1078" i="44"/>
  <c r="H2600" i="44"/>
  <c r="C2134" i="44"/>
  <c r="C1681" i="44"/>
  <c r="C732" i="44"/>
  <c r="I2430" i="44"/>
  <c r="H2418" i="44"/>
  <c r="C2287" i="44"/>
  <c r="C626" i="44"/>
  <c r="C2513" i="44"/>
  <c r="E1049" i="44"/>
  <c r="E432" i="44"/>
  <c r="H2570" i="44"/>
  <c r="C684" i="44"/>
  <c r="E2407" i="44"/>
  <c r="E845" i="44"/>
  <c r="E2931" i="44"/>
  <c r="E864" i="44"/>
  <c r="E853" i="44"/>
  <c r="C2450" i="44"/>
  <c r="H1698" i="44"/>
  <c r="C1542" i="44"/>
  <c r="C514" i="44"/>
  <c r="C654" i="44"/>
  <c r="E12" i="44"/>
  <c r="C2900" i="44"/>
  <c r="C1765" i="44"/>
  <c r="H1626" i="44"/>
  <c r="C2832" i="44"/>
  <c r="C488" i="44"/>
  <c r="E2022" i="44"/>
  <c r="H1607" i="44"/>
  <c r="C2129" i="44"/>
  <c r="E1784" i="44"/>
  <c r="C1676" i="44"/>
  <c r="C2562" i="44"/>
  <c r="C2046" i="44"/>
  <c r="E1667" i="44"/>
  <c r="H1966" i="44"/>
  <c r="H2057" i="44"/>
  <c r="C352" i="44"/>
  <c r="E2280" i="44"/>
  <c r="H2311" i="44"/>
  <c r="H2120" i="44"/>
  <c r="C1001" i="44"/>
  <c r="E3037" i="44"/>
  <c r="C2113" i="44"/>
  <c r="E1636" i="44"/>
  <c r="E1058" i="44"/>
  <c r="C812" i="44"/>
  <c r="E2413" i="44"/>
  <c r="H2327" i="44"/>
  <c r="C1662" i="44"/>
  <c r="H2207" i="44"/>
  <c r="E814" i="44"/>
  <c r="E1801" i="44"/>
  <c r="H2759" i="44"/>
  <c r="C2962" i="44"/>
  <c r="C2870" i="44"/>
  <c r="E1939" i="44"/>
  <c r="E2217" i="44"/>
  <c r="I1950" i="44"/>
  <c r="E1677" i="44"/>
  <c r="C401" i="44"/>
  <c r="C3065" i="44"/>
  <c r="C2634" i="44"/>
  <c r="H2514" i="44"/>
  <c r="E395" i="44"/>
  <c r="E1956" i="44"/>
  <c r="H2233" i="44"/>
  <c r="E2277" i="44"/>
  <c r="C2411" i="44"/>
  <c r="E2283" i="44"/>
  <c r="E2492" i="44"/>
  <c r="C3136" i="44"/>
  <c r="C3090" i="44"/>
  <c r="E29" i="44"/>
  <c r="H2462" i="44"/>
  <c r="C2724" i="44"/>
  <c r="C982" i="44"/>
  <c r="H2026" i="44"/>
  <c r="C2332" i="44"/>
  <c r="E1584" i="44"/>
  <c r="C989" i="44"/>
  <c r="C2917" i="44"/>
  <c r="C903" i="44"/>
  <c r="I2510" i="44"/>
  <c r="H2635" i="44"/>
  <c r="C2174" i="44"/>
  <c r="E2920" i="44"/>
  <c r="C2143" i="44"/>
  <c r="E412" i="44"/>
  <c r="C327" i="44"/>
  <c r="E308" i="44"/>
  <c r="C597" i="44"/>
  <c r="H2939" i="44"/>
  <c r="H2988" i="44"/>
  <c r="C2194" i="44"/>
  <c r="C2434" i="44"/>
  <c r="I2446" i="44"/>
  <c r="C1846" i="44"/>
  <c r="E1984" i="44"/>
  <c r="C361" i="44"/>
  <c r="E2251" i="44"/>
  <c r="H3130" i="44"/>
  <c r="C2403" i="44"/>
  <c r="H2519" i="44"/>
  <c r="C2204" i="44"/>
  <c r="C2549" i="44"/>
  <c r="C2580" i="44"/>
  <c r="E3060" i="44"/>
  <c r="C1728" i="44"/>
  <c r="C849" i="44"/>
  <c r="E2581" i="44"/>
  <c r="C1646" i="44"/>
  <c r="C575" i="44"/>
  <c r="C2676" i="44"/>
  <c r="C3086" i="44"/>
  <c r="H2051" i="44"/>
  <c r="C3048" i="44"/>
  <c r="C2330" i="44"/>
  <c r="C402" i="44"/>
  <c r="E251" i="44"/>
  <c r="E860" i="44"/>
  <c r="C3015" i="44"/>
  <c r="E2504" i="44"/>
  <c r="E1063" i="44"/>
  <c r="H2580" i="44"/>
  <c r="E1795" i="44"/>
  <c r="C1738" i="44"/>
  <c r="H2661" i="44"/>
  <c r="I161" i="44"/>
  <c r="C2431" i="44"/>
  <c r="E1086" i="44"/>
  <c r="E1643" i="44"/>
  <c r="H2195" i="44"/>
  <c r="H1670" i="44"/>
  <c r="E1042" i="44"/>
  <c r="E587" i="44"/>
  <c r="C878" i="44"/>
  <c r="E1616" i="44"/>
  <c r="C460" i="44"/>
  <c r="E2646" i="44"/>
  <c r="H1834" i="44"/>
  <c r="E546" i="44"/>
  <c r="C1058" i="44"/>
  <c r="E2087" i="44"/>
  <c r="E413" i="44"/>
  <c r="E3056" i="44"/>
  <c r="C2553" i="44"/>
  <c r="H2522" i="44"/>
  <c r="C809" i="44"/>
  <c r="C3388" i="44"/>
  <c r="C1746" i="44"/>
  <c r="C1939" i="44"/>
  <c r="E2869" i="44"/>
  <c r="C1021" i="44"/>
  <c r="C3123" i="44"/>
  <c r="C997" i="44"/>
  <c r="C2080" i="44"/>
  <c r="I2366" i="44"/>
  <c r="E783" i="44"/>
  <c r="C2473" i="44"/>
  <c r="H2660" i="44"/>
  <c r="H1623" i="44"/>
  <c r="E1949" i="44"/>
  <c r="H2639" i="44"/>
  <c r="E3416" i="44"/>
  <c r="C2428" i="44"/>
  <c r="H2085" i="44"/>
  <c r="C220" i="44"/>
  <c r="H2672" i="44"/>
  <c r="H2970" i="44"/>
  <c r="E2557" i="44"/>
  <c r="H2173" i="44"/>
  <c r="C760" i="44"/>
  <c r="K1136" i="44"/>
  <c r="C671" i="44"/>
  <c r="H2536" i="44"/>
  <c r="H1947" i="44"/>
  <c r="E2026" i="44"/>
  <c r="E3020" i="44"/>
  <c r="C1541" i="44"/>
  <c r="I201" i="44"/>
  <c r="C1654" i="44"/>
  <c r="C2957" i="44"/>
  <c r="E581" i="44"/>
  <c r="E3008" i="44"/>
  <c r="C262" i="44"/>
  <c r="E2375" i="44"/>
  <c r="C2477" i="44"/>
  <c r="E755" i="44"/>
  <c r="C2369" i="44"/>
  <c r="C879" i="44"/>
  <c r="C2559" i="44"/>
  <c r="C3061" i="44"/>
  <c r="H2754" i="44"/>
  <c r="H2855" i="44"/>
  <c r="H1710" i="44"/>
  <c r="H2290" i="44"/>
  <c r="E2016" i="44"/>
  <c r="C2668" i="44"/>
  <c r="C3380" i="44"/>
  <c r="I3118" i="44"/>
  <c r="C549" i="44"/>
  <c r="C1818" i="44"/>
  <c r="C1135" i="44"/>
  <c r="C2556" i="44"/>
  <c r="E1768" i="44"/>
  <c r="C779" i="44"/>
  <c r="H2642" i="44"/>
  <c r="C2005" i="44"/>
  <c r="I207" i="44"/>
  <c r="C2742" i="44"/>
  <c r="E2167" i="44"/>
  <c r="H2238" i="44"/>
  <c r="E2678" i="44"/>
  <c r="C410" i="44"/>
  <c r="H1715" i="44"/>
  <c r="H2867" i="44"/>
  <c r="E2237" i="44"/>
  <c r="E941" i="44"/>
  <c r="C3051" i="44"/>
  <c r="H1849" i="44"/>
  <c r="H1603" i="44"/>
  <c r="C757" i="44"/>
  <c r="C230" i="44"/>
  <c r="E1528" i="44"/>
  <c r="H2146" i="44"/>
  <c r="I2878" i="44"/>
  <c r="H2042" i="44"/>
  <c r="H2241" i="44"/>
  <c r="H1792" i="44"/>
  <c r="C2592" i="44"/>
  <c r="E2697" i="44"/>
  <c r="C1018" i="44"/>
  <c r="C1039" i="44"/>
  <c r="E2676" i="44"/>
  <c r="E405" i="44"/>
  <c r="C1839" i="44"/>
  <c r="C2936" i="44"/>
  <c r="E321" i="44"/>
  <c r="E2776" i="44"/>
  <c r="E2764" i="44"/>
  <c r="C3448" i="44"/>
  <c r="E68" i="44"/>
  <c r="H2721" i="44"/>
  <c r="E3376" i="44"/>
  <c r="E3113" i="44"/>
  <c r="C2959" i="44"/>
  <c r="E2853" i="44"/>
  <c r="E1735" i="44"/>
  <c r="E373" i="44"/>
  <c r="H2362" i="44"/>
  <c r="E2924" i="44"/>
  <c r="E1893" i="44"/>
  <c r="E322" i="44"/>
  <c r="E2998" i="44"/>
  <c r="C1903" i="44"/>
  <c r="E644" i="44"/>
  <c r="E2134" i="44"/>
  <c r="E380" i="44"/>
  <c r="E1941" i="44"/>
  <c r="E805" i="44"/>
  <c r="C580" i="44"/>
  <c r="C468" i="44"/>
  <c r="E1975" i="44"/>
  <c r="C408" i="44"/>
  <c r="I159" i="44"/>
  <c r="H2326" i="44"/>
  <c r="H1757" i="44"/>
  <c r="E2546" i="44"/>
  <c r="E1611" i="44"/>
  <c r="C2785" i="44"/>
  <c r="C565" i="44"/>
  <c r="E3446" i="44"/>
  <c r="C2838" i="44"/>
  <c r="E2354" i="44"/>
  <c r="E1967" i="44"/>
  <c r="E2347" i="44"/>
  <c r="H2033" i="44"/>
  <c r="C747" i="44"/>
  <c r="C2371" i="44"/>
  <c r="C1994" i="44"/>
  <c r="E2440" i="44"/>
  <c r="E2032" i="44"/>
  <c r="C1615" i="44"/>
  <c r="C2920" i="44"/>
  <c r="H3025" i="44"/>
  <c r="C2596" i="44"/>
  <c r="C2115" i="44"/>
  <c r="C1921" i="44"/>
  <c r="I2654" i="44"/>
  <c r="E3122" i="44"/>
  <c r="C511" i="44"/>
  <c r="E2329" i="44"/>
  <c r="H1645" i="44"/>
  <c r="H2192" i="44"/>
  <c r="E981" i="44"/>
  <c r="E350" i="44"/>
  <c r="H2957" i="44"/>
  <c r="E598" i="44"/>
  <c r="C604" i="44"/>
  <c r="C2421" i="44"/>
  <c r="H2419" i="44"/>
  <c r="C3118" i="44"/>
  <c r="C522" i="44"/>
  <c r="E2379" i="44"/>
  <c r="H2743" i="44"/>
  <c r="E2360" i="44"/>
  <c r="C1543" i="44"/>
  <c r="C1790" i="44"/>
  <c r="I2254" i="44"/>
  <c r="E1958" i="44"/>
  <c r="C1759" i="44"/>
  <c r="C2104" i="44"/>
  <c r="C1985" i="44"/>
  <c r="C1652" i="44"/>
  <c r="H3115" i="44"/>
  <c r="H2889" i="44"/>
  <c r="H2766" i="44"/>
  <c r="E2634" i="44"/>
  <c r="H2984" i="44"/>
  <c r="C2620" i="44"/>
  <c r="H2930" i="44"/>
  <c r="E2380" i="44"/>
  <c r="C1699" i="44"/>
  <c r="H2318" i="44"/>
  <c r="E519" i="44"/>
  <c r="E2102" i="44"/>
  <c r="C805" i="44"/>
  <c r="H3156" i="44"/>
  <c r="C2042" i="44"/>
  <c r="H1912" i="44"/>
  <c r="C839" i="44"/>
  <c r="E886" i="44"/>
  <c r="E1670" i="44"/>
  <c r="C1585" i="44"/>
  <c r="C1693" i="44"/>
  <c r="E687" i="44"/>
  <c r="E2293" i="44"/>
  <c r="H1962" i="44"/>
  <c r="C1062" i="44"/>
  <c r="C2696" i="44"/>
  <c r="E1781" i="44"/>
  <c r="E1721" i="44"/>
  <c r="E2312" i="44"/>
  <c r="E2230" i="44"/>
  <c r="C2168" i="44"/>
  <c r="C1016" i="44"/>
  <c r="E2373" i="44"/>
  <c r="C1508" i="44"/>
  <c r="H3134" i="44"/>
  <c r="E159" i="44"/>
  <c r="C2280" i="44"/>
  <c r="C2297" i="44"/>
  <c r="H2314" i="44"/>
  <c r="H2237" i="44"/>
  <c r="C3377" i="44"/>
  <c r="H1682" i="44"/>
  <c r="C1093" i="44"/>
  <c r="C2072" i="44"/>
  <c r="E2141" i="44"/>
  <c r="C859" i="44"/>
  <c r="D113" i="3"/>
  <c r="C2467" i="44"/>
  <c r="E2231" i="44"/>
  <c r="C299" i="44"/>
  <c r="E1964" i="44"/>
  <c r="C1532" i="44"/>
  <c r="E2135" i="44"/>
  <c r="H1762" i="44"/>
  <c r="C2722" i="44"/>
  <c r="C816" i="44"/>
  <c r="H2925" i="44"/>
  <c r="I2382" i="44"/>
  <c r="C1822" i="44"/>
  <c r="E2610" i="44"/>
  <c r="C2568" i="44"/>
  <c r="E2801" i="44"/>
  <c r="C33" i="44"/>
  <c r="C552" i="44"/>
  <c r="E449" i="44"/>
  <c r="E1759" i="44"/>
  <c r="E64" i="44"/>
  <c r="E2976" i="44"/>
  <c r="E1606" i="44"/>
  <c r="H2447" i="44"/>
  <c r="C1739" i="44"/>
  <c r="E603" i="44"/>
  <c r="C1049" i="44"/>
  <c r="H1931" i="44"/>
  <c r="H2137" i="44"/>
  <c r="H2011" i="44"/>
  <c r="C1886" i="44"/>
  <c r="C2652" i="44"/>
  <c r="E2038" i="44"/>
  <c r="H1631" i="44"/>
  <c r="E2618" i="44"/>
  <c r="C695" i="44"/>
  <c r="H3103" i="44"/>
  <c r="E1917" i="44"/>
  <c r="C2773" i="44"/>
  <c r="C300" i="44"/>
  <c r="H2145" i="44"/>
  <c r="C3375" i="44"/>
  <c r="H1756" i="44"/>
  <c r="E2431" i="44"/>
  <c r="H3086" i="44"/>
  <c r="E2693" i="44"/>
  <c r="E528" i="44"/>
  <c r="E720" i="44"/>
  <c r="E1668" i="44"/>
  <c r="C2514" i="44"/>
  <c r="H2231" i="44"/>
  <c r="H981" i="44"/>
  <c r="H3075" i="44"/>
  <c r="E1608" i="44"/>
  <c r="C1744" i="44"/>
  <c r="E3380" i="44"/>
  <c r="E2660" i="44"/>
  <c r="E1660" i="44"/>
  <c r="C2354" i="44"/>
  <c r="C911" i="44"/>
  <c r="C532" i="44"/>
  <c r="E2996" i="44"/>
  <c r="C2419" i="44"/>
  <c r="E692" i="44"/>
  <c r="C810" i="44"/>
  <c r="C471" i="44"/>
  <c r="H2209" i="44"/>
  <c r="H2786" i="44"/>
  <c r="I169" i="44"/>
  <c r="E2182" i="44"/>
  <c r="C3039" i="44"/>
  <c r="H147" i="44"/>
  <c r="H2665" i="44"/>
  <c r="C2858" i="44"/>
  <c r="E973" i="44"/>
  <c r="J1133" i="44"/>
  <c r="E5" i="44"/>
  <c r="C3099" i="44"/>
  <c r="H2722" i="44"/>
  <c r="E3068" i="44"/>
  <c r="C630" i="44"/>
  <c r="H157" i="44"/>
  <c r="C1707" i="44"/>
  <c r="H2577" i="44"/>
  <c r="H2328" i="44"/>
  <c r="C2701" i="44"/>
  <c r="C3451" i="44"/>
  <c r="H2416" i="44"/>
  <c r="C528" i="44"/>
  <c r="C2603" i="44"/>
  <c r="I2526" i="44"/>
  <c r="E774" i="44"/>
  <c r="C1760" i="44"/>
  <c r="C3010" i="44"/>
  <c r="H2945" i="44"/>
  <c r="E2503" i="44"/>
  <c r="E1066" i="44"/>
  <c r="E695" i="44"/>
  <c r="E2778" i="44"/>
  <c r="E710" i="44"/>
  <c r="E1609" i="44"/>
  <c r="I1806" i="44"/>
  <c r="I2478" i="44"/>
  <c r="E2694" i="44"/>
  <c r="C634" i="44"/>
  <c r="E2698" i="44"/>
  <c r="E2717" i="44"/>
  <c r="E2191" i="44"/>
  <c r="C55" i="44"/>
  <c r="E1780" i="44"/>
  <c r="H2609" i="44"/>
  <c r="C354" i="44"/>
  <c r="C2201" i="44"/>
  <c r="C3111" i="44"/>
  <c r="I2766" i="44"/>
  <c r="E358" i="44"/>
  <c r="E696" i="44"/>
  <c r="H2633" i="44"/>
  <c r="C2251" i="44"/>
  <c r="C454" i="44"/>
  <c r="E1634" i="44"/>
  <c r="E674" i="44"/>
  <c r="H2247" i="44"/>
  <c r="H2733" i="44"/>
  <c r="C3441" i="44"/>
  <c r="E374" i="44"/>
  <c r="C56" i="44"/>
  <c r="C2387" i="44"/>
  <c r="H2640" i="44"/>
  <c r="C2892" i="44"/>
  <c r="C870" i="44"/>
  <c r="E402" i="44"/>
  <c r="E1945" i="44"/>
  <c r="H1667" i="44"/>
  <c r="C3138" i="44"/>
  <c r="E1000" i="44"/>
  <c r="E2578" i="44"/>
  <c r="E1791" i="44"/>
  <c r="E2454" i="44"/>
  <c r="H2699" i="44"/>
  <c r="C2698" i="44"/>
  <c r="E3114" i="44"/>
  <c r="C3411" i="44"/>
  <c r="E2882" i="44"/>
  <c r="H2280" i="44"/>
  <c r="E1003" i="44"/>
  <c r="C3117" i="44"/>
  <c r="C725" i="44"/>
  <c r="C2349" i="44"/>
  <c r="C2208" i="44"/>
  <c r="C2328" i="44"/>
  <c r="H2718" i="44"/>
  <c r="C2587" i="44"/>
  <c r="H2809" i="44"/>
  <c r="H1585" i="44"/>
  <c r="E1001" i="44"/>
  <c r="C3023" i="44"/>
  <c r="E16" i="44"/>
  <c r="E659" i="44"/>
  <c r="C1799" i="44"/>
  <c r="C2286" i="44"/>
  <c r="E3110" i="44"/>
  <c r="H2727" i="44"/>
  <c r="E2173" i="44"/>
  <c r="E367" i="44"/>
  <c r="H2564" i="44"/>
  <c r="H2882" i="44"/>
  <c r="C503" i="44"/>
  <c r="C2707" i="44"/>
  <c r="E817" i="44"/>
  <c r="E2148" i="44"/>
  <c r="C3405" i="44"/>
  <c r="E683" i="44"/>
  <c r="E927" i="44"/>
  <c r="C2747" i="44"/>
  <c r="C2903" i="44"/>
  <c r="E2735" i="44"/>
  <c r="C308" i="44"/>
  <c r="H2723" i="44"/>
  <c r="C365" i="44"/>
  <c r="E110" i="44"/>
  <c r="C2993" i="44"/>
  <c r="C2827" i="44"/>
  <c r="C2602" i="44"/>
  <c r="H2127" i="44"/>
  <c r="H1860" i="44"/>
  <c r="H1980" i="44"/>
  <c r="E3046" i="44"/>
  <c r="E579" i="44"/>
  <c r="C1682" i="44"/>
  <c r="E328" i="44"/>
  <c r="C2074" i="44"/>
  <c r="E754" i="44"/>
  <c r="E2186" i="44"/>
  <c r="H1854" i="44"/>
  <c r="C2918" i="44"/>
  <c r="H2634" i="44"/>
  <c r="E463" i="44"/>
  <c r="H1969" i="44"/>
  <c r="H2866" i="44"/>
  <c r="C3446" i="44"/>
  <c r="C2503" i="44"/>
  <c r="E804" i="44"/>
  <c r="H2880" i="44"/>
  <c r="E2513" i="44"/>
  <c r="E2861" i="44"/>
  <c r="C1594" i="44"/>
  <c r="H1942" i="44"/>
  <c r="H1859" i="44"/>
  <c r="C1768" i="44"/>
  <c r="E828" i="44"/>
  <c r="H2532" i="44"/>
  <c r="E3019" i="44"/>
  <c r="H2412" i="44"/>
  <c r="E319" i="44"/>
  <c r="C1620" i="44"/>
  <c r="C651" i="44"/>
  <c r="C3130" i="44"/>
  <c r="C2296" i="44"/>
  <c r="E1932" i="44"/>
  <c r="C1512" i="44"/>
  <c r="H2090" i="44"/>
  <c r="E346" i="44"/>
  <c r="H1738" i="44"/>
  <c r="E2640" i="44"/>
  <c r="E887" i="44"/>
  <c r="C325" i="44"/>
  <c r="H3109" i="44"/>
  <c r="E2821" i="44"/>
  <c r="H2335" i="44"/>
  <c r="H2910" i="44"/>
  <c r="E1553" i="44"/>
  <c r="C2081" i="44"/>
  <c r="E2819" i="44"/>
  <c r="C2586" i="44"/>
  <c r="E2790" i="44"/>
  <c r="C3077" i="44"/>
  <c r="C2516" i="44"/>
  <c r="H2455" i="44"/>
  <c r="C926" i="44"/>
  <c r="H3051" i="44"/>
  <c r="E2627" i="44"/>
  <c r="E2362" i="44"/>
  <c r="E2928" i="44"/>
  <c r="C2525" i="44"/>
  <c r="H2217" i="44"/>
  <c r="E1756" i="44"/>
  <c r="E3087" i="44"/>
  <c r="H1785" i="44"/>
  <c r="H2597" i="44"/>
  <c r="E1640" i="44"/>
  <c r="C2214" i="44"/>
  <c r="H1892" i="44"/>
  <c r="E505" i="44"/>
  <c r="C3126" i="44"/>
  <c r="E712" i="44"/>
  <c r="C353" i="44"/>
  <c r="H2621" i="44"/>
  <c r="C362" i="44"/>
  <c r="C2249" i="44"/>
  <c r="E385" i="44"/>
  <c r="C2315" i="44"/>
  <c r="E2901" i="44"/>
  <c r="E250" i="44"/>
  <c r="E65" i="44"/>
  <c r="C1631" i="44"/>
  <c r="E2272" i="44"/>
  <c r="H1836" i="44"/>
  <c r="C3157" i="44"/>
  <c r="E2108" i="44"/>
  <c r="E551" i="44"/>
  <c r="C814" i="44"/>
  <c r="H2278" i="44"/>
  <c r="C1005" i="44"/>
  <c r="E900" i="44"/>
  <c r="C1612" i="44"/>
  <c r="H2331" i="44"/>
  <c r="H1722" i="44"/>
  <c r="C1876" i="44"/>
  <c r="C2921" i="44"/>
  <c r="C553" i="44"/>
  <c r="E675" i="44"/>
  <c r="H2659" i="44"/>
  <c r="E1625" i="44"/>
  <c r="H3066" i="44"/>
  <c r="E2789" i="44"/>
  <c r="C1509" i="44"/>
  <c r="C1911" i="44"/>
  <c r="E1090" i="44"/>
  <c r="H2684" i="44"/>
  <c r="H1801" i="44"/>
  <c r="E1666" i="44"/>
  <c r="E549" i="44"/>
  <c r="E497" i="44"/>
  <c r="H2088" i="44"/>
  <c r="H1852" i="44"/>
  <c r="C2970" i="44"/>
  <c r="C1506" i="44"/>
  <c r="E2107" i="44"/>
  <c r="E1881" i="44"/>
  <c r="C534" i="44"/>
  <c r="C2409" i="44"/>
  <c r="C483" i="44"/>
  <c r="E2754" i="44"/>
  <c r="E3412" i="44"/>
  <c r="C1721" i="44"/>
  <c r="H2993" i="44"/>
  <c r="C3036" i="44"/>
  <c r="E3160" i="44"/>
  <c r="C3399" i="44"/>
  <c r="E616" i="44"/>
  <c r="E3059" i="44"/>
  <c r="C748" i="44"/>
  <c r="C2097" i="44"/>
  <c r="E472" i="44"/>
  <c r="E243" i="44"/>
  <c r="H1922" i="44"/>
  <c r="H1730" i="44"/>
  <c r="E2795" i="44"/>
  <c r="E3406" i="44"/>
  <c r="E2635" i="44"/>
  <c r="C2353" i="44"/>
  <c r="E2072" i="44"/>
  <c r="C1916" i="44"/>
  <c r="C2323" i="44"/>
  <c r="C358" i="44"/>
  <c r="E1698" i="44"/>
  <c r="H2307" i="44"/>
  <c r="C3129" i="44"/>
  <c r="E331" i="44"/>
  <c r="E2744" i="44"/>
  <c r="E191" i="44"/>
  <c r="C1756" i="44"/>
  <c r="H1599" i="44"/>
  <c r="E2253" i="44"/>
  <c r="H2108" i="44"/>
  <c r="C2385" i="44"/>
  <c r="C2356" i="44"/>
  <c r="C2941" i="44"/>
  <c r="H1595" i="44"/>
  <c r="E1529" i="44"/>
  <c r="H2589" i="44"/>
  <c r="C2441" i="44"/>
  <c r="E2047" i="44"/>
  <c r="E709" i="44"/>
  <c r="H1728" i="44"/>
  <c r="C2511" i="44"/>
  <c r="C527" i="44"/>
  <c r="C1793" i="44"/>
  <c r="C2183" i="44"/>
  <c r="C1638" i="44"/>
  <c r="C2831" i="44"/>
  <c r="C717" i="44"/>
  <c r="H159" i="44"/>
  <c r="E630" i="44"/>
  <c r="E2573" i="44"/>
  <c r="C825" i="44"/>
  <c r="E1006" i="44"/>
  <c r="H2070" i="44"/>
  <c r="H2065" i="44"/>
  <c r="C2099" i="44"/>
  <c r="C840" i="44"/>
  <c r="C2017" i="44"/>
  <c r="H2258" i="44"/>
  <c r="C1997" i="44"/>
  <c r="H1745" i="44"/>
  <c r="E560" i="44"/>
  <c r="C2233" i="44"/>
  <c r="E2080" i="44"/>
  <c r="E2595" i="44"/>
  <c r="C2820" i="44"/>
  <c r="C2306" i="44"/>
  <c r="H1643" i="44"/>
  <c r="C2743" i="44"/>
  <c r="H1989" i="44"/>
  <c r="H2686" i="44"/>
  <c r="E22" i="44"/>
  <c r="C1688" i="44"/>
  <c r="E1786" i="44"/>
  <c r="H2977" i="44"/>
  <c r="C583" i="44"/>
  <c r="C1999" i="44"/>
  <c r="E523" i="44"/>
  <c r="H2968" i="44"/>
  <c r="E1793" i="44"/>
  <c r="C974" i="44"/>
  <c r="H1847" i="44"/>
  <c r="C609" i="44"/>
  <c r="C944" i="44"/>
  <c r="C2884" i="44"/>
  <c r="H2436" i="44"/>
  <c r="E2577" i="44"/>
  <c r="E3062" i="44"/>
  <c r="H2487" i="44"/>
  <c r="C660" i="44"/>
  <c r="H1747" i="44"/>
  <c r="H2415" i="44"/>
  <c r="H2528" i="44"/>
  <c r="E336" i="44"/>
  <c r="C792" i="44"/>
  <c r="E1816" i="44"/>
  <c r="H2918" i="44"/>
  <c r="C2008" i="44"/>
  <c r="E1749" i="44"/>
  <c r="H2714" i="44"/>
  <c r="E3012" i="44"/>
  <c r="H2868" i="44"/>
  <c r="C2522" i="44"/>
  <c r="H3055" i="44"/>
  <c r="C2047" i="44"/>
  <c r="E3111" i="44"/>
  <c r="H2864" i="44"/>
  <c r="C2836" i="44"/>
  <c r="H2952" i="44"/>
  <c r="I157" i="44"/>
  <c r="H1964" i="44"/>
  <c r="H2658" i="44"/>
  <c r="C1516" i="44"/>
  <c r="E2028" i="44"/>
  <c r="C766" i="44"/>
  <c r="H2966" i="44"/>
  <c r="E1848" i="44"/>
  <c r="E3438" i="44"/>
  <c r="E967" i="44"/>
  <c r="C3449" i="44"/>
  <c r="E2680" i="44"/>
  <c r="E950" i="44"/>
  <c r="C2842" i="44"/>
  <c r="H2041" i="44"/>
  <c r="C2632" i="44"/>
  <c r="E1632" i="44"/>
  <c r="E977" i="44"/>
  <c r="C1803" i="44"/>
  <c r="H2013" i="44"/>
  <c r="H1656" i="44"/>
  <c r="C2600" i="44"/>
  <c r="E872" i="44"/>
  <c r="C2158" i="44"/>
  <c r="E1830" i="44"/>
  <c r="C2136" i="44"/>
  <c r="H2548" i="44"/>
  <c r="E827" i="44"/>
  <c r="E756" i="44"/>
  <c r="E2495" i="44"/>
  <c r="C2879" i="44"/>
  <c r="H2523" i="44"/>
  <c r="H1727" i="44"/>
  <c r="E388" i="44"/>
  <c r="C2152" i="44"/>
  <c r="C3032" i="44"/>
  <c r="C2604" i="44"/>
  <c r="C520" i="44"/>
  <c r="C1075" i="44"/>
  <c r="H2050" i="44"/>
  <c r="C1946" i="44"/>
  <c r="H2844" i="44"/>
  <c r="H3106" i="44"/>
  <c r="C722" i="44"/>
  <c r="E143" i="44"/>
  <c r="C864" i="44"/>
  <c r="C2697" i="44"/>
  <c r="C2222" i="44"/>
  <c r="H1829" i="44"/>
  <c r="C2050" i="44"/>
  <c r="H1699" i="44"/>
  <c r="H3010" i="44"/>
  <c r="H2244" i="44"/>
  <c r="C2988" i="44"/>
  <c r="E141" i="44"/>
  <c r="C1024" i="44"/>
  <c r="H1696" i="44"/>
  <c r="H2141" i="44"/>
  <c r="C897" i="44"/>
  <c r="E2752" i="44"/>
  <c r="H1959" i="44"/>
  <c r="E2840" i="44"/>
  <c r="E1985" i="44"/>
  <c r="C893" i="44"/>
  <c r="C650" i="44"/>
  <c r="H1890" i="44"/>
  <c r="E2736" i="44"/>
  <c r="E2160" i="44"/>
  <c r="E70" i="44"/>
  <c r="E3149" i="44"/>
  <c r="E1859" i="44"/>
  <c r="H2190" i="44"/>
  <c r="E1980" i="44"/>
  <c r="C830" i="44"/>
  <c r="H2194" i="44"/>
  <c r="E892" i="44"/>
  <c r="H1972" i="44"/>
  <c r="C782" i="44"/>
  <c r="E2787" i="44"/>
  <c r="C1871" i="44"/>
  <c r="C1829" i="44"/>
  <c r="E2536" i="44"/>
  <c r="H2891" i="44"/>
  <c r="E421" i="44"/>
  <c r="H2157" i="44"/>
  <c r="C799" i="44"/>
  <c r="E1730" i="44"/>
  <c r="E2245" i="44"/>
  <c r="C649" i="44"/>
  <c r="C2192" i="44"/>
  <c r="H2693" i="44"/>
  <c r="E1617" i="44"/>
  <c r="C1070" i="44"/>
  <c r="C3068" i="44"/>
  <c r="C2016" i="44"/>
  <c r="H925" i="44"/>
  <c r="C2056" i="44"/>
  <c r="E2371" i="44"/>
  <c r="E2355" i="44"/>
  <c r="E2827" i="44"/>
  <c r="C3002" i="44"/>
  <c r="E147" i="44"/>
  <c r="H2688" i="44"/>
  <c r="E990" i="44"/>
  <c r="H2838" i="44"/>
  <c r="C881" i="44"/>
  <c r="C751" i="44"/>
  <c r="E2450" i="44"/>
  <c r="E1510" i="44"/>
  <c r="E2439" i="44"/>
  <c r="C2745" i="44"/>
  <c r="E1993" i="44"/>
  <c r="C2374" i="44"/>
  <c r="C2906" i="44"/>
  <c r="C2426" i="44"/>
  <c r="E1903" i="44"/>
  <c r="H2972" i="44"/>
  <c r="H3069" i="44"/>
  <c r="E3034" i="44"/>
  <c r="C2783" i="44"/>
  <c r="H2138" i="44"/>
  <c r="C241" i="44"/>
  <c r="E2358" i="44"/>
  <c r="C3417" i="44"/>
  <c r="C3007" i="44"/>
  <c r="H2266" i="44"/>
  <c r="C1904" i="44"/>
  <c r="C1667" i="44"/>
  <c r="H2796" i="44"/>
  <c r="C2677" i="44"/>
  <c r="E2973" i="44"/>
  <c r="C3445" i="44"/>
  <c r="C2575" i="44"/>
  <c r="E913" i="44"/>
  <c r="E1845" i="44"/>
  <c r="C2226" i="44"/>
  <c r="C1673" i="44"/>
  <c r="E1745" i="44"/>
  <c r="H2767" i="44"/>
  <c r="K1133" i="44"/>
  <c r="C3003" i="44"/>
  <c r="I205" i="44"/>
  <c r="C2407" i="44"/>
  <c r="C2091" i="44"/>
  <c r="E448" i="44"/>
  <c r="H2832" i="44"/>
  <c r="C3037" i="44"/>
  <c r="C2288" i="44"/>
  <c r="E3091" i="44"/>
  <c r="C243" i="44"/>
  <c r="I3134" i="44"/>
  <c r="E1720" i="44"/>
  <c r="E2196" i="44"/>
  <c r="E728" i="44"/>
  <c r="E58" i="44"/>
  <c r="H1651" i="44"/>
  <c r="E345" i="44"/>
  <c r="E2359" i="44"/>
  <c r="C1935" i="44"/>
  <c r="H2355" i="44"/>
  <c r="E666" i="44"/>
  <c r="H2293" i="44"/>
  <c r="H2765" i="44"/>
  <c r="C2394" i="44"/>
  <c r="E2838" i="44"/>
  <c r="C846" i="44"/>
  <c r="E1062" i="44"/>
  <c r="H2429" i="44"/>
  <c r="E3403" i="44"/>
  <c r="E637" i="44"/>
  <c r="H1618" i="44"/>
  <c r="E83" i="44"/>
  <c r="C1878" i="44"/>
  <c r="E66" i="44"/>
  <c r="E800" i="44"/>
  <c r="H2413" i="44"/>
  <c r="E673" i="44"/>
  <c r="H2317" i="44"/>
  <c r="H2281" i="44"/>
  <c r="E1851" i="44"/>
  <c r="C2140" i="44"/>
  <c r="H2812" i="44"/>
  <c r="H3018" i="44"/>
  <c r="E67" i="44"/>
  <c r="H2841" i="44"/>
  <c r="I2398" i="44"/>
  <c r="E2079" i="44"/>
  <c r="C3422" i="44"/>
  <c r="C2981" i="44"/>
  <c r="E2648" i="44"/>
  <c r="I2334" i="44"/>
  <c r="E2588" i="44"/>
  <c r="C1979" i="44"/>
  <c r="H2357" i="44"/>
  <c r="C581" i="44"/>
  <c r="H2996" i="44"/>
  <c r="C2254" i="44"/>
  <c r="E1711" i="44"/>
  <c r="E2796" i="44"/>
  <c r="C913" i="44"/>
  <c r="H2360" i="44"/>
  <c r="C2797" i="44"/>
  <c r="C2031" i="44"/>
  <c r="E105" i="44"/>
  <c r="C1627" i="44"/>
  <c r="E2591" i="44"/>
  <c r="E3078" i="44"/>
  <c r="E575" i="44"/>
  <c r="C2265" i="44"/>
  <c r="E940" i="44"/>
  <c r="H2028" i="44"/>
  <c r="E1880" i="44"/>
  <c r="E723" i="44"/>
  <c r="E403" i="44"/>
  <c r="C2963" i="44"/>
  <c r="H2333" i="44"/>
  <c r="C2798" i="44"/>
  <c r="C1626" i="44"/>
  <c r="H2181" i="44"/>
  <c r="C2110" i="44"/>
  <c r="H2111" i="44"/>
  <c r="I3150" i="44"/>
  <c r="H3037" i="44"/>
  <c r="C1774" i="44"/>
  <c r="H2541" i="44"/>
  <c r="H927" i="44"/>
  <c r="E1629" i="44"/>
  <c r="C1552" i="44"/>
  <c r="H2470" i="44"/>
  <c r="E638" i="44"/>
  <c r="E1725" i="44"/>
  <c r="H2393" i="44"/>
  <c r="C2469" i="44"/>
  <c r="C2816" i="44"/>
  <c r="E1515" i="44"/>
  <c r="C2507" i="44"/>
  <c r="C2116" i="44"/>
  <c r="H1932" i="44"/>
  <c r="C442" i="44"/>
  <c r="C2175" i="44"/>
  <c r="C3110" i="44"/>
  <c r="E2357" i="44"/>
  <c r="E1906" i="44"/>
  <c r="E2673" i="44"/>
  <c r="E2792" i="44"/>
  <c r="E3092" i="44"/>
  <c r="C344" i="44"/>
  <c r="I1902" i="44"/>
  <c r="E866" i="44"/>
  <c r="C761" i="44"/>
  <c r="H3031" i="44"/>
  <c r="C1925" i="44"/>
  <c r="C2708" i="44"/>
  <c r="H2219" i="44"/>
  <c r="H2445" i="44"/>
  <c r="H2068" i="44"/>
  <c r="C972" i="44"/>
  <c r="C1611" i="44"/>
  <c r="H2717" i="44"/>
  <c r="E790" i="44"/>
  <c r="C1008" i="44"/>
  <c r="E2704" i="44"/>
  <c r="C2862" i="44"/>
  <c r="H2322" i="44"/>
  <c r="H1755" i="44"/>
  <c r="E3098" i="44"/>
  <c r="C9" i="44"/>
  <c r="C2891" i="44"/>
  <c r="C1745" i="44"/>
  <c r="E2370" i="44"/>
  <c r="E868" i="44"/>
  <c r="E2226" i="44"/>
  <c r="E1929" i="44"/>
  <c r="C1587" i="44"/>
  <c r="C1884" i="44"/>
  <c r="H3065" i="44"/>
  <c r="E1082" i="44"/>
  <c r="H2128" i="44"/>
  <c r="C3056" i="44"/>
  <c r="E1959" i="44"/>
  <c r="H1809" i="44"/>
  <c r="E2501" i="44"/>
  <c r="H3107" i="44"/>
  <c r="C1841" i="44"/>
  <c r="C301" i="44"/>
  <c r="C415" i="44"/>
  <c r="H2908" i="44"/>
  <c r="E1684" i="44"/>
  <c r="E80" i="44"/>
  <c r="E2242" i="44"/>
  <c r="C1957" i="44"/>
  <c r="H2458" i="44"/>
  <c r="E2538" i="44"/>
  <c r="E986" i="44"/>
  <c r="H1769" i="44"/>
  <c r="E2205" i="44"/>
  <c r="H1590" i="44"/>
  <c r="E2043" i="44"/>
  <c r="C1076" i="44"/>
  <c r="E1715" i="44"/>
  <c r="C2348" i="44"/>
  <c r="E1538" i="44"/>
  <c r="C577" i="44"/>
  <c r="D104" i="3"/>
  <c r="H2102" i="44"/>
  <c r="H2132" i="44"/>
  <c r="C2170" i="44"/>
  <c r="E1724" i="44"/>
  <c r="H2239" i="44"/>
  <c r="E855" i="44"/>
  <c r="E3123" i="44"/>
  <c r="H2236" i="44"/>
  <c r="E2374" i="44"/>
  <c r="H2820" i="44"/>
  <c r="E2980" i="44"/>
  <c r="C2276" i="44"/>
  <c r="C42" i="44"/>
  <c r="H3158" i="44"/>
  <c r="H1742" i="44"/>
  <c r="H3028" i="44"/>
  <c r="H2097" i="44"/>
  <c r="E2361" i="44"/>
  <c r="C2202" i="44"/>
  <c r="E2784" i="44"/>
  <c r="C2432" i="44"/>
  <c r="E496" i="44"/>
  <c r="E2761" i="44"/>
  <c r="H2449" i="44"/>
  <c r="H2763" i="44"/>
  <c r="H1802" i="44"/>
  <c r="E606" i="44"/>
  <c r="H2729" i="44"/>
  <c r="C1801" i="44"/>
  <c r="C2617" i="44"/>
  <c r="C1530" i="44"/>
  <c r="C3087" i="44"/>
  <c r="C2391" i="44"/>
  <c r="E2999" i="44"/>
  <c r="C119" i="44"/>
  <c r="H2506" i="44"/>
  <c r="C1527" i="44"/>
  <c r="E524" i="44"/>
  <c r="C3060" i="44"/>
  <c r="C2422" i="44"/>
  <c r="E407" i="44"/>
  <c r="E2569" i="44"/>
  <c r="H3007" i="44"/>
  <c r="H2488" i="44"/>
  <c r="E1092" i="44"/>
  <c r="E461" i="44"/>
  <c r="E596" i="44"/>
  <c r="C3139" i="44"/>
  <c r="C2310" i="44"/>
  <c r="C116" i="44"/>
  <c r="H2489" i="44"/>
  <c r="E3145" i="44"/>
  <c r="E1960" i="44"/>
  <c r="E2895" i="44"/>
  <c r="C1551" i="44"/>
  <c r="E375" i="44"/>
  <c r="D101" i="3"/>
  <c r="E14" i="44"/>
  <c r="I3070" i="44"/>
  <c r="H1782" i="44"/>
  <c r="E376" i="44"/>
  <c r="H928" i="44"/>
  <c r="E325" i="44"/>
  <c r="H2316" i="44"/>
  <c r="H2156" i="44"/>
  <c r="C690" i="44"/>
  <c r="H1992" i="44"/>
  <c r="E2769" i="44"/>
  <c r="C2803" i="44"/>
  <c r="E2497" i="44"/>
  <c r="C2319" i="44"/>
  <c r="H1815" i="44"/>
  <c r="C2229" i="44"/>
  <c r="C465" i="44"/>
  <c r="H2116" i="44"/>
  <c r="C318" i="44"/>
  <c r="C1671" i="44"/>
  <c r="C1047" i="44"/>
  <c r="C3135" i="44"/>
  <c r="H2705" i="44"/>
  <c r="E1871" i="44"/>
  <c r="H2592" i="44"/>
  <c r="E1519" i="44"/>
  <c r="C2788" i="44"/>
  <c r="E1709" i="44"/>
  <c r="H2006" i="44"/>
  <c r="I2046" i="44"/>
  <c r="H976" i="44"/>
  <c r="C2536" i="44"/>
  <c r="C819" i="44"/>
  <c r="E2327" i="44"/>
  <c r="E2960" i="44"/>
  <c r="C1710" i="44"/>
  <c r="E620" i="44"/>
  <c r="E386" i="44"/>
  <c r="C2932" i="44"/>
  <c r="C2656" i="44"/>
  <c r="I3022" i="44"/>
  <c r="E691" i="44"/>
  <c r="C2490" i="44"/>
  <c r="C433" i="44"/>
  <c r="E2665" i="44"/>
  <c r="C2744" i="44"/>
  <c r="C3156" i="44"/>
  <c r="E2139" i="44"/>
  <c r="C898" i="44"/>
  <c r="E2813" i="44"/>
  <c r="H1863" i="44"/>
  <c r="C399" i="44"/>
  <c r="C2289" i="44"/>
  <c r="E1714" i="44"/>
  <c r="E713" i="44"/>
  <c r="C1687" i="44"/>
  <c r="C1883" i="44"/>
  <c r="C2272" i="44"/>
  <c r="E2984" i="44"/>
  <c r="H2801" i="44"/>
  <c r="C2053" i="44"/>
  <c r="C1617" i="44"/>
  <c r="E3450" i="44"/>
  <c r="E2203" i="44"/>
  <c r="E2563" i="44"/>
  <c r="E2053" i="44"/>
  <c r="C39" i="44"/>
  <c r="H2513" i="44"/>
  <c r="E2582" i="44"/>
  <c r="E1505" i="44"/>
  <c r="E2400" i="44"/>
  <c r="E2037" i="44"/>
  <c r="H3145" i="44"/>
  <c r="C813" i="44"/>
  <c r="E780" i="44"/>
  <c r="C2765" i="44"/>
  <c r="H2320" i="44"/>
  <c r="E1586" i="44"/>
  <c r="H2810" i="44"/>
  <c r="E226" i="44"/>
  <c r="H2199" i="44"/>
  <c r="E661" i="44"/>
  <c r="H2213" i="44"/>
  <c r="C389" i="44"/>
  <c r="E2755" i="44"/>
  <c r="C345" i="44"/>
  <c r="H3039" i="44"/>
  <c r="E2200" i="44"/>
  <c r="C1027" i="44"/>
  <c r="E2105" i="44"/>
  <c r="C1852" i="44"/>
  <c r="C904" i="44"/>
  <c r="H1602" i="44"/>
  <c r="H3136" i="44"/>
  <c r="E895" i="44"/>
  <c r="C2806" i="44"/>
  <c r="E939" i="44"/>
  <c r="C551" i="44"/>
  <c r="C1983" i="44"/>
  <c r="E2412" i="44"/>
  <c r="C1972" i="44"/>
  <c r="E1898" i="44"/>
  <c r="I175" i="44"/>
  <c r="H2947" i="44"/>
  <c r="E1549" i="44"/>
  <c r="H924" i="44"/>
  <c r="H2340" i="44"/>
  <c r="E3064" i="44"/>
  <c r="C2446" i="44"/>
  <c r="H2069" i="44"/>
  <c r="H2029" i="44"/>
  <c r="E2444" i="44"/>
  <c r="E2326" i="44"/>
  <c r="H2147" i="44"/>
  <c r="E2305" i="44"/>
  <c r="C2227" i="44"/>
  <c r="H1974" i="44"/>
  <c r="H2924" i="44"/>
  <c r="C388" i="44"/>
  <c r="C341" i="44"/>
  <c r="H2850" i="44"/>
  <c r="H3127" i="44"/>
  <c r="H2909" i="44"/>
  <c r="C1592" i="44"/>
  <c r="E983" i="44"/>
  <c r="E2961" i="44"/>
  <c r="C2255" i="44"/>
  <c r="C2497" i="44"/>
  <c r="C3382" i="44"/>
  <c r="C2515" i="44"/>
  <c r="E420" i="44"/>
  <c r="E1701" i="44"/>
  <c r="E1882" i="44"/>
  <c r="H2056" i="44"/>
  <c r="I3006" i="44"/>
  <c r="H2075" i="44"/>
  <c r="H2427" i="44"/>
  <c r="I179" i="44"/>
  <c r="C1067" i="44"/>
  <c r="E3452" i="44"/>
  <c r="C2730" i="44"/>
  <c r="C2260" i="44"/>
  <c r="C2650" i="44"/>
  <c r="C2643" i="44"/>
  <c r="C2045" i="44"/>
  <c r="C3083" i="44"/>
  <c r="C2810" i="44"/>
  <c r="E803" i="44"/>
  <c r="H3019" i="44"/>
  <c r="E2322" i="44"/>
  <c r="C1989" i="44"/>
  <c r="C2189" i="44"/>
  <c r="E304" i="44"/>
  <c r="E3428" i="44"/>
  <c r="C2240" i="44"/>
  <c r="C1899" i="44"/>
  <c r="C2057" i="44"/>
  <c r="H2817" i="44"/>
  <c r="E2946" i="44"/>
  <c r="C1014" i="44"/>
  <c r="C677" i="44"/>
  <c r="H2214" i="44"/>
  <c r="H2015" i="44"/>
  <c r="C592" i="44"/>
  <c r="C1006" i="44"/>
  <c r="I2574" i="44"/>
  <c r="H1878" i="44"/>
  <c r="E1554" i="44"/>
  <c r="E884" i="44"/>
  <c r="C3392" i="44"/>
  <c r="C3064" i="44"/>
  <c r="C2910" i="44"/>
  <c r="C2235" i="44"/>
  <c r="C1988" i="44"/>
  <c r="E1048" i="44"/>
  <c r="C2493" i="44"/>
  <c r="E3409" i="44"/>
  <c r="E2023" i="44"/>
  <c r="H2168" i="44"/>
  <c r="E261" i="44"/>
  <c r="H2406" i="44"/>
  <c r="H2912" i="44"/>
  <c r="E3121" i="44"/>
  <c r="C2741" i="44"/>
  <c r="H2152" i="44"/>
  <c r="H207" i="44"/>
  <c r="H2253" i="44"/>
  <c r="E31" i="44"/>
  <c r="E548" i="44"/>
  <c r="C66" i="44"/>
  <c r="H1647" i="44"/>
  <c r="E537" i="44"/>
  <c r="C853" i="44"/>
  <c r="C65" i="44"/>
  <c r="E3125" i="44"/>
  <c r="E2560" i="44"/>
  <c r="C2710" i="44"/>
  <c r="C3120" i="44"/>
  <c r="E2351" i="44"/>
  <c r="C1914" i="44"/>
  <c r="E3101" i="44"/>
  <c r="E365" i="44"/>
  <c r="H2847" i="44"/>
  <c r="C3127" i="44"/>
  <c r="H1810" i="44"/>
  <c r="E2255" i="44"/>
  <c r="C17" i="44"/>
  <c r="H3135" i="44"/>
  <c r="E2651" i="44"/>
  <c r="E2925" i="44"/>
  <c r="C714" i="44"/>
  <c r="C2077" i="44"/>
  <c r="E2436" i="44"/>
  <c r="C2379" i="44"/>
  <c r="H2937" i="44"/>
  <c r="E2336" i="44"/>
  <c r="C1917" i="44"/>
  <c r="E2151" i="44"/>
  <c r="C3421" i="44"/>
  <c r="E648" i="44"/>
  <c r="C2300" i="44"/>
  <c r="E495" i="44"/>
  <c r="H2342" i="44"/>
  <c r="C1978" i="44"/>
  <c r="C397" i="44"/>
  <c r="C2191" i="44"/>
  <c r="E588" i="44"/>
  <c r="C2837" i="44"/>
  <c r="C1678" i="44"/>
  <c r="E2056" i="44"/>
  <c r="C2241" i="44"/>
  <c r="H1707" i="44"/>
  <c r="H2749" i="44"/>
  <c r="C2824" i="44"/>
  <c r="E312" i="44"/>
  <c r="E2850" i="44"/>
  <c r="C1616" i="44"/>
  <c r="H2284" i="44"/>
  <c r="E2826" i="44"/>
  <c r="H2702" i="44"/>
  <c r="H1589" i="44"/>
  <c r="E2204" i="44"/>
  <c r="C31" i="44"/>
  <c r="C2939" i="44"/>
  <c r="C2390" i="44"/>
  <c r="E3005" i="44"/>
  <c r="E2491" i="44"/>
  <c r="H2858" i="44"/>
  <c r="E2896" i="44"/>
  <c r="H2907" i="44"/>
  <c r="C346" i="44"/>
  <c r="C2888" i="44"/>
  <c r="C800" i="44"/>
  <c r="E37" i="44"/>
  <c r="H2002" i="44"/>
  <c r="H2031" i="44"/>
  <c r="H3057" i="44"/>
  <c r="H975" i="44"/>
  <c r="C1806" i="44"/>
  <c r="E2589" i="44"/>
  <c r="H2259" i="44"/>
  <c r="E1656" i="44"/>
  <c r="E1991" i="44"/>
  <c r="H1820" i="44"/>
  <c r="C2293" i="44"/>
  <c r="C2540" i="44"/>
  <c r="E1788" i="44"/>
  <c r="E719" i="44"/>
  <c r="E2664" i="44"/>
  <c r="C1700" i="44"/>
  <c r="C49" i="44"/>
  <c r="C1052" i="44"/>
  <c r="E473" i="44"/>
  <c r="E1718" i="44"/>
  <c r="C1603" i="44"/>
  <c r="C2983" i="44"/>
  <c r="C1814" i="44"/>
  <c r="C1690" i="44"/>
  <c r="E2655" i="44"/>
  <c r="H1833" i="44"/>
  <c r="H2928" i="44"/>
  <c r="E1599" i="44"/>
  <c r="C1737" i="44"/>
  <c r="E334" i="44"/>
  <c r="H2782" i="44"/>
  <c r="H1608" i="44"/>
  <c r="C1535" i="44"/>
  <c r="E2659" i="44"/>
  <c r="E2177" i="44"/>
  <c r="C2373" i="44"/>
  <c r="H1653" i="44"/>
  <c r="E2476" i="44"/>
  <c r="E2810" i="44"/>
  <c r="C1656" i="44"/>
  <c r="E317" i="44"/>
  <c r="C706" i="44"/>
  <c r="H1904" i="44"/>
  <c r="C2796" i="44"/>
  <c r="C832" i="44"/>
  <c r="H2009" i="44"/>
  <c r="H2746" i="44"/>
  <c r="E2531" i="44"/>
  <c r="C349" i="44"/>
  <c r="C480" i="44"/>
  <c r="C1064" i="44"/>
  <c r="C516" i="44"/>
  <c r="E635" i="44"/>
  <c r="E832" i="44"/>
  <c r="H1908" i="44"/>
  <c r="E185" i="44"/>
  <c r="C28" i="44"/>
  <c r="C579" i="44"/>
  <c r="C2341" i="44"/>
  <c r="E3400" i="44"/>
  <c r="C3125" i="44"/>
  <c r="E2863" i="44"/>
  <c r="H2837" i="44"/>
  <c r="E2505" i="44"/>
  <c r="C2388" i="44"/>
  <c r="E1060" i="44"/>
  <c r="C1788" i="44"/>
  <c r="C2092" i="44"/>
  <c r="E2415" i="44"/>
  <c r="E2804" i="44"/>
  <c r="H2840" i="44"/>
  <c r="C2814" i="44"/>
  <c r="E1927" i="44"/>
  <c r="H2297" i="44"/>
  <c r="E2115" i="44"/>
  <c r="C1854" i="44"/>
  <c r="C2815" i="44"/>
  <c r="E351" i="44"/>
  <c r="J1134" i="44"/>
  <c r="C1059" i="44"/>
  <c r="E1913" i="44"/>
  <c r="C796" i="44"/>
  <c r="E2940" i="44"/>
  <c r="H2113" i="44"/>
  <c r="E894" i="44"/>
  <c r="C1537" i="44"/>
  <c r="E2324" i="44"/>
  <c r="E948" i="44"/>
  <c r="E1895" i="44"/>
  <c r="I2686" i="44"/>
  <c r="C2818" i="44"/>
  <c r="H2392" i="44"/>
  <c r="C2834" i="44"/>
  <c r="H1946" i="44"/>
  <c r="E667" i="44"/>
  <c r="C421" i="44"/>
  <c r="H2020" i="44"/>
  <c r="C2032" i="44"/>
  <c r="H1695" i="44"/>
  <c r="H2517" i="44"/>
  <c r="E1817" i="44"/>
  <c r="C315" i="44"/>
  <c r="C591" i="44"/>
  <c r="C2048" i="44"/>
  <c r="E1532" i="44"/>
  <c r="H2751" i="44"/>
  <c r="C2616" i="44"/>
  <c r="H2201" i="44"/>
  <c r="E2875" i="44"/>
  <c r="H2158" i="44"/>
  <c r="E796" i="44"/>
  <c r="H1640" i="44"/>
  <c r="E871" i="44"/>
  <c r="E899" i="44"/>
  <c r="H1812" i="44"/>
  <c r="H2000" i="44"/>
  <c r="C3389" i="44"/>
  <c r="H2464" i="44"/>
  <c r="H2273" i="44"/>
  <c r="C477" i="44"/>
  <c r="H2076" i="44"/>
  <c r="C569" i="44"/>
  <c r="C3105" i="44"/>
  <c r="H1844" i="44"/>
  <c r="E566" i="44"/>
  <c r="C1990" i="44"/>
  <c r="E3033" i="44"/>
  <c r="H3155" i="44"/>
  <c r="H1646" i="44"/>
  <c r="C3396" i="44"/>
  <c r="H3053" i="44"/>
  <c r="E2485" i="44"/>
  <c r="C1847" i="44"/>
  <c r="E3077" i="44"/>
  <c r="E2652" i="44"/>
  <c r="H1704" i="44"/>
  <c r="E2456" i="44"/>
  <c r="C1971" i="44"/>
  <c r="E852" i="44"/>
  <c r="E2547" i="44"/>
  <c r="I173" i="44"/>
  <c r="H3008" i="44"/>
  <c r="E932" i="44"/>
  <c r="C1891" i="44"/>
  <c r="H1995" i="44"/>
  <c r="C106" i="44"/>
  <c r="E2969" i="44"/>
  <c r="H2637" i="44"/>
  <c r="E355" i="44"/>
  <c r="C787" i="44"/>
  <c r="E605" i="44"/>
  <c r="H2255" i="44"/>
  <c r="C2279" i="44"/>
  <c r="E1832" i="44"/>
  <c r="I2206" i="44"/>
  <c r="C509" i="44"/>
  <c r="H2527" i="44"/>
  <c r="C699" i="44"/>
  <c r="C2977" i="44"/>
  <c r="C398" i="44"/>
  <c r="C487" i="44"/>
  <c r="C824" i="44"/>
  <c r="E1585" i="44"/>
  <c r="H2797" i="44"/>
  <c r="H2148" i="44"/>
  <c r="C969" i="44"/>
  <c r="H2230" i="44"/>
  <c r="H3093" i="44"/>
  <c r="H2200" i="44"/>
  <c r="C1629" i="44"/>
  <c r="E2467" i="44"/>
  <c r="E1800" i="44"/>
  <c r="C2131" i="44"/>
  <c r="E525" i="44"/>
  <c r="C2528" i="44"/>
  <c r="E1778" i="44"/>
  <c r="C2905" i="44"/>
  <c r="C2991" i="44"/>
  <c r="E10" i="44"/>
  <c r="H2176" i="44"/>
  <c r="C894" i="44"/>
  <c r="E694" i="44"/>
  <c r="C3079" i="44"/>
  <c r="C1674" i="44"/>
  <c r="C391" i="44"/>
  <c r="C2972" i="44"/>
  <c r="C1742" i="44"/>
  <c r="E3385" i="44"/>
  <c r="H1830" i="44"/>
  <c r="E1751" i="44"/>
  <c r="H930" i="44"/>
  <c r="C1809" i="44"/>
  <c r="C2852" i="44"/>
  <c r="E2154" i="44"/>
  <c r="C906" i="44"/>
  <c r="E1697" i="44"/>
  <c r="C478" i="44"/>
  <c r="H973" i="44"/>
  <c r="E2114" i="44"/>
  <c r="C2647" i="44"/>
  <c r="E1592" i="44"/>
  <c r="E2871" i="44"/>
  <c r="E2166" i="44"/>
  <c r="C70" i="44"/>
  <c r="E2555" i="44"/>
  <c r="I185" i="44"/>
  <c r="C3116" i="44"/>
  <c r="C2132" i="44"/>
  <c r="H2017" i="44"/>
  <c r="H2692" i="44"/>
  <c r="C1922" i="44"/>
  <c r="C1668" i="44"/>
  <c r="E2583" i="44"/>
  <c r="C141" i="44"/>
  <c r="E825" i="44"/>
  <c r="H3004" i="44"/>
  <c r="C1705" i="44"/>
  <c r="C1660" i="44"/>
  <c r="C2303" i="44"/>
  <c r="E3018" i="44"/>
  <c r="E721" i="44"/>
  <c r="C2010" i="44"/>
  <c r="E2042" i="44"/>
  <c r="E2418" i="44"/>
  <c r="C2883" i="44"/>
  <c r="C2649" i="44"/>
  <c r="H2477" i="44"/>
  <c r="C371" i="44"/>
  <c r="C702" i="44"/>
  <c r="E274" i="44"/>
  <c r="E2437" i="44"/>
  <c r="C2389" i="44"/>
  <c r="E3152" i="44"/>
  <c r="E2076" i="44"/>
  <c r="E3375" i="44"/>
  <c r="C1595" i="44"/>
  <c r="E456" i="44"/>
  <c r="E300" i="44"/>
  <c r="E1940" i="44"/>
  <c r="H2543" i="44"/>
  <c r="I153" i="44"/>
  <c r="C2121" i="44"/>
  <c r="E1811" i="44"/>
  <c r="I181" i="44"/>
  <c r="E2802" i="44"/>
  <c r="E306" i="44"/>
  <c r="E1534" i="44"/>
  <c r="E3100" i="44"/>
  <c r="C2979" i="44"/>
  <c r="C2245" i="44"/>
  <c r="H1717" i="44"/>
  <c r="E3112" i="44"/>
  <c r="C2465" i="44"/>
  <c r="C2346" i="44"/>
  <c r="C2653" i="44"/>
  <c r="H2179" i="44"/>
  <c r="E313" i="44"/>
  <c r="C1735" i="44"/>
  <c r="E1597" i="44"/>
  <c r="E2297" i="44"/>
  <c r="C2351" i="44"/>
  <c r="E33" i="44"/>
  <c r="E3449" i="44"/>
  <c r="E2684" i="44"/>
  <c r="E565" i="44"/>
  <c r="C12" i="44"/>
  <c r="E896" i="44"/>
  <c r="C2645" i="44"/>
  <c r="E1007" i="44"/>
  <c r="E1540" i="44"/>
  <c r="E1650" i="44"/>
  <c r="E2859" i="44"/>
  <c r="E2805" i="44"/>
  <c r="C2011" i="44"/>
  <c r="C71" i="44"/>
  <c r="C2999" i="44"/>
  <c r="E1783" i="44"/>
  <c r="C502" i="44"/>
  <c r="C445" i="44"/>
  <c r="E656" i="44"/>
  <c r="E2311" i="44"/>
  <c r="H3152" i="44"/>
  <c r="H2554" i="44"/>
  <c r="E2404" i="44"/>
  <c r="C1085" i="44"/>
  <c r="H2109" i="44"/>
  <c r="C1981" i="44"/>
  <c r="D115" i="3"/>
  <c r="H2803" i="44"/>
  <c r="C351" i="44"/>
  <c r="E2995" i="44"/>
  <c r="H2271" i="44"/>
  <c r="C1825" i="44"/>
  <c r="C2247" i="44"/>
  <c r="E1555" i="44"/>
  <c r="D105" i="3"/>
  <c r="H2942" i="44"/>
  <c r="E2720" i="44"/>
  <c r="E3417" i="44"/>
  <c r="C1061" i="44"/>
  <c r="E1542" i="44"/>
  <c r="H2493" i="44"/>
  <c r="C63" i="44"/>
  <c r="E757" i="44"/>
  <c r="E2282" i="44"/>
  <c r="H2040" i="44"/>
  <c r="H2067" i="44"/>
  <c r="C1643" i="44"/>
  <c r="C2262" i="44"/>
  <c r="E732" i="44"/>
  <c r="E2083" i="44"/>
  <c r="H2030" i="44"/>
  <c r="C1011" i="44"/>
  <c r="C3144" i="44"/>
  <c r="E337" i="44"/>
  <c r="E404" i="44"/>
  <c r="H2969" i="44"/>
  <c r="C2086" i="44"/>
  <c r="C357" i="44"/>
  <c r="C2200" i="44"/>
  <c r="I2798" i="44"/>
  <c r="H2275" i="44"/>
  <c r="E122" i="44"/>
  <c r="H2539" i="44"/>
  <c r="C1655" i="44"/>
  <c r="E705" i="44"/>
  <c r="E2006" i="44"/>
  <c r="C1908" i="44"/>
  <c r="E2140" i="44"/>
  <c r="E1551" i="44"/>
  <c r="D102" i="3"/>
  <c r="H1848" i="44"/>
  <c r="H2313" i="44"/>
  <c r="E3071" i="44"/>
  <c r="E2002" i="44"/>
  <c r="E593" i="44"/>
  <c r="C1970" i="44"/>
  <c r="C2692" i="44"/>
  <c r="C2894" i="44"/>
  <c r="C1805" i="44"/>
  <c r="E2011" i="44"/>
  <c r="E2834" i="44"/>
  <c r="E171" i="44"/>
  <c r="H3074" i="44"/>
  <c r="H2170" i="44"/>
  <c r="E1864" i="44"/>
  <c r="C868" i="44"/>
  <c r="E1996" i="44"/>
  <c r="H1768" i="44"/>
  <c r="E2687" i="44"/>
  <c r="C2338" i="44"/>
  <c r="E1879" i="44"/>
  <c r="H1687" i="44"/>
  <c r="I2302" i="44"/>
  <c r="E2228" i="44"/>
  <c r="E1002" i="44"/>
  <c r="C25" i="44"/>
  <c r="H2944" i="44"/>
  <c r="E2839" i="44"/>
  <c r="C2206" i="44"/>
  <c r="E1826" i="44"/>
  <c r="C1597" i="44"/>
  <c r="H2496" i="44"/>
  <c r="C2149" i="44"/>
  <c r="H2815" i="44"/>
  <c r="E2239" i="44"/>
  <c r="C1961" i="44"/>
  <c r="C1836" i="44"/>
  <c r="C3434" i="44"/>
  <c r="C461" i="44"/>
  <c r="C2059" i="44"/>
  <c r="H2098" i="44"/>
  <c r="E2179" i="44"/>
  <c r="C2901" i="44"/>
  <c r="E679" i="44"/>
  <c r="E908" i="44"/>
  <c r="E704" i="44"/>
  <c r="E1051" i="44"/>
  <c r="E2050" i="44"/>
  <c r="E167" i="44"/>
  <c r="C1777" i="44"/>
  <c r="C600" i="44"/>
  <c r="C2787" i="44"/>
  <c r="H2741" i="44"/>
  <c r="C1767" i="44"/>
  <c r="E1652" i="44"/>
  <c r="C1736" i="44"/>
  <c r="E2068" i="44"/>
  <c r="E2818" i="44"/>
  <c r="H2507" i="44"/>
  <c r="C531" i="44"/>
  <c r="E1603" i="44"/>
  <c r="I177" i="44"/>
  <c r="C2392" i="44"/>
  <c r="C638" i="44"/>
  <c r="C2420" i="44"/>
  <c r="H2302" i="44"/>
  <c r="H1662" i="44"/>
  <c r="E3139" i="44"/>
  <c r="E2705" i="44"/>
  <c r="E2599" i="44"/>
  <c r="C2489" i="44"/>
  <c r="E1740" i="44"/>
  <c r="E2683" i="44"/>
  <c r="C3143" i="44"/>
  <c r="C98" i="44"/>
  <c r="C1786" i="44"/>
  <c r="E2309" i="44"/>
  <c r="C374" i="44"/>
  <c r="E1707" i="44"/>
  <c r="E1627" i="44"/>
  <c r="C3124" i="44"/>
  <c r="E2707" i="44"/>
  <c r="E879" i="44"/>
  <c r="H2484" i="44"/>
  <c r="H3154" i="44"/>
  <c r="C1881" i="44"/>
  <c r="C457" i="44"/>
  <c r="C1641" i="44"/>
  <c r="E1799" i="44"/>
  <c r="E114" i="44"/>
  <c r="C2125" i="44"/>
  <c r="E1755" i="44"/>
  <c r="E627" i="44"/>
  <c r="E1979" i="44"/>
  <c r="C996" i="44"/>
  <c r="H3000" i="44"/>
  <c r="E2034" i="44"/>
  <c r="C335" i="44"/>
  <c r="E1923" i="44"/>
  <c r="C1010" i="44"/>
  <c r="E2386" i="44"/>
  <c r="C3420" i="44"/>
  <c r="H2951" i="44"/>
  <c r="H1825" i="44"/>
  <c r="E980" i="44"/>
  <c r="C2958" i="44"/>
  <c r="C1870" i="44"/>
  <c r="C2320" i="44"/>
  <c r="E3435" i="44"/>
  <c r="C2083" i="44"/>
  <c r="C2597" i="44"/>
  <c r="E1610" i="44"/>
  <c r="C2737" i="44"/>
  <c r="C115" i="44"/>
  <c r="E2783" i="44"/>
  <c r="C95" i="44"/>
  <c r="E2936" i="44"/>
  <c r="E2188" i="44"/>
  <c r="H2012" i="44"/>
  <c r="C2199" i="44"/>
  <c r="H2654" i="44"/>
  <c r="C1672" i="44"/>
  <c r="H2223" i="44"/>
  <c r="C2021" i="44"/>
  <c r="H1867" i="44"/>
  <c r="C1533" i="44"/>
  <c r="E2247" i="44"/>
  <c r="E457" i="44"/>
  <c r="H1703" i="44"/>
  <c r="E2737" i="44"/>
  <c r="C1082" i="44"/>
  <c r="E1877" i="44"/>
  <c r="E1865" i="44"/>
  <c r="C470" i="44"/>
  <c r="C1078" i="44"/>
  <c r="C2060" i="44"/>
  <c r="E2567" i="44"/>
  <c r="E718" i="44"/>
  <c r="E1615" i="44"/>
  <c r="E450" i="44"/>
  <c r="H1880" i="44"/>
  <c r="C2680" i="44"/>
  <c r="H2480" i="44"/>
  <c r="C2308" i="44"/>
  <c r="E1687" i="44"/>
  <c r="H1990" i="44"/>
  <c r="I2350" i="44"/>
  <c r="C2780" i="44"/>
  <c r="C2543" i="44"/>
  <c r="C2243" i="44"/>
  <c r="H2708" i="44"/>
  <c r="H2226" i="44"/>
  <c r="E2598" i="44"/>
  <c r="E642" i="44"/>
  <c r="E2001" i="44"/>
  <c r="E810" i="44"/>
  <c r="E3115" i="44"/>
  <c r="H2615" i="44"/>
  <c r="H2352" i="44"/>
  <c r="E2328" i="44"/>
  <c r="C1623" i="44"/>
  <c r="E936" i="44"/>
  <c r="H2689" i="44"/>
  <c r="E574" i="44"/>
  <c r="C2933" i="44"/>
  <c r="C1743" i="44"/>
  <c r="H2764" i="44"/>
  <c r="E2161" i="44"/>
  <c r="H1936" i="44"/>
  <c r="E3156" i="44"/>
  <c r="E682" i="44"/>
  <c r="H2943" i="44"/>
  <c r="E2449" i="44"/>
  <c r="C370" i="44"/>
  <c r="E1928" i="44"/>
  <c r="C1072" i="44"/>
  <c r="C842" i="44"/>
  <c r="H2547" i="44"/>
  <c r="E877" i="44"/>
  <c r="E310" i="44"/>
  <c r="C815" i="44"/>
  <c r="E569" i="44"/>
  <c r="C2220" i="44"/>
  <c r="H2092" i="44"/>
  <c r="C734" i="44"/>
  <c r="C2955" i="44"/>
  <c r="C905" i="44"/>
  <c r="C2295" i="44"/>
  <c r="H2601" i="44"/>
  <c r="E384" i="44"/>
  <c r="C464" i="44"/>
  <c r="E1792" i="44"/>
  <c r="C2914" i="44"/>
  <c r="E431" i="44"/>
  <c r="H2249" i="44"/>
  <c r="E856" i="44"/>
  <c r="E2551" i="44"/>
  <c r="C1056" i="44"/>
  <c r="E230" i="44"/>
  <c r="C2685" i="44"/>
  <c r="C2961" i="44"/>
  <c r="C2302" i="44"/>
  <c r="C1800" i="44"/>
  <c r="C633" i="44"/>
  <c r="E3082" i="44"/>
  <c r="E1992" i="44"/>
  <c r="H2931" i="44"/>
  <c r="E2348" i="44"/>
  <c r="H1803" i="44"/>
  <c r="E79" i="44"/>
  <c r="C497" i="44"/>
  <c r="E979" i="44"/>
  <c r="C2325" i="44"/>
  <c r="H1950" i="44"/>
  <c r="E2416" i="44"/>
  <c r="H1871" i="44"/>
  <c r="C1934" i="44"/>
  <c r="E599" i="44"/>
  <c r="E59" i="44"/>
  <c r="E3164" i="44"/>
  <c r="H2622" i="44"/>
  <c r="C899" i="44"/>
  <c r="C1962" i="44"/>
  <c r="C2982" i="44"/>
  <c r="H2037" i="44"/>
  <c r="C316" i="44"/>
  <c r="H2780" i="44"/>
  <c r="H2989" i="44"/>
  <c r="E344" i="44"/>
  <c r="E368" i="44"/>
  <c r="E2730" i="44"/>
  <c r="C2675" i="44"/>
  <c r="E564" i="44"/>
  <c r="H1837" i="44"/>
  <c r="C666" i="44"/>
  <c r="C2248" i="44"/>
  <c r="E2406" i="44"/>
  <c r="H2624" i="44"/>
  <c r="H1971" i="44"/>
  <c r="C1696" i="44"/>
  <c r="C3070" i="44"/>
  <c r="C2274" i="44"/>
  <c r="C2960" i="44"/>
  <c r="C992" i="44"/>
  <c r="E2709" i="44"/>
  <c r="E1026" i="44"/>
  <c r="E2264" i="44"/>
  <c r="H2421" i="44"/>
  <c r="C2234" i="44"/>
  <c r="H1807" i="44"/>
  <c r="H2142" i="44"/>
  <c r="H2019" i="44"/>
  <c r="E2475" i="44"/>
  <c r="E608" i="44"/>
  <c r="E3440" i="44"/>
  <c r="E1910" i="44"/>
  <c r="E2967" i="44"/>
  <c r="C451" i="44"/>
  <c r="E2488" i="44"/>
  <c r="C1920" i="44"/>
  <c r="C2766" i="44"/>
  <c r="E268" i="44"/>
  <c r="C486" i="44"/>
  <c r="H2260" i="44"/>
  <c r="E807" i="44"/>
  <c r="C691" i="44"/>
  <c r="E1935" i="44"/>
  <c r="E2473" i="44"/>
  <c r="C2636" i="44"/>
  <c r="E1925" i="44"/>
  <c r="H1605" i="44"/>
  <c r="C2655" i="44"/>
  <c r="H2078" i="44"/>
  <c r="C2609" i="44"/>
  <c r="C1680" i="44"/>
  <c r="C2757" i="44"/>
  <c r="E2208" i="44"/>
  <c r="E2921" i="44"/>
  <c r="C2771" i="44"/>
  <c r="H2776" i="44"/>
  <c r="E3016" i="44"/>
  <c r="C418" i="44"/>
  <c r="C2153" i="44"/>
  <c r="E2828" i="44"/>
  <c r="D116" i="3"/>
  <c r="E3443" i="44"/>
  <c r="E898" i="44"/>
  <c r="C687" i="44"/>
  <c r="C2929" i="44"/>
  <c r="H1600" i="44"/>
  <c r="C82" i="44"/>
  <c r="C2651" i="44"/>
  <c r="H1701" i="44"/>
  <c r="E2171" i="44"/>
  <c r="E1047" i="44"/>
  <c r="E477" i="44"/>
  <c r="H3144" i="44"/>
  <c r="E443" i="44"/>
  <c r="H1786" i="44"/>
  <c r="C628" i="44"/>
  <c r="C2856" i="44"/>
  <c r="C806" i="44"/>
  <c r="C1038" i="44"/>
  <c r="C2029" i="44"/>
  <c r="H3026" i="44"/>
  <c r="H1760" i="44"/>
  <c r="H1744" i="44"/>
  <c r="C1523" i="44"/>
  <c r="C2857" i="44"/>
  <c r="E2666" i="44"/>
  <c r="E1904" i="44"/>
  <c r="H155" i="44"/>
  <c r="H1601" i="44"/>
  <c r="E2965" i="44"/>
  <c r="I199" i="44"/>
  <c r="C1000" i="44"/>
  <c r="H3030" i="44"/>
  <c r="H1665" i="44"/>
  <c r="C988" i="44"/>
  <c r="H2971" i="44"/>
  <c r="E3035" i="44"/>
  <c r="E2249" i="44"/>
  <c r="H2895" i="44"/>
  <c r="E2711" i="44"/>
  <c r="C2520" i="44"/>
  <c r="E255" i="44"/>
  <c r="C2828" i="44"/>
  <c r="H1917" i="44"/>
  <c r="H3139" i="44"/>
  <c r="C700" i="44"/>
  <c r="H2576" i="44"/>
  <c r="C1545" i="44"/>
  <c r="H2974" i="44"/>
  <c r="H2941" i="44"/>
  <c r="H2569" i="44"/>
  <c r="C3131" i="44"/>
  <c r="H2114" i="44"/>
  <c r="H2405" i="44"/>
  <c r="E2988" i="44"/>
  <c r="H2865" i="44"/>
  <c r="E2035" i="44"/>
  <c r="E1930" i="44"/>
  <c r="H2160" i="44"/>
  <c r="C495" i="44"/>
  <c r="E2616" i="44"/>
  <c r="H2645" i="44"/>
  <c r="E2929" i="44"/>
  <c r="E2545" i="44"/>
  <c r="E2279" i="44"/>
  <c r="C311" i="44"/>
  <c r="C1895" i="44"/>
  <c r="E1823" i="44"/>
  <c r="E3024" i="44"/>
  <c r="E2905" i="44"/>
  <c r="I1726" i="44"/>
  <c r="C772" i="44"/>
  <c r="H1644" i="44"/>
  <c r="E1812" i="44"/>
  <c r="C2990" i="44"/>
  <c r="C2658" i="44"/>
  <c r="E338" i="44"/>
  <c r="E228" i="44"/>
  <c r="H1743" i="44"/>
  <c r="E2452" i="44"/>
  <c r="E2691" i="44"/>
  <c r="E1876" i="44"/>
  <c r="H2396" i="44"/>
  <c r="C863" i="44"/>
  <c r="C2203" i="44"/>
  <c r="C3093" i="44"/>
  <c r="H3017" i="44"/>
  <c r="E3051" i="44"/>
  <c r="E787" i="44"/>
  <c r="C2927" i="44"/>
  <c r="E3451" i="44"/>
  <c r="E2321" i="44"/>
  <c r="C376" i="44"/>
  <c r="H1681" i="44"/>
  <c r="E1969" i="44"/>
  <c r="E688" i="44"/>
  <c r="E348" i="44"/>
  <c r="C1945" i="44"/>
  <c r="C3165" i="44"/>
  <c r="E314" i="44"/>
  <c r="E2893" i="44"/>
  <c r="H2330" i="44"/>
  <c r="C877" i="44"/>
  <c r="H1935" i="44"/>
  <c r="E591" i="44"/>
  <c r="E677" i="44"/>
  <c r="I2750" i="44"/>
  <c r="E360" i="44"/>
  <c r="C834" i="44"/>
  <c r="E2256" i="44"/>
  <c r="C29" i="44"/>
  <c r="E1680" i="44"/>
  <c r="C1780" i="44"/>
  <c r="E2259" i="44"/>
  <c r="E92" i="44"/>
  <c r="H1672" i="44"/>
  <c r="C113" i="44"/>
  <c r="E3093" i="44"/>
  <c r="H1664" i="44"/>
  <c r="H2936" i="44"/>
  <c r="C1987" i="44"/>
  <c r="E3040" i="44"/>
  <c r="H1709" i="44"/>
  <c r="H935" i="44"/>
  <c r="C987" i="44"/>
  <c r="E2261" i="44"/>
  <c r="E793" i="44"/>
  <c r="C3162" i="44"/>
  <c r="C719" i="44"/>
  <c r="E1535" i="44"/>
  <c r="E2044" i="44"/>
  <c r="C759" i="44"/>
  <c r="E2806" i="44"/>
  <c r="I2270" i="44"/>
  <c r="C1694" i="44"/>
  <c r="C1584" i="44"/>
  <c r="E3414" i="44"/>
  <c r="C518" i="44"/>
  <c r="E2575" i="44"/>
  <c r="E2944" i="44"/>
  <c r="C605" i="44"/>
  <c r="E429" i="44"/>
  <c r="E1951" i="44"/>
  <c r="H1597" i="44"/>
  <c r="E379" i="44"/>
  <c r="C1637" i="44"/>
  <c r="E3067" i="44"/>
  <c r="C672" i="44"/>
  <c r="H2997" i="44"/>
  <c r="C3430" i="44"/>
  <c r="E2299" i="44"/>
  <c r="E1013" i="44"/>
  <c r="C791" i="44"/>
  <c r="E223" i="44"/>
  <c r="E995" i="44"/>
  <c r="H2381" i="44"/>
  <c r="H2411" i="44"/>
  <c r="E433" i="44"/>
  <c r="C2987" i="44"/>
  <c r="E2620" i="44"/>
  <c r="C1026" i="44"/>
  <c r="E2307" i="44"/>
  <c r="H2700" i="44"/>
  <c r="E653" i="44"/>
  <c r="H2171" i="44"/>
  <c r="H2567" i="44"/>
  <c r="H2049" i="44"/>
  <c r="E1015" i="44"/>
  <c r="E1022" i="44"/>
  <c r="C2317" i="44"/>
  <c r="C83" i="44"/>
  <c r="H2245" i="44"/>
  <c r="H2896" i="44"/>
  <c r="C3438" i="44"/>
  <c r="E112" i="44"/>
  <c r="E2518" i="44"/>
  <c r="E57" i="44"/>
  <c r="E400" i="44"/>
  <c r="H2833" i="44"/>
  <c r="C1755" i="44"/>
  <c r="C3100" i="44"/>
  <c r="C2494" i="44"/>
  <c r="H1982" i="44"/>
  <c r="E824" i="44"/>
  <c r="H923" i="44"/>
  <c r="C1091" i="44"/>
  <c r="H1822" i="44"/>
  <c r="E409" i="44"/>
  <c r="C612" i="44"/>
  <c r="H2674" i="44"/>
  <c r="E992" i="44"/>
  <c r="C2413" i="44"/>
  <c r="H2859" i="44"/>
  <c r="E2474" i="44"/>
  <c r="C1984" i="44"/>
  <c r="E2877" i="44"/>
  <c r="E2109" i="44"/>
  <c r="C617" i="44"/>
  <c r="C405" i="44"/>
  <c r="E1020" i="44"/>
  <c r="E2800" i="44"/>
  <c r="E1732" i="44"/>
  <c r="I2142" i="44"/>
  <c r="C934" i="44"/>
  <c r="C3011" i="44"/>
  <c r="C3046" i="44"/>
  <c r="C2237" i="44"/>
  <c r="H2546" i="44"/>
  <c r="C2684" i="44"/>
  <c r="C2294" i="44"/>
  <c r="C2386" i="44"/>
  <c r="C1043" i="44"/>
  <c r="H2091" i="44"/>
  <c r="E2092" i="44"/>
  <c r="E1961" i="44"/>
  <c r="E2338" i="44"/>
  <c r="C2150" i="44"/>
  <c r="C998" i="44"/>
  <c r="E778" i="44"/>
  <c r="C2835" i="44"/>
  <c r="C1762" i="44"/>
  <c r="C337" i="44"/>
  <c r="C1905" i="44"/>
  <c r="C3442" i="44"/>
  <c r="E260" i="44"/>
  <c r="H2204" i="44"/>
  <c r="C614" i="44"/>
  <c r="E3126" i="44"/>
  <c r="C2114" i="44"/>
  <c r="E247" i="44"/>
  <c r="C2864" i="44"/>
  <c r="H2886" i="44"/>
  <c r="C858" i="44"/>
  <c r="C1866" i="44"/>
  <c r="C382" i="44"/>
  <c r="E2325" i="44"/>
  <c r="C2335" i="44"/>
  <c r="E2533" i="44"/>
  <c r="C1695" i="44"/>
  <c r="C2610" i="44"/>
  <c r="E1596" i="44"/>
  <c r="C781" i="44"/>
  <c r="C818" i="44"/>
  <c r="C117" i="44"/>
  <c r="E2663" i="44"/>
  <c r="C3102" i="44"/>
  <c r="C1677" i="44"/>
  <c r="H2420" i="44"/>
  <c r="C1524" i="44"/>
  <c r="E3161" i="44"/>
  <c r="C2495" i="44"/>
  <c r="C2238" i="44"/>
  <c r="C2282" i="44"/>
  <c r="H2025" i="44"/>
  <c r="H179" i="44"/>
  <c r="C1857" i="44"/>
  <c r="E1729" i="44"/>
  <c r="E2403" i="44"/>
  <c r="C439" i="44"/>
  <c r="C1727" i="44"/>
  <c r="E2121" i="44"/>
  <c r="H1901" i="44"/>
  <c r="E2214" i="44"/>
  <c r="C2006" i="44"/>
  <c r="C2739" i="44"/>
  <c r="C2382" i="44"/>
  <c r="E2857" i="44"/>
  <c r="E2541" i="44"/>
  <c r="I1662" i="44"/>
  <c r="H3005" i="44"/>
  <c r="C24" i="44"/>
  <c r="E1824" i="44"/>
  <c r="C2881" i="44"/>
  <c r="C2433" i="44"/>
  <c r="C1679" i="44"/>
  <c r="H3002" i="44"/>
  <c r="H1979" i="44"/>
  <c r="E2447" i="44"/>
  <c r="H2785" i="44"/>
  <c r="E2731" i="44"/>
  <c r="C412" i="44"/>
  <c r="E2153" i="44"/>
  <c r="C2911" i="44"/>
  <c r="C1950" i="44"/>
  <c r="C1640" i="44"/>
  <c r="E352" i="44"/>
  <c r="H2196" i="44"/>
  <c r="C535" i="44"/>
  <c r="H2063" i="44"/>
  <c r="C733" i="44"/>
  <c r="C2935" i="44"/>
  <c r="E3063" i="44"/>
  <c r="I1678" i="44"/>
  <c r="E2055" i="44"/>
  <c r="H2976" i="44"/>
  <c r="C2185" i="44"/>
  <c r="E1664" i="44"/>
  <c r="C21" i="44"/>
  <c r="C2940" i="44"/>
  <c r="H1713" i="44"/>
  <c r="C2763" i="44"/>
  <c r="I2782" i="44"/>
  <c r="H1771" i="44"/>
  <c r="E1775" i="44"/>
  <c r="H2651" i="44"/>
  <c r="I2078" i="44"/>
  <c r="E816" i="44"/>
  <c r="E2276" i="44"/>
  <c r="C705" i="44"/>
  <c r="H2657" i="44"/>
  <c r="H1987" i="44"/>
  <c r="C2298" i="44"/>
  <c r="C804" i="44"/>
  <c r="C2551" i="44"/>
  <c r="C2799" i="44"/>
  <c r="E567" i="44"/>
  <c r="C2661" i="44"/>
  <c r="E2517" i="44"/>
  <c r="C1813" i="44"/>
  <c r="C2784" i="44"/>
  <c r="I2190" i="44"/>
  <c r="E2508" i="44"/>
  <c r="H2269" i="44"/>
  <c r="H1616" i="44"/>
  <c r="C3383" i="44"/>
  <c r="C1933" i="44"/>
  <c r="C608" i="44"/>
  <c r="E2304" i="44"/>
  <c r="E2523" i="44"/>
  <c r="C2532" i="44"/>
  <c r="H2064" i="44"/>
  <c r="H2003" i="44"/>
  <c r="E2377" i="44"/>
  <c r="H1954" i="44"/>
  <c r="C2055" i="44"/>
  <c r="C2480" i="44"/>
  <c r="C975" i="44"/>
  <c r="C515" i="44"/>
  <c r="C2482" i="44"/>
  <c r="C1901" i="44"/>
  <c r="E991" i="44"/>
  <c r="E2760" i="44"/>
  <c r="H2060" i="44"/>
  <c r="E2031" i="44"/>
  <c r="C647" i="44"/>
  <c r="E98" i="44"/>
  <c r="H1978" i="44"/>
  <c r="C1071" i="44"/>
  <c r="E2220" i="44"/>
  <c r="C429" i="44"/>
  <c r="E1693" i="44"/>
  <c r="E1833" i="44"/>
  <c r="C409" i="44"/>
  <c r="H3048" i="44"/>
  <c r="E442" i="44"/>
  <c r="E3116" i="44"/>
  <c r="E2036" i="44"/>
  <c r="E516" i="44"/>
  <c r="E219" i="44"/>
  <c r="I187" i="44"/>
  <c r="H3147" i="44"/>
  <c r="H2229" i="44"/>
  <c r="C867" i="44"/>
  <c r="E2137" i="44"/>
  <c r="C3108" i="44"/>
  <c r="C2476" i="44"/>
  <c r="C571" i="44"/>
  <c r="H1609" i="44"/>
  <c r="H2294" i="44"/>
  <c r="C432" i="44"/>
  <c r="E2534" i="44"/>
  <c r="C23" i="44"/>
  <c r="H2758" i="44"/>
  <c r="C1045" i="44"/>
  <c r="C3058" i="44"/>
  <c r="E1703" i="44"/>
  <c r="H2985" i="44"/>
  <c r="C1083" i="44"/>
  <c r="E3084" i="44"/>
  <c r="H1669" i="44"/>
  <c r="E491" i="44"/>
  <c r="C1057" i="44"/>
  <c r="C2886" i="44"/>
  <c r="C446" i="44"/>
  <c r="E199" i="44"/>
  <c r="E369" i="44"/>
  <c r="C1754" i="44"/>
  <c r="C1955" i="44"/>
  <c r="E2207" i="44"/>
  <c r="E2144" i="44"/>
  <c r="E2289" i="44"/>
  <c r="H1861" i="44"/>
  <c r="C2112" i="44"/>
  <c r="E2746" i="44"/>
  <c r="E2067" i="44"/>
  <c r="H2456" i="44"/>
  <c r="E471" i="44"/>
  <c r="E2227" i="44"/>
  <c r="C1015" i="44"/>
  <c r="C3013" i="44"/>
  <c r="C3400" i="44"/>
  <c r="C704" i="44"/>
  <c r="E2339" i="44"/>
  <c r="H2205" i="44"/>
  <c r="H2798" i="44"/>
  <c r="C1894" i="44"/>
  <c r="E1682" i="44"/>
  <c r="E2143" i="44"/>
  <c r="C1982" i="44"/>
  <c r="E1512" i="44"/>
  <c r="C1669" i="44"/>
  <c r="E843" i="44"/>
  <c r="E3394" i="44"/>
  <c r="C336" i="44"/>
  <c r="C2198" i="44"/>
  <c r="H183" i="44"/>
  <c r="C2051" i="44"/>
  <c r="C1848" i="44"/>
  <c r="E2864" i="44"/>
  <c r="C2462" i="44"/>
  <c r="C2723" i="44"/>
  <c r="E3442" i="44"/>
  <c r="C2772" i="44"/>
  <c r="E2100" i="44"/>
  <c r="E504" i="44"/>
  <c r="H2203" i="44"/>
  <c r="E1019" i="44"/>
  <c r="E2269" i="44"/>
  <c r="E466" i="44"/>
  <c r="E942" i="44"/>
  <c r="H209" i="44"/>
  <c r="H1731" i="44"/>
  <c r="I2494" i="44"/>
  <c r="E1713" i="44"/>
  <c r="H2384" i="44"/>
  <c r="E2451" i="44"/>
  <c r="C2357" i="44"/>
  <c r="E342" i="44"/>
  <c r="C3121" i="44"/>
  <c r="C3115" i="44"/>
  <c r="E3378" i="44"/>
  <c r="H2540" i="44"/>
  <c r="E1626" i="44"/>
  <c r="E2612" i="44"/>
  <c r="E1690" i="44"/>
  <c r="C1022" i="44"/>
  <c r="H1818" i="44"/>
  <c r="E1043" i="44"/>
  <c r="C2530" i="44"/>
  <c r="E3023" i="44"/>
  <c r="E2017" i="44"/>
  <c r="C2574" i="44"/>
  <c r="C320" i="44"/>
  <c r="E746" i="44"/>
  <c r="E2785" i="44"/>
  <c r="E2902" i="44"/>
  <c r="H2254" i="44"/>
  <c r="H972" i="44"/>
  <c r="H2779" i="44"/>
  <c r="E1990" i="44"/>
  <c r="C1830" i="44"/>
  <c r="C2009" i="44"/>
  <c r="E2762" i="44"/>
  <c r="H2495" i="44"/>
  <c r="E2300" i="44"/>
  <c r="E1524" i="44"/>
  <c r="H2646" i="44"/>
  <c r="D103" i="3"/>
  <c r="C1729" i="44"/>
  <c r="H3032" i="44"/>
  <c r="E982" i="44"/>
  <c r="E3151" i="44"/>
  <c r="H2629" i="44"/>
  <c r="E1789" i="44"/>
  <c r="H2474" i="44"/>
  <c r="H1806" i="44"/>
  <c r="C2973" i="44"/>
  <c r="H2351" i="44"/>
  <c r="C710" i="44"/>
  <c r="C3098" i="44"/>
  <c r="E2674" i="44"/>
  <c r="H3104" i="44"/>
  <c r="C2664" i="44"/>
  <c r="H2990" i="44"/>
  <c r="E947" i="44"/>
  <c r="E280" i="44"/>
  <c r="C347" i="44"/>
  <c r="E71" i="44"/>
  <c r="E125" i="44"/>
  <c r="E3042" i="44"/>
  <c r="E527" i="44"/>
  <c r="C2547" i="44"/>
  <c r="E18" i="44"/>
  <c r="E354" i="44"/>
  <c r="H2760" i="44"/>
  <c r="H3071" i="44"/>
  <c r="H2611" i="44"/>
  <c r="H1960" i="44"/>
  <c r="C2627" i="44"/>
  <c r="C1938" i="44"/>
  <c r="E2544" i="44"/>
  <c r="H2285" i="44"/>
  <c r="C2470" i="44"/>
  <c r="C2764" i="44"/>
  <c r="E1691" i="44"/>
  <c r="H2475" i="44"/>
  <c r="C1797" i="44"/>
  <c r="E1944" i="44"/>
  <c r="C332" i="44"/>
  <c r="E2201" i="44"/>
  <c r="H3024" i="44"/>
  <c r="C2709" i="44"/>
  <c r="H2772" i="44"/>
  <c r="E1820" i="44"/>
  <c r="E490" i="44"/>
  <c r="E769" i="44"/>
  <c r="H1739" i="44"/>
  <c r="H1679" i="44"/>
  <c r="C5" i="44"/>
  <c r="C3433" i="44"/>
  <c r="E559" i="44"/>
  <c r="H3003" i="44"/>
  <c r="E1030" i="44"/>
  <c r="H2562" i="44"/>
  <c r="C1782" i="44"/>
  <c r="C2145" i="44"/>
  <c r="E401" i="44"/>
  <c r="C2712" i="44"/>
  <c r="C1853" i="44"/>
  <c r="E2983" i="44"/>
  <c r="H2525" i="44"/>
  <c r="E2699" i="44"/>
  <c r="C1967" i="44"/>
  <c r="C2880" i="44"/>
  <c r="H1764" i="44"/>
  <c r="E476" i="44"/>
  <c r="C2268" i="44"/>
  <c r="E1516" i="44"/>
  <c r="E3066" i="44"/>
  <c r="H2014" i="44"/>
  <c r="C1066" i="44"/>
  <c r="H2337" i="44"/>
  <c r="E356" i="44"/>
  <c r="H2628" i="44"/>
  <c r="E2389" i="44"/>
  <c r="H2579" i="44"/>
  <c r="E9" i="44"/>
  <c r="E2298" i="44"/>
  <c r="E897" i="44"/>
  <c r="E1754" i="44"/>
  <c r="E725" i="44"/>
  <c r="E2101" i="44"/>
  <c r="E609" i="44"/>
  <c r="C922" i="44"/>
  <c r="H2544" i="44"/>
  <c r="I189" i="44"/>
  <c r="E2721" i="44"/>
  <c r="C3020" i="44"/>
  <c r="C976" i="44"/>
  <c r="H2459" i="44"/>
  <c r="C2681" i="44"/>
  <c r="E1605" i="44"/>
  <c r="E3058" i="44"/>
  <c r="H2134" i="44"/>
  <c r="H2151" i="44"/>
  <c r="C242" i="44"/>
  <c r="C3018" i="44"/>
  <c r="E2619" i="44"/>
  <c r="C807" i="44"/>
  <c r="H2619" i="44"/>
  <c r="E623" i="44"/>
  <c r="E2847" i="44"/>
  <c r="E3135" i="44"/>
  <c r="C940" i="44"/>
  <c r="E580" i="44"/>
  <c r="I1822" i="44"/>
  <c r="C1758" i="44"/>
  <c r="H2380" i="44"/>
  <c r="H3142" i="44"/>
  <c r="C2789" i="44"/>
  <c r="C2998" i="44"/>
  <c r="E2434" i="44"/>
  <c r="E3061" i="44"/>
  <c r="H2917" i="44"/>
  <c r="H2353" i="44"/>
  <c r="C407" i="44"/>
  <c r="H2175" i="44"/>
  <c r="E2527" i="44"/>
  <c r="E2521" i="44"/>
  <c r="C2577" i="44"/>
  <c r="C1025" i="44"/>
  <c r="E876" i="44"/>
  <c r="H2502" i="44"/>
  <c r="C1926" i="44"/>
  <c r="I2590" i="44"/>
  <c r="C754" i="44"/>
  <c r="I2542" i="44"/>
  <c r="H1749" i="44"/>
  <c r="C3376" i="44"/>
  <c r="C2026" i="44"/>
  <c r="H1684" i="44"/>
  <c r="C390" i="44"/>
  <c r="C2173" i="44"/>
  <c r="H2960" i="44"/>
  <c r="I167" i="44"/>
  <c r="C231" i="44"/>
  <c r="E2136" i="44"/>
  <c r="E649" i="44"/>
  <c r="H1776" i="44"/>
  <c r="E2661" i="44"/>
  <c r="C773" i="44"/>
  <c r="C2775" i="44"/>
  <c r="E263" i="44"/>
  <c r="C329" i="44"/>
  <c r="E475" i="44"/>
  <c r="H2263" i="44"/>
  <c r="C3073" i="44"/>
  <c r="E3155" i="44"/>
  <c r="E187" i="44"/>
  <c r="E2614" i="44"/>
  <c r="C2271" i="44"/>
  <c r="C570" i="44"/>
  <c r="H2095" i="44"/>
  <c r="C2089" i="44"/>
  <c r="C2377" i="44"/>
  <c r="C2501" i="44"/>
  <c r="H2670" i="44"/>
  <c r="C2521" i="44"/>
  <c r="C1795" i="44"/>
  <c r="C789" i="44"/>
  <c r="H2703" i="44"/>
  <c r="H1994" i="44"/>
  <c r="C808" i="44"/>
  <c r="E1004" i="44"/>
  <c r="I2670" i="44"/>
  <c r="E2025" i="44"/>
  <c r="E2295" i="44"/>
  <c r="E3411" i="44"/>
  <c r="I2814" i="44"/>
  <c r="E664" i="44"/>
  <c r="E13" i="44"/>
  <c r="E2091" i="44"/>
  <c r="C76" i="44"/>
  <c r="C2448" i="44"/>
  <c r="H1683" i="44"/>
  <c r="C2706" i="44"/>
  <c r="E777" i="44"/>
  <c r="H2283" i="44"/>
  <c r="C1863" i="44"/>
  <c r="H1851" i="44"/>
  <c r="E547" i="44"/>
  <c r="E3036" i="44"/>
  <c r="C3113" i="44"/>
  <c r="C2035" i="44"/>
  <c r="E2832" i="44"/>
  <c r="E844" i="44"/>
  <c r="E2244" i="44"/>
  <c r="C2595" i="44"/>
  <c r="H2386" i="44"/>
  <c r="H2099" i="44"/>
  <c r="E3159" i="44"/>
  <c r="C3406" i="44"/>
  <c r="I3054" i="44"/>
  <c r="E1738" i="44"/>
  <c r="H1914" i="44"/>
  <c r="C2082" i="44"/>
  <c r="H1676" i="44"/>
  <c r="H2291" i="44"/>
  <c r="H3083" i="44"/>
  <c r="C3066" i="44"/>
  <c r="I2606" i="44"/>
  <c r="E1797" i="44"/>
  <c r="E2443" i="44"/>
  <c r="C1713" i="44"/>
  <c r="C1068" i="44"/>
  <c r="E3434" i="44"/>
  <c r="H1862" i="44"/>
  <c r="E907" i="44"/>
  <c r="C2826" i="44"/>
  <c r="C882" i="44"/>
  <c r="E2397" i="44"/>
  <c r="E2876" i="44"/>
  <c r="H201" i="44"/>
  <c r="E1878" i="44"/>
  <c r="E1890" i="44"/>
  <c r="E1008" i="44"/>
  <c r="E1818" i="44"/>
  <c r="C2311" i="44"/>
  <c r="E1521" i="44"/>
  <c r="E3396" i="44"/>
  <c r="E1921" i="44"/>
  <c r="C3103" i="44"/>
  <c r="E2636" i="44"/>
  <c r="C2159" i="44"/>
  <c r="H2594" i="44"/>
  <c r="C1811" i="44"/>
  <c r="C645" i="44"/>
  <c r="E971" i="44"/>
  <c r="H2811" i="44"/>
  <c r="H2853" i="44"/>
  <c r="H2770" i="44"/>
  <c r="E2084" i="44"/>
  <c r="E2332" i="44"/>
  <c r="E903" i="44"/>
  <c r="E104" i="44"/>
  <c r="C1675" i="44"/>
  <c r="E2368" i="44"/>
  <c r="C1869" i="44"/>
  <c r="E21" i="44"/>
  <c r="E2090" i="44"/>
  <c r="H1649" i="44"/>
  <c r="C3410" i="44"/>
  <c r="C3384" i="44"/>
  <c r="H2074" i="44"/>
  <c r="E1016" i="44"/>
  <c r="C417" i="44"/>
  <c r="H2016" i="44"/>
  <c r="E2552" i="44"/>
  <c r="E142" i="44"/>
  <c r="H2683" i="44"/>
  <c r="H2799" i="44"/>
  <c r="C2359" i="44"/>
  <c r="C1086" i="44"/>
  <c r="C3033" i="44"/>
  <c r="C3109" i="44"/>
  <c r="H1870" i="44"/>
  <c r="H1733" i="44"/>
  <c r="H1686" i="44"/>
  <c r="C845" i="44"/>
  <c r="I147" i="44"/>
  <c r="C1845" i="44"/>
  <c r="H2752" i="44"/>
  <c r="E1035" i="44"/>
  <c r="H1767" i="44"/>
  <c r="E839" i="44"/>
  <c r="H1783" i="44"/>
  <c r="C2875" i="44"/>
  <c r="E3391" i="44"/>
  <c r="H2813" i="44"/>
  <c r="E2089" i="44"/>
  <c r="E842" i="44"/>
  <c r="C3440" i="44"/>
  <c r="E1056" i="44"/>
  <c r="E1069" i="44"/>
  <c r="E2643" i="44"/>
  <c r="H1594" i="44"/>
  <c r="E2906" i="44"/>
  <c r="C2898" i="44"/>
  <c r="C1885" i="44"/>
  <c r="C1974" i="44"/>
  <c r="E258" i="44"/>
  <c r="E479" i="44"/>
  <c r="E2732" i="44"/>
  <c r="H2916" i="44"/>
  <c r="E1843" i="44"/>
  <c r="C616" i="44"/>
  <c r="C895" i="44"/>
  <c r="E381" i="44"/>
  <c r="H2473" i="44"/>
  <c r="E3128" i="44"/>
  <c r="H2538" i="44"/>
  <c r="H2071" i="44"/>
  <c r="E1734" i="44"/>
  <c r="E2532" i="44"/>
  <c r="C2058" i="44"/>
  <c r="H1857" i="44"/>
  <c r="E819" i="44"/>
  <c r="C942" i="44"/>
  <c r="H2403" i="44"/>
  <c r="H191" i="44"/>
  <c r="H2887" i="44"/>
  <c r="C1781" i="44"/>
  <c r="E2164" i="44"/>
  <c r="E2540" i="44"/>
  <c r="H3149" i="44"/>
  <c r="E1038" i="44"/>
  <c r="E3047" i="44"/>
  <c r="H2402" i="44"/>
  <c r="C2417" i="44"/>
  <c r="H2448" i="44"/>
  <c r="C2889" i="44"/>
  <c r="H2428" i="44"/>
  <c r="E2130" i="44"/>
  <c r="C350" i="44"/>
  <c r="H1694" i="44"/>
  <c r="C2662" i="44"/>
  <c r="E578" i="44"/>
  <c r="C3052" i="44"/>
  <c r="C2468" i="44"/>
  <c r="C466" i="44"/>
  <c r="E2138" i="44"/>
  <c r="E2842" i="44"/>
  <c r="H2066" i="44"/>
  <c r="C2853" i="44"/>
  <c r="H3157" i="44"/>
  <c r="H2089" i="44"/>
  <c r="C2239" i="44"/>
  <c r="C2954" i="44"/>
  <c r="C1796" i="44"/>
  <c r="E2592" i="44"/>
  <c r="C1732" i="44"/>
  <c r="E42" i="44"/>
  <c r="C81" i="44"/>
  <c r="H1706" i="44"/>
  <c r="E1858" i="44"/>
  <c r="E2889" i="44"/>
  <c r="E911" i="44"/>
  <c r="E2120" i="44"/>
  <c r="H2922" i="44"/>
  <c r="H2935" i="44"/>
  <c r="E1757" i="44"/>
  <c r="E1860" i="44"/>
  <c r="C2156" i="44"/>
  <c r="C2195" i="44"/>
  <c r="E629" i="44"/>
  <c r="E802" i="44"/>
  <c r="E2808" i="44"/>
  <c r="D106" i="3"/>
  <c r="C902" i="44"/>
  <c r="E3399" i="44"/>
  <c r="H2424" i="44"/>
  <c r="C2064" i="44"/>
  <c r="E1852" i="44"/>
  <c r="C1663" i="44"/>
  <c r="E2774" i="44"/>
  <c r="E63" i="44"/>
  <c r="H2133" i="44"/>
  <c r="C1702" i="44"/>
  <c r="H1652" i="44"/>
  <c r="C2625" i="44"/>
  <c r="E2954" i="44"/>
  <c r="E493" i="44"/>
  <c r="C326" i="44"/>
  <c r="C2267" i="44"/>
  <c r="E2957" i="44"/>
  <c r="C2107" i="44"/>
  <c r="E155" i="44"/>
  <c r="C2811" i="44"/>
  <c r="C869" i="44"/>
  <c r="E415" i="44"/>
  <c r="E359" i="44"/>
  <c r="E2372" i="44"/>
  <c r="C219" i="44"/>
  <c r="H3062" i="44"/>
  <c r="E867" i="44"/>
  <c r="H3097" i="44"/>
  <c r="H3120" i="44"/>
  <c r="H2021" i="44"/>
  <c r="C2466" i="44"/>
  <c r="E1933" i="44"/>
  <c r="E904" i="44"/>
  <c r="C1976" i="44"/>
  <c r="H2620" i="44"/>
  <c r="C1954" i="44"/>
  <c r="E1541" i="44"/>
  <c r="E2658" i="44"/>
  <c r="H2983" i="44"/>
  <c r="C951" i="44"/>
  <c r="E1919" i="44"/>
  <c r="H1968" i="44"/>
  <c r="E353" i="44"/>
  <c r="C2846" i="44"/>
  <c r="C2219" i="44"/>
  <c r="E1971" i="44"/>
  <c r="C1929" i="44"/>
  <c r="E1915" i="44"/>
  <c r="E2007" i="44"/>
  <c r="E264" i="44"/>
  <c r="E1819" i="44"/>
  <c r="C323" i="44"/>
  <c r="E2469" i="44"/>
  <c r="C3021" i="44"/>
  <c r="C2212" i="44"/>
  <c r="C422" i="44"/>
  <c r="C2752" i="44"/>
  <c r="C585" i="44"/>
  <c r="H2159" i="44"/>
  <c r="C2491" i="44"/>
  <c r="C221" i="44"/>
  <c r="C2760" i="44"/>
  <c r="H2452" i="44"/>
  <c r="C1136" i="44"/>
  <c r="C139" i="44"/>
  <c r="C313" i="44"/>
  <c r="E2682" i="44"/>
  <c r="E791" i="44"/>
  <c r="E2393" i="44"/>
  <c r="C3122" i="44"/>
  <c r="C758" i="44"/>
  <c r="K1135" i="44"/>
  <c r="E840" i="44"/>
  <c r="H2773" i="44"/>
  <c r="C1661" i="44"/>
  <c r="E1517" i="44"/>
  <c r="H2920" i="44"/>
  <c r="E1696" i="44"/>
  <c r="C3038" i="44"/>
  <c r="H2315" i="44"/>
  <c r="E2565" i="44"/>
  <c r="H1933" i="44"/>
  <c r="H2150" i="44"/>
  <c r="E984" i="44"/>
  <c r="C2367" i="44"/>
  <c r="H1793" i="44"/>
  <c r="E2075" i="44"/>
  <c r="E514" i="44"/>
  <c r="C2953" i="44"/>
  <c r="E2650" i="44"/>
  <c r="E536" i="44"/>
  <c r="C2767" i="44"/>
  <c r="C2364" i="44"/>
  <c r="C2404" i="44"/>
  <c r="H3126" i="44"/>
  <c r="C3453" i="44"/>
  <c r="I1854" i="44"/>
  <c r="C423" i="44"/>
  <c r="E53" i="44"/>
  <c r="E3127" i="44"/>
  <c r="C2266" i="44"/>
  <c r="E563" i="44"/>
  <c r="E2669" i="44"/>
  <c r="H2829" i="44"/>
  <c r="H2438" i="44"/>
  <c r="E2294" i="44"/>
  <c r="C2782" i="44"/>
  <c r="E577" i="44"/>
  <c r="C724" i="44"/>
  <c r="C2361" i="44"/>
  <c r="C1808" i="44"/>
  <c r="E3028" i="44"/>
  <c r="H2518" i="44"/>
  <c r="C2442" i="44"/>
  <c r="H1963" i="44"/>
  <c r="H3060" i="44"/>
  <c r="H1635" i="44"/>
  <c r="I2558" i="44"/>
  <c r="H2086" i="44"/>
  <c r="C931" i="44"/>
  <c r="H2289" i="44"/>
  <c r="E2907" i="44"/>
  <c r="E1637" i="44"/>
  <c r="C640" i="44"/>
  <c r="E139" i="44"/>
  <c r="E465" i="44"/>
  <c r="C2704" i="44"/>
  <c r="E3014" i="44"/>
  <c r="E2823" i="44"/>
  <c r="H1906" i="44"/>
  <c r="E1983" i="44"/>
  <c r="H1943" i="44"/>
  <c r="C788" i="44"/>
  <c r="E862" i="44"/>
  <c r="C2726" i="44"/>
  <c r="E2639" i="44"/>
  <c r="C140" i="44"/>
  <c r="E1863" i="44"/>
  <c r="H2679" i="44"/>
  <c r="E1077" i="44"/>
  <c r="E2009" i="44"/>
  <c r="C636" i="44"/>
  <c r="H1838" i="44"/>
  <c r="E2770" i="44"/>
  <c r="E2825" i="44"/>
  <c r="I2910" i="44"/>
  <c r="H2911" i="44"/>
  <c r="E1671" i="44"/>
  <c r="H1842" i="44"/>
  <c r="C303" i="44"/>
  <c r="E371" i="44"/>
  <c r="C2015" i="44"/>
  <c r="C1625" i="44"/>
  <c r="C2454" i="44"/>
  <c r="H2919" i="44"/>
  <c r="H1850" i="44"/>
  <c r="E2756" i="44"/>
  <c r="C384" i="44"/>
  <c r="C473" i="44"/>
  <c r="C697" i="44"/>
  <c r="E2333" i="44"/>
  <c r="H1877" i="44"/>
  <c r="C30" i="44"/>
  <c r="I2638" i="44"/>
  <c r="C2038" i="44"/>
  <c r="C2975" i="44"/>
  <c r="C2096" i="44"/>
  <c r="E951" i="44"/>
  <c r="E77" i="44"/>
  <c r="C1960" i="44"/>
  <c r="C2550" i="44"/>
  <c r="E1548" i="44"/>
  <c r="C817" i="44"/>
  <c r="E2803" i="44"/>
  <c r="E1087" i="44"/>
  <c r="E339" i="44"/>
  <c r="H2101" i="44"/>
  <c r="C2137" i="44"/>
  <c r="H2004" i="44"/>
  <c r="E90" i="44"/>
  <c r="C980" i="44"/>
  <c r="E2981" i="44"/>
  <c r="E2479" i="44"/>
  <c r="H3111" i="44"/>
  <c r="C1897" i="44"/>
  <c r="H2963" i="44"/>
  <c r="H2187" i="44"/>
  <c r="H2215" i="44"/>
  <c r="E2425" i="44"/>
  <c r="C2558" i="44"/>
  <c r="C1645" i="44"/>
  <c r="C945" i="44"/>
  <c r="H2087" i="44"/>
  <c r="C10" i="44"/>
  <c r="H3035" i="44"/>
  <c r="E2915" i="44"/>
  <c r="C2456" i="44"/>
  <c r="C2849" i="44"/>
  <c r="C2561" i="44"/>
  <c r="E2945" i="44"/>
  <c r="C3159" i="44"/>
  <c r="H2261" i="44"/>
  <c r="C2455" i="44"/>
  <c r="C688" i="44"/>
  <c r="E453" i="44"/>
  <c r="C2362" i="44"/>
  <c r="C3133" i="44"/>
  <c r="C2878" i="44"/>
  <c r="H2556" i="44"/>
  <c r="C2985" i="44"/>
  <c r="E2625" i="44"/>
  <c r="H2545" i="44"/>
  <c r="E2695" i="44"/>
  <c r="C2252" i="44"/>
  <c r="C2718" i="44"/>
  <c r="H1997" i="44"/>
  <c r="C3140" i="44"/>
  <c r="C1536" i="44"/>
  <c r="E2381" i="44"/>
  <c r="E1642" i="44"/>
  <c r="C369" i="44"/>
  <c r="C2496" i="44"/>
  <c r="H2678" i="44"/>
  <c r="E2923" i="44"/>
  <c r="H3128" i="44"/>
  <c r="E1995" i="44"/>
  <c r="E996" i="44"/>
  <c r="E2554" i="44"/>
  <c r="E2168" i="44"/>
  <c r="C1622" i="44"/>
  <c r="E3453" i="44"/>
  <c r="E1053" i="44"/>
  <c r="H1773" i="44"/>
  <c r="E1973" i="44"/>
  <c r="I151" i="44"/>
  <c r="C2162" i="44"/>
  <c r="C1975" i="44"/>
  <c r="E1883" i="44"/>
  <c r="E1514" i="44"/>
  <c r="C2762" i="44"/>
  <c r="C2067" i="44"/>
  <c r="C319" i="44"/>
  <c r="C2589" i="44"/>
  <c r="H3163" i="44"/>
  <c r="H2563" i="44"/>
  <c r="E1533" i="44"/>
  <c r="C1771" i="44"/>
  <c r="C1634" i="44"/>
  <c r="H2276" i="44"/>
  <c r="E107" i="44"/>
  <c r="E768" i="44"/>
  <c r="C856" i="44"/>
  <c r="E424" i="44"/>
  <c r="E2257" i="44"/>
  <c r="E1091" i="44"/>
  <c r="E760" i="44"/>
  <c r="H2193" i="44"/>
  <c r="C438" i="44"/>
  <c r="C1658" i="44"/>
  <c r="C2986" i="44"/>
  <c r="H2492" i="44"/>
  <c r="E137" i="44"/>
  <c r="E357" i="44"/>
  <c r="E330" i="44"/>
  <c r="C1653" i="44"/>
  <c r="E311" i="44"/>
  <c r="E1583" i="44"/>
  <c r="C2948" i="44"/>
  <c r="E488" i="44"/>
  <c r="C3154" i="44"/>
  <c r="E2172" i="44"/>
  <c r="C1608" i="44"/>
  <c r="E848" i="44"/>
  <c r="H1650" i="44"/>
  <c r="E2012" i="44"/>
  <c r="C3024" i="44"/>
  <c r="H1621" i="44"/>
  <c r="C2531" i="44"/>
  <c r="H2252" i="44"/>
  <c r="E946" i="44"/>
  <c r="H2973" i="44"/>
  <c r="H1584" i="44"/>
  <c r="E2716" i="44"/>
  <c r="E788" i="44"/>
  <c r="E2189" i="44"/>
  <c r="C1725" i="44"/>
  <c r="E2229" i="44"/>
  <c r="C2629" i="44"/>
  <c r="C1029" i="44"/>
  <c r="E1695" i="44"/>
  <c r="C2628" i="44"/>
  <c r="H2630" i="44"/>
  <c r="E220" i="44"/>
  <c r="C2085" i="44"/>
  <c r="E3099" i="44"/>
  <c r="C1730" i="44"/>
  <c r="E2848" i="44"/>
  <c r="E823" i="44"/>
  <c r="C2926" i="44"/>
  <c r="C2552" i="44"/>
  <c r="E2799" i="44"/>
  <c r="C3153" i="44"/>
  <c r="C2014" i="44"/>
  <c r="H2308" i="44"/>
  <c r="C436" i="44"/>
  <c r="H1919" i="44"/>
  <c r="E557" i="44"/>
  <c r="E2629" i="44"/>
  <c r="C1747" i="44"/>
  <c r="E30" i="44"/>
  <c r="E1702" i="44"/>
  <c r="E1931" i="44"/>
  <c r="C673" i="44"/>
  <c r="H2884" i="44"/>
  <c r="C2626" i="44"/>
  <c r="E2310" i="44"/>
  <c r="H1789" i="44"/>
  <c r="C2355" i="44"/>
  <c r="E20" i="44"/>
  <c r="E408" i="44"/>
  <c r="E2085" i="44"/>
  <c r="E1737" i="44"/>
  <c r="C2669" i="44"/>
  <c r="E3383" i="44"/>
  <c r="E2788" i="44"/>
  <c r="E1855" i="44"/>
  <c r="E2020" i="44"/>
  <c r="I171" i="44"/>
  <c r="C2524" i="44"/>
  <c r="C2205" i="44"/>
  <c r="H3141" i="44"/>
  <c r="E3124" i="44"/>
  <c r="E2844" i="44"/>
  <c r="C2563" i="44"/>
  <c r="H2806" i="44"/>
  <c r="E636" i="44"/>
  <c r="C513" i="44"/>
  <c r="C2976" i="44"/>
  <c r="E2159" i="44"/>
  <c r="C355" i="44"/>
  <c r="E1914" i="44"/>
  <c r="C2090" i="44"/>
  <c r="C2621" i="44"/>
  <c r="C3005" i="44"/>
  <c r="H1634" i="44"/>
  <c r="E1777" i="44"/>
  <c r="H2174" i="44"/>
  <c r="E652" i="44"/>
  <c r="E748" i="44"/>
  <c r="E2225" i="44"/>
  <c r="C2848" i="44"/>
  <c r="C3072" i="44"/>
  <c r="C104" i="44"/>
  <c r="C2740" i="44"/>
  <c r="E1659" i="44"/>
  <c r="E81" i="44"/>
  <c r="E2647" i="44"/>
  <c r="C783" i="44"/>
  <c r="E1722" i="44"/>
  <c r="H2994" i="44"/>
  <c r="E111" i="44"/>
  <c r="E2817" i="44"/>
  <c r="E2133" i="44"/>
  <c r="E382" i="44"/>
  <c r="E2933" i="44"/>
  <c r="E837" i="44"/>
  <c r="E847" i="44"/>
  <c r="E195" i="44"/>
  <c r="C1079" i="44"/>
  <c r="E1869" i="44"/>
  <c r="C1659" i="44"/>
  <c r="C2646" i="44"/>
  <c r="C1944" i="44"/>
  <c r="E820" i="44"/>
  <c r="C2913" i="44"/>
  <c r="C3027" i="44"/>
  <c r="C2711" i="44"/>
  <c r="H2336" i="44"/>
  <c r="H3129" i="44"/>
  <c r="E1794" i="44"/>
  <c r="H2631" i="44"/>
  <c r="C874" i="44"/>
  <c r="E970" i="44"/>
  <c r="H2822" i="44"/>
  <c r="E221" i="44"/>
  <c r="E459" i="44"/>
  <c r="C1977" i="44"/>
  <c r="E2941" i="44"/>
  <c r="C7" i="44"/>
  <c r="C548" i="44"/>
  <c r="H2423" i="44"/>
  <c r="E3002" i="44"/>
  <c r="C1731" i="44"/>
  <c r="H2325" i="44"/>
  <c r="H2959" i="44"/>
  <c r="C686" i="44"/>
  <c r="E893" i="44"/>
  <c r="C403" i="44"/>
  <c r="E1821" i="44"/>
  <c r="C103" i="44"/>
  <c r="H1718" i="44"/>
  <c r="C2343" i="44"/>
  <c r="E2576" i="44"/>
  <c r="E3090" i="44"/>
  <c r="H2805" i="44"/>
  <c r="H3087" i="44"/>
  <c r="I2238" i="44"/>
  <c r="E2426" i="44"/>
  <c r="H3013" i="44"/>
  <c r="E1856" i="44"/>
  <c r="C92" i="44"/>
  <c r="C3395" i="44"/>
  <c r="C2472" i="44"/>
  <c r="E555" i="44"/>
  <c r="E2528" i="44"/>
  <c r="H2359" i="44"/>
  <c r="E2401" i="44"/>
  <c r="H2906" i="44"/>
  <c r="C1826" i="44"/>
  <c r="E3011" i="44"/>
  <c r="E1943" i="44"/>
  <c r="E1595" i="44"/>
  <c r="H1900" i="44"/>
  <c r="E1936" i="44"/>
  <c r="H2816" i="44"/>
  <c r="C873" i="44"/>
  <c r="E1612" i="44"/>
  <c r="C377" i="44"/>
  <c r="C2044" i="44"/>
  <c r="H2876" i="44"/>
  <c r="C1657" i="44"/>
  <c r="C1628" i="44"/>
  <c r="H2552" i="44"/>
  <c r="C2352" i="44"/>
  <c r="E2369" i="44"/>
  <c r="E8" i="44"/>
  <c r="H1753" i="44"/>
  <c r="E2753" i="44"/>
  <c r="C490" i="44"/>
  <c r="C1907" i="44"/>
  <c r="E1746" i="44"/>
  <c r="E281" i="44"/>
  <c r="E1717" i="44"/>
  <c r="C1023" i="44"/>
  <c r="E826" i="44"/>
  <c r="E24" i="44"/>
  <c r="E2438" i="44"/>
  <c r="C2023" i="44"/>
  <c r="C2631" i="44"/>
  <c r="C2968" i="44"/>
  <c r="C3398" i="44"/>
  <c r="E3131" i="44"/>
  <c r="C142" i="44"/>
  <c r="C1776" i="44"/>
  <c r="E2320" i="44"/>
  <c r="H1627" i="44"/>
  <c r="E2275" i="44"/>
  <c r="E507" i="44"/>
  <c r="H1882" i="44"/>
  <c r="H1934" i="44"/>
  <c r="C2012" i="44"/>
  <c r="E2185" i="44"/>
  <c r="H2666" i="44"/>
  <c r="C1778" i="44"/>
  <c r="C2171" i="44"/>
  <c r="C753" i="44"/>
  <c r="H3091" i="44"/>
  <c r="H2425" i="44"/>
  <c r="E2051" i="44"/>
  <c r="C489" i="44"/>
  <c r="C674" i="44"/>
  <c r="C2474" i="44"/>
  <c r="E1779" i="44"/>
  <c r="H2504" i="44"/>
  <c r="E2057" i="44"/>
  <c r="C852" i="44"/>
  <c r="E2243" i="44"/>
  <c r="H3102" i="44"/>
  <c r="C2840" i="44"/>
  <c r="E1059" i="44"/>
  <c r="H2923" i="44"/>
  <c r="C1775" i="44"/>
  <c r="H932" i="44"/>
  <c r="E1747" i="44"/>
  <c r="C512" i="44"/>
  <c r="E1655" i="44"/>
  <c r="H1716" i="44"/>
  <c r="E26" i="44"/>
  <c r="E2240" i="44"/>
  <c r="E2564" i="44"/>
  <c r="C3378" i="44"/>
  <c r="E1970" i="44"/>
  <c r="H2344" i="44"/>
  <c r="E2234" i="44"/>
  <c r="C1973" i="44"/>
  <c r="H2301" i="44"/>
  <c r="C3053" i="44"/>
  <c r="E244" i="44"/>
  <c r="C1651" i="44"/>
  <c r="H2704" i="44"/>
  <c r="H2747" i="44"/>
  <c r="H1636" i="44"/>
  <c r="E1685" i="44"/>
  <c r="E733" i="44"/>
  <c r="E3048" i="44"/>
  <c r="E2104" i="44"/>
  <c r="H2602" i="44"/>
  <c r="H1866" i="44"/>
  <c r="C2135" i="44"/>
  <c r="C1009" i="44"/>
  <c r="E607" i="44"/>
  <c r="E2786" i="44"/>
  <c r="E1899" i="44"/>
  <c r="E2064" i="44"/>
  <c r="E2215" i="44"/>
  <c r="E1827" i="44"/>
  <c r="H2596" i="44"/>
  <c r="E1085" i="44"/>
  <c r="E1518" i="44"/>
  <c r="C780" i="44"/>
  <c r="E633" i="44"/>
  <c r="C2833" i="44"/>
  <c r="E2587" i="44"/>
  <c r="C862" i="44"/>
  <c r="E3050" i="44"/>
  <c r="H2471" i="44"/>
  <c r="H2667" i="44"/>
  <c r="H1999" i="44"/>
  <c r="E974" i="44"/>
  <c r="C2671" i="44"/>
  <c r="E628" i="44"/>
  <c r="E2880" i="44"/>
  <c r="C784" i="44"/>
  <c r="C2123" i="44"/>
  <c r="E486" i="44"/>
  <c r="H1638" i="44"/>
  <c r="E2419" i="44"/>
  <c r="H2950" i="44"/>
  <c r="E427" i="44"/>
  <c r="H2408" i="44"/>
  <c r="E2465" i="44"/>
  <c r="C3148" i="44"/>
  <c r="C762" i="44"/>
  <c r="H1790" i="44"/>
  <c r="C2572" i="44"/>
  <c r="C2509" i="44"/>
  <c r="C383" i="44"/>
  <c r="H2680" i="44"/>
  <c r="H2433" i="44"/>
  <c r="E1840" i="44"/>
  <c r="H2788" i="44"/>
  <c r="H971" i="44"/>
  <c r="H1941" i="44"/>
  <c r="H2126" i="44"/>
  <c r="C1684" i="44"/>
  <c r="E1814" i="44"/>
  <c r="E1661" i="44"/>
  <c r="E425" i="44"/>
  <c r="C379" i="44"/>
  <c r="E2211" i="44"/>
  <c r="H1985" i="44"/>
  <c r="E2662" i="44"/>
  <c r="C2322" i="44"/>
  <c r="H1977" i="44"/>
  <c r="C59" i="44"/>
  <c r="C720" i="44"/>
  <c r="C1635" i="44"/>
  <c r="E1938" i="44"/>
  <c r="C2902" i="44"/>
  <c r="C2445" i="44"/>
  <c r="H1918" i="44"/>
  <c r="C1842" i="44"/>
  <c r="H1893" i="44"/>
  <c r="E798" i="44"/>
  <c r="C777" i="44"/>
  <c r="E556" i="44"/>
  <c r="C3092" i="44"/>
  <c r="C3101" i="44"/>
  <c r="I2094" i="44"/>
  <c r="E2956" i="44"/>
  <c r="E2250" i="44"/>
  <c r="C3419" i="44"/>
  <c r="E2018" i="44"/>
  <c r="C2751" i="44"/>
  <c r="H2831" i="44"/>
  <c r="E435" i="44"/>
  <c r="C78" i="44"/>
  <c r="C536" i="44"/>
  <c r="C731" i="44"/>
  <c r="C1540" i="44"/>
  <c r="H2382" i="44"/>
  <c r="C2193" i="44"/>
  <c r="C2253" i="44"/>
  <c r="E6" i="44"/>
  <c r="H3014" i="44"/>
  <c r="H2586" i="44"/>
  <c r="E2758" i="44"/>
  <c r="C3134" i="44"/>
  <c r="C2544" i="44"/>
  <c r="E1705" i="44"/>
  <c r="C712" i="44"/>
  <c r="H2032" i="44"/>
  <c r="C610" i="44"/>
  <c r="E2364" i="44"/>
  <c r="H2553" i="44"/>
  <c r="E550" i="44"/>
  <c r="H969" i="44"/>
  <c r="H1637" i="44"/>
  <c r="E3418" i="44"/>
  <c r="C865" i="44"/>
  <c r="C1048" i="44"/>
  <c r="E426" i="44"/>
  <c r="E2509" i="44"/>
  <c r="E116" i="44"/>
  <c r="E818" i="44"/>
  <c r="C476" i="44"/>
  <c r="H2240" i="44"/>
  <c r="E1978" i="44"/>
  <c r="H1839" i="44"/>
  <c r="E590" i="44"/>
  <c r="C15" i="44"/>
  <c r="C835" i="44"/>
  <c r="C2725" i="44"/>
  <c r="H2211" i="44"/>
  <c r="E945" i="44"/>
  <c r="H2356" i="44"/>
  <c r="E446" i="44"/>
  <c r="C97" i="44"/>
  <c r="E2829" i="44"/>
  <c r="H1795" i="44"/>
  <c r="E931" i="44"/>
  <c r="H3123" i="44"/>
  <c r="E1024" i="44"/>
  <c r="H979" i="44"/>
  <c r="H2270" i="44"/>
  <c r="H2710" i="44"/>
  <c r="E3130" i="44"/>
  <c r="H2167" i="44"/>
  <c r="H1693" i="44"/>
  <c r="C594" i="44"/>
  <c r="C1529" i="44"/>
  <c r="E2899" i="44"/>
  <c r="E464" i="44"/>
  <c r="C3029" i="44"/>
  <c r="C3439" i="44"/>
  <c r="C1815" i="44"/>
  <c r="E1065" i="44"/>
  <c r="E1743" i="44"/>
  <c r="E1952" i="44"/>
  <c r="H1814" i="44"/>
  <c r="H2096" i="44"/>
  <c r="E3029" i="44"/>
  <c r="C2731" i="44"/>
  <c r="C2622" i="44"/>
  <c r="H2001" i="44"/>
  <c r="C994" i="44"/>
  <c r="C2139" i="44"/>
  <c r="H3085" i="44"/>
  <c r="E3407" i="44"/>
  <c r="H1924" i="44"/>
  <c r="C1644" i="44"/>
  <c r="C2716" i="44"/>
  <c r="E2679" i="44"/>
  <c r="H2975" i="44"/>
  <c r="E2543" i="44"/>
  <c r="E797" i="44"/>
  <c r="H2761" i="44"/>
  <c r="H2807" i="44"/>
  <c r="E2441" i="44"/>
  <c r="H2685" i="44"/>
  <c r="E731" i="44"/>
  <c r="C844" i="44"/>
  <c r="E764" i="44"/>
  <c r="E3379" i="44"/>
  <c r="C932" i="44"/>
  <c r="H2955" i="44"/>
  <c r="C2895" i="44"/>
  <c r="C2181" i="44"/>
  <c r="E2621" i="44"/>
  <c r="H2999" i="44"/>
  <c r="E246" i="44"/>
  <c r="H2694" i="44"/>
  <c r="E1897" i="44"/>
  <c r="C469" i="44"/>
  <c r="H3131" i="44"/>
  <c r="H1721" i="44"/>
  <c r="C2141" i="44"/>
  <c r="C2619" i="44"/>
  <c r="E930" i="44"/>
  <c r="E2086" i="44"/>
  <c r="C837" i="44"/>
  <c r="E153" i="44"/>
  <c r="C381" i="44"/>
  <c r="C692" i="44"/>
  <c r="H3164" i="44"/>
  <c r="H2388" i="44"/>
  <c r="E2112" i="44"/>
  <c r="C2444" i="44"/>
  <c r="C2307" i="44"/>
  <c r="C526" i="44"/>
  <c r="E595" i="44"/>
  <c r="C2187" i="44"/>
  <c r="H2185" i="44"/>
  <c r="E265" i="44"/>
  <c r="C550" i="44"/>
  <c r="C1798" i="44"/>
  <c r="C854" i="44"/>
  <c r="H1885" i="44"/>
  <c r="E1736" i="44"/>
  <c r="E2604" i="44"/>
  <c r="C2397" i="44"/>
  <c r="C971" i="44"/>
  <c r="H1939" i="44"/>
  <c r="E1708" i="44"/>
  <c r="E2571" i="44"/>
  <c r="H2443" i="44"/>
  <c r="E1873" i="44"/>
  <c r="H2345" i="44"/>
  <c r="H2378" i="44"/>
  <c r="H2561" i="44"/>
  <c r="E699" i="44"/>
  <c r="E1688" i="44"/>
  <c r="E975" i="44"/>
  <c r="H2166" i="44"/>
  <c r="E943" i="44"/>
  <c r="C3081" i="44"/>
  <c r="E994" i="44"/>
  <c r="H2457" i="44"/>
  <c r="H2921" i="44"/>
  <c r="H2926" i="44"/>
  <c r="C3413" i="44"/>
  <c r="H2992" i="44"/>
  <c r="E1061" i="44"/>
  <c r="C2425" i="44"/>
  <c r="C2076" i="44"/>
  <c r="E3158" i="44"/>
  <c r="C1753" i="44"/>
  <c r="E1963" i="44"/>
  <c r="H2389" i="44"/>
  <c r="H1823" i="44"/>
  <c r="E2763" i="44"/>
  <c r="H2961" i="44"/>
  <c r="C2746" i="44"/>
  <c r="C2360" i="44"/>
  <c r="C2819" i="44"/>
  <c r="C2452" i="44"/>
  <c r="E2514" i="44"/>
  <c r="C1706" i="44"/>
  <c r="C2502" i="44"/>
  <c r="H1855" i="44"/>
  <c r="H2186" i="44"/>
  <c r="C657" i="44"/>
  <c r="H2581" i="44"/>
  <c r="H2534" i="44"/>
  <c r="E2273" i="44"/>
  <c r="C2539" i="44"/>
  <c r="E136" i="44"/>
  <c r="E3147" i="44"/>
  <c r="C360" i="44"/>
  <c r="E854" i="44"/>
  <c r="E241" i="44"/>
  <c r="H205" i="44"/>
  <c r="E181" i="44"/>
  <c r="H2890" i="44"/>
  <c r="H2182" i="44"/>
  <c r="H2505" i="44"/>
  <c r="C2453" i="44"/>
  <c r="H2180" i="44"/>
  <c r="H2599" i="44"/>
  <c r="H2232" i="44"/>
  <c r="C629" i="44"/>
  <c r="C2695" i="44"/>
  <c r="C2608" i="44"/>
  <c r="H3098" i="44"/>
  <c r="C540" i="44"/>
  <c r="C1081" i="44"/>
  <c r="C2483" i="44"/>
  <c r="E2600" i="44"/>
  <c r="H2499" i="44"/>
  <c r="E1089" i="44"/>
  <c r="H2740" i="44"/>
  <c r="H1779" i="44"/>
  <c r="C1930" i="44"/>
  <c r="C1650" i="44"/>
  <c r="E2464" i="44"/>
  <c r="C694" i="44"/>
  <c r="E702" i="44"/>
  <c r="C2408" i="44"/>
  <c r="C420" i="44"/>
  <c r="E714" i="44"/>
  <c r="C1833" i="44"/>
  <c r="H2641" i="44"/>
  <c r="C968" i="44"/>
  <c r="D112" i="3"/>
  <c r="C986" i="44"/>
  <c r="E2962" i="44"/>
  <c r="C2440" i="44"/>
  <c r="E95" i="44"/>
  <c r="H2521" i="44"/>
  <c r="H2726" i="44"/>
  <c r="E836" i="44"/>
  <c r="H2110" i="44"/>
  <c r="E2572" i="44"/>
  <c r="C2098" i="44"/>
  <c r="C2802" i="44"/>
  <c r="H3073" i="44"/>
  <c r="C576" i="44"/>
  <c r="C2427" i="44"/>
  <c r="C855" i="44"/>
  <c r="I2462" i="44"/>
  <c r="E2706" i="44"/>
  <c r="E1083" i="44"/>
  <c r="H3077" i="44"/>
  <c r="E2630" i="44"/>
  <c r="H2005" i="44"/>
  <c r="E2486" i="44"/>
  <c r="C1964" i="44"/>
  <c r="H2494" i="44"/>
  <c r="C2154" i="44"/>
  <c r="C348" i="44"/>
  <c r="C2688" i="44"/>
  <c r="E3142" i="44"/>
  <c r="H2312" i="44"/>
  <c r="E3398" i="44"/>
  <c r="C427" i="44"/>
  <c r="E323" i="44"/>
  <c r="H2250" i="44"/>
  <c r="E2262" i="44"/>
  <c r="H2409" i="44"/>
  <c r="H2485" i="44"/>
  <c r="E361" i="44"/>
  <c r="C3000" i="44"/>
  <c r="C1769" i="44"/>
  <c r="H2332" i="44"/>
  <c r="E2512" i="44"/>
  <c r="H1976" i="44"/>
  <c r="H2542" i="44"/>
  <c r="H1961" i="44"/>
  <c r="C481" i="44"/>
  <c r="C1718" i="44"/>
  <c r="H2377" i="44"/>
  <c r="H2914" i="44"/>
  <c r="E2500" i="44"/>
  <c r="C1586" i="44"/>
  <c r="E1986" i="44"/>
  <c r="E1976" i="44"/>
  <c r="I1934" i="44"/>
  <c r="C8" i="44"/>
  <c r="C2024" i="44"/>
  <c r="C658" i="44"/>
  <c r="C979" i="44"/>
  <c r="C1783" i="44"/>
  <c r="E485" i="44"/>
  <c r="C2068" i="44"/>
  <c r="H2274" i="44"/>
  <c r="C821" i="44"/>
  <c r="C2633" i="44"/>
  <c r="E1767" i="44"/>
  <c r="E3015" i="44"/>
  <c r="C11" i="44"/>
  <c r="H2481" i="44"/>
  <c r="H2115" i="44"/>
  <c r="E259" i="44"/>
  <c r="C764" i="44"/>
  <c r="C2564" i="44"/>
  <c r="E785" i="44"/>
  <c r="E2963" i="44"/>
  <c r="E1908" i="44"/>
  <c r="E2233" i="44"/>
  <c r="C642" i="44"/>
  <c r="H2731" i="44"/>
  <c r="E302" i="44"/>
  <c r="E1658" i="44"/>
  <c r="E784" i="44"/>
  <c r="H2370" i="44"/>
  <c r="E2729" i="44"/>
  <c r="H1725" i="44"/>
  <c r="I2846" i="44"/>
  <c r="C375" i="44"/>
  <c r="I2622" i="44"/>
  <c r="H1754" i="44"/>
  <c r="E2470" i="44"/>
  <c r="C434" i="44"/>
  <c r="E3422" i="44"/>
  <c r="C977" i="44"/>
  <c r="C2396" i="44"/>
  <c r="E2306" i="44"/>
  <c r="E2970" i="44"/>
  <c r="C790" i="44"/>
  <c r="C598" i="44"/>
  <c r="E2649" i="44"/>
  <c r="H1983" i="44"/>
  <c r="E1942" i="44"/>
  <c r="E669" i="44"/>
  <c r="E530" i="44"/>
  <c r="C2475" i="44"/>
  <c r="C2887" i="44"/>
  <c r="C2937" i="44"/>
  <c r="H2915" i="44"/>
  <c r="C1741" i="44"/>
  <c r="E1052" i="44"/>
  <c r="H929" i="44"/>
  <c r="C368" i="44"/>
  <c r="H2118" i="44"/>
  <c r="E762" i="44"/>
  <c r="H3133" i="44"/>
  <c r="C3001" i="44"/>
  <c r="E2938" i="44"/>
  <c r="E988" i="44"/>
  <c r="C1959" i="44"/>
  <c r="E447" i="44"/>
  <c r="E910" i="44"/>
  <c r="E521" i="44"/>
  <c r="C831" i="44"/>
  <c r="C2368" i="44"/>
  <c r="C2753" i="44"/>
  <c r="C1794" i="44"/>
  <c r="E437" i="44"/>
  <c r="C40" i="44"/>
  <c r="C1913" i="44"/>
  <c r="H2467" i="44"/>
  <c r="H1975" i="44"/>
  <c r="E2223" i="44"/>
  <c r="E2213" i="44"/>
  <c r="H3146" i="44"/>
  <c r="H189" i="44"/>
  <c r="E3076" i="44"/>
  <c r="E2129" i="44"/>
  <c r="C2615" i="44"/>
  <c r="E1752" i="44"/>
  <c r="C2130" i="44"/>
  <c r="I195" i="44"/>
  <c r="E795" i="44"/>
  <c r="E2982" i="44"/>
  <c r="E775" i="44"/>
  <c r="H2789" i="44"/>
  <c r="C1596" i="44"/>
  <c r="H161" i="44"/>
  <c r="E91" i="44"/>
  <c r="E2097" i="44"/>
  <c r="E759" i="44"/>
  <c r="C506" i="44"/>
  <c r="H2210" i="44"/>
  <c r="C681" i="44"/>
  <c r="E3089" i="44"/>
  <c r="C2218" i="44"/>
  <c r="H2082" i="44"/>
  <c r="H1993" i="44"/>
  <c r="H1884" i="44"/>
  <c r="E2675" i="44"/>
  <c r="C2605" i="44"/>
  <c r="H2885" i="44"/>
  <c r="E2593" i="44"/>
  <c r="E1803" i="44"/>
  <c r="C2523" i="44"/>
  <c r="C2715" i="44"/>
  <c r="H1840" i="44"/>
  <c r="E2390" i="44"/>
  <c r="H2394" i="44"/>
  <c r="H2083" i="44"/>
  <c r="C2078" i="44"/>
  <c r="E2668" i="44"/>
  <c r="C2066" i="44"/>
  <c r="C428" i="44"/>
  <c r="I1694" i="44"/>
  <c r="H2106" i="44"/>
  <c r="H3033" i="44"/>
  <c r="C756" i="44"/>
  <c r="H1952" i="44"/>
  <c r="E2556" i="44"/>
  <c r="E2535" i="44"/>
  <c r="C2951" i="44"/>
  <c r="E2917" i="44"/>
  <c r="C1734" i="44"/>
  <c r="H2878" i="44"/>
  <c r="C693" i="44"/>
  <c r="C1582" i="44"/>
  <c r="C1827" i="44"/>
  <c r="C1549" i="44"/>
  <c r="E1036" i="44"/>
  <c r="C2232" i="44"/>
  <c r="E2885" i="44"/>
  <c r="E2919" i="44"/>
  <c r="E573" i="44"/>
  <c r="H151" i="44"/>
  <c r="C2847" i="44"/>
  <c r="H2479" i="44"/>
  <c r="H3096" i="44"/>
  <c r="E2987" i="44"/>
  <c r="E3384" i="44"/>
  <c r="C2025" i="44"/>
  <c r="H1788" i="44"/>
  <c r="C925" i="44"/>
  <c r="H2769" i="44"/>
  <c r="H1604" i="44"/>
  <c r="C1525" i="44"/>
  <c r="E1769" i="44"/>
  <c r="C1864" i="44"/>
  <c r="C431" i="44"/>
  <c r="E1076" i="44"/>
  <c r="C456" i="44"/>
  <c r="E2985" i="44"/>
  <c r="H1899" i="44"/>
  <c r="E651" i="44"/>
  <c r="H2849" i="44"/>
  <c r="C2873" i="44"/>
  <c r="E276" i="44"/>
  <c r="H2842" i="44"/>
  <c r="E1770" i="44"/>
  <c r="H1617" i="44"/>
  <c r="C2100" i="44"/>
  <c r="E417" i="44"/>
  <c r="C1698" i="44"/>
  <c r="D117" i="3"/>
  <c r="C2639" i="44"/>
  <c r="C851" i="44"/>
  <c r="E517" i="44"/>
  <c r="E2420" i="44"/>
  <c r="C1716" i="44"/>
  <c r="H177" i="44"/>
  <c r="E3120" i="44"/>
  <c r="H2854" i="44"/>
  <c r="C1704" i="44"/>
  <c r="E1977" i="44"/>
  <c r="C726" i="44"/>
  <c r="H2804" i="44"/>
  <c r="H2998" i="44"/>
  <c r="I203" i="44"/>
  <c r="H1737" i="44"/>
  <c r="E2991" i="44"/>
  <c r="H2198" i="44"/>
  <c r="E572" i="44"/>
  <c r="C558" i="44"/>
  <c r="E678" i="44"/>
  <c r="C1952" i="44"/>
  <c r="H2491" i="44"/>
  <c r="C2492" i="44"/>
  <c r="C3104" i="44"/>
  <c r="C3006" i="44"/>
  <c r="C2749" i="44"/>
  <c r="E378" i="44"/>
  <c r="E534" i="44"/>
  <c r="C2966" i="44"/>
  <c r="I2318" i="44"/>
  <c r="C57" i="44"/>
  <c r="E2597" i="44"/>
  <c r="C2309" i="44"/>
  <c r="E249" i="44"/>
  <c r="C1924" i="44"/>
  <c r="H187" i="44"/>
  <c r="C2128" i="44"/>
  <c r="H2598" i="44"/>
  <c r="H2790" i="44"/>
  <c r="E1604" i="44"/>
  <c r="E3021" i="44"/>
  <c r="C1991" i="44"/>
  <c r="C2728" i="44"/>
  <c r="E411" i="44"/>
  <c r="A411" i="44" l="1"/>
  <c r="F2790" i="44"/>
  <c r="F2598" i="44"/>
  <c r="A249" i="44"/>
  <c r="F57" i="44"/>
  <c r="A57" i="44" s="1"/>
  <c r="A534" i="44"/>
  <c r="A378" i="44"/>
  <c r="F3006" i="44"/>
  <c r="F2491" i="44"/>
  <c r="F558" i="44"/>
  <c r="F2198" i="44"/>
  <c r="F1737" i="44"/>
  <c r="J203" i="44"/>
  <c r="M203" i="44" s="1"/>
  <c r="K203" i="44"/>
  <c r="F2998" i="44"/>
  <c r="F2804" i="44"/>
  <c r="F726" i="44"/>
  <c r="F2854" i="44"/>
  <c r="A517" i="44"/>
  <c r="F851" i="44"/>
  <c r="E117" i="3"/>
  <c r="A417" i="44"/>
  <c r="F1617" i="44"/>
  <c r="F2842" i="44"/>
  <c r="A276" i="44"/>
  <c r="F2849" i="44"/>
  <c r="A651" i="44"/>
  <c r="F1899" i="44"/>
  <c r="F456" i="44"/>
  <c r="F431" i="44"/>
  <c r="F1525" i="44"/>
  <c r="F1604" i="44"/>
  <c r="F2769" i="44"/>
  <c r="F1788" i="44"/>
  <c r="F3096" i="44"/>
  <c r="F2479" i="44"/>
  <c r="A573" i="44"/>
  <c r="A1036" i="44"/>
  <c r="F1549" i="44"/>
  <c r="F1582" i="44"/>
  <c r="F693" i="44"/>
  <c r="E2878" i="44"/>
  <c r="A2888" i="44" s="1"/>
  <c r="A2556" i="44"/>
  <c r="F1952" i="44"/>
  <c r="F756" i="44"/>
  <c r="F3033" i="44"/>
  <c r="F2106" i="44"/>
  <c r="F428" i="44"/>
  <c r="F2078" i="44"/>
  <c r="F2083" i="44"/>
  <c r="F2394" i="44"/>
  <c r="F1840" i="44"/>
  <c r="F2885" i="44"/>
  <c r="F1884" i="44"/>
  <c r="F1993" i="44"/>
  <c r="F2082" i="44"/>
  <c r="F681" i="44"/>
  <c r="F2210" i="44"/>
  <c r="F506" i="44"/>
  <c r="A759" i="44"/>
  <c r="F2789" i="44"/>
  <c r="A775" i="44"/>
  <c r="A777" i="44"/>
  <c r="A795" i="44"/>
  <c r="K195" i="44"/>
  <c r="J195" i="44"/>
  <c r="L195" i="44" s="1"/>
  <c r="N195" i="44" s="1"/>
  <c r="F195" i="44" s="1"/>
  <c r="F3146" i="44"/>
  <c r="F1975" i="44"/>
  <c r="F2467" i="44"/>
  <c r="F40" i="44"/>
  <c r="A40" i="44" s="1"/>
  <c r="A437" i="44"/>
  <c r="F831" i="44"/>
  <c r="A521" i="44"/>
  <c r="A910" i="44"/>
  <c r="A447" i="44"/>
  <c r="F3133" i="44"/>
  <c r="A762" i="44"/>
  <c r="F2118" i="44"/>
  <c r="F368" i="44"/>
  <c r="F929" i="44"/>
  <c r="A1052" i="44"/>
  <c r="F2915" i="44"/>
  <c r="A530" i="44"/>
  <c r="A669" i="44"/>
  <c r="F1983" i="44"/>
  <c r="F598" i="44"/>
  <c r="F790" i="44"/>
  <c r="F434" i="44"/>
  <c r="F1754" i="44"/>
  <c r="F375" i="44"/>
  <c r="A375" i="44" s="1"/>
  <c r="F1725" i="44"/>
  <c r="F2370" i="44"/>
  <c r="A784" i="44"/>
  <c r="A302" i="44"/>
  <c r="F2731" i="44"/>
  <c r="F642" i="44"/>
  <c r="A785" i="44"/>
  <c r="F764" i="44"/>
  <c r="A259" i="44"/>
  <c r="F2115" i="44"/>
  <c r="F2481" i="44"/>
  <c r="F821" i="44"/>
  <c r="F2274" i="44"/>
  <c r="A485" i="44"/>
  <c r="F658" i="44"/>
  <c r="F8" i="44"/>
  <c r="F2914" i="44"/>
  <c r="F2377" i="44"/>
  <c r="F481" i="44"/>
  <c r="F1961" i="44"/>
  <c r="E2542" i="44"/>
  <c r="A2555" i="44" s="1"/>
  <c r="F1976" i="44"/>
  <c r="F2332" i="44"/>
  <c r="A361" i="44"/>
  <c r="F2485" i="44"/>
  <c r="F2409" i="44"/>
  <c r="F2250" i="44"/>
  <c r="A323" i="44"/>
  <c r="F427" i="44"/>
  <c r="F2312" i="44"/>
  <c r="F348" i="44"/>
  <c r="E2494" i="44"/>
  <c r="A2497" i="44" s="1"/>
  <c r="F2005" i="44"/>
  <c r="F3077" i="44"/>
  <c r="A1083" i="44"/>
  <c r="F855" i="44"/>
  <c r="F576" i="44"/>
  <c r="F3073" i="44"/>
  <c r="E2110" i="44"/>
  <c r="A2121" i="44" s="1"/>
  <c r="A836" i="44"/>
  <c r="F2726" i="44"/>
  <c r="F2521" i="44"/>
  <c r="F986" i="44"/>
  <c r="E112" i="3"/>
  <c r="F2641" i="44"/>
  <c r="A714" i="44"/>
  <c r="F420" i="44"/>
  <c r="A702" i="44"/>
  <c r="F694" i="44"/>
  <c r="F1779" i="44"/>
  <c r="F2740" i="44"/>
  <c r="F2499" i="44"/>
  <c r="F1081" i="44"/>
  <c r="F540" i="44"/>
  <c r="F3098" i="44"/>
  <c r="F629" i="44"/>
  <c r="F2232" i="44"/>
  <c r="F2599" i="44"/>
  <c r="F2180" i="44"/>
  <c r="F2505" i="44"/>
  <c r="F2182" i="44"/>
  <c r="F2890" i="44"/>
  <c r="A856" i="44"/>
  <c r="A854" i="44"/>
  <c r="F360" i="44"/>
  <c r="A144" i="44"/>
  <c r="F2534" i="44"/>
  <c r="F2581" i="44"/>
  <c r="F657" i="44"/>
  <c r="F2186" i="44"/>
  <c r="F1855" i="44"/>
  <c r="F2961" i="44"/>
  <c r="F1823" i="44"/>
  <c r="F2389" i="44"/>
  <c r="A1061" i="44"/>
  <c r="F2992" i="44"/>
  <c r="F3413" i="44"/>
  <c r="A3413" i="44" s="1"/>
  <c r="E2926" i="44"/>
  <c r="A2932" i="44" s="1"/>
  <c r="F2921" i="44"/>
  <c r="F2457" i="44"/>
  <c r="A994" i="44"/>
  <c r="A943" i="44"/>
  <c r="F2166" i="44"/>
  <c r="A975" i="44"/>
  <c r="A699" i="44"/>
  <c r="F2561" i="44"/>
  <c r="F2378" i="44"/>
  <c r="F2345" i="44"/>
  <c r="F2443" i="44"/>
  <c r="F1939" i="44"/>
  <c r="F1885" i="44"/>
  <c r="F854" i="44"/>
  <c r="F550" i="44"/>
  <c r="A265" i="44"/>
  <c r="F2185" i="44"/>
  <c r="F526" i="44"/>
  <c r="F2388" i="44"/>
  <c r="F3164" i="44"/>
  <c r="F692" i="44"/>
  <c r="F381" i="44"/>
  <c r="F837" i="44"/>
  <c r="A930" i="44"/>
  <c r="F1721" i="44"/>
  <c r="F3131" i="44"/>
  <c r="F469" i="44"/>
  <c r="F2694" i="44"/>
  <c r="A246" i="44"/>
  <c r="F2999" i="44"/>
  <c r="F2955" i="44"/>
  <c r="A764" i="44"/>
  <c r="F844" i="44"/>
  <c r="A731" i="44"/>
  <c r="F2685" i="44"/>
  <c r="F2807" i="44"/>
  <c r="F2761" i="44"/>
  <c r="A797" i="44"/>
  <c r="A2543" i="44"/>
  <c r="F2975" i="44"/>
  <c r="F1924" i="44"/>
  <c r="F3085" i="44"/>
  <c r="F994" i="44"/>
  <c r="F2001" i="44"/>
  <c r="F2622" i="44"/>
  <c r="F2096" i="44"/>
  <c r="F1814" i="44"/>
  <c r="A1065" i="44"/>
  <c r="F3439" i="44"/>
  <c r="A3439" i="44" s="1"/>
  <c r="F1529" i="44"/>
  <c r="F594" i="44"/>
  <c r="F1693" i="44"/>
  <c r="F2167" i="44"/>
  <c r="F2710" i="44"/>
  <c r="E2270" i="44"/>
  <c r="A2278" i="44" s="1"/>
  <c r="F979" i="44"/>
  <c r="A1024" i="44"/>
  <c r="F3123" i="44"/>
  <c r="A931" i="44"/>
  <c r="F1795" i="44"/>
  <c r="F97" i="44"/>
  <c r="A97" i="44" s="1"/>
  <c r="A446" i="44"/>
  <c r="F2356" i="44"/>
  <c r="A945" i="44"/>
  <c r="F2211" i="44"/>
  <c r="F835" i="44"/>
  <c r="F15" i="44"/>
  <c r="A15" i="44" s="1"/>
  <c r="A592" i="44"/>
  <c r="A590" i="44"/>
  <c r="F1839" i="44"/>
  <c r="F2240" i="44"/>
  <c r="F476" i="44"/>
  <c r="A818" i="44"/>
  <c r="A426" i="44"/>
  <c r="F1048" i="44"/>
  <c r="F865" i="44"/>
  <c r="F1637" i="44"/>
  <c r="F969" i="44"/>
  <c r="A550" i="44"/>
  <c r="F2553" i="44"/>
  <c r="F610" i="44"/>
  <c r="F2032" i="44"/>
  <c r="F712" i="44"/>
  <c r="F3134" i="44"/>
  <c r="F2586" i="44"/>
  <c r="F3014" i="44"/>
  <c r="E2382" i="44"/>
  <c r="A2385" i="44" s="1"/>
  <c r="F1540" i="44"/>
  <c r="F731" i="44"/>
  <c r="F536" i="44"/>
  <c r="F78" i="44"/>
  <c r="A78" i="44" s="1"/>
  <c r="A435" i="44"/>
  <c r="F2831" i="44"/>
  <c r="F3419" i="44"/>
  <c r="A3419" i="44" s="1"/>
  <c r="A556" i="44"/>
  <c r="F777" i="44"/>
  <c r="A798" i="44"/>
  <c r="F1893" i="44"/>
  <c r="E1918" i="44"/>
  <c r="A1926" i="44" s="1"/>
  <c r="F720" i="44"/>
  <c r="F59" i="44"/>
  <c r="A59" i="44" s="1"/>
  <c r="F1977" i="44"/>
  <c r="F1985" i="44"/>
  <c r="F379" i="44"/>
  <c r="A425" i="44"/>
  <c r="E2126" i="44"/>
  <c r="A2126" i="44" s="1"/>
  <c r="F1941" i="44"/>
  <c r="F971" i="44"/>
  <c r="F2788" i="44"/>
  <c r="F2433" i="44"/>
  <c r="F2680" i="44"/>
  <c r="F383" i="44"/>
  <c r="E1790" i="44"/>
  <c r="A1792" i="44" s="1"/>
  <c r="F762" i="44"/>
  <c r="F2408" i="44"/>
  <c r="A427" i="44"/>
  <c r="F2950" i="44"/>
  <c r="F1638" i="44"/>
  <c r="A486" i="44"/>
  <c r="F784" i="44"/>
  <c r="A628" i="44"/>
  <c r="A974" i="44"/>
  <c r="F1999" i="44"/>
  <c r="F2667" i="44"/>
  <c r="F2471" i="44"/>
  <c r="F862" i="44"/>
  <c r="A633" i="44"/>
  <c r="F780" i="44"/>
  <c r="A1518" i="44"/>
  <c r="A1085" i="44"/>
  <c r="F2596" i="44"/>
  <c r="A607" i="44"/>
  <c r="F1009" i="44"/>
  <c r="F1866" i="44"/>
  <c r="F2602" i="44"/>
  <c r="A733" i="44"/>
  <c r="A735" i="44"/>
  <c r="F1636" i="44"/>
  <c r="F2747" i="44"/>
  <c r="F2704" i="44"/>
  <c r="A244" i="44"/>
  <c r="F2301" i="44"/>
  <c r="F2344" i="44"/>
  <c r="F3378" i="44"/>
  <c r="A3378" i="44" s="1"/>
  <c r="F1716" i="44"/>
  <c r="F512" i="44"/>
  <c r="F932" i="44"/>
  <c r="F2923" i="44"/>
  <c r="A1059" i="44"/>
  <c r="E3102" i="44"/>
  <c r="A3116" i="44" s="1"/>
  <c r="F852" i="44"/>
  <c r="F2504" i="44"/>
  <c r="F674" i="44"/>
  <c r="F489" i="44"/>
  <c r="F2425" i="44"/>
  <c r="F3091" i="44"/>
  <c r="F753" i="44"/>
  <c r="F2666" i="44"/>
  <c r="E1934" i="44"/>
  <c r="A1939" i="44" s="1"/>
  <c r="F1882" i="44"/>
  <c r="A507" i="44"/>
  <c r="A2275" i="44"/>
  <c r="F1627" i="44"/>
  <c r="F142" i="44"/>
  <c r="F3398" i="44"/>
  <c r="A3398" i="44" s="1"/>
  <c r="A828" i="44"/>
  <c r="A826" i="44"/>
  <c r="F1023" i="44"/>
  <c r="A281" i="44"/>
  <c r="F490" i="44"/>
  <c r="F1753" i="44"/>
  <c r="A8" i="44"/>
  <c r="F2552" i="44"/>
  <c r="F2876" i="44"/>
  <c r="F377" i="44"/>
  <c r="F873" i="44"/>
  <c r="F2816" i="44"/>
  <c r="F1900" i="44"/>
  <c r="F2906" i="44"/>
  <c r="F2359" i="44"/>
  <c r="A555" i="44"/>
  <c r="F3395" i="44"/>
  <c r="A3395" i="44" s="1"/>
  <c r="F92" i="44"/>
  <c r="A92" i="44" s="1"/>
  <c r="F3013" i="44"/>
  <c r="F3087" i="44"/>
  <c r="F2805" i="44"/>
  <c r="F1718" i="44"/>
  <c r="F103" i="44"/>
  <c r="A103" i="44" s="1"/>
  <c r="F403" i="44"/>
  <c r="A893" i="44"/>
  <c r="F686" i="44"/>
  <c r="F2959" i="44"/>
  <c r="F2325" i="44"/>
  <c r="F2423" i="44"/>
  <c r="F548" i="44"/>
  <c r="F7" i="44"/>
  <c r="A7" i="44" s="1"/>
  <c r="A2941" i="44"/>
  <c r="A464" i="44"/>
  <c r="A459" i="44"/>
  <c r="F2822" i="44"/>
  <c r="A970" i="44"/>
  <c r="F874" i="44"/>
  <c r="F2631" i="44"/>
  <c r="F3129" i="44"/>
  <c r="F2336" i="44"/>
  <c r="A820" i="44"/>
  <c r="F1079" i="44"/>
  <c r="A847" i="44"/>
  <c r="A837" i="44"/>
  <c r="A382" i="44"/>
  <c r="A387" i="44"/>
  <c r="A2133" i="44"/>
  <c r="F2994" i="44"/>
  <c r="F783" i="44"/>
  <c r="F104" i="44"/>
  <c r="A104" i="44" s="1"/>
  <c r="A748" i="44"/>
  <c r="A652" i="44"/>
  <c r="E2174" i="44"/>
  <c r="A2176" i="44" s="1"/>
  <c r="F1634" i="44"/>
  <c r="F355" i="44"/>
  <c r="F513" i="44"/>
  <c r="A636" i="44"/>
  <c r="F2806" i="44"/>
  <c r="F3141" i="44"/>
  <c r="K171" i="44"/>
  <c r="J171" i="44"/>
  <c r="M171" i="44" s="1"/>
  <c r="A408" i="44"/>
  <c r="F1789" i="44"/>
  <c r="F2884" i="44"/>
  <c r="F673" i="44"/>
  <c r="F1919" i="44"/>
  <c r="F436" i="44"/>
  <c r="F2308" i="44"/>
  <c r="F2014" i="44"/>
  <c r="F2926" i="44"/>
  <c r="A825" i="44"/>
  <c r="A823" i="44"/>
  <c r="E233" i="44"/>
  <c r="A233" i="44" s="1"/>
  <c r="F2630" i="44"/>
  <c r="F1029" i="44"/>
  <c r="A788" i="44"/>
  <c r="F1584" i="44"/>
  <c r="F2973" i="44"/>
  <c r="A946" i="44"/>
  <c r="F2252" i="44"/>
  <c r="F1621" i="44"/>
  <c r="F1650" i="44"/>
  <c r="A848" i="44"/>
  <c r="A850" i="44"/>
  <c r="A488" i="44"/>
  <c r="A311" i="44"/>
  <c r="A330" i="44"/>
  <c r="A357" i="44"/>
  <c r="A137" i="44"/>
  <c r="F2492" i="44"/>
  <c r="F438" i="44"/>
  <c r="F2193" i="44"/>
  <c r="A760" i="44"/>
  <c r="A1091" i="44"/>
  <c r="A424" i="44"/>
  <c r="F856" i="44"/>
  <c r="A768" i="44"/>
  <c r="F2276" i="44"/>
  <c r="A1534" i="44"/>
  <c r="A1533" i="44"/>
  <c r="F2563" i="44"/>
  <c r="F3163" i="44"/>
  <c r="F319" i="44"/>
  <c r="A1514" i="44"/>
  <c r="K151" i="44"/>
  <c r="J151" i="44"/>
  <c r="M151" i="44" s="1"/>
  <c r="F1773" i="44"/>
  <c r="A1053" i="44"/>
  <c r="A2554" i="44"/>
  <c r="A996" i="44"/>
  <c r="F3128" i="44"/>
  <c r="F2678" i="44"/>
  <c r="F369" i="44"/>
  <c r="F1536" i="44"/>
  <c r="F1997" i="44"/>
  <c r="F2718" i="44"/>
  <c r="F2545" i="44"/>
  <c r="F2556" i="44"/>
  <c r="F2878" i="44"/>
  <c r="A458" i="44"/>
  <c r="A453" i="44"/>
  <c r="F688" i="44"/>
  <c r="F2261" i="44"/>
  <c r="F3035" i="44"/>
  <c r="F2087" i="44"/>
  <c r="F945" i="44"/>
  <c r="F2558" i="44"/>
  <c r="F2215" i="44"/>
  <c r="F2187" i="44"/>
  <c r="F2963" i="44"/>
  <c r="F3111" i="44"/>
  <c r="F2004" i="44"/>
  <c r="F2101" i="44"/>
  <c r="A339" i="44"/>
  <c r="A1089" i="44"/>
  <c r="A1087" i="44"/>
  <c r="F817" i="44"/>
  <c r="A1548" i="44"/>
  <c r="A1549" i="44"/>
  <c r="A951" i="44"/>
  <c r="F30" i="44"/>
  <c r="A30" i="44" s="1"/>
  <c r="F1877" i="44"/>
  <c r="F697" i="44"/>
  <c r="F473" i="44"/>
  <c r="F384" i="44"/>
  <c r="F1850" i="44"/>
  <c r="F2919" i="44"/>
  <c r="A371" i="44"/>
  <c r="F303" i="44"/>
  <c r="F1842" i="44"/>
  <c r="F2911" i="44"/>
  <c r="E1838" i="44"/>
  <c r="A1843" i="44" s="1"/>
  <c r="F636" i="44"/>
  <c r="A1077" i="44"/>
  <c r="F2679" i="44"/>
  <c r="F140" i="44"/>
  <c r="A862" i="44"/>
  <c r="F788" i="44"/>
  <c r="F1943" i="44"/>
  <c r="F1906" i="44"/>
  <c r="A465" i="44"/>
  <c r="A470" i="44"/>
  <c r="A139" i="44"/>
  <c r="F640" i="44"/>
  <c r="F2289" i="44"/>
  <c r="F2086" i="44"/>
  <c r="F1635" i="44"/>
  <c r="F3060" i="44"/>
  <c r="F1963" i="44"/>
  <c r="F2518" i="44"/>
  <c r="F724" i="44"/>
  <c r="A577" i="44"/>
  <c r="F2782" i="44"/>
  <c r="F2438" i="44"/>
  <c r="F2829" i="44"/>
  <c r="F423" i="44"/>
  <c r="F3453" i="44"/>
  <c r="A3453" i="44" s="1"/>
  <c r="F3126" i="44"/>
  <c r="A536" i="44"/>
  <c r="A514" i="44"/>
  <c r="F1793" i="44"/>
  <c r="A984" i="44"/>
  <c r="F2150" i="44"/>
  <c r="F1933" i="44"/>
  <c r="F2315" i="44"/>
  <c r="F3038" i="44"/>
  <c r="F2920" i="44"/>
  <c r="A1517" i="44"/>
  <c r="F2773" i="44"/>
  <c r="A840" i="44"/>
  <c r="F758" i="44"/>
  <c r="A2393" i="44"/>
  <c r="A791" i="44"/>
  <c r="A793" i="44"/>
  <c r="F313" i="44"/>
  <c r="F139" i="44"/>
  <c r="F1136" i="44"/>
  <c r="F2452" i="44"/>
  <c r="F221" i="44"/>
  <c r="A221" i="44" s="1"/>
  <c r="F2159" i="44"/>
  <c r="F585" i="44"/>
  <c r="F422" i="44"/>
  <c r="F323" i="44"/>
  <c r="A264" i="44"/>
  <c r="F2846" i="44"/>
  <c r="A353" i="44"/>
  <c r="F1968" i="44"/>
  <c r="F951" i="44"/>
  <c r="F2983" i="44"/>
  <c r="F2620" i="44"/>
  <c r="A904" i="44"/>
  <c r="F2021" i="44"/>
  <c r="F3120" i="44"/>
  <c r="F3097" i="44"/>
  <c r="A867" i="44"/>
  <c r="F3062" i="44"/>
  <c r="F219" i="44"/>
  <c r="A219" i="44" s="1"/>
  <c r="G219" i="44" s="1"/>
  <c r="A359" i="44"/>
  <c r="A415" i="44"/>
  <c r="F869" i="44"/>
  <c r="F326" i="44"/>
  <c r="A493" i="44"/>
  <c r="F1652" i="44"/>
  <c r="F2133" i="44"/>
  <c r="F2424" i="44"/>
  <c r="F902" i="44"/>
  <c r="E106" i="3"/>
  <c r="A802" i="44"/>
  <c r="A629" i="44"/>
  <c r="F2935" i="44"/>
  <c r="F2922" i="44"/>
  <c r="A913" i="44"/>
  <c r="A911" i="44"/>
  <c r="F1706" i="44"/>
  <c r="F81" i="44"/>
  <c r="F2089" i="44"/>
  <c r="F3157" i="44"/>
  <c r="F2066" i="44"/>
  <c r="A2138" i="44"/>
  <c r="F466" i="44"/>
  <c r="A578" i="44"/>
  <c r="E1694" i="44"/>
  <c r="A1699" i="44" s="1"/>
  <c r="F350" i="44"/>
  <c r="A2130" i="44"/>
  <c r="F2428" i="44"/>
  <c r="F2448" i="44"/>
  <c r="F2402" i="44"/>
  <c r="A1038" i="44"/>
  <c r="A1040" i="44"/>
  <c r="F3149" i="44"/>
  <c r="F2887" i="44"/>
  <c r="F2403" i="44"/>
  <c r="F942" i="44"/>
  <c r="A819" i="44"/>
  <c r="F1857" i="44"/>
  <c r="F2071" i="44"/>
  <c r="F2538" i="44"/>
  <c r="F2473" i="44"/>
  <c r="F895" i="44"/>
  <c r="F616" i="44"/>
  <c r="F2916" i="44"/>
  <c r="A479" i="44"/>
  <c r="A258" i="44"/>
  <c r="F1594" i="44"/>
  <c r="A1069" i="44"/>
  <c r="A1056" i="44"/>
  <c r="F3440" i="44"/>
  <c r="A3440" i="44" s="1"/>
  <c r="A842" i="44"/>
  <c r="F2813" i="44"/>
  <c r="F1783" i="44"/>
  <c r="A839" i="44"/>
  <c r="F1767" i="44"/>
  <c r="A1035" i="44"/>
  <c r="F2752" i="44"/>
  <c r="K147" i="44"/>
  <c r="J147" i="44"/>
  <c r="L147" i="44" s="1"/>
  <c r="N147" i="44" s="1"/>
  <c r="F147" i="44" s="1"/>
  <c r="F845" i="44"/>
  <c r="F1686" i="44"/>
  <c r="F1733" i="44"/>
  <c r="E1870" i="44"/>
  <c r="A1879" i="44" s="1"/>
  <c r="F1086" i="44"/>
  <c r="F2799" i="44"/>
  <c r="F2683" i="44"/>
  <c r="A142" i="44"/>
  <c r="A2552" i="44"/>
  <c r="F2016" i="44"/>
  <c r="F417" i="44"/>
  <c r="A1018" i="44"/>
  <c r="A1016" i="44"/>
  <c r="F2074" i="44"/>
  <c r="F3384" i="44"/>
  <c r="A3384" i="44" s="1"/>
  <c r="F3410" i="44"/>
  <c r="A3410" i="44" s="1"/>
  <c r="F1649" i="44"/>
  <c r="A100" i="44"/>
  <c r="A903" i="44"/>
  <c r="F2770" i="44"/>
  <c r="F2853" i="44"/>
  <c r="F2811" i="44"/>
  <c r="A971" i="44"/>
  <c r="F645" i="44"/>
  <c r="F2594" i="44"/>
  <c r="A1921" i="44"/>
  <c r="A1521" i="44"/>
  <c r="A1008" i="44"/>
  <c r="A1878" i="44"/>
  <c r="F882" i="44"/>
  <c r="A907" i="44"/>
  <c r="F1862" i="44"/>
  <c r="A3434" i="44"/>
  <c r="F1068" i="44"/>
  <c r="F3083" i="44"/>
  <c r="F2291" i="44"/>
  <c r="F1676" i="44"/>
  <c r="F1914" i="44"/>
  <c r="F3406" i="44"/>
  <c r="A3406" i="44" s="1"/>
  <c r="F2099" i="44"/>
  <c r="F2386" i="44"/>
  <c r="A844" i="44"/>
  <c r="A547" i="44"/>
  <c r="F1851" i="44"/>
  <c r="F2283" i="44"/>
  <c r="F1683" i="44"/>
  <c r="F76" i="44"/>
  <c r="A76" i="44" s="1"/>
  <c r="A1004" i="44"/>
  <c r="F808" i="44"/>
  <c r="F1994" i="44"/>
  <c r="F2703" i="44"/>
  <c r="F789" i="44"/>
  <c r="E2670" i="44"/>
  <c r="A2673" i="44" s="1"/>
  <c r="F2095" i="44"/>
  <c r="F570" i="44"/>
  <c r="F2263" i="44"/>
  <c r="A475" i="44"/>
  <c r="F329" i="44"/>
  <c r="F773" i="44"/>
  <c r="F1776" i="44"/>
  <c r="A649" i="44"/>
  <c r="A2136" i="44"/>
  <c r="F231" i="44"/>
  <c r="A231" i="44" s="1"/>
  <c r="J167" i="44"/>
  <c r="L167" i="44" s="1"/>
  <c r="N167" i="44" s="1"/>
  <c r="F167" i="44" s="1"/>
  <c r="K167" i="44"/>
  <c r="A167" i="44" s="1"/>
  <c r="F2960" i="44"/>
  <c r="F390" i="44"/>
  <c r="F1684" i="44"/>
  <c r="F3376" i="44"/>
  <c r="A3376" i="44" s="1"/>
  <c r="F1749" i="44"/>
  <c r="F754" i="44"/>
  <c r="F2502" i="44"/>
  <c r="F1025" i="44"/>
  <c r="F2175" i="44"/>
  <c r="F407" i="44"/>
  <c r="F2353" i="44"/>
  <c r="F2917" i="44"/>
  <c r="F3142" i="44"/>
  <c r="F2380" i="44"/>
  <c r="F1758" i="44"/>
  <c r="A580" i="44"/>
  <c r="F940" i="44"/>
  <c r="A623" i="44"/>
  <c r="F2619" i="44"/>
  <c r="F807" i="44"/>
  <c r="F242" i="44"/>
  <c r="A242" i="44" s="1"/>
  <c r="F2151" i="44"/>
  <c r="F2134" i="44"/>
  <c r="F2459" i="44"/>
  <c r="K189" i="44"/>
  <c r="J189" i="44"/>
  <c r="M189" i="44" s="1"/>
  <c r="F2544" i="44"/>
  <c r="A609" i="44"/>
  <c r="A725" i="44"/>
  <c r="A897" i="44"/>
  <c r="F2579" i="44"/>
  <c r="F2628" i="44"/>
  <c r="A356" i="44"/>
  <c r="F2337" i="44"/>
  <c r="F1066" i="44"/>
  <c r="E2014" i="44"/>
  <c r="A2027" i="44" s="1"/>
  <c r="A1516" i="44"/>
  <c r="A476" i="44"/>
  <c r="F1764" i="44"/>
  <c r="F2525" i="44"/>
  <c r="A401" i="44"/>
  <c r="F2562" i="44"/>
  <c r="A1030" i="44"/>
  <c r="F3003" i="44"/>
  <c r="A559" i="44"/>
  <c r="F3433" i="44"/>
  <c r="A3433" i="44" s="1"/>
  <c r="F5" i="44"/>
  <c r="A5" i="44" s="1"/>
  <c r="G5" i="44" s="1"/>
  <c r="F1679" i="44"/>
  <c r="F1739" i="44"/>
  <c r="A769" i="44"/>
  <c r="A490" i="44"/>
  <c r="F2772" i="44"/>
  <c r="F3024" i="44"/>
  <c r="F332" i="44"/>
  <c r="A1944" i="44"/>
  <c r="F2475" i="44"/>
  <c r="F2285" i="44"/>
  <c r="A2544" i="44"/>
  <c r="F1960" i="44"/>
  <c r="F2611" i="44"/>
  <c r="F3071" i="44"/>
  <c r="F2760" i="44"/>
  <c r="A354" i="44"/>
  <c r="A18" i="44"/>
  <c r="A527" i="44"/>
  <c r="A125" i="44"/>
  <c r="F347" i="44"/>
  <c r="A280" i="44"/>
  <c r="A947" i="44"/>
  <c r="E2990" i="44"/>
  <c r="A2998" i="44" s="1"/>
  <c r="F3104" i="44"/>
  <c r="F710" i="44"/>
  <c r="F2351" i="44"/>
  <c r="E1806" i="44"/>
  <c r="A1807" i="44" s="1"/>
  <c r="F2474" i="44"/>
  <c r="F2629" i="44"/>
  <c r="A982" i="44"/>
  <c r="F3032" i="44"/>
  <c r="E103" i="3"/>
  <c r="F2646" i="44"/>
  <c r="A1524" i="44"/>
  <c r="F2495" i="44"/>
  <c r="F2779" i="44"/>
  <c r="F972" i="44"/>
  <c r="E2254" i="44"/>
  <c r="A2258" i="44" s="1"/>
  <c r="A746" i="44"/>
  <c r="G746" i="44" s="1"/>
  <c r="F320" i="44"/>
  <c r="F2574" i="44"/>
  <c r="F1818" i="44"/>
  <c r="F1022" i="44"/>
  <c r="F2540" i="44"/>
  <c r="A342" i="44"/>
  <c r="F2384" i="44"/>
  <c r="F1731" i="44"/>
  <c r="A942" i="44"/>
  <c r="A466" i="44"/>
  <c r="A1021" i="44"/>
  <c r="A1019" i="44"/>
  <c r="F2203" i="44"/>
  <c r="A504" i="44"/>
  <c r="F2462" i="44"/>
  <c r="F336" i="44"/>
  <c r="A843" i="44"/>
  <c r="A1512" i="44"/>
  <c r="F1982" i="44"/>
  <c r="E2798" i="44"/>
  <c r="A2798" i="44" s="1"/>
  <c r="F2205" i="44"/>
  <c r="F704" i="44"/>
  <c r="F3400" i="44"/>
  <c r="A3400" i="44" s="1"/>
  <c r="F1015" i="44"/>
  <c r="A471" i="44"/>
  <c r="F2456" i="44"/>
  <c r="F1861" i="44"/>
  <c r="A369" i="44"/>
  <c r="F446" i="44"/>
  <c r="F1057" i="44"/>
  <c r="A491" i="44"/>
  <c r="F1669" i="44"/>
  <c r="F1083" i="44"/>
  <c r="F2985" i="44"/>
  <c r="A1703" i="44"/>
  <c r="F1045" i="44"/>
  <c r="F2758" i="44"/>
  <c r="F23" i="44"/>
  <c r="A23" i="44" s="1"/>
  <c r="F432" i="44"/>
  <c r="F2294" i="44"/>
  <c r="F1609" i="44"/>
  <c r="F571" i="44"/>
  <c r="A2137" i="44"/>
  <c r="F867" i="44"/>
  <c r="F2229" i="44"/>
  <c r="F3147" i="44"/>
  <c r="J187" i="44"/>
  <c r="L187" i="44" s="1"/>
  <c r="N187" i="44" s="1"/>
  <c r="F187" i="44" s="1"/>
  <c r="K187" i="44"/>
  <c r="A516" i="44"/>
  <c r="A442" i="44"/>
  <c r="F3048" i="44"/>
  <c r="F409" i="44"/>
  <c r="F429" i="44"/>
  <c r="F1071" i="44"/>
  <c r="F1978" i="44"/>
  <c r="F647" i="44"/>
  <c r="F2060" i="44"/>
  <c r="F515" i="44"/>
  <c r="F1954" i="44"/>
  <c r="F2003" i="44"/>
  <c r="F2064" i="44"/>
  <c r="F608" i="44"/>
  <c r="F3383" i="44"/>
  <c r="A3383" i="44" s="1"/>
  <c r="F1616" i="44"/>
  <c r="F2269" i="44"/>
  <c r="A567" i="44"/>
  <c r="F804" i="44"/>
  <c r="F1987" i="44"/>
  <c r="F2657" i="44"/>
  <c r="F705" i="44"/>
  <c r="A2276" i="44"/>
  <c r="A816" i="44"/>
  <c r="F2651" i="44"/>
  <c r="F1771" i="44"/>
  <c r="F1713" i="44"/>
  <c r="F21" i="44"/>
  <c r="A21" i="44" s="1"/>
  <c r="F2976" i="44"/>
  <c r="F733" i="44"/>
  <c r="F2063" i="44"/>
  <c r="F535" i="44"/>
  <c r="F2196" i="44"/>
  <c r="A352" i="44"/>
  <c r="F1950" i="44"/>
  <c r="F412" i="44"/>
  <c r="F2785" i="44"/>
  <c r="F1979" i="44"/>
  <c r="F3002" i="44"/>
  <c r="F24" i="44"/>
  <c r="A24" i="44" s="1"/>
  <c r="F3005" i="44"/>
  <c r="F2382" i="44"/>
  <c r="F1901" i="44"/>
  <c r="F439" i="44"/>
  <c r="F2025" i="44"/>
  <c r="F2238" i="44"/>
  <c r="F1524" i="44"/>
  <c r="F2420" i="44"/>
  <c r="F3102" i="44"/>
  <c r="F117" i="44"/>
  <c r="A117" i="44" s="1"/>
  <c r="F818" i="44"/>
  <c r="F781" i="44"/>
  <c r="F382" i="44"/>
  <c r="F858" i="44"/>
  <c r="F2886" i="44"/>
  <c r="A247" i="44"/>
  <c r="F614" i="44"/>
  <c r="F2204" i="44"/>
  <c r="A260" i="44"/>
  <c r="F3442" i="44"/>
  <c r="A3442" i="44" s="1"/>
  <c r="F337" i="44"/>
  <c r="A778" i="44"/>
  <c r="A780" i="44"/>
  <c r="F998" i="44"/>
  <c r="F2091" i="44"/>
  <c r="F1043" i="44"/>
  <c r="F2546" i="44"/>
  <c r="A2800" i="44"/>
  <c r="A1020" i="44"/>
  <c r="F405" i="44"/>
  <c r="F617" i="44"/>
  <c r="F2859" i="44"/>
  <c r="A992" i="44"/>
  <c r="F2674" i="44"/>
  <c r="F612" i="44"/>
  <c r="A409" i="44"/>
  <c r="E1822" i="44"/>
  <c r="A1834" i="44" s="1"/>
  <c r="F1091" i="44"/>
  <c r="F923" i="44"/>
  <c r="A824" i="44"/>
  <c r="E1982" i="44"/>
  <c r="A1994" i="44" s="1"/>
  <c r="F2494" i="44"/>
  <c r="F2833" i="44"/>
  <c r="A400" i="44"/>
  <c r="F3438" i="44"/>
  <c r="A3438" i="44" s="1"/>
  <c r="F2896" i="44"/>
  <c r="F2245" i="44"/>
  <c r="F83" i="44"/>
  <c r="A83" i="44" s="1"/>
  <c r="A1022" i="44"/>
  <c r="F2049" i="44"/>
  <c r="F2567" i="44"/>
  <c r="F2171" i="44"/>
  <c r="A653" i="44"/>
  <c r="F2700" i="44"/>
  <c r="F1026" i="44"/>
  <c r="A433" i="44"/>
  <c r="F2411" i="44"/>
  <c r="F2381" i="44"/>
  <c r="A995" i="44"/>
  <c r="A223" i="44"/>
  <c r="F791" i="44"/>
  <c r="A1015" i="44"/>
  <c r="A1013" i="44"/>
  <c r="F3430" i="44"/>
  <c r="A3430" i="44" s="1"/>
  <c r="F2997" i="44"/>
  <c r="F672" i="44"/>
  <c r="A379" i="44"/>
  <c r="F1597" i="44"/>
  <c r="A429" i="44"/>
  <c r="F605" i="44"/>
  <c r="F518" i="44"/>
  <c r="A1694" i="44"/>
  <c r="F1694" i="44"/>
  <c r="F759" i="44"/>
  <c r="A1536" i="44"/>
  <c r="A1535" i="44"/>
  <c r="F719" i="44"/>
  <c r="A2261" i="44"/>
  <c r="F987" i="44"/>
  <c r="F935" i="44"/>
  <c r="F1709" i="44"/>
  <c r="F2936" i="44"/>
  <c r="F1664" i="44"/>
  <c r="F113" i="44"/>
  <c r="A113" i="44" s="1"/>
  <c r="F1672" i="44"/>
  <c r="A2259" i="44"/>
  <c r="F29" i="44"/>
  <c r="A29" i="44" s="1"/>
  <c r="A2256" i="44"/>
  <c r="F834" i="44"/>
  <c r="A360" i="44"/>
  <c r="A677" i="44"/>
  <c r="A591" i="44"/>
  <c r="F1935" i="44"/>
  <c r="F877" i="44"/>
  <c r="F2330" i="44"/>
  <c r="A314" i="44"/>
  <c r="A348" i="44"/>
  <c r="F1681" i="44"/>
  <c r="F376" i="44"/>
  <c r="A787" i="44"/>
  <c r="F3017" i="44"/>
  <c r="F863" i="44"/>
  <c r="F2396" i="44"/>
  <c r="A1876" i="44"/>
  <c r="F1743" i="44"/>
  <c r="A228" i="44"/>
  <c r="A338" i="44"/>
  <c r="A2990" i="44"/>
  <c r="F2990" i="44"/>
  <c r="A1812" i="44"/>
  <c r="F1644" i="44"/>
  <c r="F772" i="44"/>
  <c r="F311" i="44"/>
  <c r="A2279" i="44"/>
  <c r="A2545" i="44"/>
  <c r="F2645" i="44"/>
  <c r="F495" i="44"/>
  <c r="F2160" i="44"/>
  <c r="A2035" i="44"/>
  <c r="F2865" i="44"/>
  <c r="F2405" i="44"/>
  <c r="F2114" i="44"/>
  <c r="F2569" i="44"/>
  <c r="F2941" i="44"/>
  <c r="E2974" i="44"/>
  <c r="A2976" i="44" s="1"/>
  <c r="F1545" i="44"/>
  <c r="F2576" i="44"/>
  <c r="F700" i="44"/>
  <c r="F3139" i="44"/>
  <c r="F1917" i="44"/>
  <c r="A255" i="44"/>
  <c r="F2895" i="44"/>
  <c r="F2971" i="44"/>
  <c r="F988" i="44"/>
  <c r="F1665" i="44"/>
  <c r="F3030" i="44"/>
  <c r="F1000" i="44"/>
  <c r="K199" i="44"/>
  <c r="J199" i="44"/>
  <c r="M199" i="44" s="1"/>
  <c r="F1601" i="44"/>
  <c r="F1523" i="44"/>
  <c r="F1744" i="44"/>
  <c r="F1760" i="44"/>
  <c r="F3026" i="44"/>
  <c r="F1038" i="44"/>
  <c r="F806" i="44"/>
  <c r="F628" i="44"/>
  <c r="F1786" i="44"/>
  <c r="A443" i="44"/>
  <c r="F3144" i="44"/>
  <c r="A477" i="44"/>
  <c r="A1047" i="44"/>
  <c r="A1049" i="44"/>
  <c r="F1701" i="44"/>
  <c r="F82" i="44"/>
  <c r="A82" i="44" s="1"/>
  <c r="F1600" i="44"/>
  <c r="F687" i="44"/>
  <c r="A898" i="44"/>
  <c r="E116" i="3"/>
  <c r="F418" i="44"/>
  <c r="F2776" i="44"/>
  <c r="E2078" i="44"/>
  <c r="A2092" i="44" s="1"/>
  <c r="F1605" i="44"/>
  <c r="A1935" i="44"/>
  <c r="F691" i="44"/>
  <c r="A807" i="44"/>
  <c r="F2260" i="44"/>
  <c r="F486" i="44"/>
  <c r="A268" i="44"/>
  <c r="F2766" i="44"/>
  <c r="F451" i="44"/>
  <c r="A608" i="44"/>
  <c r="F2019" i="44"/>
  <c r="E2142" i="44"/>
  <c r="A2144" i="44" s="1"/>
  <c r="F1807" i="44"/>
  <c r="F2421" i="44"/>
  <c r="A1026" i="44"/>
  <c r="F992" i="44"/>
  <c r="F3070" i="44"/>
  <c r="F1971" i="44"/>
  <c r="F2624" i="44"/>
  <c r="F666" i="44"/>
  <c r="F1837" i="44"/>
  <c r="A564" i="44"/>
  <c r="A368" i="44"/>
  <c r="A344" i="44"/>
  <c r="F2989" i="44"/>
  <c r="F2780" i="44"/>
  <c r="F316" i="44"/>
  <c r="F2037" i="44"/>
  <c r="F899" i="44"/>
  <c r="E2622" i="44"/>
  <c r="A2624" i="44" s="1"/>
  <c r="A599" i="44"/>
  <c r="A1934" i="44"/>
  <c r="F1934" i="44"/>
  <c r="F1871" i="44"/>
  <c r="E1950" i="44"/>
  <c r="A1960" i="44" s="1"/>
  <c r="A979" i="44"/>
  <c r="F497" i="44"/>
  <c r="F1803" i="44"/>
  <c r="F2931" i="44"/>
  <c r="F633" i="44"/>
  <c r="F2302" i="44"/>
  <c r="F1056" i="44"/>
  <c r="A2551" i="44"/>
  <c r="F2249" i="44"/>
  <c r="A431" i="44"/>
  <c r="F464" i="44"/>
  <c r="A384" i="44"/>
  <c r="F2601" i="44"/>
  <c r="F905" i="44"/>
  <c r="F734" i="44"/>
  <c r="F2092" i="44"/>
  <c r="A569" i="44"/>
  <c r="F815" i="44"/>
  <c r="A310" i="44"/>
  <c r="A877" i="44"/>
  <c r="A879" i="44"/>
  <c r="F2547" i="44"/>
  <c r="F842" i="44"/>
  <c r="F1072" i="44"/>
  <c r="F370" i="44"/>
  <c r="F2943" i="44"/>
  <c r="A682" i="44"/>
  <c r="F1936" i="44"/>
  <c r="F2764" i="44"/>
  <c r="A574" i="44"/>
  <c r="F2689" i="44"/>
  <c r="A936" i="44"/>
  <c r="F2352" i="44"/>
  <c r="F2615" i="44"/>
  <c r="A810" i="44"/>
  <c r="A642" i="44"/>
  <c r="F2226" i="44"/>
  <c r="F2708" i="44"/>
  <c r="F1990" i="44"/>
  <c r="F2480" i="44"/>
  <c r="F1880" i="44"/>
  <c r="A450" i="44"/>
  <c r="A718" i="44"/>
  <c r="F1078" i="44"/>
  <c r="F470" i="44"/>
  <c r="A1877" i="44"/>
  <c r="F1082" i="44"/>
  <c r="F1703" i="44"/>
  <c r="A457" i="44"/>
  <c r="F1533" i="44"/>
  <c r="F1867" i="44"/>
  <c r="F2223" i="44"/>
  <c r="E2654" i="44"/>
  <c r="A2658" i="44" s="1"/>
  <c r="F2012" i="44"/>
  <c r="A2188" i="44"/>
  <c r="F95" i="44"/>
  <c r="A95" i="44" s="1"/>
  <c r="F115" i="44"/>
  <c r="A115" i="44" s="1"/>
  <c r="A3436" i="44"/>
  <c r="F1870" i="44"/>
  <c r="A1870" i="44"/>
  <c r="F2958" i="44"/>
  <c r="A980" i="44"/>
  <c r="F1825" i="44"/>
  <c r="F2951" i="44"/>
  <c r="F3420" i="44"/>
  <c r="A3420" i="44" s="1"/>
  <c r="F1010" i="44"/>
  <c r="F335" i="44"/>
  <c r="F3000" i="44"/>
  <c r="F996" i="44"/>
  <c r="A627" i="44"/>
  <c r="F457" i="44"/>
  <c r="F3154" i="44"/>
  <c r="F2484" i="44"/>
  <c r="A1707" i="44"/>
  <c r="F374" i="44"/>
  <c r="F98" i="44"/>
  <c r="A98" i="44" s="1"/>
  <c r="E1662" i="44"/>
  <c r="A1666" i="44" s="1"/>
  <c r="E2302" i="44"/>
  <c r="A2306" i="44" s="1"/>
  <c r="F638" i="44"/>
  <c r="K177" i="44"/>
  <c r="J177" i="44"/>
  <c r="M177" i="44" s="1"/>
  <c r="F531" i="44"/>
  <c r="F2507" i="44"/>
  <c r="F2741" i="44"/>
  <c r="F600" i="44"/>
  <c r="A1051" i="44"/>
  <c r="A704" i="44"/>
  <c r="A908" i="44"/>
  <c r="A679" i="44"/>
  <c r="F2098" i="44"/>
  <c r="F461" i="44"/>
  <c r="F3434" i="44"/>
  <c r="F2815" i="44"/>
  <c r="F2496" i="44"/>
  <c r="F2206" i="44"/>
  <c r="F2944" i="44"/>
  <c r="F25" i="44"/>
  <c r="A25" i="44" s="1"/>
  <c r="A1002" i="44"/>
  <c r="F1687" i="44"/>
  <c r="F1768" i="44"/>
  <c r="F868" i="44"/>
  <c r="F2170" i="44"/>
  <c r="F3074" i="44"/>
  <c r="F2894" i="44"/>
  <c r="A595" i="44"/>
  <c r="A593" i="44"/>
  <c r="F2313" i="44"/>
  <c r="F1848" i="44"/>
  <c r="E102" i="3"/>
  <c r="A1551" i="44"/>
  <c r="A2140" i="44"/>
  <c r="A705" i="44"/>
  <c r="F2539" i="44"/>
  <c r="A122" i="44"/>
  <c r="F2275" i="44"/>
  <c r="F357" i="44"/>
  <c r="F2969" i="44"/>
  <c r="A404" i="44"/>
  <c r="A337" i="44"/>
  <c r="F1011" i="44"/>
  <c r="E2030" i="44"/>
  <c r="A2032" i="44" s="1"/>
  <c r="F2067" i="44"/>
  <c r="F2040" i="44"/>
  <c r="A2282" i="44"/>
  <c r="A757" i="44"/>
  <c r="F63" i="44"/>
  <c r="A63" i="44" s="1"/>
  <c r="F2493" i="44"/>
  <c r="A1542" i="44"/>
  <c r="A1543" i="44"/>
  <c r="F1061" i="44"/>
  <c r="E2942" i="44"/>
  <c r="A2943" i="44" s="1"/>
  <c r="E105" i="3"/>
  <c r="A1555" i="44"/>
  <c r="F2271" i="44"/>
  <c r="A2995" i="44"/>
  <c r="F351" i="44"/>
  <c r="F2803" i="44"/>
  <c r="E115" i="3"/>
  <c r="F2109" i="44"/>
  <c r="F1085" i="44"/>
  <c r="F2554" i="44"/>
  <c r="F3152" i="44"/>
  <c r="A656" i="44"/>
  <c r="F445" i="44"/>
  <c r="F502" i="44"/>
  <c r="F71" i="44"/>
  <c r="A2805" i="44"/>
  <c r="A1541" i="44"/>
  <c r="A1540" i="44"/>
  <c r="A1007" i="44"/>
  <c r="A896" i="44"/>
  <c r="F12" i="44"/>
  <c r="A12" i="44" s="1"/>
  <c r="A565" i="44"/>
  <c r="A313" i="44"/>
  <c r="F2179" i="44"/>
  <c r="A3112" i="44"/>
  <c r="F1717" i="44"/>
  <c r="A306" i="44"/>
  <c r="A2802" i="44"/>
  <c r="J181" i="44"/>
  <c r="L181" i="44" s="1"/>
  <c r="N181" i="44" s="1"/>
  <c r="F181" i="44" s="1"/>
  <c r="K181" i="44"/>
  <c r="A1811" i="44"/>
  <c r="K153" i="44"/>
  <c r="J153" i="44"/>
  <c r="L153" i="44" s="1"/>
  <c r="N153" i="44" s="1"/>
  <c r="F153" i="44" s="1"/>
  <c r="F2543" i="44"/>
  <c r="A1940" i="44"/>
  <c r="A300" i="44"/>
  <c r="A456" i="44"/>
  <c r="A274" i="44"/>
  <c r="F702" i="44"/>
  <c r="F371" i="44"/>
  <c r="F2477" i="44"/>
  <c r="A721" i="44"/>
  <c r="F3004" i="44"/>
  <c r="F141" i="44"/>
  <c r="F2692" i="44"/>
  <c r="F2017" i="44"/>
  <c r="K185" i="44"/>
  <c r="J185" i="44"/>
  <c r="L185" i="44" s="1"/>
  <c r="N185" i="44" s="1"/>
  <c r="F185" i="44" s="1"/>
  <c r="F70" i="44"/>
  <c r="F973" i="44"/>
  <c r="F478" i="44"/>
  <c r="A1697" i="44"/>
  <c r="F906" i="44"/>
  <c r="A2154" i="44"/>
  <c r="F930" i="44"/>
  <c r="F1830" i="44"/>
  <c r="F1742" i="44"/>
  <c r="F391" i="44"/>
  <c r="A694" i="44"/>
  <c r="F894" i="44"/>
  <c r="F2176" i="44"/>
  <c r="A10" i="44"/>
  <c r="A525" i="44"/>
  <c r="F2200" i="44"/>
  <c r="F3093" i="44"/>
  <c r="F2230" i="44"/>
  <c r="F2148" i="44"/>
  <c r="F2797" i="44"/>
  <c r="F824" i="44"/>
  <c r="F487" i="44"/>
  <c r="F398" i="44"/>
  <c r="F699" i="44"/>
  <c r="F2527" i="44"/>
  <c r="F509" i="44"/>
  <c r="F2255" i="44"/>
  <c r="A605" i="44"/>
  <c r="F787" i="44"/>
  <c r="A355" i="44"/>
  <c r="F2637" i="44"/>
  <c r="F106" i="44"/>
  <c r="A106" i="44" s="1"/>
  <c r="F1995" i="44"/>
  <c r="A932" i="44"/>
  <c r="F3008" i="44"/>
  <c r="J173" i="44"/>
  <c r="L173" i="44" s="1"/>
  <c r="N173" i="44" s="1"/>
  <c r="F173" i="44" s="1"/>
  <c r="K173" i="44"/>
  <c r="A2547" i="44"/>
  <c r="A852" i="44"/>
  <c r="F1704" i="44"/>
  <c r="F3053" i="44"/>
  <c r="F3396" i="44"/>
  <c r="A3396" i="44" s="1"/>
  <c r="E1646" i="44"/>
  <c r="A1659" i="44" s="1"/>
  <c r="F3155" i="44"/>
  <c r="A566" i="44"/>
  <c r="F1844" i="44"/>
  <c r="F569" i="44"/>
  <c r="F2076" i="44"/>
  <c r="F477" i="44"/>
  <c r="F2273" i="44"/>
  <c r="F2464" i="44"/>
  <c r="F3389" i="44"/>
  <c r="A3389" i="44" s="1"/>
  <c r="F2000" i="44"/>
  <c r="F1812" i="44"/>
  <c r="A899" i="44"/>
  <c r="A871" i="44"/>
  <c r="A873" i="44"/>
  <c r="F1640" i="44"/>
  <c r="E2158" i="44"/>
  <c r="A2167" i="44" s="1"/>
  <c r="F2201" i="44"/>
  <c r="F2751" i="44"/>
  <c r="A1532" i="44"/>
  <c r="F591" i="44"/>
  <c r="F315" i="44"/>
  <c r="A315" i="44" s="1"/>
  <c r="A1817" i="44"/>
  <c r="F2517" i="44"/>
  <c r="F1695" i="44"/>
  <c r="F2020" i="44"/>
  <c r="F421" i="44"/>
  <c r="A667" i="44"/>
  <c r="F1946" i="44"/>
  <c r="F2392" i="44"/>
  <c r="A948" i="44"/>
  <c r="F1537" i="44"/>
  <c r="A894" i="44"/>
  <c r="F2113" i="44"/>
  <c r="F796" i="44"/>
  <c r="F1059" i="44"/>
  <c r="E1134" i="44"/>
  <c r="A1134" i="44" s="1"/>
  <c r="A351" i="44"/>
  <c r="F1854" i="44"/>
  <c r="F2297" i="44"/>
  <c r="F2814" i="44"/>
  <c r="F2840" i="44"/>
  <c r="A2804" i="44"/>
  <c r="A1060" i="44"/>
  <c r="F2837" i="44"/>
  <c r="F579" i="44"/>
  <c r="F28" i="44"/>
  <c r="A28" i="44" s="1"/>
  <c r="F1908" i="44"/>
  <c r="A832" i="44"/>
  <c r="A635" i="44"/>
  <c r="F516" i="44"/>
  <c r="F1064" i="44"/>
  <c r="F480" i="44"/>
  <c r="F349" i="44"/>
  <c r="F2746" i="44"/>
  <c r="F2009" i="44"/>
  <c r="F832" i="44"/>
  <c r="F1904" i="44"/>
  <c r="F706" i="44"/>
  <c r="A317" i="44"/>
  <c r="A2810" i="44"/>
  <c r="F1653" i="44"/>
  <c r="F1535" i="44"/>
  <c r="F1608" i="44"/>
  <c r="E2782" i="44"/>
  <c r="A2788" i="44" s="1"/>
  <c r="A334" i="44"/>
  <c r="F2928" i="44"/>
  <c r="F1833" i="44"/>
  <c r="A473" i="44"/>
  <c r="F1052" i="44"/>
  <c r="F49" i="44"/>
  <c r="A49" i="44" s="1"/>
  <c r="A719" i="44"/>
  <c r="F1820" i="44"/>
  <c r="F2259" i="44"/>
  <c r="F1806" i="44"/>
  <c r="A1806" i="44"/>
  <c r="F975" i="44"/>
  <c r="F3057" i="44"/>
  <c r="F2031" i="44"/>
  <c r="F2002" i="44"/>
  <c r="F800" i="44"/>
  <c r="F346" i="44"/>
  <c r="F2907" i="44"/>
  <c r="F2858" i="44"/>
  <c r="A3005" i="44"/>
  <c r="F31" i="44"/>
  <c r="A31" i="44" s="1"/>
  <c r="F1589" i="44"/>
  <c r="E2702" i="44"/>
  <c r="A2705" i="44" s="1"/>
  <c r="F2284" i="44"/>
  <c r="A312" i="44"/>
  <c r="F2749" i="44"/>
  <c r="F1707" i="44"/>
  <c r="F1678" i="44"/>
  <c r="A588" i="44"/>
  <c r="F397" i="44"/>
  <c r="F2342" i="44"/>
  <c r="A495" i="44"/>
  <c r="A648" i="44"/>
  <c r="F3421" i="44"/>
  <c r="A3421" i="44" s="1"/>
  <c r="A2151" i="44"/>
  <c r="F2937" i="44"/>
  <c r="F714" i="44"/>
  <c r="F3135" i="44"/>
  <c r="F17" i="44"/>
  <c r="A17" i="44" s="1"/>
  <c r="A2255" i="44"/>
  <c r="F1810" i="44"/>
  <c r="F2847" i="44"/>
  <c r="A365" i="44"/>
  <c r="F65" i="44"/>
  <c r="A65" i="44" s="1"/>
  <c r="F853" i="44"/>
  <c r="A537" i="44"/>
  <c r="F1647" i="44"/>
  <c r="F66" i="44"/>
  <c r="A66" i="44" s="1"/>
  <c r="A548" i="44"/>
  <c r="F2253" i="44"/>
  <c r="F2152" i="44"/>
  <c r="F2912" i="44"/>
  <c r="F2406" i="44"/>
  <c r="F2168" i="44"/>
  <c r="A1048" i="44"/>
  <c r="F2910" i="44"/>
  <c r="F3392" i="44"/>
  <c r="A3392" i="44" s="1"/>
  <c r="A884" i="44"/>
  <c r="A1554" i="44"/>
  <c r="F1878" i="44"/>
  <c r="F1006" i="44"/>
  <c r="F592" i="44"/>
  <c r="F2015" i="44"/>
  <c r="F2214" i="44"/>
  <c r="F677" i="44"/>
  <c r="F1014" i="44"/>
  <c r="F2817" i="44"/>
  <c r="A304" i="44"/>
  <c r="F3019" i="44"/>
  <c r="A803" i="44"/>
  <c r="F1067" i="44"/>
  <c r="J179" i="44"/>
  <c r="M179" i="44" s="1"/>
  <c r="K179" i="44"/>
  <c r="F2427" i="44"/>
  <c r="F2075" i="44"/>
  <c r="F2056" i="44"/>
  <c r="A420" i="44"/>
  <c r="F3382" i="44"/>
  <c r="A3382" i="44" s="1"/>
  <c r="A983" i="44"/>
  <c r="F2909" i="44"/>
  <c r="F3127" i="44"/>
  <c r="F2850" i="44"/>
  <c r="F341" i="44"/>
  <c r="F388" i="44"/>
  <c r="F2924" i="44"/>
  <c r="F1974" i="44"/>
  <c r="A2305" i="44"/>
  <c r="F2147" i="44"/>
  <c r="F2029" i="44"/>
  <c r="F2069" i="44"/>
  <c r="F2446" i="44"/>
  <c r="F2340" i="44"/>
  <c r="F924" i="44"/>
  <c r="F2947" i="44"/>
  <c r="J175" i="44"/>
  <c r="M175" i="44" s="1"/>
  <c r="K175" i="44"/>
  <c r="F551" i="44"/>
  <c r="A939" i="44"/>
  <c r="A895" i="44"/>
  <c r="F3136" i="44"/>
  <c r="F1602" i="44"/>
  <c r="F904" i="44"/>
  <c r="F1027" i="44"/>
  <c r="F3039" i="44"/>
  <c r="F345" i="44"/>
  <c r="F389" i="44"/>
  <c r="F2213" i="44"/>
  <c r="A661" i="44"/>
  <c r="F2199" i="44"/>
  <c r="A226" i="44"/>
  <c r="F2810" i="44"/>
  <c r="F2320" i="44"/>
  <c r="F813" i="44"/>
  <c r="F3145" i="44"/>
  <c r="F2513" i="44"/>
  <c r="F39" i="44"/>
  <c r="A39" i="44" s="1"/>
  <c r="F2801" i="44"/>
  <c r="A713" i="44"/>
  <c r="F399" i="44"/>
  <c r="F1863" i="44"/>
  <c r="A2813" i="44"/>
  <c r="F898" i="44"/>
  <c r="A2139" i="44"/>
  <c r="F433" i="44"/>
  <c r="A386" i="44"/>
  <c r="A620" i="44"/>
  <c r="F1710" i="44"/>
  <c r="F819" i="44"/>
  <c r="F976" i="44"/>
  <c r="F2006" i="44"/>
  <c r="A1519" i="44"/>
  <c r="F2592" i="44"/>
  <c r="F2705" i="44"/>
  <c r="F1047" i="44"/>
  <c r="F318" i="44"/>
  <c r="F2116" i="44"/>
  <c r="F465" i="44"/>
  <c r="F1815" i="44"/>
  <c r="F1992" i="44"/>
  <c r="F690" i="44"/>
  <c r="F2156" i="44"/>
  <c r="F2316" i="44"/>
  <c r="A325" i="44"/>
  <c r="F928" i="44"/>
  <c r="A376" i="44"/>
  <c r="A381" i="44"/>
  <c r="F1782" i="44"/>
  <c r="E101" i="3"/>
  <c r="F1551" i="44"/>
  <c r="F2489" i="44"/>
  <c r="F116" i="44"/>
  <c r="A116" i="44" s="1"/>
  <c r="A596" i="44"/>
  <c r="A461" i="44"/>
  <c r="F2488" i="44"/>
  <c r="F3007" i="44"/>
  <c r="A407" i="44"/>
  <c r="A524" i="44"/>
  <c r="F1527" i="44"/>
  <c r="F2506" i="44"/>
  <c r="F119" i="44"/>
  <c r="A119" i="44" s="1"/>
  <c r="A2999" i="44"/>
  <c r="F1530" i="44"/>
  <c r="F2729" i="44"/>
  <c r="A606" i="44"/>
  <c r="F1802" i="44"/>
  <c r="F2763" i="44"/>
  <c r="F2449" i="44"/>
  <c r="A496" i="44"/>
  <c r="F2097" i="44"/>
  <c r="F3028" i="44"/>
  <c r="E1742" i="44"/>
  <c r="A1753" i="44" s="1"/>
  <c r="F3158" i="44"/>
  <c r="F42" i="44"/>
  <c r="A42" i="44" s="1"/>
  <c r="F2820" i="44"/>
  <c r="F2236" i="44"/>
  <c r="A855" i="44"/>
  <c r="F2239" i="44"/>
  <c r="F2132" i="44"/>
  <c r="F2102" i="44"/>
  <c r="E104" i="3"/>
  <c r="F577" i="44"/>
  <c r="A1538" i="44"/>
  <c r="A1539" i="44"/>
  <c r="F1076" i="44"/>
  <c r="A2043" i="44"/>
  <c r="F1590" i="44"/>
  <c r="F1769" i="44"/>
  <c r="A986" i="44"/>
  <c r="A988" i="44"/>
  <c r="F2458" i="44"/>
  <c r="A81" i="44"/>
  <c r="F2908" i="44"/>
  <c r="F415" i="44"/>
  <c r="F301" i="44"/>
  <c r="F3107" i="44"/>
  <c r="F1809" i="44"/>
  <c r="A1959" i="44"/>
  <c r="F2128" i="44"/>
  <c r="A1082" i="44"/>
  <c r="F3065" i="44"/>
  <c r="A868" i="44"/>
  <c r="F9" i="44"/>
  <c r="A9" i="44" s="1"/>
  <c r="F1755" i="44"/>
  <c r="F2322" i="44"/>
  <c r="F2862" i="44"/>
  <c r="F1008" i="44"/>
  <c r="A790" i="44"/>
  <c r="F2717" i="44"/>
  <c r="F2068" i="44"/>
  <c r="F2445" i="44"/>
  <c r="F2219" i="44"/>
  <c r="F3031" i="44"/>
  <c r="F761" i="44"/>
  <c r="A866" i="44"/>
  <c r="F344" i="44"/>
  <c r="F442" i="44"/>
  <c r="F1932" i="44"/>
  <c r="A1515" i="44"/>
  <c r="F2393" i="44"/>
  <c r="A638" i="44"/>
  <c r="F2470" i="44"/>
  <c r="F1552" i="44"/>
  <c r="F927" i="44"/>
  <c r="F2541" i="44"/>
  <c r="F1774" i="44"/>
  <c r="F3037" i="44"/>
  <c r="F2111" i="44"/>
  <c r="F2110" i="44"/>
  <c r="F2181" i="44"/>
  <c r="F2798" i="44"/>
  <c r="F2333" i="44"/>
  <c r="A403" i="44"/>
  <c r="A723" i="44"/>
  <c r="A1880" i="44"/>
  <c r="F2028" i="44"/>
  <c r="A940" i="44"/>
  <c r="A575" i="44"/>
  <c r="F2360" i="44"/>
  <c r="F913" i="44"/>
  <c r="F2254" i="44"/>
  <c r="A2254" i="44"/>
  <c r="F2996" i="44"/>
  <c r="F581" i="44"/>
  <c r="F2357" i="44"/>
  <c r="F3422" i="44"/>
  <c r="A3422" i="44" s="1"/>
  <c r="F2841" i="44"/>
  <c r="F3018" i="44"/>
  <c r="F2812" i="44"/>
  <c r="A1851" i="44"/>
  <c r="F2281" i="44"/>
  <c r="F2317" i="44"/>
  <c r="A673" i="44"/>
  <c r="F2413" i="44"/>
  <c r="A800" i="44"/>
  <c r="F1618" i="44"/>
  <c r="A637" i="44"/>
  <c r="F2429" i="44"/>
  <c r="A1062" i="44"/>
  <c r="F846" i="44"/>
  <c r="F2765" i="44"/>
  <c r="F2293" i="44"/>
  <c r="A666" i="44"/>
  <c r="F2355" i="44"/>
  <c r="A345" i="44"/>
  <c r="F1651" i="44"/>
  <c r="A728" i="44"/>
  <c r="F243" i="44"/>
  <c r="A243" i="44" s="1"/>
  <c r="F2832" i="44"/>
  <c r="A448" i="44"/>
  <c r="K205" i="44"/>
  <c r="J205" i="44"/>
  <c r="L205" i="44" s="1"/>
  <c r="N205" i="44" s="1"/>
  <c r="F2767" i="44"/>
  <c r="A1745" i="44"/>
  <c r="A1845" i="44"/>
  <c r="F3445" i="44"/>
  <c r="A3445" i="44" s="1"/>
  <c r="F2796" i="44"/>
  <c r="F2266" i="44"/>
  <c r="F3417" i="44"/>
  <c r="A3417" i="44" s="1"/>
  <c r="F241" i="44"/>
  <c r="A241" i="44" s="1"/>
  <c r="G241" i="44" s="1"/>
  <c r="F2138" i="44"/>
  <c r="F3069" i="44"/>
  <c r="F2972" i="44"/>
  <c r="A1510" i="44"/>
  <c r="F751" i="44"/>
  <c r="F881" i="44"/>
  <c r="F2838" i="44"/>
  <c r="A990" i="44"/>
  <c r="F2688" i="44"/>
  <c r="F925" i="44"/>
  <c r="F1070" i="44"/>
  <c r="F2693" i="44"/>
  <c r="F649" i="44"/>
  <c r="F799" i="44"/>
  <c r="F2157" i="44"/>
  <c r="A421" i="44"/>
  <c r="F2891" i="44"/>
  <c r="F782" i="44"/>
  <c r="F1972" i="44"/>
  <c r="A892" i="44"/>
  <c r="F2194" i="44"/>
  <c r="F830" i="44"/>
  <c r="E2190" i="44"/>
  <c r="A2196" i="44" s="1"/>
  <c r="F1890" i="44"/>
  <c r="F650" i="44"/>
  <c r="F893" i="44"/>
  <c r="A1985" i="44"/>
  <c r="F1959" i="44"/>
  <c r="F897" i="44"/>
  <c r="F2141" i="44"/>
  <c r="F1696" i="44"/>
  <c r="F1024" i="44"/>
  <c r="A141" i="44"/>
  <c r="F2244" i="44"/>
  <c r="F3010" i="44"/>
  <c r="F1699" i="44"/>
  <c r="F1829" i="44"/>
  <c r="F2222" i="44"/>
  <c r="F864" i="44"/>
  <c r="F722" i="44"/>
  <c r="F3106" i="44"/>
  <c r="F2844" i="44"/>
  <c r="F2050" i="44"/>
  <c r="F1075" i="44"/>
  <c r="F520" i="44"/>
  <c r="A388" i="44"/>
  <c r="F1727" i="44"/>
  <c r="F2523" i="44"/>
  <c r="A756" i="44"/>
  <c r="A827" i="44"/>
  <c r="F2548" i="44"/>
  <c r="F2158" i="44"/>
  <c r="A872" i="44"/>
  <c r="F1656" i="44"/>
  <c r="F2013" i="44"/>
  <c r="A977" i="44"/>
  <c r="F2041" i="44"/>
  <c r="A950" i="44"/>
  <c r="F3449" i="44"/>
  <c r="A3449" i="44" s="1"/>
  <c r="A967" i="44"/>
  <c r="G967" i="44" s="1"/>
  <c r="A1848" i="44"/>
  <c r="F2966" i="44"/>
  <c r="F766" i="44"/>
  <c r="F1516" i="44"/>
  <c r="F2658" i="44"/>
  <c r="F1964" i="44"/>
  <c r="K157" i="44"/>
  <c r="J157" i="44"/>
  <c r="F2952" i="44"/>
  <c r="F2864" i="44"/>
  <c r="F3055" i="44"/>
  <c r="F2868" i="44"/>
  <c r="F2714" i="44"/>
  <c r="F2918" i="44"/>
  <c r="A1816" i="44"/>
  <c r="F792" i="44"/>
  <c r="A336" i="44"/>
  <c r="F2528" i="44"/>
  <c r="F2415" i="44"/>
  <c r="F1747" i="44"/>
  <c r="F660" i="44"/>
  <c r="F2487" i="44"/>
  <c r="F2436" i="44"/>
  <c r="F944" i="44"/>
  <c r="F609" i="44"/>
  <c r="F1847" i="44"/>
  <c r="F2968" i="44"/>
  <c r="A523" i="44"/>
  <c r="F583" i="44"/>
  <c r="F2977" i="44"/>
  <c r="A22" i="44"/>
  <c r="E2686" i="44"/>
  <c r="A2690" i="44" s="1"/>
  <c r="F1989" i="44"/>
  <c r="F1643" i="44"/>
  <c r="A2080" i="44"/>
  <c r="A560" i="44"/>
  <c r="F1745" i="44"/>
  <c r="F2258" i="44"/>
  <c r="F840" i="44"/>
  <c r="F2065" i="44"/>
  <c r="F2070" i="44"/>
  <c r="A1006" i="44"/>
  <c r="F825" i="44"/>
  <c r="A630" i="44"/>
  <c r="F717" i="44"/>
  <c r="F527" i="44"/>
  <c r="F1728" i="44"/>
  <c r="A709" i="44"/>
  <c r="F2589" i="44"/>
  <c r="A1529" i="44"/>
  <c r="F1595" i="44"/>
  <c r="F2108" i="44"/>
  <c r="F1599" i="44"/>
  <c r="A331" i="44"/>
  <c r="F2307" i="44"/>
  <c r="A1698" i="44"/>
  <c r="F358" i="44"/>
  <c r="F1730" i="44"/>
  <c r="F1922" i="44"/>
  <c r="A472" i="44"/>
  <c r="F748" i="44"/>
  <c r="A616" i="44"/>
  <c r="F3399" i="44"/>
  <c r="A3399" i="44" s="1"/>
  <c r="F2993" i="44"/>
  <c r="F483" i="44"/>
  <c r="F534" i="44"/>
  <c r="A1881" i="44"/>
  <c r="F1506" i="44"/>
  <c r="A1506" i="44" s="1"/>
  <c r="G1506" i="44" s="1"/>
  <c r="G1507" i="44" s="1"/>
  <c r="F1852" i="44"/>
  <c r="F2088" i="44"/>
  <c r="A497" i="44"/>
  <c r="A549" i="44"/>
  <c r="F1801" i="44"/>
  <c r="F2684" i="44"/>
  <c r="A1090" i="44"/>
  <c r="A1092" i="44"/>
  <c r="F1509" i="44"/>
  <c r="A2789" i="44"/>
  <c r="F3066" i="44"/>
  <c r="F2659" i="44"/>
  <c r="A675" i="44"/>
  <c r="F553" i="44"/>
  <c r="F1722" i="44"/>
  <c r="F2331" i="44"/>
  <c r="A902" i="44"/>
  <c r="A900" i="44"/>
  <c r="F1005" i="44"/>
  <c r="F2278" i="44"/>
  <c r="F814" i="44"/>
  <c r="A2108" i="44"/>
  <c r="F1836" i="44"/>
  <c r="A2272" i="44"/>
  <c r="A250" i="44"/>
  <c r="A385" i="44"/>
  <c r="F362" i="44"/>
  <c r="F2621" i="44"/>
  <c r="F353" i="44"/>
  <c r="A712" i="44"/>
  <c r="A505" i="44"/>
  <c r="F1892" i="44"/>
  <c r="F2597" i="44"/>
  <c r="F1785" i="44"/>
  <c r="F2217" i="44"/>
  <c r="F3051" i="44"/>
  <c r="F2455" i="44"/>
  <c r="A1553" i="44"/>
  <c r="E2910" i="44"/>
  <c r="A2912" i="44" s="1"/>
  <c r="F2335" i="44"/>
  <c r="F3109" i="44"/>
  <c r="F325" i="44"/>
  <c r="A887" i="44"/>
  <c r="F1738" i="44"/>
  <c r="A346" i="44"/>
  <c r="F2090" i="44"/>
  <c r="F1512" i="44"/>
  <c r="A1932" i="44"/>
  <c r="F651" i="44"/>
  <c r="A319" i="44"/>
  <c r="F2412" i="44"/>
  <c r="F2532" i="44"/>
  <c r="F1859" i="44"/>
  <c r="F1942" i="44"/>
  <c r="F2880" i="44"/>
  <c r="A804" i="44"/>
  <c r="F3446" i="44"/>
  <c r="A3446" i="44" s="1"/>
  <c r="F2866" i="44"/>
  <c r="F1969" i="44"/>
  <c r="A463" i="44"/>
  <c r="F2634" i="44"/>
  <c r="E1854" i="44"/>
  <c r="A1857" i="44" s="1"/>
  <c r="A754" i="44"/>
  <c r="A328" i="44"/>
  <c r="A579" i="44"/>
  <c r="F1980" i="44"/>
  <c r="F1860" i="44"/>
  <c r="F2127" i="44"/>
  <c r="F365" i="44"/>
  <c r="F2723" i="44"/>
  <c r="F308" i="44"/>
  <c r="A2735" i="44"/>
  <c r="A927" i="44"/>
  <c r="A683" i="44"/>
  <c r="A685" i="44"/>
  <c r="F3405" i="44"/>
  <c r="A3405" i="44" s="1"/>
  <c r="A2148" i="44"/>
  <c r="A817" i="44"/>
  <c r="F503" i="44"/>
  <c r="F2882" i="44"/>
  <c r="F2564" i="44"/>
  <c r="A367" i="44"/>
  <c r="F2727" i="44"/>
  <c r="F2286" i="44"/>
  <c r="A664" i="44"/>
  <c r="A659" i="44"/>
  <c r="A1001" i="44"/>
  <c r="F1585" i="44"/>
  <c r="F2809" i="44"/>
  <c r="E2718" i="44"/>
  <c r="A2723" i="44" s="1"/>
  <c r="F725" i="44"/>
  <c r="A1003" i="44"/>
  <c r="F2280" i="44"/>
  <c r="F3411" i="44"/>
  <c r="A3411" i="44" s="1"/>
  <c r="F2699" i="44"/>
  <c r="A2454" i="44"/>
  <c r="A1000" i="44"/>
  <c r="F1667" i="44"/>
  <c r="A1945" i="44"/>
  <c r="A402" i="44"/>
  <c r="F870" i="44"/>
  <c r="F2640" i="44"/>
  <c r="F56" i="44"/>
  <c r="A56" i="44" s="1"/>
  <c r="A374" i="44"/>
  <c r="F3441" i="44"/>
  <c r="A3441" i="44" s="1"/>
  <c r="F2733" i="44"/>
  <c r="F2247" i="44"/>
  <c r="A674" i="44"/>
  <c r="F454" i="44"/>
  <c r="F2633" i="44"/>
  <c r="A696" i="44"/>
  <c r="A358" i="44"/>
  <c r="F354" i="44"/>
  <c r="F2609" i="44"/>
  <c r="F55" i="44"/>
  <c r="A55" i="44" s="1"/>
  <c r="A2191" i="44"/>
  <c r="A2717" i="44"/>
  <c r="F634" i="44"/>
  <c r="A1609" i="44"/>
  <c r="A710" i="44"/>
  <c r="A695" i="44"/>
  <c r="A1066" i="44"/>
  <c r="F2945" i="44"/>
  <c r="F528" i="44"/>
  <c r="F2416" i="44"/>
  <c r="F3451" i="44"/>
  <c r="A3451" i="44" s="1"/>
  <c r="F2328" i="44"/>
  <c r="F2577" i="44"/>
  <c r="L157" i="44"/>
  <c r="N157" i="44" s="1"/>
  <c r="F157" i="44" s="1"/>
  <c r="M157" i="44"/>
  <c r="F630" i="44"/>
  <c r="F2722" i="44"/>
  <c r="E1133" i="44"/>
  <c r="A1133" i="44" s="1"/>
  <c r="G1133" i="44" s="1"/>
  <c r="A973" i="44"/>
  <c r="F2665" i="44"/>
  <c r="K169" i="44"/>
  <c r="J169" i="44"/>
  <c r="L169" i="44" s="1"/>
  <c r="N169" i="44" s="1"/>
  <c r="F169" i="44" s="1"/>
  <c r="F2786" i="44"/>
  <c r="F2209" i="44"/>
  <c r="F471" i="44"/>
  <c r="F810" i="44"/>
  <c r="A692" i="44"/>
  <c r="A2996" i="44"/>
  <c r="F532" i="44"/>
  <c r="F911" i="44"/>
  <c r="F3075" i="44"/>
  <c r="F981" i="44"/>
  <c r="F2231" i="44"/>
  <c r="A1668" i="44"/>
  <c r="A720" i="44"/>
  <c r="A528" i="44"/>
  <c r="E3086" i="44"/>
  <c r="A3093" i="44" s="1"/>
  <c r="F1756" i="44"/>
  <c r="F3375" i="44"/>
  <c r="A3375" i="44" s="1"/>
  <c r="F2145" i="44"/>
  <c r="F300" i="44"/>
  <c r="F3103" i="44"/>
  <c r="F695" i="44"/>
  <c r="F1631" i="44"/>
  <c r="A2038" i="44"/>
  <c r="F1886" i="44"/>
  <c r="F2011" i="44"/>
  <c r="F2137" i="44"/>
  <c r="F1931" i="44"/>
  <c r="F1049" i="44"/>
  <c r="A603" i="44"/>
  <c r="F2447" i="44"/>
  <c r="A449" i="44"/>
  <c r="F552" i="44"/>
  <c r="F33" i="44"/>
  <c r="A33" i="44" s="1"/>
  <c r="A2801" i="44"/>
  <c r="F1822" i="44"/>
  <c r="F2925" i="44"/>
  <c r="F816" i="44"/>
  <c r="F1762" i="44"/>
  <c r="A2135" i="44"/>
  <c r="F1532" i="44"/>
  <c r="A1964" i="44"/>
  <c r="F299" i="44"/>
  <c r="A299" i="44" s="1"/>
  <c r="G299" i="44" s="1"/>
  <c r="E113" i="3"/>
  <c r="F859" i="44"/>
  <c r="A2141" i="44"/>
  <c r="F1093" i="44"/>
  <c r="F1682" i="44"/>
  <c r="F3377" i="44"/>
  <c r="A3377" i="44" s="1"/>
  <c r="F2237" i="44"/>
  <c r="F2314" i="44"/>
  <c r="E3134" i="44"/>
  <c r="A3135" i="44" s="1"/>
  <c r="F1508" i="44"/>
  <c r="F1016" i="44"/>
  <c r="A2312" i="44"/>
  <c r="F1062" i="44"/>
  <c r="F1962" i="44"/>
  <c r="A687" i="44"/>
  <c r="A1670" i="44"/>
  <c r="A886" i="44"/>
  <c r="A888" i="44"/>
  <c r="F839" i="44"/>
  <c r="F1912" i="44"/>
  <c r="F3156" i="44"/>
  <c r="F805" i="44"/>
  <c r="A519" i="44"/>
  <c r="E2318" i="44"/>
  <c r="A2322" i="44" s="1"/>
  <c r="F2930" i="44"/>
  <c r="F2984" i="44"/>
  <c r="E2766" i="44"/>
  <c r="A2778" i="44" s="1"/>
  <c r="F2889" i="44"/>
  <c r="F3115" i="44"/>
  <c r="A1958" i="44"/>
  <c r="F1790" i="44"/>
  <c r="F1543" i="44"/>
  <c r="F2743" i="44"/>
  <c r="F522" i="44"/>
  <c r="F3118" i="44"/>
  <c r="F2419" i="44"/>
  <c r="F604" i="44"/>
  <c r="A598" i="44"/>
  <c r="F2957" i="44"/>
  <c r="A350" i="44"/>
  <c r="A981" i="44"/>
  <c r="F2192" i="44"/>
  <c r="F1645" i="44"/>
  <c r="F511" i="44"/>
  <c r="F3025" i="44"/>
  <c r="F747" i="44"/>
  <c r="F2033" i="44"/>
  <c r="F565" i="44"/>
  <c r="A2546" i="44"/>
  <c r="F1757" i="44"/>
  <c r="F2326" i="44"/>
  <c r="J159" i="44"/>
  <c r="L159" i="44" s="1"/>
  <c r="N159" i="44" s="1"/>
  <c r="F159" i="44" s="1"/>
  <c r="K159" i="44"/>
  <c r="F408" i="44"/>
  <c r="F468" i="44"/>
  <c r="F580" i="44"/>
  <c r="A805" i="44"/>
  <c r="A1941" i="44"/>
  <c r="A380" i="44"/>
  <c r="A2134" i="44"/>
  <c r="A644" i="44"/>
  <c r="A322" i="44"/>
  <c r="F2362" i="44"/>
  <c r="A373" i="44"/>
  <c r="F2721" i="44"/>
  <c r="A71" i="44"/>
  <c r="A70" i="44"/>
  <c r="F3448" i="44"/>
  <c r="A3448" i="44" s="1"/>
  <c r="A321" i="44"/>
  <c r="A405" i="44"/>
  <c r="F1039" i="44"/>
  <c r="F1018" i="44"/>
  <c r="A2697" i="44"/>
  <c r="F1792" i="44"/>
  <c r="F2241" i="44"/>
  <c r="F2042" i="44"/>
  <c r="F2146" i="44"/>
  <c r="A1528" i="44"/>
  <c r="F230" i="44"/>
  <c r="A230" i="44" s="1"/>
  <c r="F757" i="44"/>
  <c r="F1603" i="44"/>
  <c r="F1849" i="44"/>
  <c r="A941" i="44"/>
  <c r="F2867" i="44"/>
  <c r="F1715" i="44"/>
  <c r="F410" i="44"/>
  <c r="A2678" i="44"/>
  <c r="E2238" i="44"/>
  <c r="A2243" i="44" s="1"/>
  <c r="J207" i="44"/>
  <c r="M207" i="44" s="1"/>
  <c r="K207" i="44"/>
  <c r="F2642" i="44"/>
  <c r="F779" i="44"/>
  <c r="F1135" i="44"/>
  <c r="F549" i="44"/>
  <c r="F3380" i="44"/>
  <c r="A3380" i="44" s="1"/>
  <c r="F2290" i="44"/>
  <c r="E1710" i="44"/>
  <c r="A1712" i="44" s="1"/>
  <c r="F2855" i="44"/>
  <c r="F2754" i="44"/>
  <c r="F879" i="44"/>
  <c r="A755" i="44"/>
  <c r="F262" i="44"/>
  <c r="A262" i="44" s="1"/>
  <c r="A581" i="44"/>
  <c r="J201" i="44"/>
  <c r="L201" i="44" s="1"/>
  <c r="N201" i="44" s="1"/>
  <c r="F201" i="44" s="1"/>
  <c r="K201" i="44"/>
  <c r="F1541" i="44"/>
  <c r="A2026" i="44"/>
  <c r="F1947" i="44"/>
  <c r="F2536" i="44"/>
  <c r="F671" i="44"/>
  <c r="F760" i="44"/>
  <c r="F2173" i="44"/>
  <c r="A2557" i="44"/>
  <c r="F2970" i="44"/>
  <c r="F2672" i="44"/>
  <c r="F220" i="44"/>
  <c r="A220" i="44" s="1"/>
  <c r="G220" i="44" s="1"/>
  <c r="G221" i="44" s="1"/>
  <c r="F2085" i="44"/>
  <c r="F2639" i="44"/>
  <c r="A1949" i="44"/>
  <c r="F1623" i="44"/>
  <c r="F2660" i="44"/>
  <c r="A783" i="44"/>
  <c r="F997" i="44"/>
  <c r="F1021" i="44"/>
  <c r="A2869" i="44"/>
  <c r="F3388" i="44"/>
  <c r="A3388" i="44" s="1"/>
  <c r="F809" i="44"/>
  <c r="F2522" i="44"/>
  <c r="A413" i="44"/>
  <c r="F1058" i="44"/>
  <c r="A551" i="44"/>
  <c r="F1834" i="44"/>
  <c r="F460" i="44"/>
  <c r="F878" i="44"/>
  <c r="A589" i="44"/>
  <c r="A587" i="44"/>
  <c r="A1042" i="44"/>
  <c r="F1670" i="44"/>
  <c r="F2195" i="44"/>
  <c r="A1643" i="44"/>
  <c r="A1086" i="44"/>
  <c r="J161" i="44"/>
  <c r="M161" i="44" s="1"/>
  <c r="K161" i="44"/>
  <c r="F2661" i="44"/>
  <c r="F2580" i="44"/>
  <c r="A1063" i="44"/>
  <c r="A860" i="44"/>
  <c r="A251" i="44"/>
  <c r="F402" i="44"/>
  <c r="F2051" i="44"/>
  <c r="F3086" i="44"/>
  <c r="F575" i="44"/>
  <c r="F1646" i="44"/>
  <c r="F849" i="44"/>
  <c r="A3060" i="44"/>
  <c r="F2519" i="44"/>
  <c r="F3130" i="44"/>
  <c r="F361" i="44"/>
  <c r="F2988" i="44"/>
  <c r="F2939" i="44"/>
  <c r="F597" i="44"/>
  <c r="A308" i="44"/>
  <c r="F327" i="44"/>
  <c r="A412" i="44"/>
  <c r="F2174" i="44"/>
  <c r="F2635" i="44"/>
  <c r="F903" i="44"/>
  <c r="F989" i="44"/>
  <c r="F2026" i="44"/>
  <c r="F982" i="44"/>
  <c r="E2462" i="44"/>
  <c r="A2477" i="44" s="1"/>
  <c r="A2283" i="44"/>
  <c r="A2277" i="44"/>
  <c r="F2233" i="44"/>
  <c r="A1956" i="44"/>
  <c r="A395" i="44"/>
  <c r="F2514" i="44"/>
  <c r="F401" i="44"/>
  <c r="A1677" i="44"/>
  <c r="F2759" i="44"/>
  <c r="A814" i="44"/>
  <c r="F2207" i="44"/>
  <c r="F1662" i="44"/>
  <c r="A1662" i="44"/>
  <c r="F2327" i="44"/>
  <c r="F812" i="44"/>
  <c r="A1058" i="44"/>
  <c r="F1001" i="44"/>
  <c r="F2120" i="44"/>
  <c r="F2311" i="44"/>
  <c r="A2280" i="44"/>
  <c r="F352" i="44"/>
  <c r="F2057" i="44"/>
  <c r="E1966" i="44"/>
  <c r="A1980" i="44" s="1"/>
  <c r="A1667" i="44"/>
  <c r="F2046" i="44"/>
  <c r="F1607" i="44"/>
  <c r="F488" i="44"/>
  <c r="F1626" i="44"/>
  <c r="F654" i="44"/>
  <c r="F514" i="44"/>
  <c r="F1542" i="44"/>
  <c r="F1698" i="44"/>
  <c r="A864" i="44"/>
  <c r="A845" i="44"/>
  <c r="F684" i="44"/>
  <c r="F2570" i="44"/>
  <c r="A432" i="44"/>
  <c r="F626" i="44"/>
  <c r="F2418" i="44"/>
  <c r="F732" i="44"/>
  <c r="F2600" i="44"/>
  <c r="A1078" i="44"/>
  <c r="A2550" i="44"/>
  <c r="L171" i="44"/>
  <c r="N171" i="44" s="1"/>
  <c r="F171" i="44" s="1"/>
  <c r="F822" i="44"/>
  <c r="F2169" i="44"/>
  <c r="F546" i="44"/>
  <c r="A546" i="44" s="1"/>
  <c r="F80" i="44"/>
  <c r="A80" i="44" s="1"/>
  <c r="A454" i="44"/>
  <c r="F1046" i="44"/>
  <c r="F2503" i="44"/>
  <c r="F2398" i="44"/>
  <c r="A416" i="44"/>
  <c r="E2814" i="44"/>
  <c r="A2820" i="44" s="1"/>
  <c r="A2284" i="44"/>
  <c r="F1017" i="44"/>
  <c r="F450" i="44"/>
  <c r="A583" i="44"/>
  <c r="F735" i="44"/>
  <c r="F107" i="44"/>
  <c r="A107" i="44" s="1"/>
  <c r="F499" i="44"/>
  <c r="F2593" i="44"/>
  <c r="F1674" i="44"/>
  <c r="A792" i="44"/>
  <c r="E3118" i="44"/>
  <c r="A3121" i="44" s="1"/>
  <c r="F53" i="44"/>
  <c r="A53" i="44" s="1"/>
  <c r="F310" i="44"/>
  <c r="A460" i="44"/>
  <c r="A1093" i="44"/>
  <c r="F2879" i="44"/>
  <c r="F1586" i="44"/>
  <c r="F312" i="44"/>
  <c r="A1673" i="44"/>
  <c r="F1675" i="44"/>
  <c r="F524" i="44"/>
  <c r="F1927" i="44"/>
  <c r="F2713" i="44"/>
  <c r="A987" i="44"/>
  <c r="A515" i="44"/>
  <c r="F1889" i="44"/>
  <c r="F611" i="44"/>
  <c r="L175" i="44"/>
  <c r="N175" i="44" s="1"/>
  <c r="F175" i="44" s="1"/>
  <c r="F2153" i="44"/>
  <c r="F880" i="44"/>
  <c r="E1136" i="44"/>
  <c r="A1136" i="44" s="1"/>
  <c r="F356" i="44"/>
  <c r="F3009" i="44"/>
  <c r="A734" i="44"/>
  <c r="F1945" i="44"/>
  <c r="F584" i="44"/>
  <c r="F2836" i="44"/>
  <c r="F2533" i="44"/>
  <c r="F2980" i="44"/>
  <c r="F396" i="44"/>
  <c r="F112" i="44"/>
  <c r="A112" i="44" s="1"/>
  <c r="A2146" i="44"/>
  <c r="F13" i="44"/>
  <c r="A13" i="44" s="1"/>
  <c r="A1010" i="44"/>
  <c r="F1528" i="44"/>
  <c r="A1946" i="44"/>
  <c r="F2305" i="44"/>
  <c r="F2008" i="44"/>
  <c r="A707" i="44"/>
  <c r="F2681" i="44"/>
  <c r="F922" i="44"/>
  <c r="A370" i="44"/>
  <c r="F3088" i="44"/>
  <c r="A806" i="44"/>
  <c r="F2400" i="44"/>
  <c r="F3447" i="44"/>
  <c r="A3447" i="44" s="1"/>
  <c r="F993" i="44"/>
  <c r="F970" i="44"/>
  <c r="F2687" i="44"/>
  <c r="E114" i="3"/>
  <c r="F3113" i="44"/>
  <c r="A1068" i="44"/>
  <c r="A1070" i="44"/>
  <c r="F948" i="44"/>
  <c r="F2391" i="44"/>
  <c r="F607" i="44"/>
  <c r="F947" i="44"/>
  <c r="A327" i="44"/>
  <c r="A753" i="44"/>
  <c r="F1819" i="44"/>
  <c r="F1074" i="44"/>
  <c r="A841" i="44"/>
  <c r="F888" i="44"/>
  <c r="F314" i="44"/>
  <c r="F2306" i="44"/>
  <c r="F2292" i="44"/>
  <c r="F2348" i="44"/>
  <c r="F1835" i="44"/>
  <c r="F794" i="44"/>
  <c r="F2568" i="44"/>
  <c r="F3094" i="44"/>
  <c r="F105" i="44"/>
  <c r="A105" i="44" s="1"/>
  <c r="F3423" i="44"/>
  <c r="A3423" i="44" s="1"/>
  <c r="E2734" i="44"/>
  <c r="A2749" i="44" s="1"/>
  <c r="F1063" i="44"/>
  <c r="F554" i="44"/>
  <c r="F2197" i="44"/>
  <c r="F1780" i="44"/>
  <c r="F730" i="44"/>
  <c r="A2194" i="44"/>
  <c r="A645" i="44"/>
  <c r="F2385" i="44"/>
  <c r="F378" i="44"/>
  <c r="F1624" i="44"/>
  <c r="A482" i="44"/>
  <c r="F2143" i="44"/>
  <c r="F679" i="44"/>
  <c r="F1891" i="44"/>
  <c r="A512" i="44"/>
  <c r="A1045" i="44"/>
  <c r="F632" i="44"/>
  <c r="F2603" i="44"/>
  <c r="F2535" i="44"/>
  <c r="A779" i="44"/>
  <c r="A410" i="44"/>
  <c r="F324" i="44"/>
  <c r="A1665" i="44"/>
  <c r="F890" i="44"/>
  <c r="F363" i="44"/>
  <c r="A383" i="44"/>
  <c r="F2044" i="44"/>
  <c r="E1630" i="44"/>
  <c r="A1630" i="44" s="1"/>
  <c r="F2607" i="44"/>
  <c r="F2871" i="44"/>
  <c r="F1872" i="44"/>
  <c r="A698" i="44"/>
  <c r="A662" i="44"/>
  <c r="F1966" i="44"/>
  <c r="A1966" i="44"/>
  <c r="A341" i="44"/>
  <c r="F3027" i="44"/>
  <c r="A1039" i="44"/>
  <c r="F3125" i="44"/>
  <c r="F2655" i="44"/>
  <c r="F2793" i="44"/>
  <c r="F94" i="44"/>
  <c r="A94" i="44" s="1"/>
  <c r="F3165" i="44"/>
  <c r="F2781" i="44"/>
  <c r="F2874" i="44"/>
  <c r="F2784" i="44"/>
  <c r="F328" i="44"/>
  <c r="F1838" i="44"/>
  <c r="A1838" i="44"/>
  <c r="F1949" i="44"/>
  <c r="F2235" i="44"/>
  <c r="F3143" i="44"/>
  <c r="F2318" i="44"/>
  <c r="F1798" i="44"/>
  <c r="F2375" i="44"/>
  <c r="F991" i="44"/>
  <c r="F2501" i="44"/>
  <c r="F330" i="44"/>
  <c r="F763" i="44"/>
  <c r="A657" i="44"/>
  <c r="F413" i="44"/>
  <c r="F359" i="44"/>
  <c r="A2459" i="44"/>
  <c r="A252" i="44"/>
  <c r="F1588" i="44"/>
  <c r="F2974" i="44"/>
  <c r="A1520" i="44"/>
  <c r="F755" i="44"/>
  <c r="F1821" i="44"/>
  <c r="A691" i="44"/>
  <c r="A689" i="44"/>
  <c r="F557" i="44"/>
  <c r="A1079" i="44"/>
  <c r="F2715" i="44"/>
  <c r="A1076" i="44"/>
  <c r="A1074" i="44"/>
  <c r="F380" i="44"/>
  <c r="A2128" i="44"/>
  <c r="A2268" i="44"/>
  <c r="F458" i="44"/>
  <c r="F1740" i="44"/>
  <c r="F721" i="44"/>
  <c r="A1050" i="44"/>
  <c r="A594" i="44"/>
  <c r="F1794" i="44"/>
  <c r="F3108" i="44"/>
  <c r="F567" i="44"/>
  <c r="A478" i="44"/>
  <c r="F3101" i="44"/>
  <c r="A494" i="44"/>
  <c r="A749" i="44"/>
  <c r="F1546" i="44"/>
  <c r="F1898" i="44"/>
  <c r="A2975" i="44"/>
  <c r="F2163" i="44"/>
  <c r="F1513" i="44"/>
  <c r="F3394" i="44"/>
  <c r="A3394" i="44" s="1"/>
  <c r="F1013" i="44"/>
  <c r="F1648" i="44"/>
  <c r="F838" i="44"/>
  <c r="F2404" i="44"/>
  <c r="A441" i="44"/>
  <c r="F891" i="44"/>
  <c r="A257" i="44"/>
  <c r="F2690" i="44"/>
  <c r="F2537" i="44"/>
  <c r="F1073" i="44"/>
  <c r="A2040" i="44"/>
  <c r="A1043" i="44"/>
  <c r="A1041" i="44"/>
  <c r="A1522" i="44"/>
  <c r="F2892" i="44"/>
  <c r="E1758" i="44"/>
  <c r="A1759" i="44" s="1"/>
  <c r="A2688" i="44"/>
  <c r="A813" i="44"/>
  <c r="A701" i="44"/>
  <c r="A765" i="44"/>
  <c r="F2399" i="44"/>
  <c r="F2299" i="44"/>
  <c r="A681" i="44"/>
  <c r="F2686" i="44"/>
  <c r="A2686" i="44"/>
  <c r="F2059" i="44"/>
  <c r="A761" i="44"/>
  <c r="F331" i="44"/>
  <c r="F2435" i="44"/>
  <c r="F619" i="44"/>
  <c r="F2309" i="44"/>
  <c r="A1815" i="44"/>
  <c r="F2762" i="44"/>
  <c r="F2877" i="44"/>
  <c r="F2228" i="44"/>
  <c r="A2142" i="44"/>
  <c r="F2142" i="44"/>
  <c r="F482" i="44"/>
  <c r="F3034" i="44"/>
  <c r="F1986" i="44"/>
  <c r="A377" i="44"/>
  <c r="F394" i="44"/>
  <c r="F795" i="44"/>
  <c r="A1874" i="44"/>
  <c r="F2225" i="44"/>
  <c r="A509" i="44"/>
  <c r="F2112" i="44"/>
  <c r="F3072" i="44"/>
  <c r="A771" i="44"/>
  <c r="A1511" i="44"/>
  <c r="F1520" i="44"/>
  <c r="A553" i="44"/>
  <c r="F2329" i="44"/>
  <c r="F847" i="44"/>
  <c r="F1630" i="44"/>
  <c r="F2819" i="44"/>
  <c r="F827" i="44"/>
  <c r="A750" i="44"/>
  <c r="A938" i="44"/>
  <c r="F2184" i="44"/>
  <c r="A1866" i="44"/>
  <c r="F2691" i="44"/>
  <c r="F392" i="44"/>
  <c r="A3097" i="44"/>
  <c r="F2965" i="44"/>
  <c r="F1772" i="44"/>
  <c r="F2296" i="44"/>
  <c r="F2298" i="44"/>
  <c r="F1592" i="44"/>
  <c r="A481" i="44"/>
  <c r="F1514" i="44"/>
  <c r="A660" i="44"/>
  <c r="F364" i="44"/>
  <c r="F334" i="44"/>
  <c r="A396" i="44"/>
  <c r="J155" i="44"/>
  <c r="M155" i="44" s="1"/>
  <c r="K155" i="44"/>
  <c r="F2062" i="44"/>
  <c r="F425" i="44"/>
  <c r="F2738" i="44"/>
  <c r="F2246" i="44"/>
  <c r="F2367" i="44"/>
  <c r="F624" i="44"/>
  <c r="F618" i="44"/>
  <c r="A1663" i="44"/>
  <c r="F2279" i="44"/>
  <c r="A901" i="44"/>
  <c r="F716" i="44"/>
  <c r="F1084" i="44"/>
  <c r="A858" i="44"/>
  <c r="F2139" i="44"/>
  <c r="F69" i="44"/>
  <c r="A69" i="44" s="1"/>
  <c r="F504" i="44"/>
  <c r="F2954" i="44"/>
  <c r="A2266" i="44"/>
  <c r="F498" i="44"/>
  <c r="F1920" i="44"/>
  <c r="A2316" i="44"/>
  <c r="F2852" i="44"/>
  <c r="A885" i="44"/>
  <c r="F505" i="44"/>
  <c r="A1839" i="44"/>
  <c r="F1032" i="44"/>
  <c r="F1012" i="44"/>
  <c r="F1050" i="44"/>
  <c r="A703" i="44"/>
  <c r="F2827" i="44"/>
  <c r="A1700" i="44"/>
  <c r="F3444" i="44"/>
  <c r="A3444" i="44" s="1"/>
  <c r="F2149" i="44"/>
  <c r="F373" i="44"/>
  <c r="A1847" i="44"/>
  <c r="F2368" i="44"/>
  <c r="F2572" i="44"/>
  <c r="F1824" i="44"/>
  <c r="A2331" i="44"/>
  <c r="A880" i="44"/>
  <c r="A398" i="44"/>
  <c r="F1940" i="44"/>
  <c r="F2124" i="44"/>
  <c r="F1521" i="44"/>
  <c r="A2152" i="44"/>
  <c r="F841" i="44"/>
  <c r="F449" i="44"/>
  <c r="F475" i="44"/>
  <c r="A650" i="44"/>
  <c r="F2465" i="44"/>
  <c r="F1991" i="44"/>
  <c r="F2164" i="44"/>
  <c r="F547" i="44"/>
  <c r="F62" i="44"/>
  <c r="A62" i="44" s="1"/>
  <c r="F1781" i="44"/>
  <c r="F689" i="44"/>
  <c r="F2828" i="44"/>
  <c r="F907" i="44"/>
  <c r="A1974" i="44"/>
  <c r="F1002" i="44"/>
  <c r="F1041" i="44"/>
  <c r="A647" i="44"/>
  <c r="A1081" i="44"/>
  <c r="F1911" i="44"/>
  <c r="F1654" i="44"/>
  <c r="F1864" i="44"/>
  <c r="F2520" i="44"/>
  <c r="F637" i="44"/>
  <c r="F2379" i="44"/>
  <c r="F1827" i="44"/>
  <c r="F2358" i="44"/>
  <c r="F525" i="44"/>
  <c r="F2933" i="44"/>
  <c r="A318" i="44"/>
  <c r="A349" i="44"/>
  <c r="A830" i="44"/>
  <c r="A610" i="44"/>
  <c r="A467" i="44"/>
  <c r="F2851" i="44"/>
  <c r="F2010" i="44"/>
  <c r="F708" i="44"/>
  <c r="F2682" i="44"/>
  <c r="F771" i="44"/>
  <c r="A2103" i="44"/>
  <c r="F2508" i="44"/>
  <c r="F2949" i="44"/>
  <c r="A972" i="44"/>
  <c r="A763" i="44"/>
  <c r="A2977" i="44"/>
  <c r="F3036" i="44"/>
  <c r="F1534" i="44"/>
  <c r="F1724" i="44"/>
  <c r="F1846" i="44"/>
  <c r="F2557" i="44"/>
  <c r="A727" i="44"/>
  <c r="A2285" i="44"/>
  <c r="F2482" i="44"/>
  <c r="F1036" i="44"/>
  <c r="A301" i="44"/>
  <c r="F709" i="44"/>
  <c r="F507" i="44"/>
  <c r="A502" i="44"/>
  <c r="F2472" i="44"/>
  <c r="F452" i="44"/>
  <c r="F1805" i="44"/>
  <c r="A436" i="44"/>
  <c r="K163" i="44"/>
  <c r="J163" i="44"/>
  <c r="L163" i="44" s="1"/>
  <c r="N163" i="44" s="1"/>
  <c r="F163" i="44" s="1"/>
  <c r="A612" i="44"/>
  <c r="F50" i="44"/>
  <c r="A50" i="44" s="1"/>
  <c r="F601" i="44"/>
  <c r="A492" i="44"/>
  <c r="F2524" i="44"/>
  <c r="A808" i="44"/>
  <c r="F261" i="44"/>
  <c r="A261" i="44" s="1"/>
  <c r="F2625" i="44"/>
  <c r="F2938" i="44"/>
  <c r="A2147" i="44"/>
  <c r="F848" i="44"/>
  <c r="F1692" i="44"/>
  <c r="A2281" i="44"/>
  <c r="F2094" i="44"/>
  <c r="F338" i="44"/>
  <c r="F2460" i="44"/>
  <c r="F3061" i="44"/>
  <c r="F2662" i="44"/>
  <c r="A672" i="44"/>
  <c r="A126" i="44"/>
  <c r="F3050" i="44"/>
  <c r="F2272" i="44"/>
  <c r="F16" i="44"/>
  <c r="A16" i="44" s="1"/>
  <c r="F3409" i="44"/>
  <c r="A3409" i="44" s="1"/>
  <c r="F306" i="44"/>
  <c r="F339" i="44"/>
  <c r="A506" i="44"/>
  <c r="F1598" i="44"/>
  <c r="A2157" i="44"/>
  <c r="F786" i="44"/>
  <c r="F621" i="44"/>
  <c r="F2432" i="44"/>
  <c r="F2178" i="44"/>
  <c r="A406" i="44"/>
  <c r="F1538" i="44"/>
  <c r="A869" i="44"/>
  <c r="F2542" i="44"/>
  <c r="A2542" i="44"/>
  <c r="A923" i="44"/>
  <c r="F2202" i="44"/>
  <c r="E2590" i="44"/>
  <c r="A2601" i="44" s="1"/>
  <c r="F886" i="44"/>
  <c r="F1612" i="44"/>
  <c r="F2410" i="44"/>
  <c r="A489" i="44"/>
  <c r="A752" i="44"/>
  <c r="A484" i="44"/>
  <c r="F1531" i="44"/>
  <c r="F2453" i="44"/>
  <c r="F778" i="44"/>
  <c r="F2617" i="44"/>
  <c r="F2450" i="44"/>
  <c r="F2559" i="44"/>
  <c r="F663" i="44"/>
  <c r="F2606" i="44"/>
  <c r="F765" i="44"/>
  <c r="F2623" i="44"/>
  <c r="F1832" i="44"/>
  <c r="F2712" i="44"/>
  <c r="E2894" i="44"/>
  <c r="A2904" i="44" s="1"/>
  <c r="A993" i="44"/>
  <c r="F2565" i="44"/>
  <c r="F1746" i="44"/>
  <c r="F627" i="44"/>
  <c r="A2742" i="44"/>
  <c r="F1797" i="44"/>
  <c r="A430" i="44"/>
  <c r="F1080" i="44"/>
  <c r="F884" i="44"/>
  <c r="A2149" i="44"/>
  <c r="F537" i="44"/>
  <c r="E1726" i="44"/>
  <c r="A1730" i="44" s="1"/>
  <c r="F2347" i="44"/>
  <c r="F1748" i="44"/>
  <c r="F2469" i="44"/>
  <c r="F1596" i="44"/>
  <c r="A870" i="44"/>
  <c r="F496" i="44"/>
  <c r="A3137" i="44"/>
  <c r="A949" i="44"/>
  <c r="F2161" i="44"/>
  <c r="F3435" i="44"/>
  <c r="A3435" i="44" s="1"/>
  <c r="E2846" i="44"/>
  <c r="A2855" i="44" s="1"/>
  <c r="F3052" i="44"/>
  <c r="F2338" i="44"/>
  <c r="A2195" i="44"/>
  <c r="F2022" i="44"/>
  <c r="F3046" i="44"/>
  <c r="F678" i="44"/>
  <c r="A678" i="44" s="1"/>
  <c r="F652" i="44"/>
  <c r="F474" i="44"/>
  <c r="F2932" i="44"/>
  <c r="F803" i="44"/>
  <c r="F2324" i="44"/>
  <c r="F2605" i="44"/>
  <c r="F2363" i="44"/>
  <c r="A329" i="44"/>
  <c r="F1921" i="44"/>
  <c r="F340" i="44"/>
  <c r="F1090" i="44"/>
  <c r="F2267" i="44"/>
  <c r="E1902" i="44"/>
  <c r="A1915" i="44" s="1"/>
  <c r="E100" i="3"/>
  <c r="F949" i="44"/>
  <c r="F2978" i="44"/>
  <c r="F3401" i="44"/>
  <c r="A3401" i="44" s="1"/>
  <c r="A501" i="44"/>
  <c r="F1736" i="44"/>
  <c r="A2303" i="44"/>
  <c r="F3403" i="44"/>
  <c r="A3403" i="44" s="1"/>
  <c r="F664" i="44"/>
  <c r="F3412" i="44"/>
  <c r="A3412" i="44" s="1"/>
  <c r="F2390" i="44"/>
  <c r="F2121" i="44"/>
  <c r="F646" i="44"/>
  <c r="A1644" i="44"/>
  <c r="F1763" i="44"/>
  <c r="F2671" i="44"/>
  <c r="F18" i="44"/>
  <c r="F1761" i="44"/>
  <c r="F479" i="44"/>
  <c r="A499" i="44"/>
  <c r="F3153" i="44"/>
  <c r="F1519" i="44"/>
  <c r="F343" i="44"/>
  <c r="F2444" i="44"/>
  <c r="F2897" i="44"/>
  <c r="F644" i="44"/>
  <c r="F1077" i="44"/>
  <c r="A2145" i="44"/>
  <c r="F703" i="44"/>
  <c r="A273" i="44"/>
  <c r="F2107" i="44"/>
  <c r="A597" i="44"/>
  <c r="F2268" i="44"/>
  <c r="F523" i="44"/>
  <c r="A668" i="44"/>
  <c r="F448" i="44"/>
  <c r="F2956" i="44"/>
  <c r="A309" i="44"/>
  <c r="F1510" i="44"/>
  <c r="F3016" i="44"/>
  <c r="F3418" i="44"/>
  <c r="A3418" i="44" s="1"/>
  <c r="A809" i="44"/>
  <c r="F2566" i="44"/>
  <c r="A2033" i="44"/>
  <c r="A2263" i="44"/>
  <c r="F1055" i="44"/>
  <c r="K193" i="44"/>
  <c r="J193" i="44"/>
  <c r="L193" i="44" s="1"/>
  <c r="N193" i="44" s="1"/>
  <c r="F193" i="44" s="1"/>
  <c r="F727" i="44"/>
  <c r="F2728" i="44"/>
  <c r="A3138" i="44"/>
  <c r="F3432" i="44"/>
  <c r="A3432" i="44" s="1"/>
  <c r="F939" i="44"/>
  <c r="F661" i="44"/>
  <c r="F2695" i="44"/>
  <c r="A690" i="44"/>
  <c r="F3414" i="44"/>
  <c r="A3414" i="44" s="1"/>
  <c r="A811" i="44"/>
  <c r="F713" i="44"/>
  <c r="A2701" i="44"/>
  <c r="F3040" i="44"/>
  <c r="A875" i="44"/>
  <c r="A539" i="44"/>
  <c r="F2122" i="44"/>
  <c r="F2677" i="44"/>
  <c r="K183" i="44"/>
  <c r="J183" i="44"/>
  <c r="M183" i="44" s="1"/>
  <c r="F2361" i="44"/>
  <c r="F967" i="44"/>
  <c r="A272" i="44"/>
  <c r="F1613" i="44"/>
  <c r="F2129" i="44"/>
  <c r="A362" i="44"/>
  <c r="A621" i="44"/>
  <c r="F573" i="44"/>
  <c r="F767" i="44"/>
  <c r="E2334" i="44"/>
  <c r="A2341" i="44" s="1"/>
  <c r="F1550" i="44"/>
  <c r="F1903" i="44"/>
  <c r="A1875" i="44"/>
  <c r="F533" i="44"/>
  <c r="F1629" i="44"/>
  <c r="F1869" i="44"/>
  <c r="A576" i="44"/>
  <c r="A439" i="44"/>
  <c r="F67" i="44"/>
  <c r="A67" i="44" s="1"/>
  <c r="A254" i="44"/>
  <c r="F2664" i="44"/>
  <c r="A2132" i="44"/>
  <c r="F3148" i="44"/>
  <c r="F836" i="44"/>
  <c r="F1697" i="44"/>
  <c r="F602" i="44"/>
  <c r="A882" i="44"/>
  <c r="F2778" i="44"/>
  <c r="F606" i="44"/>
  <c r="F2248" i="44"/>
  <c r="F2979" i="44"/>
  <c r="A275" i="44"/>
  <c r="F1928" i="44"/>
  <c r="F648" i="44"/>
  <c r="F2234" i="44"/>
  <c r="F3436" i="44"/>
  <c r="F2257" i="44"/>
  <c r="F593" i="44"/>
  <c r="F1998" i="44"/>
  <c r="F2953" i="44"/>
  <c r="A428" i="44"/>
  <c r="F2407" i="44"/>
  <c r="L199" i="44"/>
  <c r="N199" i="44" s="1"/>
  <c r="F199" i="44" s="1"/>
  <c r="F3452" i="44"/>
  <c r="A3452" i="44" s="1"/>
  <c r="F3397" i="44"/>
  <c r="A3397" i="44" s="1"/>
  <c r="F3095" i="44"/>
  <c r="F111" i="44"/>
  <c r="A111" i="44" s="1"/>
  <c r="A3141" i="44"/>
  <c r="F2530" i="44"/>
  <c r="F1019" i="44"/>
  <c r="F1037" i="44"/>
  <c r="F3391" i="44"/>
  <c r="A3391" i="44" s="1"/>
  <c r="F2126" i="44"/>
  <c r="A1525" i="44"/>
  <c r="F643" i="44"/>
  <c r="F1547" i="44"/>
  <c r="A392" i="44"/>
  <c r="A140" i="44"/>
  <c r="A1861" i="44"/>
  <c r="F501" i="44"/>
  <c r="F934" i="44"/>
  <c r="F2510" i="44"/>
  <c r="A2274" i="44"/>
  <c r="F1004" i="44"/>
  <c r="A391" i="44"/>
  <c r="F560" i="44"/>
  <c r="F770" i="44"/>
  <c r="F3374" i="44"/>
  <c r="A3374" i="44" s="1"/>
  <c r="G3374" i="44" s="1"/>
  <c r="A570" i="44"/>
  <c r="A1809" i="44"/>
  <c r="F2374" i="44"/>
  <c r="F2039" i="44"/>
  <c r="F933" i="44"/>
  <c r="F2719" i="44"/>
  <c r="A2198" i="44"/>
  <c r="A2549" i="44"/>
  <c r="A522" i="44"/>
  <c r="F1766" i="44"/>
  <c r="A1965" i="44"/>
  <c r="F1700" i="44"/>
  <c r="A640" i="44"/>
  <c r="F2397" i="44"/>
  <c r="F2595" i="44"/>
  <c r="F2904" i="44"/>
  <c r="F2792" i="44"/>
  <c r="F659" i="44"/>
  <c r="F500" i="44"/>
  <c r="F1981" i="44"/>
  <c r="A1813" i="44"/>
  <c r="F2434" i="44"/>
  <c r="A663" i="44"/>
  <c r="F561" i="44"/>
  <c r="E2830" i="44"/>
  <c r="A2831" i="44" s="1"/>
  <c r="A535" i="44"/>
  <c r="A631" i="44"/>
  <c r="A2123" i="44"/>
  <c r="A445" i="44"/>
  <c r="F2189" i="44"/>
  <c r="A789" i="44"/>
  <c r="J209" i="44"/>
  <c r="M209" i="44" s="1"/>
  <c r="K209" i="44"/>
  <c r="F2401" i="44"/>
  <c r="F472" i="44"/>
  <c r="F2860" i="44"/>
  <c r="A1072" i="44"/>
  <c r="F723" i="44"/>
  <c r="A801" i="44"/>
  <c r="A303" i="44"/>
  <c r="A503" i="44"/>
  <c r="A279" i="44"/>
  <c r="F1666" i="44"/>
  <c r="F1007" i="44"/>
  <c r="F2650" i="44"/>
  <c r="A933" i="44"/>
  <c r="A393" i="44"/>
  <c r="F1734" i="44"/>
  <c r="F2967" i="44"/>
  <c r="F1505" i="44"/>
  <c r="A1505" i="44" s="1"/>
  <c r="G1505" i="44" s="1"/>
  <c r="A455" i="44"/>
  <c r="A487" i="44"/>
  <c r="A2030" i="44"/>
  <c r="F2030" i="44"/>
  <c r="A269" i="44"/>
  <c r="F1925" i="44"/>
  <c r="F3012" i="44"/>
  <c r="F3160" i="44"/>
  <c r="F307" i="44"/>
  <c r="E1582" i="44"/>
  <c r="A1588" i="44" s="1"/>
  <c r="A1544" i="44"/>
  <c r="F910" i="44"/>
  <c r="A3140" i="44"/>
  <c r="E1998" i="44"/>
  <c r="A2008" i="44" s="1"/>
  <c r="F2383" i="44"/>
  <c r="E3022" i="44"/>
  <c r="A3029" i="44" s="1"/>
  <c r="F2100" i="44"/>
  <c r="F1751" i="44"/>
  <c r="F623" i="44"/>
  <c r="F440" i="44"/>
  <c r="F2365" i="44"/>
  <c r="E2430" i="44"/>
  <c r="A2442" i="44" s="1"/>
  <c r="A332" i="44"/>
  <c r="A878" i="44"/>
  <c r="A335" i="44"/>
  <c r="F1826" i="44"/>
  <c r="F2440" i="44"/>
  <c r="F1518" i="44"/>
  <c r="F538" i="44"/>
  <c r="F2300" i="44"/>
  <c r="F372" i="44"/>
  <c r="F2900" i="44"/>
  <c r="F2512" i="44"/>
  <c r="F622" i="44"/>
  <c r="F1916" i="44"/>
  <c r="F3023" i="44"/>
  <c r="F455" i="44"/>
  <c r="F811" i="44"/>
  <c r="F1881" i="44"/>
  <c r="A278" i="44"/>
  <c r="F3063" i="44"/>
  <c r="F2531" i="44"/>
  <c r="F1054" i="44"/>
  <c r="A799" i="44"/>
  <c r="F885" i="44"/>
  <c r="F1517" i="44"/>
  <c r="F2310" i="44"/>
  <c r="A399" i="44"/>
  <c r="F1813" i="44"/>
  <c r="A1962" i="44"/>
  <c r="A863" i="44"/>
  <c r="F768" i="44"/>
  <c r="A711" i="44"/>
  <c r="F102" i="44"/>
  <c r="A102" i="44" s="1"/>
  <c r="A1527" i="44"/>
  <c r="A2010" i="44"/>
  <c r="A474" i="44"/>
  <c r="A1674" i="44"/>
  <c r="F2744" i="44"/>
  <c r="F861" i="44"/>
  <c r="A876" i="44"/>
  <c r="A874" i="44"/>
  <c r="A991" i="44"/>
  <c r="A989" i="44"/>
  <c r="F2140" i="44"/>
  <c r="F1680" i="44"/>
  <c r="F3054" i="44"/>
  <c r="F978" i="44"/>
  <c r="A1011" i="44"/>
  <c r="A2192" i="44"/>
  <c r="F2627" i="44"/>
  <c r="A423" i="44"/>
  <c r="A419" i="44"/>
  <c r="F3386" i="44"/>
  <c r="A3386" i="44" s="1"/>
  <c r="F2191" i="44"/>
  <c r="F2934" i="44"/>
  <c r="A891" i="44"/>
  <c r="A889" i="44"/>
  <c r="E2286" i="44"/>
  <c r="A2286" i="44" s="1"/>
  <c r="F400" i="44"/>
  <c r="A732" i="44"/>
  <c r="A730" i="44"/>
  <c r="F3443" i="44"/>
  <c r="A3443" i="44" s="1"/>
  <c r="A1057" i="44"/>
  <c r="A2835" i="44"/>
  <c r="F2995" i="44"/>
  <c r="F1611" i="44"/>
  <c r="A3088" i="44"/>
  <c r="A434" i="44"/>
  <c r="F3045" i="44"/>
  <c r="F3429" i="44"/>
  <c r="A3429" i="44" s="1"/>
  <c r="F950" i="44"/>
  <c r="F2047" i="44"/>
  <c r="F2103" i="44"/>
  <c r="F1951" i="44"/>
  <c r="F2856" i="44"/>
  <c r="F2585" i="44"/>
  <c r="F2575" i="44"/>
  <c r="F1865" i="44"/>
  <c r="A782" i="44"/>
  <c r="F2861" i="44"/>
  <c r="F1905" i="44"/>
  <c r="F3105" i="44"/>
  <c r="F1639" i="44"/>
  <c r="A533" i="44"/>
  <c r="F2732" i="44"/>
  <c r="F3049" i="44"/>
  <c r="F3056" i="44"/>
  <c r="F416" i="44"/>
  <c r="A861" i="44"/>
  <c r="A3003" i="44"/>
  <c r="A770" i="44"/>
  <c r="F2571" i="44"/>
  <c r="A985" i="44"/>
  <c r="F615" i="44"/>
  <c r="F1035" i="44"/>
  <c r="E2414" i="44"/>
  <c r="A2424" i="44" s="1"/>
  <c r="F26" i="44"/>
  <c r="A26" i="44" s="1"/>
  <c r="F1770" i="44"/>
  <c r="F696" i="44"/>
  <c r="F3078" i="44"/>
  <c r="A968" i="44"/>
  <c r="A397" i="44"/>
  <c r="E2046" i="44"/>
  <c r="A2059" i="44" s="1"/>
  <c r="A2692" i="44"/>
  <c r="F1888" i="44"/>
  <c r="A366" i="44"/>
  <c r="F3431" i="44"/>
  <c r="A3431" i="44" s="1"/>
  <c r="F985" i="44"/>
  <c r="F3020" i="44"/>
  <c r="A1012" i="44"/>
  <c r="A2812" i="44"/>
  <c r="A121" i="44"/>
  <c r="A909" i="44"/>
  <c r="F1996" i="44"/>
  <c r="F404" i="44"/>
  <c r="F2054" i="44"/>
  <c r="F494" i="44"/>
  <c r="A571" i="44"/>
  <c r="F2614" i="44"/>
  <c r="F1856" i="44"/>
  <c r="A634" i="44"/>
  <c r="A1645" i="44"/>
  <c r="A614" i="44"/>
  <c r="F946" i="44"/>
  <c r="F3100" i="44"/>
  <c r="F110" i="44"/>
  <c r="A110" i="44" s="1"/>
  <c r="F1658" i="44"/>
  <c r="F2725" i="44"/>
  <c r="F2177" i="44"/>
  <c r="F2818" i="44"/>
  <c r="F2061" i="44"/>
  <c r="F2549" i="44"/>
  <c r="F2578" i="44"/>
  <c r="F3379" i="44"/>
  <c r="A3379" i="44" s="1"/>
  <c r="F3132" i="44"/>
  <c r="F590" i="44"/>
  <c r="F1671" i="44"/>
  <c r="F426" i="44"/>
  <c r="F2058" i="44"/>
  <c r="A1025" i="44"/>
  <c r="F2736" i="44"/>
  <c r="A969" i="44"/>
  <c r="F1660" i="44"/>
  <c r="A766" i="44"/>
  <c r="F1606" i="44"/>
  <c r="F2036" i="44"/>
  <c r="F1973" i="44"/>
  <c r="A224" i="44"/>
  <c r="A846" i="44"/>
  <c r="F3117" i="44"/>
  <c r="E2094" i="44"/>
  <c r="A2102" i="44" s="1"/>
  <c r="F2653" i="44"/>
  <c r="A1999" i="44"/>
  <c r="A998" i="44"/>
  <c r="A1937" i="44"/>
  <c r="F143" i="44"/>
  <c r="A143" i="44" s="1"/>
  <c r="F1515" i="44"/>
  <c r="F3140" i="44"/>
  <c r="A372" i="44"/>
  <c r="A1850" i="44"/>
  <c r="A928" i="44"/>
  <c r="F984" i="44"/>
  <c r="F662" i="44"/>
  <c r="A859" i="44"/>
  <c r="F2055" i="44"/>
  <c r="F2350" i="44"/>
  <c r="F1020" i="44"/>
  <c r="F2256" i="44"/>
  <c r="F3138" i="44"/>
  <c r="A2270" i="44"/>
  <c r="F2270" i="44"/>
  <c r="F1873" i="44"/>
  <c r="F1632" i="44"/>
  <c r="F2643" i="44"/>
  <c r="E2862" i="44"/>
  <c r="A2873" i="44" s="1"/>
  <c r="F2093" i="44"/>
  <c r="F1937" i="44"/>
  <c r="F1902" i="44"/>
  <c r="F114" i="44"/>
  <c r="A114" i="44" s="1"/>
  <c r="F2986" i="44"/>
  <c r="A248" i="44"/>
  <c r="F974" i="44"/>
  <c r="F749" i="44"/>
  <c r="F2669" i="44"/>
  <c r="A451" i="44"/>
  <c r="F1808" i="44"/>
  <c r="F2165" i="44"/>
  <c r="F2018" i="44"/>
  <c r="F1583" i="44"/>
  <c r="F2264" i="44"/>
  <c r="F2371" i="44"/>
  <c r="A1766" i="44"/>
  <c r="F2130" i="44"/>
  <c r="A722" i="44"/>
  <c r="F1887" i="44"/>
  <c r="F1929" i="44"/>
  <c r="F2251" i="44"/>
  <c r="F2376" i="44"/>
  <c r="A794" i="44"/>
  <c r="A796" i="44"/>
  <c r="F3387" i="44"/>
  <c r="A3387" i="44" s="1"/>
  <c r="K191" i="44"/>
  <c r="J191" i="44"/>
  <c r="M191" i="44" s="1"/>
  <c r="A1776" i="44"/>
  <c r="F2584" i="44"/>
  <c r="F2515" i="44"/>
  <c r="F995" i="44"/>
  <c r="F2737" i="44"/>
  <c r="A619" i="44"/>
  <c r="F2839" i="44"/>
  <c r="A225" i="44"/>
  <c r="F977" i="44"/>
  <c r="F1907" i="44"/>
  <c r="A1810" i="44"/>
  <c r="F566" i="44"/>
  <c r="F2757" i="44"/>
  <c r="F568" i="44"/>
  <c r="A833" i="44"/>
  <c r="F2242" i="44"/>
  <c r="A604" i="44"/>
  <c r="F1708" i="44"/>
  <c r="E2398" i="44"/>
  <c r="A2413" i="44" s="1"/>
  <c r="F2787" i="44"/>
  <c r="F2648" i="44"/>
  <c r="F521" i="44"/>
  <c r="F631" i="44"/>
  <c r="F2734" i="44"/>
  <c r="A2870" i="44"/>
  <c r="F2626" i="44"/>
  <c r="F826" i="44"/>
  <c r="F2964" i="44"/>
  <c r="F1003" i="44"/>
  <c r="F2119" i="44"/>
  <c r="A831" i="44"/>
  <c r="A829" i="44"/>
  <c r="F2794" i="44"/>
  <c r="F2771" i="44"/>
  <c r="F574" i="44"/>
  <c r="A1771" i="44"/>
  <c r="A937" i="44"/>
  <c r="F3015" i="44"/>
  <c r="E2958" i="44"/>
  <c r="A2964" i="44" s="1"/>
  <c r="F2742" i="44"/>
  <c r="F2526" i="44"/>
  <c r="A2526" i="44"/>
  <c r="A229" i="44"/>
  <c r="A724" i="44"/>
  <c r="A452" i="44"/>
  <c r="F96" i="44"/>
  <c r="A96" i="44" s="1"/>
  <c r="F586" i="44"/>
  <c r="F2208" i="44"/>
  <c r="F2023" i="44"/>
  <c r="A613" i="44"/>
  <c r="F1641" i="44"/>
  <c r="F305" i="44"/>
  <c r="F1712" i="44"/>
  <c r="F3161" i="44"/>
  <c r="E2526" i="44"/>
  <c r="A2536" i="44" s="1"/>
  <c r="F1787" i="44"/>
  <c r="F2823" i="44"/>
  <c r="A1763" i="44"/>
  <c r="A222" i="44"/>
  <c r="G222" i="44" s="1"/>
  <c r="G223" i="44" s="1"/>
  <c r="A363" i="44"/>
  <c r="A929" i="44"/>
  <c r="F698" i="44"/>
  <c r="F889" i="44"/>
  <c r="F2437" i="44"/>
  <c r="A786" i="44"/>
  <c r="A2900" i="44"/>
  <c r="F1539" i="44"/>
  <c r="A2013" i="44"/>
  <c r="F3042" i="44"/>
  <c r="F1089" i="44"/>
  <c r="A1631" i="44"/>
  <c r="F1622" i="44"/>
  <c r="A912" i="44"/>
  <c r="A2267" i="44"/>
  <c r="F2262" i="44"/>
  <c r="A2308" i="44"/>
  <c r="F2135" i="44"/>
  <c r="F3159" i="44"/>
  <c r="F1591" i="44"/>
  <c r="F2946" i="44"/>
  <c r="F3011" i="44"/>
  <c r="F2442" i="44"/>
  <c r="F775" i="44"/>
  <c r="A389" i="44"/>
  <c r="A394" i="44"/>
  <c r="A568" i="44"/>
  <c r="F872" i="44"/>
  <c r="F2707" i="44"/>
  <c r="F3021" i="44"/>
  <c r="F2387" i="44"/>
  <c r="F578" i="44"/>
  <c r="F3058" i="44"/>
  <c r="F2183" i="44"/>
  <c r="A1953" i="44"/>
  <c r="F1619" i="44"/>
  <c r="F22" i="44"/>
  <c r="F980" i="44"/>
  <c r="F2673" i="44"/>
  <c r="A340" i="44"/>
  <c r="A480" i="44"/>
  <c r="F2802" i="44"/>
  <c r="A3043" i="44"/>
  <c r="A1552" i="44"/>
  <c r="A1545" i="44"/>
  <c r="F3162" i="44"/>
  <c r="F2649" i="44"/>
  <c r="F3122" i="44"/>
  <c r="A944" i="44"/>
  <c r="E1774" i="44"/>
  <c r="A1781" i="44" s="1"/>
  <c r="F1614" i="44"/>
  <c r="F138" i="44"/>
  <c r="A518" i="44"/>
  <c r="A618" i="44"/>
  <c r="F670" i="44"/>
  <c r="F2529" i="44"/>
  <c r="A538" i="44"/>
  <c r="F2045" i="44"/>
  <c r="F857" i="44"/>
  <c r="F2431" i="44"/>
  <c r="F1752" i="44"/>
  <c r="F1800" i="44"/>
  <c r="A444" i="44"/>
  <c r="F685" i="44"/>
  <c r="F3415" i="44"/>
  <c r="A3415" i="44" s="1"/>
  <c r="F2483" i="44"/>
  <c r="F1831" i="44"/>
  <c r="F2490" i="44"/>
  <c r="A1023" i="44"/>
  <c r="F2339" i="44"/>
  <c r="A347" i="44"/>
  <c r="F1956" i="44"/>
  <c r="F27" i="44"/>
  <c r="A27" i="44" s="1"/>
  <c r="A776" i="44"/>
  <c r="F1051" i="44"/>
  <c r="F887" i="44"/>
  <c r="F2463" i="44"/>
  <c r="F2048" i="44"/>
  <c r="F1955" i="44"/>
  <c r="F2439" i="44"/>
  <c r="F3064" i="44"/>
  <c r="A1055" i="44"/>
  <c r="F3110" i="44"/>
  <c r="A513" i="44"/>
  <c r="F1040" i="44"/>
  <c r="F2461" i="44"/>
  <c r="F20" i="44"/>
  <c r="A20" i="44" s="1"/>
  <c r="E2446" i="44"/>
  <c r="A2460" i="44" s="1"/>
  <c r="A2993" i="44"/>
  <c r="F892" i="44"/>
  <c r="F603" i="44"/>
  <c r="A676" i="44"/>
  <c r="A671" i="44"/>
  <c r="A3143" i="44"/>
  <c r="M163" i="44"/>
  <c r="F908" i="44"/>
  <c r="F77" i="44"/>
  <c r="F1690" i="44"/>
  <c r="A3004" i="44"/>
  <c r="A781" i="44"/>
  <c r="F2027" i="44"/>
  <c r="F19" i="44"/>
  <c r="A19" i="44" s="1"/>
  <c r="F2711" i="44"/>
  <c r="A602" i="44"/>
  <c r="F493" i="44"/>
  <c r="F3044" i="44"/>
  <c r="F1876" i="44"/>
  <c r="F1031" i="44"/>
  <c r="F1938" i="44"/>
  <c r="F983" i="44"/>
  <c r="F1778" i="44"/>
  <c r="M169" i="44"/>
  <c r="F2417" i="44"/>
  <c r="E1614" i="44"/>
  <c r="A1620" i="44" s="1"/>
  <c r="F2724" i="44"/>
  <c r="F2319" i="44"/>
  <c r="A747" i="44"/>
  <c r="G747" i="44" s="1"/>
  <c r="G748" i="44" s="1"/>
  <c r="G749" i="44" s="1"/>
  <c r="G750" i="44" s="1"/>
  <c r="F1033" i="44"/>
  <c r="F750" i="44"/>
  <c r="F281" i="44"/>
  <c r="F309" i="44"/>
  <c r="F2430" i="44"/>
  <c r="F2888" i="44"/>
  <c r="F625" i="44"/>
  <c r="F1984" i="44"/>
  <c r="A999" i="44"/>
  <c r="A815" i="44"/>
  <c r="F1944" i="44"/>
  <c r="A333" i="44"/>
  <c r="F3068" i="44"/>
  <c r="A124" i="44"/>
  <c r="F912" i="44"/>
  <c r="F263" i="44"/>
  <c r="A263" i="44" s="1"/>
  <c r="A2127" i="44"/>
  <c r="A922" i="44"/>
  <c r="G922" i="44" s="1"/>
  <c r="J165" i="44"/>
  <c r="L165" i="44" s="1"/>
  <c r="N165" i="44" s="1"/>
  <c r="F165" i="44" s="1"/>
  <c r="K165" i="44"/>
  <c r="A165" i="44" s="1"/>
  <c r="F1804" i="44"/>
  <c r="F1874" i="44"/>
  <c r="A256" i="44"/>
  <c r="F1553" i="44"/>
  <c r="F595" i="44"/>
  <c r="A586" i="44"/>
  <c r="F387" i="44"/>
  <c r="F2560" i="44"/>
  <c r="F3151" i="44"/>
  <c r="F3076" i="44"/>
  <c r="A422" i="44"/>
  <c r="F901" i="44"/>
  <c r="F1689" i="44"/>
  <c r="F1655" i="44"/>
  <c r="F2825" i="44"/>
  <c r="A3081" i="44"/>
  <c r="F2982" i="44"/>
  <c r="F829" i="44"/>
  <c r="F1741" i="44"/>
  <c r="F1858" i="44"/>
  <c r="F2043" i="44"/>
  <c r="A554" i="44"/>
  <c r="A1955" i="44"/>
  <c r="F2893" i="44"/>
  <c r="F317" i="44"/>
  <c r="A3049" i="44"/>
  <c r="A767" i="44"/>
  <c r="A1841" i="44"/>
  <c r="F937" i="44"/>
  <c r="F2783" i="44"/>
  <c r="A1037" i="44"/>
  <c r="A418" i="44"/>
  <c r="A563" i="44"/>
  <c r="A558" i="44"/>
  <c r="A2633" i="44"/>
  <c r="F1628" i="44"/>
  <c r="F2991" i="44"/>
  <c r="A1765" i="44"/>
  <c r="A693" i="44"/>
  <c r="F588" i="44"/>
  <c r="A835" i="44"/>
  <c r="A3144" i="44"/>
  <c r="F2144" i="44"/>
  <c r="F1610" i="44"/>
  <c r="A2657" i="44"/>
  <c r="F860" i="44"/>
  <c r="F876" i="44"/>
  <c r="F3393" i="44"/>
  <c r="A3393" i="44" s="1"/>
  <c r="F2500" i="44"/>
  <c r="F2497" i="44"/>
  <c r="F2486" i="44"/>
  <c r="F1811" i="44"/>
  <c r="F2903" i="44"/>
  <c r="A821" i="44"/>
  <c r="F1910" i="44"/>
  <c r="A729" i="44"/>
  <c r="F2735" i="44"/>
  <c r="A654" i="44"/>
  <c r="F707" i="44"/>
  <c r="A2448" i="44"/>
  <c r="F2117" i="44"/>
  <c r="A926" i="44"/>
  <c r="F936" i="44"/>
  <c r="F572" i="44"/>
  <c r="A572" i="44" s="1"/>
  <c r="F1663" i="44"/>
  <c r="F1044" i="44"/>
  <c r="F1875" i="44"/>
  <c r="F3067" i="44"/>
  <c r="F776" i="44"/>
  <c r="F1625" i="44"/>
  <c r="F2668" i="44"/>
  <c r="F2282" i="44"/>
  <c r="F3059" i="44"/>
  <c r="F2636" i="44"/>
  <c r="F2883" i="44"/>
  <c r="F1668" i="44"/>
  <c r="A1029" i="44"/>
  <c r="F2551" i="44"/>
  <c r="F2105" i="44"/>
  <c r="A2209" i="44"/>
  <c r="F2422" i="44"/>
  <c r="F2550" i="44"/>
  <c r="F675" i="44"/>
  <c r="A1028" i="44"/>
  <c r="F1957" i="44"/>
  <c r="F2775" i="44"/>
  <c r="F653" i="44"/>
  <c r="F463" i="44"/>
  <c r="A1547" i="44"/>
  <c r="F2652" i="44"/>
  <c r="A2099" i="44"/>
  <c r="F1918" i="44"/>
  <c r="F3450" i="44"/>
  <c r="A3450" i="44" s="1"/>
  <c r="F3112" i="44"/>
  <c r="F3424" i="44"/>
  <c r="A3424" i="44" s="1"/>
  <c r="A266" i="44"/>
  <c r="F2824" i="44"/>
  <c r="F718" i="44"/>
  <c r="F3043" i="44"/>
  <c r="F2755" i="44"/>
  <c r="A529" i="44"/>
  <c r="A462" i="44"/>
  <c r="A2315" i="44"/>
  <c r="F802" i="44"/>
  <c r="E3038" i="44"/>
  <c r="A3041" i="44" s="1"/>
  <c r="A2041" i="44"/>
  <c r="F2702" i="44"/>
  <c r="F2901" i="44"/>
  <c r="F2582" i="44"/>
  <c r="A1884" i="44"/>
  <c r="F1673" i="44"/>
  <c r="F1522" i="44"/>
  <c r="A138" i="44"/>
  <c r="A641" i="44"/>
  <c r="A1968" i="44"/>
  <c r="F2052" i="44"/>
  <c r="A1073" i="44"/>
  <c r="A1071" i="44"/>
  <c r="F2913" i="44"/>
  <c r="F2670" i="44"/>
  <c r="F2414" i="44"/>
  <c r="A2414" i="44"/>
  <c r="A626" i="44"/>
  <c r="E2558" i="44"/>
  <c r="A2572" i="44" s="1"/>
  <c r="F931" i="44"/>
  <c r="F599" i="44"/>
  <c r="F3428" i="44"/>
  <c r="A3428" i="44" s="1"/>
  <c r="F2745" i="44"/>
  <c r="A1849" i="44"/>
  <c r="A1009" i="44"/>
  <c r="F2172" i="44"/>
  <c r="F1965" i="44"/>
  <c r="F2441" i="44"/>
  <c r="F556" i="44"/>
  <c r="F459" i="44"/>
  <c r="A2791" i="44"/>
  <c r="F3407" i="44"/>
  <c r="A3407" i="44" s="1"/>
  <c r="A2868" i="44"/>
  <c r="E3070" i="44"/>
  <c r="A3085" i="44" s="1"/>
  <c r="A2131" i="44"/>
  <c r="F2321" i="44"/>
  <c r="F2676" i="44"/>
  <c r="F656" i="44"/>
  <c r="F680" i="44"/>
  <c r="F2007" i="44"/>
  <c r="A2455" i="44"/>
  <c r="F2644" i="44"/>
  <c r="F1953" i="44"/>
  <c r="F587" i="44"/>
  <c r="J197" i="44"/>
  <c r="M197" i="44" s="1"/>
  <c r="K197" i="44"/>
  <c r="F1511" i="44"/>
  <c r="A1031" i="44"/>
  <c r="F3390" i="44"/>
  <c r="A3390" i="44" s="1"/>
  <c r="E1886" i="44"/>
  <c r="A1896" i="44" s="1"/>
  <c r="F1930" i="44"/>
  <c r="F1087" i="44"/>
  <c r="F1688" i="44"/>
  <c r="F1705" i="44"/>
  <c r="A2458" i="44"/>
  <c r="F900" i="44"/>
  <c r="A1947" i="44"/>
  <c r="A271" i="44"/>
  <c r="E3006" i="44"/>
  <c r="A3019" i="44" s="1"/>
  <c r="F2073" i="44"/>
  <c r="F2881" i="44"/>
  <c r="A2724" i="44"/>
  <c r="A2317" i="44"/>
  <c r="E3054" i="44"/>
  <c r="A3059" i="44" s="1"/>
  <c r="A686" i="44"/>
  <c r="A688" i="44"/>
  <c r="A438" i="44"/>
  <c r="A2314" i="44"/>
  <c r="F2654" i="44"/>
  <c r="F2647" i="44"/>
  <c r="F1897" i="44"/>
  <c r="F2212" i="44"/>
  <c r="F1702" i="44"/>
  <c r="F2987" i="44"/>
  <c r="F564" i="44"/>
  <c r="F2511" i="44"/>
  <c r="A2971" i="44"/>
  <c r="F2604" i="44"/>
  <c r="A1672" i="44"/>
  <c r="F2498" i="44"/>
  <c r="F620" i="44"/>
  <c r="A2992" i="44"/>
  <c r="A1639" i="44"/>
  <c r="F1784" i="44"/>
  <c r="A526" i="44"/>
  <c r="F1828" i="44"/>
  <c r="F3082" i="44"/>
  <c r="F1775" i="44"/>
  <c r="A1084" i="44"/>
  <c r="F850" i="44"/>
  <c r="F2675" i="44"/>
  <c r="F1817" i="44"/>
  <c r="F667" i="44"/>
  <c r="F2341" i="44"/>
  <c r="A277" i="44"/>
  <c r="A655" i="44"/>
  <c r="F2962" i="44"/>
  <c r="F990" i="44"/>
  <c r="F1909" i="44"/>
  <c r="A511" i="44"/>
  <c r="F833" i="44"/>
  <c r="F366" i="44"/>
  <c r="F1092" i="44"/>
  <c r="F2369" i="44"/>
  <c r="A3039" i="44"/>
  <c r="F2774" i="44"/>
  <c r="F2024" i="44"/>
  <c r="F2136" i="44"/>
  <c r="F2587" i="44"/>
  <c r="F2981" i="44"/>
  <c r="F555" i="44"/>
  <c r="A838" i="44"/>
  <c r="F1777" i="44"/>
  <c r="A540" i="44"/>
  <c r="F3381" i="44"/>
  <c r="A3381" i="44" s="1"/>
  <c r="F2843" i="44"/>
  <c r="F419" i="44"/>
  <c r="F639" i="44"/>
  <c r="F3022" i="44"/>
  <c r="A1005" i="44"/>
  <c r="F2509" i="44"/>
  <c r="A1808" i="44"/>
  <c r="A508" i="44"/>
  <c r="F1845" i="44"/>
  <c r="A440" i="44"/>
  <c r="A883" i="44"/>
  <c r="M165" i="44"/>
  <c r="A600" i="44"/>
  <c r="A3096" i="44"/>
  <c r="F467" i="44"/>
  <c r="F828" i="44"/>
  <c r="F2354" i="44"/>
  <c r="F136" i="44"/>
  <c r="A136" i="44" s="1"/>
  <c r="G136" i="44" s="1"/>
  <c r="F386" i="44"/>
  <c r="F3089" i="44"/>
  <c r="A1633" i="44"/>
  <c r="E1678" i="44"/>
  <c r="A1687" i="44" s="1"/>
  <c r="F1659" i="44"/>
  <c r="E2366" i="44"/>
  <c r="A2373" i="44" s="1"/>
  <c r="F1685" i="44"/>
  <c r="F1065" i="44"/>
  <c r="F58" i="44"/>
  <c r="A58" i="44" s="1"/>
  <c r="A1846" i="44"/>
  <c r="F1069" i="44"/>
  <c r="E1598" i="44"/>
  <c r="A1601" i="44" s="1"/>
  <c r="F1879" i="44"/>
  <c r="A79" i="44"/>
  <c r="F2834" i="44"/>
  <c r="A1948" i="44"/>
  <c r="F2748" i="44"/>
  <c r="F3121" i="44"/>
  <c r="F2610" i="44"/>
  <c r="F2791" i="44"/>
  <c r="A2997" i="44"/>
  <c r="F406" i="44"/>
  <c r="A1638" i="44"/>
  <c r="A1689" i="44"/>
  <c r="F785" i="44"/>
  <c r="F2800" i="44"/>
  <c r="F668" i="44"/>
  <c r="A1669" i="44"/>
  <c r="A320" i="44"/>
  <c r="F2870" i="44"/>
  <c r="F2591" i="44"/>
  <c r="A3146" i="44"/>
  <c r="F676" i="44"/>
  <c r="A935" i="44"/>
  <c r="F669" i="44"/>
  <c r="A584" i="44"/>
  <c r="F2243" i="44"/>
  <c r="A267" i="44"/>
  <c r="F559" i="44"/>
  <c r="A585" i="44"/>
  <c r="F2632" i="44"/>
  <c r="F414" i="44"/>
  <c r="F3081" i="44"/>
  <c r="A622" i="44"/>
  <c r="F2845" i="44"/>
  <c r="F3137" i="44"/>
  <c r="A2779" i="44"/>
  <c r="F820" i="44"/>
  <c r="A1033" i="44"/>
  <c r="F2875" i="44"/>
  <c r="A1513" i="44"/>
  <c r="F2079" i="44"/>
  <c r="F3124" i="44"/>
  <c r="F2395" i="44"/>
  <c r="F1883" i="44"/>
  <c r="F453" i="44"/>
  <c r="A632" i="44"/>
  <c r="A2953" i="44"/>
  <c r="F1843" i="44"/>
  <c r="F3084" i="44"/>
  <c r="A924" i="44"/>
  <c r="A1844" i="44"/>
  <c r="F37" i="44"/>
  <c r="A37" i="44" s="1"/>
  <c r="A483" i="44"/>
  <c r="F1735" i="44"/>
  <c r="A905" i="44"/>
  <c r="F2221" i="44"/>
  <c r="A2548" i="44"/>
  <c r="A1032" i="44"/>
  <c r="F2696" i="44"/>
  <c r="K149" i="44"/>
  <c r="J149" i="44"/>
  <c r="M149" i="44" s="1"/>
  <c r="F1615" i="44"/>
  <c r="A414" i="44"/>
  <c r="F1765" i="44"/>
  <c r="F769" i="44"/>
  <c r="A2807" i="44"/>
  <c r="A270" i="44"/>
  <c r="A2290" i="44"/>
  <c r="A1885" i="44"/>
  <c r="F1554" i="44"/>
  <c r="A1868" i="44"/>
  <c r="F2899" i="44"/>
  <c r="E2574" i="44"/>
  <c r="A2586" i="44" s="1"/>
  <c r="F2349" i="44"/>
  <c r="A2994" i="44"/>
  <c r="F1799" i="44"/>
  <c r="F2476" i="44"/>
  <c r="F2768" i="44"/>
  <c r="F596" i="44"/>
  <c r="F968" i="44"/>
  <c r="A601" i="44"/>
  <c r="F304" i="44"/>
  <c r="F1750" i="44"/>
  <c r="F2084" i="44"/>
  <c r="F866" i="44"/>
  <c r="F2034" i="44"/>
  <c r="F2224" i="44"/>
  <c r="F2323" i="44"/>
  <c r="A617" i="44"/>
  <c r="F3119" i="44"/>
  <c r="F2730" i="44"/>
  <c r="F2927" i="44"/>
  <c r="F641" i="44"/>
  <c r="F1720" i="44"/>
  <c r="F32" i="44"/>
  <c r="A32" i="44" s="1"/>
  <c r="F2104" i="44"/>
  <c r="F2863" i="44"/>
  <c r="A1075" i="44"/>
  <c r="F342" i="44"/>
  <c r="A2155" i="44"/>
  <c r="A717" i="44"/>
  <c r="A751" i="44"/>
  <c r="A2553" i="44"/>
  <c r="F333" i="44"/>
  <c r="F2739" i="44"/>
  <c r="F2608" i="44"/>
  <c r="F2697" i="44"/>
  <c r="A1523" i="44"/>
  <c r="A774" i="44"/>
  <c r="A772" i="44"/>
  <c r="E1135" i="44"/>
  <c r="A1135" i="44" s="1"/>
  <c r="A1067" i="44"/>
  <c r="F517" i="44"/>
  <c r="F613" i="44"/>
  <c r="F1719" i="44"/>
  <c r="F3408" i="44"/>
  <c r="A3408" i="44" s="1"/>
  <c r="F635" i="44"/>
  <c r="F2035" i="44"/>
  <c r="F321" i="44"/>
  <c r="A3073" i="44"/>
  <c r="F485" i="44"/>
  <c r="A2743" i="44"/>
  <c r="F1548" i="44"/>
  <c r="F424" i="44"/>
  <c r="A1706" i="44"/>
  <c r="A2061" i="44"/>
  <c r="F2077" i="44"/>
  <c r="F2573" i="44"/>
  <c r="F1796" i="44"/>
  <c r="A245" i="44"/>
  <c r="F2872" i="44"/>
  <c r="F1053" i="44"/>
  <c r="F3099" i="44"/>
  <c r="F2426" i="44"/>
  <c r="A1704" i="44"/>
  <c r="A3045" i="44"/>
  <c r="F2218" i="44"/>
  <c r="F2555" i="44"/>
  <c r="F1711" i="44"/>
  <c r="A684" i="44"/>
  <c r="A706" i="44"/>
  <c r="A364" i="44"/>
  <c r="F539" i="44"/>
  <c r="F3402" i="44"/>
  <c r="A3402" i="44" s="1"/>
  <c r="A997" i="44"/>
  <c r="F2656" i="44"/>
  <c r="F1661" i="44"/>
  <c r="A976" i="44"/>
  <c r="A853" i="44"/>
  <c r="A851" i="44"/>
  <c r="F1913" i="44"/>
  <c r="F3001" i="44"/>
  <c r="F999" i="44"/>
  <c r="F441" i="44"/>
  <c r="A1872" i="44"/>
  <c r="A773" i="44"/>
  <c r="F411" i="44"/>
  <c r="F430" i="44"/>
  <c r="F2588" i="44"/>
  <c r="F322" i="44"/>
  <c r="A1981" i="44"/>
  <c r="E2478" i="44"/>
  <c r="A2484" i="44" s="1"/>
  <c r="F2612" i="44"/>
  <c r="A3136" i="44"/>
  <c r="F1677" i="44"/>
  <c r="A1088" i="44"/>
  <c r="A758" i="44"/>
  <c r="A1675" i="44"/>
  <c r="A123" i="44"/>
  <c r="F909" i="44"/>
  <c r="F444" i="44"/>
  <c r="A665" i="44"/>
  <c r="A670" i="44"/>
  <c r="F2125" i="44"/>
  <c r="F2372" i="44"/>
  <c r="F3404" i="44"/>
  <c r="A3404" i="44" s="1"/>
  <c r="F746" i="44"/>
  <c r="A3001" i="44"/>
  <c r="F462" i="44"/>
  <c r="F3425" i="44"/>
  <c r="A3425" i="44" s="1"/>
  <c r="F2929" i="44"/>
  <c r="A3000" i="44"/>
  <c r="A643" i="44"/>
  <c r="F2583" i="44"/>
  <c r="F1691" i="44"/>
  <c r="F1526" i="44"/>
  <c r="A316" i="44"/>
  <c r="M153" i="44"/>
  <c r="F68" i="44"/>
  <c r="A68" i="44" s="1"/>
  <c r="F2830" i="44"/>
  <c r="A2265" i="44"/>
  <c r="F2756" i="44"/>
  <c r="F2373" i="44"/>
  <c r="F2265" i="44"/>
  <c r="A531" i="44"/>
  <c r="A726" i="44"/>
  <c r="A2313" i="44"/>
  <c r="F14" i="44"/>
  <c r="A14" i="44" s="1"/>
  <c r="F752" i="44"/>
  <c r="F510" i="44"/>
  <c r="F2123" i="44"/>
  <c r="F2155" i="44"/>
  <c r="F2835" i="44"/>
  <c r="F2478" i="44"/>
  <c r="A1537" i="44"/>
  <c r="A582" i="44"/>
  <c r="F1926" i="44"/>
  <c r="F682" i="44"/>
  <c r="A624" i="44"/>
  <c r="A1842" i="44"/>
  <c r="E2206" i="44"/>
  <c r="A2218" i="44" s="1"/>
  <c r="A697" i="44"/>
  <c r="F823" i="44"/>
  <c r="F2038" i="44"/>
  <c r="A1641" i="44"/>
  <c r="F3116" i="44"/>
  <c r="F1896" i="44"/>
  <c r="A834" i="44"/>
  <c r="A305" i="44"/>
  <c r="F1894" i="44"/>
  <c r="F1853" i="44"/>
  <c r="A1972" i="44"/>
  <c r="A1508" i="44"/>
  <c r="G1508" i="44" s="1"/>
  <c r="G1509" i="44" s="1"/>
  <c r="G1510" i="44" s="1"/>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G1555" i="44" s="1"/>
  <c r="G1556" i="44" s="1"/>
  <c r="G1557" i="44" s="1"/>
  <c r="G1558" i="44" s="1"/>
  <c r="G1559" i="44" s="1"/>
  <c r="G1560" i="44" s="1"/>
  <c r="G1561" i="44" s="1"/>
  <c r="A21" i="21" s="1"/>
  <c r="A658" i="44"/>
  <c r="F1723" i="44"/>
  <c r="F2795" i="44"/>
  <c r="F1729" i="44"/>
  <c r="F1967" i="44"/>
  <c r="F2304" i="44"/>
  <c r="A625" i="44"/>
  <c r="F1915" i="44"/>
  <c r="F2716" i="44"/>
  <c r="A934" i="44"/>
  <c r="F484" i="44"/>
  <c r="A1064" i="44"/>
  <c r="A1509" i="44"/>
  <c r="F2709" i="44"/>
  <c r="F1816" i="44"/>
  <c r="A2045" i="44"/>
  <c r="A865" i="44"/>
  <c r="F926" i="44"/>
  <c r="A2700" i="44"/>
  <c r="F582" i="44"/>
  <c r="A708" i="44"/>
  <c r="A680" i="44"/>
  <c r="E2606" i="44"/>
  <c r="A2607" i="44" s="1"/>
  <c r="F367" i="44"/>
  <c r="F2902" i="44"/>
  <c r="F2808" i="44"/>
  <c r="F1633" i="44"/>
  <c r="A2867" i="44"/>
  <c r="F562" i="44"/>
  <c r="F2613" i="44"/>
  <c r="F665" i="44"/>
  <c r="A716" i="44"/>
  <c r="F1030" i="44"/>
  <c r="A881" i="44"/>
  <c r="E2062" i="44"/>
  <c r="A2073" i="44" s="1"/>
  <c r="F2616" i="44"/>
  <c r="A2260" i="44"/>
  <c r="F711" i="44"/>
  <c r="F655" i="44"/>
  <c r="F2366" i="44"/>
  <c r="F3029" i="44"/>
  <c r="F774" i="44"/>
  <c r="F2821" i="44"/>
  <c r="F1555" i="44"/>
  <c r="A2811" i="44"/>
  <c r="A1989" i="44"/>
  <c r="A2935" i="44"/>
  <c r="F801" i="44"/>
  <c r="F435" i="44"/>
  <c r="A343" i="44"/>
  <c r="F491" i="44"/>
  <c r="F2942" i="44"/>
  <c r="F1732" i="44"/>
  <c r="A520" i="44"/>
  <c r="A2150" i="44"/>
  <c r="F60" i="44"/>
  <c r="A60" i="44" s="1"/>
  <c r="F2468" i="44"/>
  <c r="F3079" i="44"/>
  <c r="F6" i="44"/>
  <c r="A6" i="44" s="1"/>
  <c r="A1027" i="44"/>
  <c r="F90" i="44"/>
  <c r="A90" i="44" s="1"/>
  <c r="F2227" i="44"/>
  <c r="A1046" i="44"/>
  <c r="A1044" i="44"/>
  <c r="A253" i="44"/>
  <c r="A2809" i="44"/>
  <c r="F2080" i="44"/>
  <c r="F2663" i="44"/>
  <c r="A1676" i="44"/>
  <c r="F443" i="44"/>
  <c r="F508" i="44"/>
  <c r="F2287" i="44"/>
  <c r="A2506" i="44"/>
  <c r="A1034" i="44"/>
  <c r="F2753" i="44"/>
  <c r="F2618" i="44"/>
  <c r="F1028" i="44"/>
  <c r="F1042" i="44"/>
  <c r="F2188" i="44"/>
  <c r="E3150" i="44"/>
  <c r="A3160" i="44" s="1"/>
  <c r="A2096" i="44"/>
  <c r="A500" i="44"/>
  <c r="A326" i="44"/>
  <c r="F1970" i="44"/>
  <c r="F2072" i="44"/>
  <c r="F2750" i="44"/>
  <c r="F715" i="44"/>
  <c r="A3075" i="44"/>
  <c r="A978" i="44"/>
  <c r="F2516" i="44"/>
  <c r="A822" i="44"/>
  <c r="F1620" i="44"/>
  <c r="F447" i="44"/>
  <c r="F2053" i="44"/>
  <c r="F798" i="44"/>
  <c r="F2190" i="44"/>
  <c r="A2190" i="44"/>
  <c r="F3150" i="44"/>
  <c r="A890" i="44"/>
  <c r="F2131" i="44"/>
  <c r="F2826" i="44"/>
  <c r="F1895" i="44"/>
  <c r="A2193" i="44"/>
  <c r="F3047" i="44"/>
  <c r="A646" i="44"/>
  <c r="F529" i="44"/>
  <c r="F683" i="44"/>
  <c r="A2453" i="44"/>
  <c r="F2701" i="44"/>
  <c r="F1088" i="44"/>
  <c r="F1060" i="44"/>
  <c r="A906" i="44"/>
  <c r="A2212" i="44"/>
  <c r="A498" i="44"/>
  <c r="F938" i="44"/>
  <c r="A532" i="44"/>
  <c r="A1550" i="44"/>
  <c r="A715" i="44"/>
  <c r="F395" i="44"/>
  <c r="A1080" i="44"/>
  <c r="A561" i="44"/>
  <c r="A611" i="44"/>
  <c r="A849" i="44"/>
  <c r="F519" i="44"/>
  <c r="F2857" i="44"/>
  <c r="A510" i="44"/>
  <c r="F2706" i="44"/>
  <c r="F1657" i="44"/>
  <c r="A2271" i="44"/>
  <c r="A857" i="44"/>
  <c r="F701" i="44"/>
  <c r="A468" i="44"/>
  <c r="A1862" i="44"/>
  <c r="F2343" i="44"/>
  <c r="A3094" i="44"/>
  <c r="F2905" i="44"/>
  <c r="F2288" i="44"/>
  <c r="A1014" i="44"/>
  <c r="F2698" i="44"/>
  <c r="A1531" i="44"/>
  <c r="F943" i="44"/>
  <c r="F589" i="44"/>
  <c r="F3114" i="44"/>
  <c r="F2154" i="44"/>
  <c r="F2216" i="44"/>
  <c r="A3148" i="44"/>
  <c r="F2590" i="44"/>
  <c r="F797" i="44"/>
  <c r="A1853" i="44"/>
  <c r="F2638" i="44"/>
  <c r="A615" i="44"/>
  <c r="A552" i="44"/>
  <c r="A557" i="44"/>
  <c r="F896" i="44"/>
  <c r="F3416" i="44"/>
  <c r="A3416" i="44" s="1"/>
  <c r="F1948" i="44"/>
  <c r="F437" i="44"/>
  <c r="F1759" i="44"/>
  <c r="F64" i="44"/>
  <c r="A64" i="44" s="1"/>
  <c r="F1593" i="44"/>
  <c r="F843" i="44"/>
  <c r="E2750" i="44"/>
  <c r="A2759" i="44" s="1"/>
  <c r="F2334" i="44"/>
  <c r="F3041" i="44"/>
  <c r="F2220" i="44"/>
  <c r="F2451" i="44"/>
  <c r="F2869" i="44"/>
  <c r="F79" i="44"/>
  <c r="F385" i="44"/>
  <c r="F941" i="44"/>
  <c r="F1726" i="44"/>
  <c r="F728" i="44"/>
  <c r="A1526" i="44"/>
  <c r="A1054" i="44"/>
  <c r="A562" i="44"/>
  <c r="A307" i="44"/>
  <c r="F1923" i="44"/>
  <c r="F2364" i="44"/>
  <c r="F1642" i="44"/>
  <c r="F2454" i="44"/>
  <c r="A469" i="44"/>
  <c r="A324" i="44"/>
  <c r="A1546" i="44"/>
  <c r="F2277" i="44"/>
  <c r="F1544" i="44"/>
  <c r="F793" i="44"/>
  <c r="A2605" i="44"/>
  <c r="F871" i="44"/>
  <c r="F2898" i="44"/>
  <c r="F729" i="44"/>
  <c r="A2199" i="44"/>
  <c r="F2466" i="44"/>
  <c r="A1954" i="44"/>
  <c r="F1034" i="44"/>
  <c r="A3095" i="44"/>
  <c r="A1762" i="44"/>
  <c r="F1988" i="44"/>
  <c r="F530" i="44"/>
  <c r="F2346" i="44"/>
  <c r="F492" i="44"/>
  <c r="E2222" i="44"/>
  <c r="A2222" i="44" s="1"/>
  <c r="A3052" i="44"/>
  <c r="F3080" i="44"/>
  <c r="A1957" i="44"/>
  <c r="F3090" i="44"/>
  <c r="F2081" i="44"/>
  <c r="A812" i="44"/>
  <c r="A227" i="44"/>
  <c r="F1714" i="44"/>
  <c r="F1587" i="44"/>
  <c r="A1530" i="44"/>
  <c r="A925" i="44"/>
  <c r="F2948" i="44"/>
  <c r="F2720" i="44"/>
  <c r="F883" i="44"/>
  <c r="A390" i="44"/>
  <c r="F91" i="44"/>
  <c r="A91" i="44" s="1"/>
  <c r="A1867" i="44"/>
  <c r="A2156" i="44"/>
  <c r="F3092" i="44"/>
  <c r="F1958" i="44"/>
  <c r="A1017" i="44"/>
  <c r="F563" i="44"/>
  <c r="F137" i="44"/>
  <c r="F1841" i="44"/>
  <c r="F2848" i="44"/>
  <c r="F118" i="44"/>
  <c r="A118" i="44" s="1"/>
  <c r="E111" i="3"/>
  <c r="E2638" i="44"/>
  <c r="A2648" i="44" s="1"/>
  <c r="F2940" i="44"/>
  <c r="A2039" i="44"/>
  <c r="E2510" i="44"/>
  <c r="A2513" i="44" s="1"/>
  <c r="F2777" i="44"/>
  <c r="F3385" i="44"/>
  <c r="A3385" i="44" s="1"/>
  <c r="A2004" i="44"/>
  <c r="A700" i="44"/>
  <c r="A639" i="44"/>
  <c r="F875" i="44"/>
  <c r="F302" i="44"/>
  <c r="F393" i="44"/>
  <c r="F2295" i="44"/>
  <c r="E2350" i="44"/>
  <c r="A2350" i="44" s="1"/>
  <c r="F1868" i="44"/>
  <c r="F2873" i="44"/>
  <c r="F2162" i="44"/>
  <c r="F2303" i="44"/>
  <c r="F1791" i="44"/>
  <c r="A187" i="44"/>
  <c r="A3055" i="44"/>
  <c r="A2445" i="44"/>
  <c r="A2694" i="44"/>
  <c r="A2698" i="44"/>
  <c r="G3375" i="44"/>
  <c r="G3376" i="44" s="1"/>
  <c r="G3377" i="44" s="1"/>
  <c r="G3378" i="44" s="1"/>
  <c r="G3379" i="44" s="1"/>
  <c r="G3380" i="44" s="1"/>
  <c r="A1604" i="44"/>
  <c r="A1600" i="44"/>
  <c r="A1613" i="44"/>
  <c r="A2129" i="44"/>
  <c r="A3057" i="44"/>
  <c r="A1610" i="44"/>
  <c r="A3069" i="44"/>
  <c r="A2062" i="44"/>
  <c r="A2956" i="44"/>
  <c r="A2836" i="44"/>
  <c r="A2839" i="44"/>
  <c r="A2327" i="44"/>
  <c r="A2840" i="44"/>
  <c r="A2947" i="44"/>
  <c r="A2685" i="44"/>
  <c r="A2957" i="44"/>
  <c r="A1656" i="44"/>
  <c r="A2838" i="44"/>
  <c r="A2675" i="44"/>
  <c r="A2682" i="44"/>
  <c r="A2830" i="44"/>
  <c r="A2325" i="44"/>
  <c r="A2677" i="44"/>
  <c r="A2930" i="44"/>
  <c r="A2671" i="44"/>
  <c r="A2929" i="44"/>
  <c r="A2842" i="44"/>
  <c r="A2318" i="44"/>
  <c r="A2332" i="44"/>
  <c r="A2950" i="44"/>
  <c r="A1651" i="44"/>
  <c r="A2670" i="44"/>
  <c r="A2934" i="44"/>
  <c r="A2931" i="44"/>
  <c r="A2936" i="44"/>
  <c r="A2684" i="44"/>
  <c r="A2845" i="44"/>
  <c r="A2844" i="44"/>
  <c r="A2324" i="44"/>
  <c r="A2320" i="44"/>
  <c r="A2841" i="44"/>
  <c r="A2940" i="44"/>
  <c r="M185" i="44"/>
  <c r="A2323" i="44"/>
  <c r="A2952" i="44"/>
  <c r="A2672" i="44"/>
  <c r="A2319" i="44"/>
  <c r="M167" i="44"/>
  <c r="A1653" i="44"/>
  <c r="A2679" i="44"/>
  <c r="A2683" i="44"/>
  <c r="A2837" i="44"/>
  <c r="A2834" i="44"/>
  <c r="A2321" i="44"/>
  <c r="A2333" i="44"/>
  <c r="A2843" i="44"/>
  <c r="A2068" i="44"/>
  <c r="A2939" i="44"/>
  <c r="A2942" i="44"/>
  <c r="A2124" i="44"/>
  <c r="A2928" i="44"/>
  <c r="B555" i="3"/>
  <c r="F72" i="32"/>
  <c r="F48" i="24"/>
  <c r="G67" i="25"/>
  <c r="A2326" i="44"/>
  <c r="A2330" i="44"/>
  <c r="A2927" i="44"/>
  <c r="A2674" i="44"/>
  <c r="A2592" i="44"/>
  <c r="A2833" i="44"/>
  <c r="A2832" i="44"/>
  <c r="A2328" i="44"/>
  <c r="A2296" i="44"/>
  <c r="A2596" i="44"/>
  <c r="A1654" i="44"/>
  <c r="A2680" i="44"/>
  <c r="A2937" i="44"/>
  <c r="A2681" i="44"/>
  <c r="A2676" i="44"/>
  <c r="A2933" i="44"/>
  <c r="A2480" i="44"/>
  <c r="A2485" i="44"/>
  <c r="A2486" i="44"/>
  <c r="A2483" i="44"/>
  <c r="A2491" i="44"/>
  <c r="A2488" i="44"/>
  <c r="A2490" i="44"/>
  <c r="A2478" i="44"/>
  <c r="A2493" i="44"/>
  <c r="A2693" i="44"/>
  <c r="A2481" i="44"/>
  <c r="A2489" i="44"/>
  <c r="A2479" i="44"/>
  <c r="A3086" i="44"/>
  <c r="A2986" i="44"/>
  <c r="A185" i="44"/>
  <c r="A2487" i="44"/>
  <c r="A2689" i="44"/>
  <c r="A2786" i="44"/>
  <c r="A2721" i="44"/>
  <c r="A1894" i="44"/>
  <c r="A2227" i="44"/>
  <c r="A1895" i="44"/>
  <c r="A2057" i="44"/>
  <c r="A2362" i="44"/>
  <c r="A2619" i="44"/>
  <c r="A1986" i="44"/>
  <c r="A2437" i="44"/>
  <c r="A2419" i="44"/>
  <c r="A2614" i="44"/>
  <c r="A2052" i="44"/>
  <c r="A1912" i="44"/>
  <c r="A2423" i="44"/>
  <c r="A2725" i="44"/>
  <c r="A1802" i="44"/>
  <c r="A1911" i="44"/>
  <c r="A2790" i="44"/>
  <c r="A2926" i="44"/>
  <c r="A1893" i="44"/>
  <c r="A2047" i="44"/>
  <c r="A2236" i="44"/>
  <c r="A1992" i="44"/>
  <c r="A2434" i="44"/>
  <c r="A2415" i="44"/>
  <c r="A2611" i="44"/>
  <c r="A1907" i="44"/>
  <c r="A1801" i="44"/>
  <c r="A1984" i="44"/>
  <c r="A1993" i="44"/>
  <c r="A2421" i="44"/>
  <c r="A2435" i="44"/>
  <c r="A1888" i="44"/>
  <c r="A2618" i="44"/>
  <c r="A2223" i="44"/>
  <c r="A2051" i="44"/>
  <c r="A1897" i="44"/>
  <c r="A2056" i="44"/>
  <c r="A2606" i="44"/>
  <c r="A1625" i="44"/>
  <c r="A1619" i="44"/>
  <c r="A2613" i="44"/>
  <c r="A1983" i="44"/>
  <c r="A2444" i="44"/>
  <c r="A2429" i="44"/>
  <c r="A2615" i="44"/>
  <c r="A1626" i="44"/>
  <c r="A2353" i="44"/>
  <c r="A2884" i="44"/>
  <c r="A1618" i="44"/>
  <c r="A1988" i="44"/>
  <c r="A2727" i="44"/>
  <c r="A1902" i="44"/>
  <c r="A1987" i="44"/>
  <c r="A1903" i="44"/>
  <c r="A2783" i="44"/>
  <c r="A1908" i="44"/>
  <c r="A2436" i="44"/>
  <c r="A2226" i="44"/>
  <c r="M147" i="44"/>
  <c r="A1886" i="44"/>
  <c r="A1892" i="44"/>
  <c r="A2053" i="44"/>
  <c r="A1615" i="44"/>
  <c r="A1996" i="44"/>
  <c r="A2441" i="44"/>
  <c r="A2418" i="44"/>
  <c r="A2610" i="44"/>
  <c r="A2230" i="44"/>
  <c r="A2792" i="44"/>
  <c r="A2775" i="44"/>
  <c r="A2886" i="44"/>
  <c r="A2427" i="44"/>
  <c r="A2722" i="44"/>
  <c r="A2049" i="44"/>
  <c r="A1905" i="44"/>
  <c r="A2728" i="44"/>
  <c r="A1917" i="44"/>
  <c r="A1913" i="44"/>
  <c r="A2732" i="44"/>
  <c r="A2729" i="44"/>
  <c r="A2237" i="44"/>
  <c r="A1887" i="44"/>
  <c r="A2050" i="44"/>
  <c r="A1623" i="44"/>
  <c r="A1629" i="44"/>
  <c r="A1990" i="44"/>
  <c r="A1982" i="44"/>
  <c r="A2438" i="44"/>
  <c r="A2425" i="44"/>
  <c r="A2620" i="44"/>
  <c r="A2365" i="44"/>
  <c r="A2048" i="44"/>
  <c r="A2608" i="44"/>
  <c r="A2054" i="44"/>
  <c r="A2797" i="44"/>
  <c r="A1997" i="44"/>
  <c r="A2726" i="44"/>
  <c r="A1916" i="44"/>
  <c r="A2795" i="44"/>
  <c r="A175" i="44"/>
  <c r="A2785" i="44"/>
  <c r="A1910" i="44"/>
  <c r="A2718" i="44"/>
  <c r="A2730" i="44"/>
  <c r="A1617" i="44"/>
  <c r="A2234" i="44"/>
  <c r="A1890" i="44"/>
  <c r="A2046" i="44"/>
  <c r="A2055" i="44"/>
  <c r="A1889" i="44"/>
  <c r="A2617" i="44"/>
  <c r="A1627" i="44"/>
  <c r="A1991" i="44"/>
  <c r="A2443" i="44"/>
  <c r="A2420" i="44"/>
  <c r="A2609" i="44"/>
  <c r="A2621" i="44"/>
  <c r="A2428" i="44"/>
  <c r="A2417" i="44"/>
  <c r="A2794" i="44"/>
  <c r="A2787" i="44"/>
  <c r="A2733" i="44"/>
  <c r="A2893" i="44"/>
  <c r="A1914" i="44"/>
  <c r="A2228" i="44"/>
  <c r="A2229" i="44"/>
  <c r="A1900" i="44"/>
  <c r="A1899" i="44"/>
  <c r="A2058" i="44"/>
  <c r="A2416" i="44"/>
  <c r="A2060" i="44"/>
  <c r="A2612" i="44"/>
  <c r="A2793" i="44"/>
  <c r="A2719" i="44"/>
  <c r="A2891" i="44"/>
  <c r="A1909" i="44"/>
  <c r="A2796" i="44"/>
  <c r="A2784" i="44"/>
  <c r="A153" i="44"/>
  <c r="A199" i="44"/>
  <c r="A2357" i="44"/>
  <c r="A201" i="44"/>
  <c r="A163" i="44"/>
  <c r="A2806" i="44"/>
  <c r="A1923" i="44"/>
  <c r="A2663" i="44"/>
  <c r="A1749" i="44"/>
  <c r="A1747" i="44"/>
  <c r="A2537" i="44"/>
  <c r="A2925" i="44"/>
  <c r="A2512" i="44"/>
  <c r="A2529" i="44"/>
  <c r="A2538" i="44"/>
  <c r="A3132" i="44"/>
  <c r="A3150" i="44" s="1"/>
  <c r="A2294" i="44"/>
  <c r="A2292" i="44"/>
  <c r="A2397" i="44"/>
  <c r="A2291" i="44"/>
  <c r="A2335" i="44"/>
  <c r="A2951" i="44"/>
  <c r="A2082" i="44"/>
  <c r="A2890" i="44"/>
  <c r="A2667" i="44"/>
  <c r="A1756" i="44"/>
  <c r="A2883" i="44"/>
  <c r="A2081" i="44"/>
  <c r="A2392" i="44"/>
  <c r="A2091" i="44"/>
  <c r="G1134" i="44"/>
  <c r="A2289" i="44"/>
  <c r="A2882" i="44"/>
  <c r="A1803" i="44"/>
  <c r="A2662" i="44"/>
  <c r="A2878" i="44"/>
  <c r="A2748" i="44"/>
  <c r="A2531" i="44"/>
  <c r="A2539" i="44"/>
  <c r="A3011" i="44"/>
  <c r="A2923" i="44"/>
  <c r="A2518" i="44"/>
  <c r="A2298" i="44"/>
  <c r="A2253" i="44"/>
  <c r="A2390" i="44"/>
  <c r="A2741" i="44"/>
  <c r="A2391" i="44"/>
  <c r="A3027" i="44"/>
  <c r="A2715" i="44"/>
  <c r="G6" i="44"/>
  <c r="G7" i="44" s="1"/>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A2979" i="44"/>
  <c r="A1924" i="44"/>
  <c r="A2708" i="44"/>
  <c r="A2881" i="44"/>
  <c r="A2918" i="44"/>
  <c r="A2345" i="44"/>
  <c r="A3032" i="44"/>
  <c r="A2738" i="44"/>
  <c r="A2747" i="44"/>
  <c r="A2712" i="44"/>
  <c r="A2656" i="44"/>
  <c r="A1795" i="44"/>
  <c r="A2703" i="44"/>
  <c r="A1793" i="44"/>
  <c r="A2707" i="44"/>
  <c r="A2704" i="44"/>
  <c r="A1751" i="44"/>
  <c r="A2394" i="44"/>
  <c r="A1750" i="44"/>
  <c r="M173" i="44"/>
  <c r="A2386" i="44"/>
  <c r="A2885" i="44"/>
  <c r="A1746" i="44"/>
  <c r="A2665" i="44"/>
  <c r="A2711" i="44"/>
  <c r="A2666" i="44"/>
  <c r="A2744" i="44"/>
  <c r="A2540" i="44"/>
  <c r="A3015" i="44"/>
  <c r="A2924" i="44"/>
  <c r="A2514" i="44"/>
  <c r="A2400" i="44"/>
  <c r="A2300" i="44"/>
  <c r="A2654" i="44"/>
  <c r="A2088" i="44"/>
  <c r="A2334" i="44"/>
  <c r="A2978" i="44"/>
  <c r="A2388" i="44"/>
  <c r="A2342" i="44"/>
  <c r="A2911" i="44"/>
  <c r="A2346" i="44"/>
  <c r="A2914" i="44"/>
  <c r="A2989" i="44"/>
  <c r="A2087" i="44"/>
  <c r="A1800" i="44"/>
  <c r="A2944" i="44"/>
  <c r="A2389" i="44"/>
  <c r="A1748" i="44"/>
  <c r="A2706" i="44"/>
  <c r="A1925" i="44"/>
  <c r="A1794" i="44"/>
  <c r="A2889" i="44"/>
  <c r="A2716" i="44"/>
  <c r="A2974" i="44"/>
  <c r="A2737" i="44"/>
  <c r="A2533" i="44"/>
  <c r="A2293" i="44"/>
  <c r="A2919" i="44"/>
  <c r="A2525" i="44"/>
  <c r="A2523" i="44"/>
  <c r="A2338" i="44"/>
  <c r="A2299" i="44"/>
  <c r="M181" i="44"/>
  <c r="A1744" i="44"/>
  <c r="A2740" i="44"/>
  <c r="A2702" i="44"/>
  <c r="A2955" i="44"/>
  <c r="A2344" i="44"/>
  <c r="A2892" i="44"/>
  <c r="L203" i="44"/>
  <c r="N203" i="44" s="1"/>
  <c r="A2387" i="44"/>
  <c r="A2922" i="44"/>
  <c r="A2396" i="44"/>
  <c r="A2079" i="44"/>
  <c r="A1791" i="44"/>
  <c r="A2710" i="44"/>
  <c r="A1929" i="44"/>
  <c r="A1933" i="44"/>
  <c r="A1919" i="44"/>
  <c r="A1797" i="44"/>
  <c r="A2084" i="44"/>
  <c r="L179" i="44"/>
  <c r="N179" i="44" s="1"/>
  <c r="A1742" i="44"/>
  <c r="A1755" i="44"/>
  <c r="A1752" i="44"/>
  <c r="A2982" i="44"/>
  <c r="A2880" i="44"/>
  <c r="A2659" i="44"/>
  <c r="A173" i="44"/>
  <c r="A2917" i="44"/>
  <c r="A2746" i="44"/>
  <c r="A2527" i="44"/>
  <c r="A2528" i="44"/>
  <c r="A2532" i="44"/>
  <c r="A2913" i="44"/>
  <c r="A2920" i="44"/>
  <c r="A3025" i="44"/>
  <c r="A2521" i="44"/>
  <c r="A2339" i="44"/>
  <c r="A2287" i="44"/>
  <c r="A2295" i="44"/>
  <c r="A2669" i="44"/>
  <c r="A2655" i="44"/>
  <c r="A1805" i="44"/>
  <c r="A2340" i="44"/>
  <c r="A2948" i="44"/>
  <c r="A2916" i="44"/>
  <c r="A1796" i="44"/>
  <c r="A2713" i="44"/>
  <c r="G751" i="44"/>
  <c r="G752" i="44" s="1"/>
  <c r="A2734" i="44"/>
  <c r="A2714" i="44"/>
  <c r="A1790" i="44"/>
  <c r="A2660" i="44"/>
  <c r="A1799" i="44"/>
  <c r="A1927" i="44"/>
  <c r="A2288" i="44"/>
  <c r="A2535" i="44"/>
  <c r="A2349" i="44"/>
  <c r="A2301" i="44"/>
  <c r="A2384" i="44"/>
  <c r="A2395" i="44"/>
  <c r="A2383" i="44"/>
  <c r="A2664" i="44"/>
  <c r="A1757" i="44"/>
  <c r="A2984" i="44"/>
  <c r="A2336" i="44"/>
  <c r="A2745" i="44"/>
  <c r="A2541" i="44"/>
  <c r="A2530" i="44"/>
  <c r="A3156" i="44"/>
  <c r="A2510" i="44"/>
  <c r="A2910" i="44"/>
  <c r="A2348" i="44"/>
  <c r="A3033" i="44"/>
  <c r="A2297" i="44"/>
  <c r="A2520" i="44"/>
  <c r="A2524" i="44"/>
  <c r="A2382" i="44"/>
  <c r="A2343" i="44"/>
  <c r="A2519" i="44"/>
  <c r="A2887" i="44"/>
  <c r="A1798" i="44"/>
  <c r="A1918" i="44"/>
  <c r="A1804" i="44"/>
  <c r="A2093" i="44"/>
  <c r="A2879" i="44"/>
  <c r="A2949" i="44"/>
  <c r="A2739" i="44"/>
  <c r="A1920" i="44"/>
  <c r="A1922" i="44"/>
  <c r="A1930" i="44"/>
  <c r="A2946" i="44"/>
  <c r="A1928" i="44"/>
  <c r="A2083" i="44"/>
  <c r="A3123" i="44"/>
  <c r="A3154" i="44"/>
  <c r="A3161" i="44"/>
  <c r="A3012" i="44"/>
  <c r="A3020" i="44"/>
  <c r="A2769" i="44"/>
  <c r="A2067" i="44"/>
  <c r="A2077" i="44"/>
  <c r="L197" i="44"/>
  <c r="N197" i="44" s="1"/>
  <c r="F197" i="44" s="1"/>
  <c r="A2069" i="44"/>
  <c r="A1829" i="44"/>
  <c r="M193" i="44"/>
  <c r="A3122" i="44"/>
  <c r="A2169" i="44"/>
  <c r="A2161" i="44"/>
  <c r="A1827" i="44"/>
  <c r="A3127" i="44"/>
  <c r="A1826" i="44"/>
  <c r="A3130" i="44"/>
  <c r="A3152" i="44"/>
  <c r="A3153" i="44"/>
  <c r="A3018" i="44"/>
  <c r="A3008" i="44"/>
  <c r="A2774" i="44"/>
  <c r="A3157" i="44"/>
  <c r="A2768" i="44"/>
  <c r="A2064" i="44"/>
  <c r="A2171" i="44"/>
  <c r="A2781" i="44"/>
  <c r="A3104" i="44"/>
  <c r="A3106" i="44"/>
  <c r="A3105" i="44"/>
  <c r="A2158" i="44"/>
  <c r="A3117" i="44"/>
  <c r="A2165" i="44"/>
  <c r="A1824" i="44"/>
  <c r="A3128" i="44"/>
  <c r="A3164" i="44"/>
  <c r="A3165" i="44"/>
  <c r="A3016" i="44"/>
  <c r="A3017" i="44"/>
  <c r="A2773" i="44"/>
  <c r="A2070" i="44"/>
  <c r="A1831" i="44"/>
  <c r="A3107" i="44"/>
  <c r="A3111" i="44"/>
  <c r="A3110" i="44"/>
  <c r="A2160" i="44"/>
  <c r="A2627" i="44"/>
  <c r="A193" i="44"/>
  <c r="A2623" i="44"/>
  <c r="A2635" i="44"/>
  <c r="A1823" i="44"/>
  <c r="A195" i="44"/>
  <c r="A3120" i="44"/>
  <c r="A3155" i="44"/>
  <c r="A3006" i="44"/>
  <c r="A2071" i="44"/>
  <c r="A2063" i="44"/>
  <c r="A3162" i="44"/>
  <c r="A2630" i="44"/>
  <c r="A2909" i="44"/>
  <c r="A3103" i="44"/>
  <c r="A2777" i="44"/>
  <c r="A2767" i="44"/>
  <c r="A3119" i="44"/>
  <c r="A3133" i="44"/>
  <c r="A1836" i="44"/>
  <c r="A1835" i="44"/>
  <c r="A3113" i="44"/>
  <c r="A3114" i="44"/>
  <c r="A1833" i="44"/>
  <c r="A3126" i="44"/>
  <c r="A3158" i="44"/>
  <c r="A3013" i="44"/>
  <c r="A2770" i="44"/>
  <c r="A2072" i="44"/>
  <c r="A2065" i="44"/>
  <c r="A3129" i="44"/>
  <c r="A2771" i="44"/>
  <c r="A2780" i="44"/>
  <c r="A1837" i="44"/>
  <c r="A2626" i="44"/>
  <c r="A2634" i="44"/>
  <c r="A3108" i="44"/>
  <c r="A1825" i="44"/>
  <c r="A3102" i="44"/>
  <c r="A2168" i="44"/>
  <c r="A1832" i="44"/>
  <c r="A2074" i="44"/>
  <c r="A3125" i="44"/>
  <c r="A3159" i="44"/>
  <c r="A3010" i="44"/>
  <c r="A3021" i="44"/>
  <c r="A2766" i="44"/>
  <c r="A2076" i="44"/>
  <c r="A2066" i="44"/>
  <c r="A2632" i="44"/>
  <c r="A2628" i="44"/>
  <c r="G137" i="44"/>
  <c r="G138" i="44" s="1"/>
  <c r="G139" i="44" s="1"/>
  <c r="G140" i="44" s="1"/>
  <c r="G141" i="44" s="1"/>
  <c r="G142" i="44" s="1"/>
  <c r="G143" i="44" s="1"/>
  <c r="G144" i="44" s="1"/>
  <c r="G145" i="44" s="1"/>
  <c r="G146" i="44" s="1"/>
  <c r="A1828" i="44"/>
  <c r="M195" i="44"/>
  <c r="A2631" i="44"/>
  <c r="A2162" i="44"/>
  <c r="A1822" i="44"/>
  <c r="A2625" i="44"/>
  <c r="A3007" i="44"/>
  <c r="A3124" i="44"/>
  <c r="A3163" i="44"/>
  <c r="A3009" i="44"/>
  <c r="A3014" i="44"/>
  <c r="A2776" i="44"/>
  <c r="A2075" i="44"/>
  <c r="A2159" i="44"/>
  <c r="A2163" i="44"/>
  <c r="A3109" i="44"/>
  <c r="A2173" i="44"/>
  <c r="A1830" i="44"/>
  <c r="A3118" i="44"/>
  <c r="A2170" i="44"/>
  <c r="A2637" i="44"/>
  <c r="A2166" i="44"/>
  <c r="A3115" i="44"/>
  <c r="A2164" i="44"/>
  <c r="A1622" i="44"/>
  <c r="A1621" i="44"/>
  <c r="G923" i="44"/>
  <c r="G924" i="44" s="1"/>
  <c r="G925" i="44" s="1"/>
  <c r="G926" i="44" s="1"/>
  <c r="G927" i="44" s="1"/>
  <c r="G928" i="44" s="1"/>
  <c r="G929" i="44" s="1"/>
  <c r="G930" i="44" s="1"/>
  <c r="G931" i="44" s="1"/>
  <c r="G932" i="44" s="1"/>
  <c r="G933" i="44" s="1"/>
  <c r="G934" i="44" s="1"/>
  <c r="G935" i="44" s="1"/>
  <c r="G936" i="44" s="1"/>
  <c r="A2772" i="44"/>
  <c r="A2354" i="44"/>
  <c r="A2329" i="44"/>
  <c r="A1720" i="44"/>
  <c r="A169" i="44"/>
  <c r="A2360" i="44"/>
  <c r="A1599" i="44"/>
  <c r="A1602" i="44"/>
  <c r="A1612" i="44"/>
  <c r="A1611" i="44"/>
  <c r="A2359" i="44"/>
  <c r="A1692" i="44"/>
  <c r="A171" i="44"/>
  <c r="A1740" i="44"/>
  <c r="A2599" i="44"/>
  <c r="A1775" i="44"/>
  <c r="A2753" i="44"/>
  <c r="A2408" i="44"/>
  <c r="A2898" i="44"/>
  <c r="A3023" i="44"/>
  <c r="A2403" i="44"/>
  <c r="A1741" i="44"/>
  <c r="A1724" i="44"/>
  <c r="A2181" i="44"/>
  <c r="A2184" i="44"/>
  <c r="A2411" i="44"/>
  <c r="A2498" i="44"/>
  <c r="A2251" i="44"/>
  <c r="A1646" i="44"/>
  <c r="A2029" i="44"/>
  <c r="A2023" i="44"/>
  <c r="A2505" i="44"/>
  <c r="A1650" i="44"/>
  <c r="A2500" i="44"/>
  <c r="A2604" i="44"/>
  <c r="A2589" i="44"/>
  <c r="A1787" i="44"/>
  <c r="A2761" i="44"/>
  <c r="A2899" i="44"/>
  <c r="A3035" i="44"/>
  <c r="A2404" i="44"/>
  <c r="A1595" i="44"/>
  <c r="A1735" i="44"/>
  <c r="A2594" i="44"/>
  <c r="A1785" i="44"/>
  <c r="A2502" i="44"/>
  <c r="A2183" i="44"/>
  <c r="A1647" i="44"/>
  <c r="A2187" i="44"/>
  <c r="A1716" i="44"/>
  <c r="A2111" i="44"/>
  <c r="A1723" i="44"/>
  <c r="A1660" i="44"/>
  <c r="A2025" i="44"/>
  <c r="A2189" i="44"/>
  <c r="A1717" i="44"/>
  <c r="A2185" i="44"/>
  <c r="A2595" i="44"/>
  <c r="A1784" i="44"/>
  <c r="A1780" i="44"/>
  <c r="A2764" i="44"/>
  <c r="A2763" i="44"/>
  <c r="A3034" i="44"/>
  <c r="A2903" i="44"/>
  <c r="A3030" i="44"/>
  <c r="A2765" i="44"/>
  <c r="A2894" i="44"/>
  <c r="A2406" i="44"/>
  <c r="A2021" i="44"/>
  <c r="A1731" i="44"/>
  <c r="A3022" i="44"/>
  <c r="A2496" i="44"/>
  <c r="A2507" i="44"/>
  <c r="A2175" i="44"/>
  <c r="A1782" i="44"/>
  <c r="A2125" i="44"/>
  <c r="A2603" i="44"/>
  <c r="A2402" i="44"/>
  <c r="A2116" i="44"/>
  <c r="A2113" i="44"/>
  <c r="A2016" i="44"/>
  <c r="A1713" i="44"/>
  <c r="A1729" i="44"/>
  <c r="A2179" i="44"/>
  <c r="A1722" i="44"/>
  <c r="A2407" i="44"/>
  <c r="A2597" i="44"/>
  <c r="A1788" i="44"/>
  <c r="A2757" i="44"/>
  <c r="A2755" i="44"/>
  <c r="A3031" i="44"/>
  <c r="A2588" i="44"/>
  <c r="A2754" i="44"/>
  <c r="A2896" i="44"/>
  <c r="A3026" i="44"/>
  <c r="A3028" i="44"/>
  <c r="A2412" i="44"/>
  <c r="A2410" i="44"/>
  <c r="A2019" i="44"/>
  <c r="A1649" i="44"/>
  <c r="A2246" i="44"/>
  <c r="A2409" i="44"/>
  <c r="A2405" i="44"/>
  <c r="A1727" i="44"/>
  <c r="A2022" i="44"/>
  <c r="A2252" i="44"/>
  <c r="A2245" i="44"/>
  <c r="A2117" i="44"/>
  <c r="A2508" i="44"/>
  <c r="A2114" i="44"/>
  <c r="A2600" i="44"/>
  <c r="A1778" i="44"/>
  <c r="A1774" i="44"/>
  <c r="A2756" i="44"/>
  <c r="A2752" i="44"/>
  <c r="A2901" i="44"/>
  <c r="A2905" i="44"/>
  <c r="A3036" i="44"/>
  <c r="A2398" i="44"/>
  <c r="A1596" i="44"/>
  <c r="A2115" i="44"/>
  <c r="A2120" i="44"/>
  <c r="A2119" i="44"/>
  <c r="A2015" i="44"/>
  <c r="A2024" i="44"/>
  <c r="A1733" i="44"/>
  <c r="A2897" i="44"/>
  <c r="A2248" i="44"/>
  <c r="A2178" i="44"/>
  <c r="A2028" i="44"/>
  <c r="A2495" i="44"/>
  <c r="A2186" i="44"/>
  <c r="A2504" i="44"/>
  <c r="A2118" i="44"/>
  <c r="A2501" i="44"/>
  <c r="A2494" i="44"/>
  <c r="A2017" i="44"/>
  <c r="A2249" i="44"/>
  <c r="A2239" i="44"/>
  <c r="A2238" i="44"/>
  <c r="G1135" i="44"/>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G1468" i="44" s="1"/>
  <c r="G1469" i="44" s="1"/>
  <c r="G1470" i="44" s="1"/>
  <c r="G1471" i="44" s="1"/>
  <c r="G1472" i="44" s="1"/>
  <c r="G1473" i="44" s="1"/>
  <c r="G1474" i="44" s="1"/>
  <c r="A3" i="21" s="1"/>
  <c r="A1732" i="44"/>
  <c r="A2250" i="44"/>
  <c r="A1736" i="44"/>
  <c r="A2240" i="44"/>
  <c r="A2177" i="44"/>
  <c r="A2591" i="44"/>
  <c r="A2593" i="44"/>
  <c r="A1777" i="44"/>
  <c r="A1789" i="44"/>
  <c r="A2760" i="44"/>
  <c r="A3037" i="44"/>
  <c r="A2895" i="44"/>
  <c r="A2902" i="44"/>
  <c r="A3024" i="44"/>
  <c r="A2399" i="44"/>
  <c r="A1583" i="44"/>
  <c r="A2247" i="44"/>
  <c r="A2242" i="44"/>
  <c r="A2908" i="44"/>
  <c r="A2590" i="44"/>
  <c r="A2180" i="44"/>
  <c r="G968" i="44"/>
  <c r="G969" i="44" s="1"/>
  <c r="G970" i="44" s="1"/>
  <c r="G971" i="44" s="1"/>
  <c r="G972" i="44" s="1"/>
  <c r="A2241" i="44"/>
  <c r="A1648" i="44"/>
  <c r="A2174" i="44"/>
  <c r="A2182" i="44"/>
  <c r="A2503" i="44"/>
  <c r="A2110" i="44"/>
  <c r="A1652" i="44"/>
  <c r="A1718" i="44"/>
  <c r="A1655" i="44"/>
  <c r="A2244" i="44"/>
  <c r="A1710" i="44"/>
  <c r="A1737" i="44"/>
  <c r="A2598" i="44"/>
  <c r="A2602" i="44"/>
  <c r="A1786" i="44"/>
  <c r="A1779" i="44"/>
  <c r="A2758" i="44"/>
  <c r="A2906" i="44"/>
  <c r="A2401" i="44"/>
  <c r="A1726" i="44"/>
  <c r="A2499" i="44"/>
  <c r="A2122" i="44"/>
  <c r="A1728" i="44"/>
  <c r="A1657" i="44"/>
  <c r="A1721" i="44"/>
  <c r="A1739" i="44"/>
  <c r="A2938" i="44"/>
  <c r="A2432" i="44"/>
  <c r="A1871" i="44"/>
  <c r="A2430" i="44"/>
  <c r="A2264" i="44"/>
  <c r="A2037" i="44"/>
  <c r="A1614" i="44"/>
  <c r="A2197" i="44"/>
  <c r="A1711" i="44"/>
  <c r="A1624" i="44"/>
  <c r="A2482" i="44"/>
  <c r="A2750" i="44"/>
  <c r="A1686" i="44"/>
  <c r="A1628" i="44"/>
  <c r="A1906" i="44"/>
  <c r="A2988" i="44"/>
  <c r="A2980" i="44"/>
  <c r="A1714" i="44"/>
  <c r="A1701" i="44"/>
  <c r="A2018" i="44"/>
  <c r="A2112" i="44"/>
  <c r="A2020" i="44"/>
  <c r="A1661" i="44"/>
  <c r="A2273" i="44"/>
  <c r="A1901" i="44"/>
  <c r="L207" i="44"/>
  <c r="N207" i="44" s="1"/>
  <c r="A2731" i="44"/>
  <c r="A2086" i="44"/>
  <c r="A2085" i="44"/>
  <c r="A2622" i="44"/>
  <c r="A2511" i="44"/>
  <c r="A1679" i="44"/>
  <c r="A1998" i="44"/>
  <c r="A1632" i="44"/>
  <c r="A1636" i="44"/>
  <c r="A1760" i="44"/>
  <c r="A1616" i="44"/>
  <c r="A1715" i="44"/>
  <c r="A1738" i="44"/>
  <c r="A1883" i="44"/>
  <c r="A1882" i="44"/>
  <c r="A2516" i="44"/>
  <c r="A2439" i="44"/>
  <c r="A1961" i="44"/>
  <c r="A1873" i="44"/>
  <c r="A1931" i="44"/>
  <c r="A1936" i="44"/>
  <c r="A1891" i="44"/>
  <c r="L149" i="44"/>
  <c r="N149" i="44" s="1"/>
  <c r="A2106" i="44"/>
  <c r="A2095" i="44"/>
  <c r="A1635" i="44"/>
  <c r="A2433" i="44"/>
  <c r="A1764" i="44"/>
  <c r="A2736" i="44"/>
  <c r="A2202" i="44"/>
  <c r="A1719" i="44"/>
  <c r="A1709" i="44"/>
  <c r="A1734" i="44"/>
  <c r="A1904" i="44"/>
  <c r="A1658" i="44"/>
  <c r="A2014" i="44"/>
  <c r="A2872" i="44"/>
  <c r="A2865" i="44"/>
  <c r="A1725" i="44"/>
  <c r="A2709" i="44"/>
  <c r="A2945" i="44"/>
  <c r="A2153" i="44"/>
  <c r="A1695" i="44"/>
  <c r="A2509" i="44"/>
  <c r="A1702" i="44"/>
  <c r="A2078" i="44"/>
  <c r="A1607" i="44"/>
  <c r="A2522" i="44"/>
  <c r="G224" i="44"/>
  <c r="G225" i="44" s="1"/>
  <c r="G226" i="44" s="1"/>
  <c r="G227" i="44" s="1"/>
  <c r="G228" i="44" s="1"/>
  <c r="G229" i="44" s="1"/>
  <c r="G230" i="44" s="1"/>
  <c r="G231" i="44" s="1"/>
  <c r="G232" i="44" s="1"/>
  <c r="G233" i="44" s="1"/>
  <c r="G234" i="44" s="1"/>
  <c r="G235" i="44" s="1"/>
  <c r="G236" i="44" s="1"/>
  <c r="A17" i="21" s="1"/>
  <c r="A2696" i="44"/>
  <c r="A2089" i="44"/>
  <c r="A2172" i="44"/>
  <c r="A147" i="44"/>
  <c r="A157" i="44"/>
  <c r="A183" i="44" l="1"/>
  <c r="F205" i="44"/>
  <c r="A205" i="44"/>
  <c r="A2582" i="44"/>
  <c r="A2576" i="44"/>
  <c r="A2584" i="44"/>
  <c r="A2640" i="44"/>
  <c r="A2645" i="44"/>
  <c r="A2644" i="44"/>
  <c r="A2472" i="44"/>
  <c r="A2470" i="44"/>
  <c r="A2356" i="44"/>
  <c r="A2566" i="44"/>
  <c r="A2561" i="44"/>
  <c r="A3072" i="44"/>
  <c r="A2972" i="44"/>
  <c r="A2866" i="44"/>
  <c r="A2858" i="44"/>
  <c r="A2337" i="44"/>
  <c r="A1598" i="44"/>
  <c r="A3053" i="44"/>
  <c r="A1761" i="44"/>
  <c r="A2380" i="44"/>
  <c r="A1640" i="44"/>
  <c r="A2827" i="44"/>
  <c r="A2973" i="44"/>
  <c r="A3078" i="44"/>
  <c r="A2370" i="44"/>
  <c r="A2960" i="44"/>
  <c r="A2204" i="44"/>
  <c r="A2969" i="44"/>
  <c r="A2871" i="44"/>
  <c r="A2720" i="44"/>
  <c r="A3139" i="44"/>
  <c r="A2001" i="44"/>
  <c r="A1969" i="44"/>
  <c r="A2207" i="44"/>
  <c r="L183" i="44"/>
  <c r="N183" i="44" s="1"/>
  <c r="F183" i="44" s="1"/>
  <c r="A2451" i="44"/>
  <c r="A3042" i="44"/>
  <c r="A1818" i="44"/>
  <c r="L191" i="44"/>
  <c r="N191" i="44" s="1"/>
  <c r="F191" i="44" s="1"/>
  <c r="A3038" i="44"/>
  <c r="A2009" i="44"/>
  <c r="A2381" i="44"/>
  <c r="A2848" i="44"/>
  <c r="A3048" i="44"/>
  <c r="A2649" i="44"/>
  <c r="A2097" i="44"/>
  <c r="A197" i="44"/>
  <c r="A2577" i="44"/>
  <c r="A1593" i="44"/>
  <c r="A1589" i="44"/>
  <c r="A2647" i="44"/>
  <c r="A2643" i="44"/>
  <c r="A2650" i="44"/>
  <c r="A2464" i="44"/>
  <c r="A2476" i="44"/>
  <c r="A2363" i="44"/>
  <c r="A2366" i="44"/>
  <c r="A2968" i="44"/>
  <c r="A1683" i="44"/>
  <c r="A2378" i="44"/>
  <c r="A1681" i="44"/>
  <c r="A3080" i="44"/>
  <c r="A2094" i="44"/>
  <c r="A2219" i="44"/>
  <c r="A2217" i="44"/>
  <c r="A2440" i="44"/>
  <c r="A2819" i="44"/>
  <c r="A3091" i="44"/>
  <c r="A2205" i="44"/>
  <c r="A3145" i="44"/>
  <c r="A2961" i="44"/>
  <c r="A2875" i="44"/>
  <c r="A2042" i="44"/>
  <c r="A3100" i="44"/>
  <c r="A1979" i="44"/>
  <c r="A3070" i="44"/>
  <c r="A2475" i="44"/>
  <c r="A2965" i="44"/>
  <c r="A2616" i="44"/>
  <c r="A2447" i="44"/>
  <c r="A2517" i="44"/>
  <c r="A2377" i="44"/>
  <c r="A2220" i="44"/>
  <c r="A1682" i="44"/>
  <c r="A2864" i="44"/>
  <c r="A2269" i="44"/>
  <c r="A1820" i="44"/>
  <c r="A1852" i="44"/>
  <c r="A1971" i="44"/>
  <c r="A2907" i="44"/>
  <c r="A1642" i="44"/>
  <c r="A2629" i="44"/>
  <c r="A1821" i="44"/>
  <c r="A1856" i="44"/>
  <c r="A2104" i="44"/>
  <c r="A2364" i="44"/>
  <c r="A2962" i="44"/>
  <c r="A2824" i="44"/>
  <c r="A2466" i="44"/>
  <c r="A1594" i="44"/>
  <c r="A2468" i="44"/>
  <c r="A2351" i="44"/>
  <c r="A2361" i="44"/>
  <c r="G3381" i="44"/>
  <c r="G3382" i="44" s="1"/>
  <c r="G3383" i="44" s="1"/>
  <c r="G3384" i="44" s="1"/>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G3450" i="44" s="1"/>
  <c r="G3451" i="44" s="1"/>
  <c r="G3452" i="44" s="1"/>
  <c r="G3453" i="44" s="1"/>
  <c r="G3454" i="44" s="1"/>
  <c r="G3455" i="44" s="1"/>
  <c r="G3456" i="44" s="1"/>
  <c r="A19" i="21" s="1"/>
  <c r="A2568" i="44"/>
  <c r="A2822" i="44"/>
  <c r="A2216" i="44"/>
  <c r="A2221" i="44"/>
  <c r="A3074" i="44"/>
  <c r="A3065" i="44"/>
  <c r="A2852" i="44"/>
  <c r="A1772" i="44"/>
  <c r="A2492" i="44"/>
  <c r="A2853" i="44"/>
  <c r="A2231" i="44"/>
  <c r="A3046" i="44"/>
  <c r="A2107" i="44"/>
  <c r="M159" i="44"/>
  <c r="A3062" i="44"/>
  <c r="A2569" i="44"/>
  <c r="A3064" i="44"/>
  <c r="A2863" i="44"/>
  <c r="A1854" i="44"/>
  <c r="A3071" i="44"/>
  <c r="A1864" i="44"/>
  <c r="A2206" i="44"/>
  <c r="A1603" i="44"/>
  <c r="A2309" i="44"/>
  <c r="A3082" i="44"/>
  <c r="A2828" i="44"/>
  <c r="A3040" i="44"/>
  <c r="A2044" i="44"/>
  <c r="A1951" i="44"/>
  <c r="A2307" i="44"/>
  <c r="A2474" i="44"/>
  <c r="A2214" i="44"/>
  <c r="A3084" i="44"/>
  <c r="A2143" i="44"/>
  <c r="A2462" i="44"/>
  <c r="A1691" i="44"/>
  <c r="A3061" i="44"/>
  <c r="A1860" i="44"/>
  <c r="A2372" i="44"/>
  <c r="A2007" i="44"/>
  <c r="A1637" i="44"/>
  <c r="A2981" i="44"/>
  <c r="A1973" i="44"/>
  <c r="A1688" i="44"/>
  <c r="A2963" i="44"/>
  <c r="A1942" i="44"/>
  <c r="L177" i="44"/>
  <c r="N177" i="44" s="1"/>
  <c r="A2375" i="44"/>
  <c r="A2862" i="44"/>
  <c r="A1684" i="44"/>
  <c r="A2200" i="44"/>
  <c r="A2446" i="44"/>
  <c r="A2850" i="44"/>
  <c r="A2311" i="44"/>
  <c r="A2002" i="44"/>
  <c r="A2958" i="44"/>
  <c r="A2449" i="44"/>
  <c r="A2967" i="44"/>
  <c r="A2877" i="44"/>
  <c r="A3063" i="44"/>
  <c r="A1693" i="44"/>
  <c r="A2534" i="44"/>
  <c r="A1690" i="44"/>
  <c r="A3066" i="44"/>
  <c r="A1754" i="44"/>
  <c r="A1605" i="44"/>
  <c r="A2847" i="44"/>
  <c r="A2636" i="44"/>
  <c r="A2565" i="44"/>
  <c r="A2825" i="44"/>
  <c r="A3002" i="44"/>
  <c r="A1814" i="44"/>
  <c r="A1938" i="44"/>
  <c r="A3134" i="44"/>
  <c r="A1708" i="44"/>
  <c r="M205" i="44"/>
  <c r="A2262" i="44"/>
  <c r="A2233" i="44"/>
  <c r="L151" i="44"/>
  <c r="N151" i="44" s="1"/>
  <c r="A1769" i="44"/>
  <c r="A2991" i="44"/>
  <c r="A2587" i="44"/>
  <c r="A2578" i="44"/>
  <c r="A1597" i="44"/>
  <c r="A2580" i="44"/>
  <c r="A2579" i="44"/>
  <c r="A1582" i="44"/>
  <c r="G1582" i="44" s="1"/>
  <c r="A2583" i="44"/>
  <c r="A2465" i="44"/>
  <c r="G753" i="44"/>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G911" i="44" s="1"/>
  <c r="G912" i="44" s="1"/>
  <c r="G913" i="44" s="1"/>
  <c r="G914" i="44" s="1"/>
  <c r="G915" i="44" s="1"/>
  <c r="G916" i="44" s="1"/>
  <c r="G917" i="44" s="1"/>
  <c r="A13" i="21" s="1"/>
  <c r="A2467" i="44"/>
  <c r="A2473" i="44"/>
  <c r="A2471" i="44"/>
  <c r="A2570" i="44"/>
  <c r="A2376" i="44"/>
  <c r="A2573" i="44"/>
  <c r="A2358" i="44"/>
  <c r="A2203" i="44"/>
  <c r="A1898" i="44"/>
  <c r="A1585" i="44"/>
  <c r="A2859" i="44"/>
  <c r="A2006" i="44"/>
  <c r="A2034" i="44"/>
  <c r="A1865" i="44"/>
  <c r="A3051" i="44"/>
  <c r="A1680" i="44"/>
  <c r="A2109" i="44"/>
  <c r="A2857" i="44"/>
  <c r="A1950" i="44"/>
  <c r="A2100" i="44"/>
  <c r="L209" i="44"/>
  <c r="N209" i="44" s="1"/>
  <c r="A3151" i="44"/>
  <c r="A3058" i="44"/>
  <c r="A2876" i="44"/>
  <c r="A2368" i="44"/>
  <c r="A2954" i="44"/>
  <c r="A1819" i="44"/>
  <c r="A2803" i="44"/>
  <c r="A2915" i="44"/>
  <c r="A2695" i="44"/>
  <c r="A2799" i="44"/>
  <c r="A2310" i="44"/>
  <c r="A3090" i="44"/>
  <c r="A2564" i="44"/>
  <c r="A1978" i="44"/>
  <c r="A2571" i="44"/>
  <c r="A1767" i="44"/>
  <c r="A2213" i="44"/>
  <c r="A1770" i="44"/>
  <c r="A1977" i="44"/>
  <c r="M187" i="44"/>
  <c r="A1586" i="44"/>
  <c r="G973" i="44"/>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G1088" i="44" s="1"/>
  <c r="G1089" i="44" s="1"/>
  <c r="G1090" i="44" s="1"/>
  <c r="G1091" i="44" s="1"/>
  <c r="G1092" i="44" s="1"/>
  <c r="G1093" i="44" s="1"/>
  <c r="G1094" i="44" s="1"/>
  <c r="A1584" i="44"/>
  <c r="A1590" i="44"/>
  <c r="A1592" i="44"/>
  <c r="A1591" i="44"/>
  <c r="A2642" i="44"/>
  <c r="A2646" i="44"/>
  <c r="A2638" i="44"/>
  <c r="A2463" i="44"/>
  <c r="A2352" i="44"/>
  <c r="A2225" i="44"/>
  <c r="A2856" i="44"/>
  <c r="A2210" i="44"/>
  <c r="A2457" i="44"/>
  <c r="A2098" i="44"/>
  <c r="A3044" i="44"/>
  <c r="A2851" i="44"/>
  <c r="A2559" i="44"/>
  <c r="A2585" i="44"/>
  <c r="A2751" i="44"/>
  <c r="A2005" i="44"/>
  <c r="A2515" i="44"/>
  <c r="A2581" i="44"/>
  <c r="A1768" i="44"/>
  <c r="A1975" i="44"/>
  <c r="A1967" i="44"/>
  <c r="A2821" i="44"/>
  <c r="A3087" i="44"/>
  <c r="A2563" i="44"/>
  <c r="A2105" i="44"/>
  <c r="A2560" i="44"/>
  <c r="A2826" i="44"/>
  <c r="A3077" i="44"/>
  <c r="A181" i="44"/>
  <c r="A2687" i="44"/>
  <c r="A3067" i="44"/>
  <c r="A1664" i="44"/>
  <c r="A2031" i="44"/>
  <c r="A2762" i="44"/>
  <c r="A2983" i="44"/>
  <c r="A2101" i="44"/>
  <c r="A2661" i="44"/>
  <c r="M201" i="44"/>
  <c r="A2090" i="44"/>
  <c r="A1858" i="44"/>
  <c r="A2808" i="44"/>
  <c r="A1863" i="44"/>
  <c r="A1671" i="44"/>
  <c r="A1995" i="44"/>
  <c r="A2012" i="44"/>
  <c r="A1869" i="44"/>
  <c r="A1685" i="44"/>
  <c r="A3050" i="44"/>
  <c r="A1705" i="44"/>
  <c r="A1743" i="44"/>
  <c r="A1963" i="44"/>
  <c r="A2970" i="44"/>
  <c r="A3089" i="44"/>
  <c r="A2651" i="44"/>
  <c r="A2653" i="44"/>
  <c r="A2849" i="44"/>
  <c r="A2959" i="44"/>
  <c r="A2235" i="44"/>
  <c r="A2816" i="44"/>
  <c r="A2860" i="44"/>
  <c r="A3083" i="44"/>
  <c r="A2367" i="44"/>
  <c r="A2000" i="44"/>
  <c r="A2347" i="44"/>
  <c r="A2379" i="44"/>
  <c r="A3068" i="44"/>
  <c r="A1634" i="44"/>
  <c r="A2861" i="44"/>
  <c r="A3149" i="44"/>
  <c r="A2371" i="44"/>
  <c r="A2450" i="44"/>
  <c r="A3098" i="44"/>
  <c r="A2374" i="44"/>
  <c r="A3101" i="44"/>
  <c r="A1678" i="44"/>
  <c r="A2208" i="44"/>
  <c r="L155" i="44"/>
  <c r="N155" i="44" s="1"/>
  <c r="A2452" i="44"/>
  <c r="A2304" i="44"/>
  <c r="A2574" i="44"/>
  <c r="A2201" i="44"/>
  <c r="A1758" i="44"/>
  <c r="A3047" i="44"/>
  <c r="A2469" i="44"/>
  <c r="A2817" i="44"/>
  <c r="A2369" i="44"/>
  <c r="A1970" i="44"/>
  <c r="A2215" i="44"/>
  <c r="A1840" i="44"/>
  <c r="A2211" i="44"/>
  <c r="A1952" i="44"/>
  <c r="A3142" i="44"/>
  <c r="A1976" i="44"/>
  <c r="L189" i="44"/>
  <c r="N189" i="44" s="1"/>
  <c r="L161" i="44"/>
  <c r="N161" i="44" s="1"/>
  <c r="A2668" i="44"/>
  <c r="A2987" i="44"/>
  <c r="A2985" i="44"/>
  <c r="A1587" i="44"/>
  <c r="A2639" i="44"/>
  <c r="A2641" i="44"/>
  <c r="A2652" i="44"/>
  <c r="G62" i="44"/>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G131" i="44" s="1"/>
  <c r="G132" i="44" s="1"/>
  <c r="A5" i="21" s="1"/>
  <c r="A2232" i="44"/>
  <c r="A2224" i="44"/>
  <c r="A3079" i="44"/>
  <c r="A2966" i="44"/>
  <c r="A2854" i="44"/>
  <c r="A2815" i="44"/>
  <c r="A2422" i="44"/>
  <c r="A3054" i="44"/>
  <c r="A2003" i="44"/>
  <c r="A2874" i="44"/>
  <c r="A2461" i="44"/>
  <c r="A2562" i="44"/>
  <c r="A1773" i="44"/>
  <c r="A3056" i="44"/>
  <c r="A159" i="44"/>
  <c r="A1606" i="44"/>
  <c r="A2431" i="44"/>
  <c r="A1608" i="44"/>
  <c r="A1859" i="44"/>
  <c r="A2355" i="44"/>
  <c r="A3092" i="44"/>
  <c r="A2814" i="44"/>
  <c r="A2456" i="44"/>
  <c r="G300" i="44"/>
  <c r="G301" i="44" s="1"/>
  <c r="G302" i="44" s="1"/>
  <c r="G303" i="44" s="1"/>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G732" i="44" s="1"/>
  <c r="G733" i="44" s="1"/>
  <c r="G734" i="44" s="1"/>
  <c r="G735" i="44" s="1"/>
  <c r="G736" i="44" s="1"/>
  <c r="G737" i="44" s="1"/>
  <c r="G738" i="44" s="1"/>
  <c r="A11" i="21" s="1"/>
  <c r="A1783" i="44"/>
  <c r="A2011" i="44"/>
  <c r="A2818" i="44"/>
  <c r="A2567" i="44"/>
  <c r="A2302" i="44"/>
  <c r="A2921" i="44"/>
  <c r="A2691" i="44"/>
  <c r="A2575" i="44"/>
  <c r="A2036" i="44"/>
  <c r="A2699" i="44"/>
  <c r="G242" i="44"/>
  <c r="G243" i="44" s="1"/>
  <c r="G244" i="44" s="1"/>
  <c r="G245" i="44" s="1"/>
  <c r="G246" i="44" s="1"/>
  <c r="G247" i="44" s="1"/>
  <c r="G248" i="44" s="1"/>
  <c r="G249" i="44" s="1"/>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G287" i="44" s="1"/>
  <c r="G288" i="44" s="1"/>
  <c r="A9" i="21" s="1"/>
  <c r="A2846" i="44"/>
  <c r="A1696" i="44"/>
  <c r="A2782" i="44"/>
  <c r="A2823" i="44"/>
  <c r="A2558" i="44"/>
  <c r="A2257" i="44"/>
  <c r="A3099" i="44"/>
  <c r="A1855" i="44"/>
  <c r="A2426" i="44"/>
  <c r="A1943" i="44"/>
  <c r="A3131" i="44"/>
  <c r="A2829" i="44"/>
  <c r="A3147" i="44"/>
  <c r="A3076" i="44"/>
  <c r="B556" i="3"/>
  <c r="C210" i="5"/>
  <c r="B573" i="3"/>
  <c r="B775" i="3"/>
  <c r="F203" i="44"/>
  <c r="A203" i="44"/>
  <c r="F179" i="44"/>
  <c r="A179" i="44"/>
  <c r="G1583" i="44"/>
  <c r="G1475" i="44"/>
  <c r="G1476" i="44" s="1"/>
  <c r="G1477" i="44" s="1"/>
  <c r="G1478" i="44" s="1"/>
  <c r="G1479" i="44" s="1"/>
  <c r="G1480" i="44" s="1"/>
  <c r="G1481" i="44" s="1"/>
  <c r="G1482" i="44" s="1"/>
  <c r="G1483" i="44" s="1"/>
  <c r="G1484" i="44" s="1"/>
  <c r="G1485" i="44" s="1"/>
  <c r="G1486" i="44" s="1"/>
  <c r="G1487" i="44" s="1"/>
  <c r="G1488" i="44" s="1"/>
  <c r="G1489" i="44" s="1"/>
  <c r="G1490" i="44" s="1"/>
  <c r="G1491" i="44" s="1"/>
  <c r="G1492" i="44" s="1"/>
  <c r="G1493" i="44" s="1"/>
  <c r="G1494" i="44" s="1"/>
  <c r="G1495" i="44" s="1"/>
  <c r="G1496" i="44" s="1"/>
  <c r="G1497" i="44" s="1"/>
  <c r="G1498" i="44" s="1"/>
  <c r="G1499" i="44" s="1"/>
  <c r="G1500" i="44" s="1"/>
  <c r="G147" i="44"/>
  <c r="G148" i="44" s="1"/>
  <c r="F207" i="44"/>
  <c r="A207" i="44"/>
  <c r="F149" i="44"/>
  <c r="A149" i="44"/>
  <c r="D81" i="3"/>
  <c r="K81" i="3"/>
  <c r="C80" i="3"/>
  <c r="C78" i="3"/>
  <c r="K77" i="3"/>
  <c r="F81" i="3"/>
  <c r="F78" i="3"/>
  <c r="B82" i="3"/>
  <c r="F79" i="3"/>
  <c r="K82" i="3"/>
  <c r="C81" i="3"/>
  <c r="J82" i="3"/>
  <c r="E80" i="3"/>
  <c r="K80" i="3"/>
  <c r="C77" i="3"/>
  <c r="F83" i="3"/>
  <c r="F80" i="3"/>
  <c r="E78" i="3"/>
  <c r="E77" i="3"/>
  <c r="B83" i="3"/>
  <c r="J83" i="3"/>
  <c r="B81" i="3"/>
  <c r="K79" i="3"/>
  <c r="B80" i="3"/>
  <c r="B78" i="3"/>
  <c r="D77" i="3"/>
  <c r="E83" i="3"/>
  <c r="C79" i="3"/>
  <c r="K83" i="3"/>
  <c r="C82" i="3"/>
  <c r="K78" i="3"/>
  <c r="J80" i="3"/>
  <c r="E81" i="3"/>
  <c r="J81" i="3"/>
  <c r="J79" i="3"/>
  <c r="D80" i="3"/>
  <c r="D78" i="3"/>
  <c r="J77" i="3"/>
  <c r="F77" i="3"/>
  <c r="D82" i="3"/>
  <c r="D83" i="3"/>
  <c r="D79" i="3"/>
  <c r="E82" i="3"/>
  <c r="C83" i="3"/>
  <c r="B79" i="3"/>
  <c r="E79" i="3"/>
  <c r="B77" i="3"/>
  <c r="F82" i="3"/>
  <c r="J78" i="3"/>
  <c r="G78" i="3" l="1"/>
  <c r="G90" i="3" s="1"/>
  <c r="P835" i="3" s="1"/>
  <c r="F94" i="3"/>
  <c r="O839" i="3" s="1"/>
  <c r="B89" i="3"/>
  <c r="K834" i="3" s="1"/>
  <c r="E91" i="3"/>
  <c r="N836" i="3" s="1"/>
  <c r="B91" i="3"/>
  <c r="K836" i="3" s="1"/>
  <c r="C95" i="3"/>
  <c r="L840" i="3" s="1"/>
  <c r="E94" i="3"/>
  <c r="N839" i="3" s="1"/>
  <c r="D91" i="3"/>
  <c r="M836" i="3" s="1"/>
  <c r="D95" i="3"/>
  <c r="M840" i="3" s="1"/>
  <c r="D94" i="3"/>
  <c r="M839" i="3" s="1"/>
  <c r="F89" i="3"/>
  <c r="O834" i="3" s="1"/>
  <c r="F834" i="3" s="1"/>
  <c r="G77" i="3"/>
  <c r="G89" i="3" s="1"/>
  <c r="P834" i="3" s="1"/>
  <c r="D90" i="3"/>
  <c r="M835" i="3" s="1"/>
  <c r="D92" i="3"/>
  <c r="M837" i="3" s="1"/>
  <c r="G79" i="3"/>
  <c r="G91" i="3" s="1"/>
  <c r="P836" i="3" s="1"/>
  <c r="G81" i="3"/>
  <c r="G93" i="3" s="1"/>
  <c r="P838" i="3" s="1"/>
  <c r="E93" i="3"/>
  <c r="N838" i="3" s="1"/>
  <c r="G80" i="3"/>
  <c r="G92" i="3" s="1"/>
  <c r="P837" i="3" s="1"/>
  <c r="C94" i="3"/>
  <c r="L839" i="3" s="1"/>
  <c r="C91" i="3"/>
  <c r="L836" i="3" s="1"/>
  <c r="E95" i="3"/>
  <c r="N840" i="3" s="1"/>
  <c r="D89" i="3"/>
  <c r="M834" i="3" s="1"/>
  <c r="B90" i="3"/>
  <c r="K835" i="3" s="1"/>
  <c r="B92" i="3"/>
  <c r="K837" i="3" s="1"/>
  <c r="B93" i="3"/>
  <c r="K838" i="3" s="1"/>
  <c r="G83" i="3"/>
  <c r="G95" i="3" s="1"/>
  <c r="P840" i="3" s="1"/>
  <c r="B95" i="3"/>
  <c r="K840" i="3" s="1"/>
  <c r="E89" i="3"/>
  <c r="N834" i="3" s="1"/>
  <c r="E90" i="3"/>
  <c r="N835" i="3" s="1"/>
  <c r="F92" i="3"/>
  <c r="O837" i="3" s="1"/>
  <c r="F95" i="3"/>
  <c r="O840" i="3" s="1"/>
  <c r="C89" i="3"/>
  <c r="L834" i="3" s="1"/>
  <c r="E92" i="3"/>
  <c r="N837" i="3" s="1"/>
  <c r="G82" i="3"/>
  <c r="G94" i="3" s="1"/>
  <c r="P839" i="3" s="1"/>
  <c r="C93" i="3"/>
  <c r="L838" i="3" s="1"/>
  <c r="F833" i="3" s="1"/>
  <c r="F91" i="3"/>
  <c r="O836" i="3" s="1"/>
  <c r="B94" i="3"/>
  <c r="K839" i="3" s="1"/>
  <c r="F90" i="3"/>
  <c r="O835" i="3" s="1"/>
  <c r="F93" i="3"/>
  <c r="O838" i="3" s="1"/>
  <c r="C90" i="3"/>
  <c r="L835" i="3" s="1"/>
  <c r="C92" i="3"/>
  <c r="L837" i="3" s="1"/>
  <c r="D93" i="3"/>
  <c r="M838" i="3" s="1"/>
  <c r="F189" i="44"/>
  <c r="A189" i="44"/>
  <c r="G1584" i="44"/>
  <c r="G1585" i="44" s="1"/>
  <c r="G1586" i="44" s="1"/>
  <c r="G1587" i="44" s="1"/>
  <c r="G1588" i="44" s="1"/>
  <c r="G1589" i="44" s="1"/>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G3363" i="44" s="1"/>
  <c r="G3364" i="44" s="1"/>
  <c r="G3365" i="44" s="1"/>
  <c r="G3366" i="44" s="1"/>
  <c r="G3367" i="44" s="1"/>
  <c r="G3368" i="44" s="1"/>
  <c r="G3369" i="44" s="1"/>
  <c r="A23" i="21" s="1"/>
  <c r="F161" i="44"/>
  <c r="A161" i="44"/>
  <c r="F209" i="44"/>
  <c r="A209" i="44"/>
  <c r="F155" i="44"/>
  <c r="A155" i="44"/>
  <c r="A191" i="44"/>
  <c r="F177" i="44"/>
  <c r="A177" i="44"/>
  <c r="F151" i="44"/>
  <c r="A151" i="44"/>
  <c r="F57" i="32"/>
  <c r="D556" i="3"/>
  <c r="E556" i="3" s="1"/>
  <c r="G56" i="32" s="1"/>
  <c r="C213" i="5"/>
  <c r="B786" i="3"/>
  <c r="B797" i="3"/>
  <c r="D902" i="5" s="1"/>
  <c r="B799" i="3"/>
  <c r="D904" i="5" s="1"/>
  <c r="B783" i="3"/>
  <c r="F53" i="24"/>
  <c r="G93" i="25"/>
  <c r="F77" i="32"/>
  <c r="G95" i="25"/>
  <c r="B576" i="3"/>
  <c r="F55" i="24"/>
  <c r="F79" i="32"/>
  <c r="G149" i="44"/>
  <c r="G150" i="44" s="1"/>
  <c r="G151" i="44" l="1"/>
  <c r="G152" i="44" s="1"/>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G213" i="44" s="1"/>
  <c r="G214" i="44" s="1"/>
  <c r="A7" i="21" s="1"/>
  <c r="G787" i="3"/>
  <c r="D901" i="5"/>
  <c r="E563" i="3"/>
  <c r="E39" i="43"/>
  <c r="E57" i="43" s="1"/>
  <c r="E58" i="43" s="1"/>
  <c r="B568" i="3"/>
  <c r="E566" i="3" s="1"/>
  <c r="C211" i="5"/>
  <c r="B590" i="3"/>
  <c r="B591" i="3" s="1"/>
  <c r="B593" i="3" s="1"/>
  <c r="B596" i="3" s="1"/>
  <c r="G788" i="3"/>
  <c r="D114" i="25" s="1"/>
  <c r="D903" i="5"/>
  <c r="B598" i="3" l="1"/>
  <c r="B601" i="3"/>
  <c r="E568" i="3"/>
  <c r="D61" i="32"/>
  <c r="D72" i="24"/>
  <c r="F566" i="3"/>
  <c r="G566" i="3" s="1"/>
  <c r="E73" i="24" s="1"/>
  <c r="D68" i="24"/>
  <c r="D58" i="32"/>
  <c r="G791" i="3"/>
  <c r="D117" i="25" s="1"/>
  <c r="D113" i="25"/>
  <c r="B602" i="3" l="1"/>
  <c r="B610" i="3"/>
  <c r="B612" i="3" s="1"/>
  <c r="D74" i="24"/>
  <c r="D63"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s>
  <commentList>
    <comment ref="A10"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38" authorId="1"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86"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Megan Herrera</author>
    <author>Sara Surprenant</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1" shapeId="0" xr:uid="{69F46336-27BB-49AB-AE1C-7B655D0DC636}">
      <text>
        <r>
          <rPr>
            <b/>
            <sz val="9"/>
            <color indexed="81"/>
            <rFont val="Tahoma"/>
            <family val="2"/>
          </rPr>
          <t>&lt;[[TCDeals] - [TC Property Current Stage (Seq: 1)] - [Property Points (Seq: 1)]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969C1F6E-C75B-4E7F-8FCD-AF024D716ED2}">
      <text>
        <r>
          <rPr>
            <b/>
            <sz val="9"/>
            <color indexed="81"/>
            <rFont val="Tahoma"/>
            <family val="2"/>
          </rPr>
          <t>&lt;[[TCDeals] - [TC Property Current Stage (Seq: 1)] - [Property Points (Seq: 1)] Assisted Living - Both]&gt;</t>
        </r>
      </text>
    </comment>
    <comment ref="C306" authorId="0" shapeId="0" xr:uid="{83D849AE-04ED-4035-A404-65C36FA7C6A7}">
      <text>
        <r>
          <rPr>
            <b/>
            <sz val="9"/>
            <color indexed="81"/>
            <rFont val="Tahoma"/>
            <family val="2"/>
          </rPr>
          <t>&lt;[[TCDeals] - [TC Property Current Stage (Seq: 1)] - [Property Points (Seq: 1)] Special Needs - Both]&gt;</t>
        </r>
      </text>
    </comment>
    <comment ref="C307" authorId="0" shapeId="0" xr:uid="{2C420F00-9649-42AF-B449-3D0008B4E6BB}">
      <text>
        <r>
          <rPr>
            <b/>
            <sz val="9"/>
            <color indexed="81"/>
            <rFont val="Tahoma"/>
            <family val="2"/>
          </rPr>
          <t>&lt;[[TCDeals] - [TC Property Current Stage (Seq: 1)] - [Property Points (Seq: 1)] Family - Both]&gt;</t>
        </r>
      </text>
    </comment>
    <comment ref="C308" authorId="0" shapeId="0" xr:uid="{D60E77D1-48D0-41BA-B759-BDF26C928158}">
      <text>
        <r>
          <rPr>
            <b/>
            <sz val="9"/>
            <color indexed="81"/>
            <rFont val="Tahoma"/>
            <family val="2"/>
          </rPr>
          <t>&lt;[[TCDeals] - [TC Property Current Stage (Seq: 1)] - [Property Points (Seq: 1)] Homeless - Both]&gt;</t>
        </r>
      </text>
    </comment>
    <comment ref="C309" authorId="0" shapeId="0" xr:uid="{B58AEAD2-CBF8-4502-83D0-560E3654D5D6}">
      <text>
        <r>
          <rPr>
            <b/>
            <sz val="9"/>
            <color indexed="81"/>
            <rFont val="Tahoma"/>
            <family val="2"/>
          </rPr>
          <t>&lt;[[TCDeals] - [TC Property Current Stage (Seq: 1)] - [Property Points (Seq: 1)] Senior - Both]&gt;</t>
        </r>
      </text>
    </comment>
    <comment ref="C310" authorId="0" shapeId="0" xr:uid="{00097234-E8E2-4578-AC17-C62C29BE271E}">
      <text>
        <r>
          <rPr>
            <b/>
            <sz val="9"/>
            <color indexed="81"/>
            <rFont val="Tahoma"/>
            <family val="2"/>
          </rPr>
          <t>&lt;[[TCDeals] - [TC Property Current Stage (Seq: 1)] - [Property Points (Seq: 1)] Veterans - Both]&gt;</t>
        </r>
      </text>
    </comment>
    <comment ref="C311" authorId="0" shapeId="0" xr:uid="{6B5F5E5E-CDF5-42FC-A311-53A997A03797}">
      <text>
        <r>
          <rPr>
            <b/>
            <sz val="9"/>
            <color indexed="81"/>
            <rFont val="Tahoma"/>
            <family val="2"/>
          </rPr>
          <t>&lt;[[TCDeals] - [TC Property Current Stage (Seq: 1)] - [Property Points (Seq: 1)] Permanent Supportive Housing - Both]&gt;</t>
        </r>
      </text>
    </comment>
    <comment ref="C312" authorId="2" shapeId="0" xr:uid="{8213C2CA-090C-40A6-87D8-39EC5D6C1898}">
      <text>
        <r>
          <rPr>
            <b/>
            <sz val="9"/>
            <color indexed="81"/>
            <rFont val="Tahoma"/>
            <family val="2"/>
          </rPr>
          <t>&lt;[[TCDeals] - [TC Property Current Stage (Seq: 1)] - [Property Points (Seq: 1)] New Construction Units - Both]&gt;</t>
        </r>
      </text>
    </comment>
    <comment ref="C313" authorId="2" shapeId="0" xr:uid="{4E4920F9-D501-4701-9CB0-3DBD963B4422}">
      <text>
        <r>
          <rPr>
            <b/>
            <sz val="9"/>
            <color indexed="81"/>
            <rFont val="Tahoma"/>
            <family val="2"/>
          </rPr>
          <t>&lt;[[TCDeals] - [TC Property Current Stage (Seq: 1)] - [Property Points (Seq: 1)] Acq/Rehab or Rehab Only Units - Both]&gt;</t>
        </r>
      </text>
    </comment>
    <comment ref="C314" authorId="0" shapeId="0" xr:uid="{4171A08E-6702-4D26-AC3A-D38E10B0E260}">
      <text>
        <r>
          <rPr>
            <b/>
            <sz val="9"/>
            <color indexed="81"/>
            <rFont val="Tahoma"/>
            <family val="2"/>
          </rPr>
          <t>&lt;[[TCDeals] - [TC Property Current Stage (Seq: 1)] Num Buildings - Both]&gt;</t>
        </r>
      </text>
    </comment>
    <comment ref="C315" authorId="0" shapeId="0" xr:uid="{79001CC4-73FF-462D-AF88-E17CDA4508F5}">
      <text>
        <r>
          <rPr>
            <b/>
            <sz val="9"/>
            <color indexed="81"/>
            <rFont val="Tahoma"/>
            <family val="2"/>
          </rPr>
          <t>&lt;[[TCDeals] - [TC Property Current Stage (Seq: 1)] Is Low Rise - Both]&gt;</t>
        </r>
      </text>
    </comment>
    <comment ref="C316" authorId="0" shapeId="0" xr:uid="{1A4FEDCA-0587-4084-BAAA-2CFB8C94C02E}">
      <text>
        <r>
          <rPr>
            <b/>
            <sz val="9"/>
            <color indexed="81"/>
            <rFont val="Tahoma"/>
            <family val="2"/>
          </rPr>
          <t>&lt;[[TCDeals] - [TC Property Current Stage (Seq: 1)] Is Mid Rise - Both]&gt;</t>
        </r>
      </text>
    </comment>
    <comment ref="C317" authorId="0" shapeId="0" xr:uid="{85C28036-5E4F-4E59-A4F1-B8D19476F860}">
      <text>
        <r>
          <rPr>
            <b/>
            <sz val="9"/>
            <color indexed="81"/>
            <rFont val="Tahoma"/>
            <family val="2"/>
          </rPr>
          <t>&lt;[[TCDeals] - [TC Property Current Stage (Seq: 1)] Is High Rise - Both]&gt;</t>
        </r>
      </text>
    </comment>
    <comment ref="C318" authorId="0" shapeId="0" xr:uid="{431BA1E2-4104-4A7A-B64A-8FA06D1CD3C3}">
      <text>
        <r>
          <rPr>
            <b/>
            <sz val="9"/>
            <color indexed="81"/>
            <rFont val="Tahoma"/>
            <family val="2"/>
          </rPr>
          <t>&lt;[[TCDeals] - [TC Property Current Stage (Seq: 1)] Has Elevator - Both]&gt;</t>
        </r>
      </text>
    </comment>
    <comment ref="C319" authorId="0" shapeId="0" xr:uid="{8D4C3A1C-9519-49A0-8969-4F40742CF3DA}">
      <text>
        <r>
          <rPr>
            <b/>
            <sz val="9"/>
            <color indexed="81"/>
            <rFont val="Tahoma"/>
            <family val="2"/>
          </rPr>
          <t>&lt;[[TCDeals] - [TC Property Current Stage (Seq: 1)] - [Property Points (Seq: 1)] Parcel Size - Both]&gt;</t>
        </r>
      </text>
    </comment>
    <comment ref="C320" authorId="0" shapeId="0" xr:uid="{5D49C584-5B1C-48F4-828E-158F33D5E3F6}">
      <text>
        <r>
          <rPr>
            <b/>
            <sz val="9"/>
            <color indexed="81"/>
            <rFont val="Tahoma"/>
            <family val="2"/>
          </rPr>
          <t>&lt;[[TCDeals] - [TC Property Current Stage (Seq: 1)] - [Property Points (Seq: 1)] Building Construction - Both]&gt;</t>
        </r>
      </text>
    </comment>
    <comment ref="C321" authorId="0" shapeId="0" xr:uid="{77EAAF68-7A51-4803-BD8E-AE3A7F81D30E}">
      <text>
        <r>
          <rPr>
            <b/>
            <sz val="9"/>
            <color indexed="81"/>
            <rFont val="Tahoma"/>
            <family val="2"/>
          </rPr>
          <t>&lt;[[TCDeals] - [TC Property Current Stage (Seq: 1)] - [Property Points (Seq: 1)] Construction Duration - Both]&gt;</t>
        </r>
      </text>
    </comment>
    <comment ref="C322" authorId="0" shapeId="0" xr:uid="{5AFA2F6A-A83D-42F7-A9FC-E99D3392977A}">
      <text>
        <r>
          <rPr>
            <b/>
            <sz val="9"/>
            <color indexed="81"/>
            <rFont val="Tahoma"/>
            <family val="2"/>
          </rPr>
          <t>&lt;[[TCDeals] - [TC Property Current Stage (Seq: 1)] - [Property Points (Seq: 1)] Construction Loan Amount - Both]&gt;</t>
        </r>
      </text>
    </comment>
    <comment ref="C323" authorId="0" shapeId="0" xr:uid="{1CCE33B9-C0A2-47AD-83FD-3B92490D0F4E}">
      <text>
        <r>
          <rPr>
            <b/>
            <sz val="9"/>
            <color indexed="81"/>
            <rFont val="Tahoma"/>
            <family val="2"/>
          </rPr>
          <t>&lt;[[TCDeals] - [TC Property Current Stage (Seq: 1)] - [Property Points (Seq: 1)] Construction Loan Rate - Both]&gt;</t>
        </r>
      </text>
    </comment>
    <comment ref="C324" authorId="0" shapeId="0" xr:uid="{A1CB53A8-443A-454B-8F38-A3B76FE23720}">
      <text>
        <r>
          <rPr>
            <b/>
            <sz val="9"/>
            <color indexed="81"/>
            <rFont val="Tahoma"/>
            <family val="2"/>
          </rPr>
          <t>&lt;[[TCDeals] - [TC Property Current Stage (Seq: 1)] - [Property Points (Seq: 1)] Construction Interest From Budget - Both]&gt;</t>
        </r>
      </text>
    </comment>
    <comment ref="B326" authorId="1" shapeId="0" xr:uid="{C3234D3F-A46A-49C4-A21E-86CF45935AB7}">
      <text>
        <r>
          <rPr>
            <b/>
            <sz val="9"/>
            <color indexed="81"/>
            <rFont val="Tahoma"/>
            <family val="2"/>
          </rPr>
          <t>&lt;[[TCDeals] - [TC Property Current Stage (Seq: 1)] - [Property Points (Seq: 1)] Timeline - Inducement  Resolution - Both]&gt;</t>
        </r>
      </text>
    </comment>
    <comment ref="B327" authorId="1" shapeId="0" xr:uid="{B1889F4C-B414-4DCE-A4CC-02F562DB3277}">
      <text>
        <r>
          <rPr>
            <b/>
            <sz val="9"/>
            <color indexed="81"/>
            <rFont val="Tahoma"/>
            <family val="2"/>
          </rPr>
          <t>&lt;[[TCDeals] - [TC Property Current Stage (Seq: 1)] - [Property Points (Seq: 1)] Timeline - Final Resolution - Both]&gt;</t>
        </r>
      </text>
    </comment>
    <comment ref="B328" authorId="1" shapeId="0" xr:uid="{C7A80FC2-7481-4421-A214-BF9A1E90E24A}">
      <text>
        <r>
          <rPr>
            <b/>
            <sz val="9"/>
            <color indexed="81"/>
            <rFont val="Tahoma"/>
            <family val="2"/>
          </rPr>
          <t>&lt;[[TCDeals] - [TC Property Current Stage (Seq: 1)] - [Property Points (Seq: 1)] Timeline - Construction Loan Closing - Both]&gt;</t>
        </r>
      </text>
    </comment>
    <comment ref="B329" authorId="1" shapeId="0" xr:uid="{259AE36D-8B6F-460B-A0D1-2D5B35A0A60F}">
      <text>
        <r>
          <rPr>
            <b/>
            <sz val="9"/>
            <color indexed="81"/>
            <rFont val="Tahoma"/>
            <family val="2"/>
          </rPr>
          <t>&lt;[[TCDeals] - [TC Property Current Stage (Seq: 1)] - [Property Points (Seq: 1)] Timeline - Close Acquisition (if applicable) - Both]&gt;</t>
        </r>
      </text>
    </comment>
    <comment ref="B330" authorId="1" shapeId="0" xr:uid="{F545D689-5150-4D25-BD8D-28246D3195D7}">
      <text>
        <r>
          <rPr>
            <b/>
            <sz val="9"/>
            <color indexed="81"/>
            <rFont val="Tahoma"/>
            <family val="2"/>
          </rPr>
          <t>&lt;[[TCDeals] - [TC Property Current Stage (Seq: 1)] - [Property Points (Seq: 1)] All Loan Closed - Both]&gt;</t>
        </r>
      </text>
    </comment>
    <comment ref="B331" authorId="1" shapeId="0" xr:uid="{DAABE4E3-9DE7-4B2C-B66F-B584E8A2E282}">
      <text>
        <r>
          <rPr>
            <b/>
            <sz val="9"/>
            <color indexed="81"/>
            <rFont val="Tahoma"/>
            <family val="2"/>
          </rPr>
          <t>&lt;[[TCDeals] - [TC Property Current Stage (Seq: 1)] - [Property Points (Seq: 1)] Timeline - Execute Partnership Agreement - Both]&gt;</t>
        </r>
      </text>
    </comment>
    <comment ref="B332"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3" authorId="1" shapeId="0" xr:uid="{1BE5FB20-8B61-46E5-BC71-74681F92206B}">
      <text>
        <r>
          <rPr>
            <b/>
            <sz val="9"/>
            <color indexed="81"/>
            <rFont val="Tahoma"/>
            <family val="2"/>
          </rPr>
          <t>&lt;[[TCDeals] - [TC Property Current Stage (Seq: 1)] - [Property Points (Seq: 1)] Submit Milestone Documentation for AHTC - Both]&gt;</t>
        </r>
      </text>
    </comment>
    <comment ref="B334"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5" authorId="1" shapeId="0" xr:uid="{3F4F7A42-4DB1-4D6E-8A63-9139880BB07B}">
      <text>
        <r>
          <rPr>
            <b/>
            <sz val="9"/>
            <color indexed="81"/>
            <rFont val="Tahoma"/>
            <family val="2"/>
          </rPr>
          <t>&lt;[[TCDeals] - [TC Property Current Stage (Seq: 1)] - [Property Points (Seq: 1)] Timeline - Zoning or Rezoning Final Approved - Both]&gt;</t>
        </r>
      </text>
    </comment>
    <comment ref="B336" authorId="1" shapeId="0" xr:uid="{57064F30-7B2E-494F-A96F-62B65C65E53B}">
      <text>
        <r>
          <rPr>
            <b/>
            <sz val="9"/>
            <color indexed="81"/>
            <rFont val="Tahoma"/>
            <family val="2"/>
          </rPr>
          <t>&lt;[[TCDeals] - [TC Property Current Stage (Seq: 1)] - [Property Points (Seq: 1)] Groundbreaking Ceremony - Both]&gt;</t>
        </r>
      </text>
    </comment>
    <comment ref="B337" authorId="1" shapeId="0" xr:uid="{968A45F6-C863-41A2-883B-C51EBC4C7E47}">
      <text>
        <r>
          <rPr>
            <b/>
            <sz val="9"/>
            <color indexed="81"/>
            <rFont val="Tahoma"/>
            <family val="2"/>
          </rPr>
          <t>&lt;[[TCDeals] - [TC Property Current Stage (Seq: 1)] - [Property Points (Seq: 1)] Building Permit(s) Issued - Both]&gt;</t>
        </r>
      </text>
    </comment>
    <comment ref="B338"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9"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40" authorId="1" shapeId="0" xr:uid="{5F0565E5-3722-4F10-9390-ECBEC2F3668D}">
      <text>
        <r>
          <rPr>
            <b/>
            <sz val="9"/>
            <color indexed="81"/>
            <rFont val="Tahoma"/>
            <family val="2"/>
          </rPr>
          <t>&lt;[[TCDeals] - [TC Property Current Stage (Seq: 1)] - [Property Points (Seq: 1)] Grand Opening - Both]&gt;</t>
        </r>
      </text>
    </comment>
    <comment ref="B341" authorId="1" shapeId="0" xr:uid="{9CAFFA06-05A4-44A0-A79C-CC6533D67435}">
      <text>
        <r>
          <rPr>
            <b/>
            <sz val="9"/>
            <color indexed="81"/>
            <rFont val="Tahoma"/>
            <family val="2"/>
          </rPr>
          <t>&lt;[[TCDeals] - [TC Property Current Stage (Seq: 1)] - [Property Points (Seq: 1)] Timeline - Stabilization Permanent Loan - Both]&gt;</t>
        </r>
      </text>
    </comment>
    <comment ref="B342" authorId="1" shapeId="0" xr:uid="{B410F127-B74F-42F8-A149-DBBD74746FA5}">
      <text>
        <r>
          <rPr>
            <b/>
            <sz val="9"/>
            <color indexed="81"/>
            <rFont val="Tahoma"/>
            <family val="2"/>
          </rPr>
          <t>&lt;[[TCDeals] - [TC Property Current Stage (Seq: 1)] - [Property Points (Seq: 1)] Convert to Permanent Loan - Both]&gt;</t>
        </r>
      </text>
    </comment>
    <comment ref="B343" authorId="1" shapeId="0" xr:uid="{6142DF3F-0D28-44CD-A14C-54B779843679}">
      <text>
        <r>
          <rPr>
            <b/>
            <sz val="9"/>
            <color indexed="81"/>
            <rFont val="Tahoma"/>
            <family val="2"/>
          </rPr>
          <t>&lt;[[TCDeals] - [TC Property Current Stage (Seq: 1)] - [Property Points (Seq: 1)] Timeline - Final Application to ColoradoHFA - Both]&gt;</t>
        </r>
      </text>
    </comment>
    <comment ref="C344" authorId="0" shapeId="0" xr:uid="{AA9E1EB3-9486-4759-84BD-83556B9D8639}">
      <text>
        <r>
          <rPr>
            <b/>
            <sz val="9"/>
            <color indexed="81"/>
            <rFont val="Tahoma"/>
            <family val="2"/>
          </rPr>
          <t>&lt;[[TCDeals] - [TC Property Current Stage (Seq: 1)] - [Actual Property Costs (Seq: 1)] Land Acq Cost - Both]&gt;</t>
        </r>
      </text>
    </comment>
    <comment ref="C345" authorId="0" shapeId="0" xr:uid="{0AF10BB7-42EF-4D19-AC72-948DEC773A53}">
      <text>
        <r>
          <rPr>
            <b/>
            <sz val="9"/>
            <color indexed="81"/>
            <rFont val="Tahoma"/>
            <family val="2"/>
          </rPr>
          <t>&lt;[[TCDeals] - [TC Property Current Stage (Seq: 1)] - [Actual Property Costs (Seq: 1)] Existing Improvements Cost - Both]&gt;</t>
        </r>
      </text>
    </comment>
    <comment ref="C346" authorId="0" shapeId="0" xr:uid="{0AFFA23D-4D38-4D4E-A10D-134C0B5D2BDE}">
      <text>
        <r>
          <rPr>
            <b/>
            <sz val="9"/>
            <color indexed="81"/>
            <rFont val="Tahoma"/>
            <family val="2"/>
          </rPr>
          <t>&lt;[[TCDeals] - [TC Property Current Stage (Seq: 1)] - [Actual Property Costs (Seq: 1)] Demolition - Both]&gt;</t>
        </r>
      </text>
    </comment>
    <comment ref="C347" authorId="0" shapeId="0" xr:uid="{1FD4444E-DA96-4DBD-92D5-4765B27E8631}">
      <text>
        <r>
          <rPr>
            <b/>
            <sz val="9"/>
            <color indexed="81"/>
            <rFont val="Tahoma"/>
            <family val="2"/>
          </rPr>
          <t>&lt;[[TCDeals] - [TC Property Current Stage (Seq: 1)] - [Actual Property Costs (Seq: 1)] Site Work - Both]&gt;</t>
        </r>
      </text>
    </comment>
    <comment ref="C348" authorId="0" shapeId="0" xr:uid="{8C967E98-DD22-434B-8FF2-F89679E9E6FA}">
      <text>
        <r>
          <rPr>
            <b/>
            <sz val="9"/>
            <color indexed="81"/>
            <rFont val="Tahoma"/>
            <family val="2"/>
          </rPr>
          <t>&lt;[[TCDeals] - [TC Property Current Stage (Seq: 1)] - [Actual Property Costs (Seq: 1)] Off Site Improvements - Both]&gt;</t>
        </r>
      </text>
    </comment>
    <comment ref="C349" authorId="0" shapeId="0" xr:uid="{521C41AE-4AF6-4A47-A9AF-EA483483967B}">
      <text>
        <r>
          <rPr>
            <b/>
            <sz val="9"/>
            <color indexed="81"/>
            <rFont val="Tahoma"/>
            <family val="2"/>
          </rPr>
          <t>&lt;[[TCDeals] - [TC Property Current Stage (Seq: 1)] - [Actual Property Costs (Seq: 1)] Unit Structures New - Both]&gt;</t>
        </r>
      </text>
    </comment>
    <comment ref="C350" authorId="0" shapeId="0" xr:uid="{A11E2D24-6B3D-48CD-B737-0B39A0F8AD9D}">
      <text>
        <r>
          <rPr>
            <b/>
            <sz val="9"/>
            <color indexed="81"/>
            <rFont val="Tahoma"/>
            <family val="2"/>
          </rPr>
          <t>&lt;[[TCDeals] - [TC Property Current Stage (Seq: 1)] - [Actual Property Costs (Seq: 1)] Unit Structures Rehab - Both]&gt;</t>
        </r>
      </text>
    </comment>
    <comment ref="C351" authorId="0" shapeId="0" xr:uid="{DF7A5204-0123-4921-BD43-2A78A35ED8DA}">
      <text>
        <r>
          <rPr>
            <b/>
            <sz val="9"/>
            <color indexed="81"/>
            <rFont val="Tahoma"/>
            <family val="2"/>
          </rPr>
          <t>&lt;[[TCDeals] - [TC Property Current Stage (Seq: 1)] - [Actual Property Costs (Seq: 1)] Accessory Buildings - Both]&gt;</t>
        </r>
      </text>
    </comment>
    <comment ref="C352" authorId="0" shapeId="0" xr:uid="{7E7F7A20-EA1B-49D8-A0D9-744725D981A7}">
      <text>
        <r>
          <rPr>
            <b/>
            <sz val="9"/>
            <color indexed="81"/>
            <rFont val="Tahoma"/>
            <family val="2"/>
          </rPr>
          <t>&lt;[[TCDeals] - [TC Property Current Stage (Seq: 1)] - [Actual Property Costs (Seq: 1)] Geothermal - Both]&gt;</t>
        </r>
      </text>
    </comment>
    <comment ref="C353" authorId="0" shapeId="0" xr:uid="{2AE16294-C99E-4BD2-ADBE-F35D4B8A94B6}">
      <text>
        <r>
          <rPr>
            <b/>
            <sz val="9"/>
            <color indexed="81"/>
            <rFont val="Tahoma"/>
            <family val="2"/>
          </rPr>
          <t>&lt;[[TCDeals] - [TC Property Current Stage (Seq: 1)] - [Actual Property Costs (Seq: 1)] General Requirements - Both]&gt;</t>
        </r>
      </text>
    </comment>
    <comment ref="C354" authorId="0" shapeId="0" xr:uid="{8658C90B-32BB-4D2D-A106-43B97DCD2BB6}">
      <text>
        <r>
          <rPr>
            <b/>
            <sz val="9"/>
            <color indexed="81"/>
            <rFont val="Tahoma"/>
            <family val="2"/>
          </rPr>
          <t>&lt;[[TCDeals] - [TC Property Current Stage (Seq: 1)] - [Actual Property Costs (Seq: 1)] Builders Overhead - Both]&gt;</t>
        </r>
      </text>
    </comment>
    <comment ref="C355" authorId="0" shapeId="0" xr:uid="{1603124C-2B32-40D1-AE98-A88FBB3044F6}">
      <text>
        <r>
          <rPr>
            <b/>
            <sz val="9"/>
            <color indexed="81"/>
            <rFont val="Tahoma"/>
            <family val="2"/>
          </rPr>
          <t>&lt;[[TCDeals] - [TC Property Current Stage (Seq: 1)] - [Actual Property Costs (Seq: 1)] Builders Profit - Both]&gt;</t>
        </r>
      </text>
    </comment>
    <comment ref="C356" authorId="0" shapeId="0" xr:uid="{7329F9DA-0E29-4C56-BC94-EE6F5123D78F}">
      <text>
        <r>
          <rPr>
            <b/>
            <sz val="9"/>
            <color indexed="81"/>
            <rFont val="Tahoma"/>
            <family val="2"/>
          </rPr>
          <t>&lt;[[TCDeals] - [TC Property Current Stage (Seq: 1)] - [Actual Property Costs (Seq: 1)] Other Contingency Total - Both]&gt;</t>
        </r>
      </text>
    </comment>
    <comment ref="C357" authorId="0" shapeId="0" xr:uid="{F3EE90AC-834D-48D3-9110-F562630D520F}">
      <text>
        <r>
          <rPr>
            <b/>
            <sz val="9"/>
            <color indexed="81"/>
            <rFont val="Tahoma"/>
            <family val="2"/>
          </rPr>
          <t>&lt;[[TCDeals] - [TC Property Current Stage (Seq: 1)] - [Property Points (Seq: 1)] Owner Hard Cost Contingency - Both]&gt;</t>
        </r>
      </text>
    </comment>
    <comment ref="C358" authorId="0" shapeId="0" xr:uid="{AD7C58E0-FD4D-405D-8DA1-460CB3162161}">
      <text>
        <r>
          <rPr>
            <b/>
            <sz val="9"/>
            <color indexed="81"/>
            <rFont val="Tahoma"/>
            <family val="2"/>
          </rPr>
          <t>&lt;[[TCDeals] - [TC Property Current Stage (Seq: 1)] - [Actual Property Costs (Seq: 1)] Special Equipment - Both]&gt;</t>
        </r>
      </text>
    </comment>
    <comment ref="C359" authorId="0" shapeId="0" xr:uid="{920539F1-5819-42ED-91D7-50102783C024}">
      <text>
        <r>
          <rPr>
            <b/>
            <sz val="9"/>
            <color indexed="81"/>
            <rFont val="Tahoma"/>
            <family val="2"/>
          </rPr>
          <t>&lt;[[TCDeals] - [TC Property Current Stage (Seq: 1)] - [Actual Property Costs (Seq: 1)] Building Permit - Both]&gt;</t>
        </r>
      </text>
    </comment>
    <comment ref="A360" authorId="0" shapeId="0" xr:uid="{3B142A66-1C7B-4E11-AA9A-F9EE2F615383}">
      <text>
        <r>
          <rPr>
            <b/>
            <sz val="9"/>
            <color indexed="81"/>
            <rFont val="Tahoma"/>
            <family val="2"/>
          </rPr>
          <t>&lt;[[TCDeals] - [TC Property Current Stage (Seq: 1)] - [Property Points (Seq: 1)] Rehab &amp; New Cost Other Comment - Both]&gt;</t>
        </r>
      </text>
    </comment>
    <comment ref="C360" authorId="0" shapeId="0" xr:uid="{E8BE2816-1681-4649-B20C-2DA04DA44668}">
      <text>
        <r>
          <rPr>
            <b/>
            <sz val="9"/>
            <color indexed="81"/>
            <rFont val="Tahoma"/>
            <family val="2"/>
          </rPr>
          <t>&lt;[[TCDeals] - [TC Property Current Stage (Seq: 1)] - [Property Points (Seq: 1)] Rehab &amp; New Other Cost 1 - Both]&gt;</t>
        </r>
      </text>
    </comment>
    <comment ref="A361" authorId="0" shapeId="0" xr:uid="{5FFC549B-E504-4D74-B672-12083EF209B7}">
      <text>
        <r>
          <rPr>
            <b/>
            <sz val="9"/>
            <color indexed="81"/>
            <rFont val="Tahoma"/>
            <family val="2"/>
          </rPr>
          <t>&lt;[[TCDeals] - [TC Property Current Stage (Seq: 1)] - [Property Points (Seq: 1)] Rehab &amp; New Cost Other 2 Comment - Both]&gt;</t>
        </r>
      </text>
    </comment>
    <comment ref="C361" authorId="0" shapeId="0" xr:uid="{FD78193F-D11F-4E50-A6DE-AB840E161ABB}">
      <text>
        <r>
          <rPr>
            <b/>
            <sz val="9"/>
            <color indexed="81"/>
            <rFont val="Tahoma"/>
            <family val="2"/>
          </rPr>
          <t>&lt;[[TCDeals] - [TC Property Current Stage (Seq: 1)] - [Property Points (Seq: 1)] Rehab &amp; New Other Cost 2 - Both]&gt;</t>
        </r>
      </text>
    </comment>
    <comment ref="A362" authorId="0" shapeId="0" xr:uid="{D1EB4359-CC70-484D-A505-A6099180EED2}">
      <text>
        <r>
          <rPr>
            <b/>
            <sz val="9"/>
            <color indexed="81"/>
            <rFont val="Tahoma"/>
            <family val="2"/>
          </rPr>
          <t>&lt;[[TCDeals] - [TC Property Current Stage (Seq: 1)] - [Property Points (Seq: 1)] Rehab &amp; New Cost Other 3 Comment - Both]&gt;</t>
        </r>
      </text>
    </comment>
    <comment ref="C362" authorId="0" shapeId="0" xr:uid="{862A0CEC-EF00-45C9-9092-52D2CC376FB3}">
      <text>
        <r>
          <rPr>
            <b/>
            <sz val="9"/>
            <color indexed="81"/>
            <rFont val="Tahoma"/>
            <family val="2"/>
          </rPr>
          <t>&lt;[[TCDeals] - [TC Property Current Stage (Seq: 1)] - [Property Points (Seq: 1)] Rehab &amp; New Other Cost 3 - Both]&gt;</t>
        </r>
      </text>
    </comment>
    <comment ref="C363" authorId="0" shapeId="0" xr:uid="{B78C403B-69E7-40B1-ADAE-C7D4BF5C1754}">
      <text>
        <r>
          <rPr>
            <b/>
            <sz val="9"/>
            <color indexed="81"/>
            <rFont val="Tahoma"/>
            <family val="2"/>
          </rPr>
          <t>&lt;[[TCDeals] - [TC Property Current Stage (Seq: 1)] - [Actual Property Costs (Seq: 1)] Arch Engin Design Fee - Both]&gt;</t>
        </r>
      </text>
    </comment>
    <comment ref="C364" authorId="0" shapeId="0" xr:uid="{55D04405-D86A-485F-8E6E-2BBF704ACA65}">
      <text>
        <r>
          <rPr>
            <b/>
            <sz val="9"/>
            <color indexed="81"/>
            <rFont val="Tahoma"/>
            <family val="2"/>
          </rPr>
          <t>&lt;[[TCDeals] - [TC Property Current Stage (Seq: 1)] - [Actual Property Costs (Seq: 1)] Arch Supervision Fee - Both]&gt;</t>
        </r>
      </text>
    </comment>
    <comment ref="C365" authorId="0" shapeId="0" xr:uid="{7A957F00-5041-4C84-AD17-3E763C3A476D}">
      <text>
        <r>
          <rPr>
            <b/>
            <sz val="9"/>
            <color indexed="81"/>
            <rFont val="Tahoma"/>
            <family val="2"/>
          </rPr>
          <t>&lt;[[TCDeals] - [TC Property Current Stage (Seq: 1)] - [Actual Property Costs (Seq: 1)] Lawns - Both]&gt;</t>
        </r>
      </text>
    </comment>
    <comment ref="C366" authorId="0" shapeId="0" xr:uid="{6F27E50D-3BE9-4D59-B8AC-6D9D9EA69BEB}">
      <text>
        <r>
          <rPr>
            <b/>
            <sz val="9"/>
            <color indexed="81"/>
            <rFont val="Tahoma"/>
            <family val="2"/>
          </rPr>
          <t>&lt;[[TCDeals] - [TC Property Current Stage (Seq: 1)] - [Actual Property Costs (Seq: 1)] Structure Mech Study - Both]&gt;</t>
        </r>
      </text>
    </comment>
    <comment ref="C367" authorId="0" shapeId="0" xr:uid="{14A04995-51B5-4900-9053-1EA8A1C7288F}">
      <text>
        <r>
          <rPr>
            <b/>
            <sz val="9"/>
            <color indexed="81"/>
            <rFont val="Tahoma"/>
            <family val="2"/>
          </rPr>
          <t>&lt;[[TCDeals] - [TC Property Current Stage (Seq: 1)] - [Actual Property Costs (Seq: 1)] Engineering - Both]&gt;</t>
        </r>
      </text>
    </comment>
    <comment ref="C368" authorId="0" shapeId="0" xr:uid="{16E8B710-E147-4D9F-9077-200798C7F9D4}">
      <text>
        <r>
          <rPr>
            <b/>
            <sz val="9"/>
            <color indexed="81"/>
            <rFont val="Tahoma"/>
            <family val="2"/>
          </rPr>
          <t>&lt;[[TCDeals] - [TC Property Current Stage (Seq: 1)] - [Property Points (Seq: 1)] Other Engineering - Both]&gt;</t>
        </r>
      </text>
    </comment>
    <comment ref="C369" authorId="0" shapeId="0" xr:uid="{34218A20-9915-49AA-A22E-4FFE8B839D54}">
      <text>
        <r>
          <rPr>
            <b/>
            <sz val="9"/>
            <color indexed="81"/>
            <rFont val="Tahoma"/>
            <family val="2"/>
          </rPr>
          <t>&lt;[[TCDeals] - [TC Property Current Stage (Seq: 1)] - [Property Points (Seq: 1)] Surveyor - Both]&gt;</t>
        </r>
      </text>
    </comment>
    <comment ref="C370" authorId="0" shapeId="0" xr:uid="{9F349418-E1C4-45AD-B7E3-3B9EB52597B1}">
      <text>
        <r>
          <rPr>
            <b/>
            <sz val="9"/>
            <color indexed="81"/>
            <rFont val="Tahoma"/>
            <family val="2"/>
          </rPr>
          <t>&lt;[[TCDeals] - [TC Property Current Stage (Seq: 1)] - [Actual Property Costs (Seq: 1)] Closing Legal Fees - Both]&gt;</t>
        </r>
      </text>
    </comment>
    <comment ref="C371" authorId="0" shapeId="0" xr:uid="{1007F042-E600-4C9E-A793-BE3680335941}">
      <text>
        <r>
          <rPr>
            <b/>
            <sz val="9"/>
            <color indexed="81"/>
            <rFont val="Tahoma"/>
            <family val="2"/>
          </rPr>
          <t>&lt;[[TCDeals] - [TC Property Current Stage (Seq: 1)] - [Property Points (Seq: 1)] Green Consultant - Both]&gt;</t>
        </r>
      </text>
    </comment>
    <comment ref="C372" authorId="0" shapeId="0" xr:uid="{A79CEDC8-6F57-4902-BA25-A000BB2F3BEA}">
      <text>
        <r>
          <rPr>
            <b/>
            <sz val="9"/>
            <color indexed="81"/>
            <rFont val="Tahoma"/>
            <family val="2"/>
          </rPr>
          <t>&lt;[[TCDeals] - [TC Property Current Stage (Seq: 1)] - [Property Points (Seq: 1)] Green Charrette - Both]&gt;</t>
        </r>
      </text>
    </comment>
    <comment ref="C373" authorId="0" shapeId="0" xr:uid="{572F2064-B466-4180-A377-C1D1B8EB4A67}">
      <text>
        <r>
          <rPr>
            <b/>
            <sz val="9"/>
            <color indexed="81"/>
            <rFont val="Tahoma"/>
            <family val="2"/>
          </rPr>
          <t>&lt;[[TCDeals] - [TC Property Current Stage (Seq: 1)] - [Property Points (Seq: 1)] Construction Accounting - Both]&gt;</t>
        </r>
      </text>
    </comment>
    <comment ref="A374" authorId="0" shapeId="0" xr:uid="{8A533632-A2E4-4E49-BB68-834DB7B226C5}">
      <text>
        <r>
          <rPr>
            <b/>
            <sz val="9"/>
            <color indexed="81"/>
            <rFont val="Tahoma"/>
            <family val="2"/>
          </rPr>
          <t>&lt;[[TCDeals] - [TC Property Current Stage (Seq: 1)] - [Property Points (Seq: 1)] Professional Fees Other Comment - Both]&gt;</t>
        </r>
      </text>
    </comment>
    <comment ref="C374" authorId="0" shapeId="0" xr:uid="{2C37A486-452B-42B4-968F-F86D3BC1B607}">
      <text>
        <r>
          <rPr>
            <b/>
            <sz val="9"/>
            <color indexed="81"/>
            <rFont val="Tahoma"/>
            <family val="2"/>
          </rPr>
          <t>&lt;[[TCDeals] - [TC Property Current Stage (Seq: 1)] - [Property Points (Seq: 1)] Professional Fees Other 1 - Both]&gt;</t>
        </r>
      </text>
    </comment>
    <comment ref="A375" authorId="0" shapeId="0" xr:uid="{8B1DC804-C678-4747-BFF4-8031807C0DD3}">
      <text>
        <r>
          <rPr>
            <b/>
            <sz val="9"/>
            <color indexed="81"/>
            <rFont val="Tahoma"/>
            <family val="2"/>
          </rPr>
          <t>&lt;[[TCDeals] - [TC Property Current Stage (Seq: 1)] - [Property Points (Seq: 1)] Professional Fees Other 2 Comment - Both]&gt;</t>
        </r>
      </text>
    </comment>
    <comment ref="C375" authorId="0" shapeId="0" xr:uid="{3D06CA74-052F-45AB-8454-3C655098CEEF}">
      <text>
        <r>
          <rPr>
            <b/>
            <sz val="9"/>
            <color indexed="81"/>
            <rFont val="Tahoma"/>
            <family val="2"/>
          </rPr>
          <t>&lt;[[TCDeals] - [TC Property Current Stage (Seq: 1)] - [Property Points (Seq: 1)] Professional Fees Other 2 - Both]&gt;</t>
        </r>
      </text>
    </comment>
    <comment ref="A376" authorId="0" shapeId="0" xr:uid="{BDF4A705-0CE0-45A3-B2DF-1A93104EA133}">
      <text>
        <r>
          <rPr>
            <b/>
            <sz val="9"/>
            <color indexed="81"/>
            <rFont val="Tahoma"/>
            <family val="2"/>
          </rPr>
          <t>&lt;[[TCDeals] - [TC Property Current Stage (Seq: 1)] - [Property Points (Seq: 1)] Professional Fees Other 3 Comment - Both]&gt;</t>
        </r>
      </text>
    </comment>
    <comment ref="C376" authorId="0" shapeId="0" xr:uid="{6B220424-0688-4C8F-908F-FA33A90DA95F}">
      <text>
        <r>
          <rPr>
            <b/>
            <sz val="9"/>
            <color indexed="81"/>
            <rFont val="Tahoma"/>
            <family val="2"/>
          </rPr>
          <t>&lt;[[TCDeals] - [TC Property Current Stage (Seq: 1)] - [Property Points (Seq: 1)] Professional Fees Other 3 - Both]&gt;</t>
        </r>
      </text>
    </comment>
    <comment ref="C377" authorId="0" shapeId="0" xr:uid="{10A142DB-7A32-4D12-81B9-39C454ACA1CB}">
      <text>
        <r>
          <rPr>
            <b/>
            <sz val="9"/>
            <color indexed="81"/>
            <rFont val="Tahoma"/>
            <family val="2"/>
          </rPr>
          <t>&lt;[[TCDeals] - [TC Property Current Stage (Seq: 1)] - [Actual Property Costs (Seq: 1)] Insurance Construction - Both]&gt;</t>
        </r>
      </text>
    </comment>
    <comment ref="C378" authorId="0" shapeId="0" xr:uid="{05B04E91-B448-4E50-BDD7-C9D01AAF8726}">
      <text>
        <r>
          <rPr>
            <b/>
            <sz val="9"/>
            <color indexed="81"/>
            <rFont val="Tahoma"/>
            <family val="2"/>
          </rPr>
          <t>&lt;[[TCDeals] - [TC Property Current Stage (Seq: 1)] - [Property Points (Seq: 1)] Builder's Risk Insurance - Both]&gt;</t>
        </r>
      </text>
    </comment>
    <comment ref="C379" authorId="0" shapeId="0" xr:uid="{51AC5CF1-85D8-4FC1-9BB7-36F94F0C4DDD}">
      <text>
        <r>
          <rPr>
            <b/>
            <sz val="9"/>
            <color indexed="81"/>
            <rFont val="Tahoma"/>
            <family val="2"/>
          </rPr>
          <t>&lt;[[TCDeals] - [TC Property Current Stage (Seq: 1)] - [Actual Property Costs (Seq: 1)] Bonding Fee - Both]&gt;</t>
        </r>
      </text>
    </comment>
    <comment ref="C380" authorId="0" shapeId="0" xr:uid="{705F4BD5-7795-411E-BFC5-4847CFB74D6D}">
      <text>
        <r>
          <rPr>
            <b/>
            <sz val="9"/>
            <color indexed="81"/>
            <rFont val="Tahoma"/>
            <family val="2"/>
          </rPr>
          <t>&lt;[[TCDeals] - [TC Property Current Stage (Seq: 1)] - [Actual Property Costs (Seq: 1)] Constr Interest - Both]&gt;</t>
        </r>
      </text>
    </comment>
    <comment ref="C381" authorId="0" shapeId="0" xr:uid="{D84143BB-9327-46CD-B90A-DE36F955F6F4}">
      <text>
        <r>
          <rPr>
            <b/>
            <sz val="9"/>
            <color indexed="81"/>
            <rFont val="Tahoma"/>
            <family val="2"/>
          </rPr>
          <t>&lt;[[TCDeals] - [TC Property Current Stage (Seq: 1)] - [Actual Property Costs (Seq: 1)] Constr Loan Orig Fee - Both]&gt;</t>
        </r>
      </text>
    </comment>
    <comment ref="C382" authorId="0" shapeId="0" xr:uid="{BBD6E304-3286-4100-9C47-BE7C3ABC93C5}">
      <text>
        <r>
          <rPr>
            <b/>
            <sz val="9"/>
            <color indexed="81"/>
            <rFont val="Tahoma"/>
            <family val="2"/>
          </rPr>
          <t>&lt;[[TCDeals] - [TC Property Current Stage (Seq: 1)] - [Actual Property Costs (Seq: 1)] Tap Fees - Both]&gt;</t>
        </r>
      </text>
    </comment>
    <comment ref="C383" authorId="0" shapeId="0" xr:uid="{6423E492-23F4-4EE5-9359-5F813F9721DB}">
      <text>
        <r>
          <rPr>
            <b/>
            <sz val="9"/>
            <color indexed="81"/>
            <rFont val="Tahoma"/>
            <family val="2"/>
          </rPr>
          <t>&lt;[[TCDeals] - [TC Property Current Stage (Seq: 1)] - [Property Points (Seq: 1)] Impact fees - Both]&gt;</t>
        </r>
      </text>
    </comment>
    <comment ref="C384" authorId="0" shapeId="0" xr:uid="{1DEA7C81-950D-4CDD-B4C2-920246584036}">
      <text>
        <r>
          <rPr>
            <b/>
            <sz val="9"/>
            <color indexed="81"/>
            <rFont val="Tahoma"/>
            <family val="2"/>
          </rPr>
          <t>&lt;[[TCDeals] - [TC Property Current Stage (Seq: 1)] - [Actual Property Costs (Seq: 1)] Other Construction1 - Both]&gt;</t>
        </r>
      </text>
    </comment>
    <comment ref="C385" authorId="0" shapeId="0" xr:uid="{7D674F97-39D3-4E13-B5BB-182B013D8E5C}">
      <text>
        <r>
          <rPr>
            <b/>
            <sz val="9"/>
            <color indexed="81"/>
            <rFont val="Tahoma"/>
            <family val="2"/>
          </rPr>
          <t>&lt;[[TCDeals] - [TC Property Current Stage (Seq: 1)] - [Actual Property Costs (Seq: 1)] Other Construction2 - Both]&gt;</t>
        </r>
      </text>
    </comment>
    <comment ref="C386" authorId="0" shapeId="0" xr:uid="{E23A31A8-F10B-4C51-8371-B00D7116362C}">
      <text>
        <r>
          <rPr>
            <b/>
            <sz val="9"/>
            <color indexed="81"/>
            <rFont val="Tahoma"/>
            <family val="2"/>
          </rPr>
          <t>&lt;[[TCDeals] - [TC Property Current Stage (Seq: 1)] - [Property Points (Seq: 1)] 3rd Party/Bank Inspections/Admin - Both]&gt;</t>
        </r>
      </text>
    </comment>
    <comment ref="C387" authorId="0" shapeId="0" xr:uid="{8F4E9FD2-68B9-4291-B349-EB8DE50AE791}">
      <text>
        <r>
          <rPr>
            <b/>
            <sz val="9"/>
            <color indexed="81"/>
            <rFont val="Tahoma"/>
            <family val="2"/>
          </rPr>
          <t>&lt;[[TCDeals] - [TC Property Current Stage (Seq: 1)] - [Property Points (Seq: 1)] Title &amp; Recording - Both]&gt;</t>
        </r>
      </text>
    </comment>
    <comment ref="C388" authorId="0" shapeId="0" xr:uid="{3D5A5A91-59F7-4DB3-ACC9-46600B26807F}">
      <text>
        <r>
          <rPr>
            <b/>
            <sz val="9"/>
            <color indexed="81"/>
            <rFont val="Tahoma"/>
            <family val="2"/>
          </rPr>
          <t>&lt;[[TCDeals] - [TC Property Current Stage (Seq: 1)] - [Actual Property Costs (Seq: 1)] Other Perm Loan Fees - Both]&gt;</t>
        </r>
      </text>
    </comment>
    <comment ref="C389" authorId="0" shapeId="0" xr:uid="{0EE2A583-9164-4EF2-B764-B6EB27057D1B}">
      <text>
        <r>
          <rPr>
            <b/>
            <sz val="9"/>
            <color indexed="81"/>
            <rFont val="Tahoma"/>
            <family val="2"/>
          </rPr>
          <t>&lt;[[TCDeals] - [TC Property Current Stage (Seq: 1)] - [Actual Property Costs (Seq: 1)] Taxes Construction - Both]&gt;</t>
        </r>
      </text>
    </comment>
    <comment ref="C390" authorId="0" shapeId="0" xr:uid="{4D362601-63E5-4F92-BBAB-0780D7259F3E}">
      <text>
        <r>
          <rPr>
            <b/>
            <sz val="9"/>
            <color indexed="81"/>
            <rFont val="Tahoma"/>
            <family val="2"/>
          </rPr>
          <t>&lt;[[TCDeals] - [TC Property Current Stage (Seq: 1)] - [Property Points (Seq: 1)] Bridge Loan - Both]&gt;</t>
        </r>
      </text>
    </comment>
    <comment ref="C391" authorId="2" shapeId="0" xr:uid="{CEB532EB-FB75-4C96-A487-89899AC2E468}">
      <text>
        <r>
          <rPr>
            <b/>
            <sz val="9"/>
            <color indexed="81"/>
            <rFont val="Tahoma"/>
            <family val="2"/>
          </rPr>
          <t>&lt;[[TCDeals] - [TC Property Current Stage (Seq: 1)] - [Property Points (Seq: 1)] Bond Issuance Costs amortized during construction - Both]&gt;</t>
        </r>
      </text>
    </comment>
    <comment ref="C392" authorId="0" shapeId="0" xr:uid="{93B07E0B-B9F3-4358-B270-E1C803E84115}">
      <text>
        <r>
          <rPr>
            <b/>
            <sz val="9"/>
            <color indexed="81"/>
            <rFont val="Tahoma"/>
            <family val="2"/>
          </rPr>
          <t>&lt;[[TCDeals] - [TC Property Current Stage (Seq: 1)] - [Actual Property Costs (Seq: 1)] Other Construction3 - Both]&gt;</t>
        </r>
      </text>
    </comment>
    <comment ref="A393" authorId="0" shapeId="0" xr:uid="{46FBFC06-C8A5-442A-A2E1-A9F072245444}">
      <text>
        <r>
          <rPr>
            <b/>
            <sz val="9"/>
            <color indexed="81"/>
            <rFont val="Tahoma"/>
            <family val="2"/>
          </rPr>
          <t>&lt;[[TCDeals] - [TC Property Current Stage (Seq: 1)] - [Property Points (Seq: 1)] Construction Interim Cost Other 1 Comment - Both]&gt;</t>
        </r>
      </text>
    </comment>
    <comment ref="C393" authorId="0" shapeId="0" xr:uid="{D22386BE-A183-41EF-817E-B20CD27585AE}">
      <text>
        <r>
          <rPr>
            <b/>
            <sz val="9"/>
            <color indexed="81"/>
            <rFont val="Tahoma"/>
            <family val="2"/>
          </rPr>
          <t>&lt;[[TCDeals] - [TC Property Current Stage (Seq: 1)] - [Property Points (Seq: 1)] Construction Interim Cost Other 1 - Both]&gt;</t>
        </r>
      </text>
    </comment>
    <comment ref="A394" authorId="0" shapeId="0" xr:uid="{0E5E4B94-635B-4836-84A0-5200C03D212E}">
      <text>
        <r>
          <rPr>
            <b/>
            <sz val="9"/>
            <color indexed="81"/>
            <rFont val="Tahoma"/>
            <family val="2"/>
          </rPr>
          <t>&lt;[[TCDeals] - [TC Property Current Stage (Seq: 1)] - [Property Points (Seq: 1)] Construction Interim Cost Other 2 Comment - Both]&gt;</t>
        </r>
      </text>
    </comment>
    <comment ref="C394" authorId="0" shapeId="0" xr:uid="{7F3DAB63-C4D2-42A4-ADBD-B21E7F2A1673}">
      <text>
        <r>
          <rPr>
            <b/>
            <sz val="9"/>
            <color indexed="81"/>
            <rFont val="Tahoma"/>
            <family val="2"/>
          </rPr>
          <t>&lt;[[TCDeals] - [TC Property Current Stage (Seq: 1)] - [Property Points (Seq: 1)] Construction Interim Cost Other 2 - Both]&gt;</t>
        </r>
      </text>
    </comment>
    <comment ref="C395" authorId="0" shapeId="0" xr:uid="{AA27C44A-0996-4E7C-8BB3-4789154A257C}">
      <text>
        <r>
          <rPr>
            <b/>
            <sz val="9"/>
            <color indexed="81"/>
            <rFont val="Tahoma"/>
            <family val="2"/>
          </rPr>
          <t>&lt;[[TCDeals] - [TC Property Current Stage (Seq: 1)] - [Property Points (Seq: 1)] Bond Premium - Both]&gt;</t>
        </r>
      </text>
    </comment>
    <comment ref="C396" authorId="0" shapeId="0" xr:uid="{70CE71DB-71DE-407A-8FF8-9F757E67E1A9}">
      <text>
        <r>
          <rPr>
            <b/>
            <sz val="9"/>
            <color indexed="81"/>
            <rFont val="Tahoma"/>
            <family val="2"/>
          </rPr>
          <t>&lt;[[TCDeals] - [TC Property Current Stage (Seq: 1)] - [Property Points (Seq: 1)] Bond Issue 30-day lag reserve - Both]&gt;</t>
        </r>
      </text>
    </comment>
    <comment ref="C397" authorId="0" shapeId="0" xr:uid="{70F35218-B933-46AB-B73E-AA204ECAE8F9}">
      <text>
        <r>
          <rPr>
            <b/>
            <sz val="9"/>
            <color indexed="81"/>
            <rFont val="Tahoma"/>
            <family val="2"/>
          </rPr>
          <t>&lt;[[TCDeals] - [TC Property Current Stage (Seq: 1)] - [Property Points (Seq: 1)] Bond Cost of Issuance - Both]&gt;</t>
        </r>
      </text>
    </comment>
    <comment ref="C398" authorId="0" shapeId="0" xr:uid="{91C776B2-6C8A-4C7B-9E2E-D5B6C05CD729}">
      <text>
        <r>
          <rPr>
            <b/>
            <sz val="9"/>
            <color indexed="81"/>
            <rFont val="Tahoma"/>
            <family val="2"/>
          </rPr>
          <t>&lt;[[TCDeals] - [TC Property Current Stage (Seq: 1)] - [Property Points (Seq: 1)] Discount Points - Both]&gt;</t>
        </r>
      </text>
    </comment>
    <comment ref="C399" authorId="0" shapeId="0" xr:uid="{A9011E0E-6E1D-47EB-B570-4C7B43485D22}">
      <text>
        <r>
          <rPr>
            <b/>
            <sz val="9"/>
            <color indexed="81"/>
            <rFont val="Tahoma"/>
            <family val="2"/>
          </rPr>
          <t>&lt;[[TCDeals] - [TC Property Current Stage (Seq: 1)] - [Actual Property Costs (Seq: 1)] Perm Loan Fee - Both]&gt;</t>
        </r>
      </text>
    </comment>
    <comment ref="C400" authorId="0" shapeId="0" xr:uid="{0CB8E67C-97E2-429E-976A-85887D25BE6D}">
      <text>
        <r>
          <rPr>
            <b/>
            <sz val="9"/>
            <color indexed="81"/>
            <rFont val="Tahoma"/>
            <family val="2"/>
          </rPr>
          <t>&lt;[[TCDeals] - [TC Property Current Stage (Seq: 1)] - [Actual Property Costs (Seq: 1)] Credit Enhancement - Both]&gt;</t>
        </r>
      </text>
    </comment>
    <comment ref="C401" authorId="0" shapeId="0" xr:uid="{E7FE311D-B758-4D4F-BC66-DBCA4F310D3A}">
      <text>
        <r>
          <rPr>
            <b/>
            <sz val="9"/>
            <color indexed="81"/>
            <rFont val="Tahoma"/>
            <family val="2"/>
          </rPr>
          <t>&lt;[[TCDeals] - [TC Property Current Stage (Seq: 1)] - [Actual Property Costs (Seq: 1)] Title And Recording - Both]&gt;</t>
        </r>
      </text>
    </comment>
    <comment ref="C402" authorId="0" shapeId="0" xr:uid="{EF62DCD0-0E19-4917-859F-493980CE6725}">
      <text>
        <r>
          <rPr>
            <b/>
            <sz val="9"/>
            <color indexed="81"/>
            <rFont val="Tahoma"/>
            <family val="2"/>
          </rPr>
          <t>&lt;[[TCDeals] - [TC Property Current Stage (Seq: 1)] - [Property Points (Seq: 1)] Legal Fees - Both]&gt;</t>
        </r>
      </text>
    </comment>
    <comment ref="C403" authorId="0" shapeId="0" xr:uid="{22FF3C41-EF8A-43E9-9367-6A58537056B0}">
      <text>
        <r>
          <rPr>
            <b/>
            <sz val="9"/>
            <color indexed="81"/>
            <rFont val="Tahoma"/>
            <family val="2"/>
          </rPr>
          <t>&lt;[[TCDeals] - [TC Property Current Stage (Seq: 1)] - [Property Points (Seq: 1)] Prepaid MIP - Both]&gt;</t>
        </r>
      </text>
    </comment>
    <comment ref="C404" authorId="0" shapeId="0" xr:uid="{9FC90BC1-E21F-4FC9-A0FF-7DB03D946C72}">
      <text>
        <r>
          <rPr>
            <b/>
            <sz val="9"/>
            <color indexed="81"/>
            <rFont val="Tahoma"/>
            <family val="2"/>
          </rPr>
          <t>&lt;[[TCDeals] - [TC Property Current Stage (Seq: 1)] - [Property Points (Seq: 1)] Forward Rate Lock - Both]&gt;</t>
        </r>
      </text>
    </comment>
    <comment ref="C405" authorId="0" shapeId="0" xr:uid="{1357EBC7-C1A9-4D90-A71A-311296B79A3D}">
      <text>
        <r>
          <rPr>
            <b/>
            <sz val="9"/>
            <color indexed="81"/>
            <rFont val="Tahoma"/>
            <family val="2"/>
          </rPr>
          <t>&lt;[[TCDeals] - [TC Property Current Stage (Seq: 1)] - [Property Points (Seq: 1)] Conversion Fee - Both]&gt;</t>
        </r>
      </text>
    </comment>
    <comment ref="A406" authorId="0" shapeId="0" xr:uid="{D05B5404-E60E-4930-A7B9-56803EA89BCB}">
      <text>
        <r>
          <rPr>
            <b/>
            <sz val="9"/>
            <color indexed="81"/>
            <rFont val="Tahoma"/>
            <family val="2"/>
          </rPr>
          <t>&lt;[[TCDeals] - [TC Property Current Stage (Seq: 1)] - [Property Points (Seq: 1)] Permanent Financing Other Cost 1 Comment - Both]&gt;</t>
        </r>
      </text>
    </comment>
    <comment ref="C406" authorId="0" shapeId="0" xr:uid="{6AC66F15-E8E1-4B7B-9C93-04069379C910}">
      <text>
        <r>
          <rPr>
            <b/>
            <sz val="9"/>
            <color indexed="81"/>
            <rFont val="Tahoma"/>
            <family val="2"/>
          </rPr>
          <t>&lt;[[TCDeals] - [TC Property Current Stage (Seq: 1)] - [Property Points (Seq: 1)] Permanent Financing Other Cost 1 - Both]&gt;</t>
        </r>
      </text>
    </comment>
    <comment ref="A407" authorId="0" shapeId="0" xr:uid="{1902F908-9874-4F53-835E-A5651BF8A84A}">
      <text>
        <r>
          <rPr>
            <b/>
            <sz val="9"/>
            <color indexed="81"/>
            <rFont val="Tahoma"/>
            <family val="2"/>
          </rPr>
          <t>&lt;[[TCDeals] - [TC Property Current Stage (Seq: 1)] - [Property Points (Seq: 1)] Permanent Financing Other Cost 2 Comment - Both]&gt;</t>
        </r>
      </text>
    </comment>
    <comment ref="C407" authorId="0" shapeId="0" xr:uid="{F019B8CD-B739-4AA9-9F3D-36A07B31CE3A}">
      <text>
        <r>
          <rPr>
            <b/>
            <sz val="9"/>
            <color indexed="81"/>
            <rFont val="Tahoma"/>
            <family val="2"/>
          </rPr>
          <t>&lt;[[TCDeals] - [TC Property Current Stage (Seq: 1)] - [Property Points (Seq: 1)] Permanent Financing Other Cost 2 - Both]&gt;</t>
        </r>
      </text>
    </comment>
    <comment ref="A408" authorId="0" shapeId="0" xr:uid="{339F9223-CB5A-4638-9A8A-159DBA5585E1}">
      <text>
        <r>
          <rPr>
            <b/>
            <sz val="9"/>
            <color indexed="81"/>
            <rFont val="Tahoma"/>
            <family val="2"/>
          </rPr>
          <t>&lt;[[TCDeals] - [TC Property Current Stage (Seq: 1)] - [Property Points (Seq: 1)] Permanent Financing Other Cost 3 Comment - Both]&gt;</t>
        </r>
      </text>
    </comment>
    <comment ref="C408" authorId="0" shapeId="0" xr:uid="{966A21D9-2CE8-4C27-8EB7-7ADDACB0F392}">
      <text>
        <r>
          <rPr>
            <b/>
            <sz val="9"/>
            <color indexed="81"/>
            <rFont val="Tahoma"/>
            <family val="2"/>
          </rPr>
          <t>&lt;[[TCDeals] - [TC Property Current Stage (Seq: 1)] - [Property Points (Seq: 1)] Permanent Financing Other Cost 3 - Both]&gt;</t>
        </r>
      </text>
    </comment>
    <comment ref="C409" authorId="0" shapeId="0" xr:uid="{4745F769-046D-4C48-9A62-4F43604C3CFA}">
      <text>
        <r>
          <rPr>
            <b/>
            <sz val="9"/>
            <color indexed="81"/>
            <rFont val="Tahoma"/>
            <family val="2"/>
          </rPr>
          <t>&lt;[[TCDeals] - [TC Property Current Stage (Seq: 1)] - [Property Points (Seq: 1)] Marketing/Leasing Costs - Both]&gt;</t>
        </r>
      </text>
    </comment>
    <comment ref="C410" authorId="0" shapeId="0" xr:uid="{58036896-ADAA-472A-A762-5A13B75C8C5C}">
      <text>
        <r>
          <rPr>
            <b/>
            <sz val="9"/>
            <color indexed="81"/>
            <rFont val="Tahoma"/>
            <family val="2"/>
          </rPr>
          <t>&lt;[[TCDeals] - [TC Property Current Stage (Seq: 1)] - [Property Points (Seq: 1)] Cost Estimating/Capital Needs Assessment - Both]&gt;</t>
        </r>
      </text>
    </comment>
    <comment ref="C411" authorId="0" shapeId="0" xr:uid="{792CF891-A968-42D2-8F51-D2DC5E67CE8D}">
      <text>
        <r>
          <rPr>
            <b/>
            <sz val="9"/>
            <color indexed="81"/>
            <rFont val="Tahoma"/>
            <family val="2"/>
          </rPr>
          <t>&lt;[[TCDeals] - [TC Property Current Stage (Seq: 1)] - [Actual Property Costs (Seq: 1)] Soil Borings - Both]&gt;</t>
        </r>
      </text>
    </comment>
    <comment ref="C412" authorId="0" shapeId="0" xr:uid="{2755F3F0-6099-47A9-99DD-F10E69FBA2F7}">
      <text>
        <r>
          <rPr>
            <b/>
            <sz val="9"/>
            <color indexed="81"/>
            <rFont val="Tahoma"/>
            <family val="2"/>
          </rPr>
          <t>&lt;[[TCDeals] - [TC Property Current Stage (Seq: 1)] - [Actual Property Costs (Seq: 1)] Appraisal Fee - Both]&gt;</t>
        </r>
      </text>
    </comment>
    <comment ref="C413" authorId="0" shapeId="0" xr:uid="{CE20041E-BFA5-45C0-9E16-7877A840737A}">
      <text>
        <r>
          <rPr>
            <b/>
            <sz val="9"/>
            <color indexed="81"/>
            <rFont val="Tahoma"/>
            <family val="2"/>
          </rPr>
          <t>&lt;[[TCDeals] - [TC Property Current Stage (Seq: 1)] - [Actual Property Costs (Seq: 1)] Market Study - Both]&gt;</t>
        </r>
      </text>
    </comment>
    <comment ref="C414" authorId="0" shapeId="0" xr:uid="{FFE0F954-8F18-45EE-9336-B7DBC6A65C9B}">
      <text>
        <r>
          <rPr>
            <b/>
            <sz val="9"/>
            <color indexed="81"/>
            <rFont val="Tahoma"/>
            <family val="2"/>
          </rPr>
          <t>&lt;[[TCDeals] - [TC Property Current Stage (Seq: 1)] - [Actual Property Costs (Seq: 1)] Enviro Study - Both]&gt;</t>
        </r>
      </text>
    </comment>
    <comment ref="C415" authorId="0" shapeId="0" xr:uid="{5A6FDFAF-F064-4187-B3FC-C81F94D7EDA9}">
      <text>
        <r>
          <rPr>
            <b/>
            <sz val="9"/>
            <color indexed="81"/>
            <rFont val="Tahoma"/>
            <family val="2"/>
          </rPr>
          <t>&lt;[[TCDeals] - [TC Property Current Stage (Seq: 1)] - [Property Points (Seq: 1)] Other Studies (traffic, wetlands, etc.) - Both]&gt;</t>
        </r>
      </text>
    </comment>
    <comment ref="C416" authorId="0" shapeId="0" xr:uid="{86AA9410-2CA4-4BCD-ACFF-545B4FC1F3AE}">
      <text>
        <r>
          <rPr>
            <b/>
            <sz val="9"/>
            <color indexed="81"/>
            <rFont val="Tahoma"/>
            <family val="2"/>
          </rPr>
          <t>&lt;[[TCDeals] - [TC Property Current Stage (Seq: 1)] - [Actual Property Costs (Seq: 1)] Tax Credit Fee - Both]&gt;</t>
        </r>
      </text>
    </comment>
    <comment ref="C417" authorId="0" shapeId="0" xr:uid="{4FD3F6B1-6063-42AB-8D52-465581C5034D}">
      <text>
        <r>
          <rPr>
            <b/>
            <sz val="9"/>
            <color indexed="81"/>
            <rFont val="Tahoma"/>
            <family val="2"/>
          </rPr>
          <t>&lt;[[TCDeals] - [TC Property Current Stage (Seq: 1)] - [Property Points (Seq: 1)] Compliance Fees - Both]&gt;</t>
        </r>
      </text>
    </comment>
    <comment ref="C418" authorId="0" shapeId="0" xr:uid="{CAFAAAAC-8994-4670-821B-37D00F12D134}">
      <text>
        <r>
          <rPr>
            <b/>
            <sz val="9"/>
            <color indexed="81"/>
            <rFont val="Tahoma"/>
            <family val="2"/>
          </rPr>
          <t>&lt;[[TCDeals] - [TC Property Current Stage (Seq: 1)] - [Actual Property Costs (Seq: 1)] Cost Cert Fee - Both]&gt;</t>
        </r>
      </text>
    </comment>
    <comment ref="C419" authorId="0" shapeId="0" xr:uid="{D47873CC-EE69-4119-A854-D889B3CB74DC}">
      <text>
        <r>
          <rPr>
            <b/>
            <sz val="9"/>
            <color indexed="81"/>
            <rFont val="Tahoma"/>
            <family val="2"/>
          </rPr>
          <t>&lt;[[TCDeals] - [TC Property Current Stage (Seq: 1)] - [Property Points (Seq: 1)] Green Certification Fees (LEED Certification, etc.) - Both]&gt;</t>
        </r>
      </text>
    </comment>
    <comment ref="C420" authorId="0" shapeId="0" xr:uid="{2F47F274-B516-4BF2-BEF9-B331B361BB7C}">
      <text>
        <r>
          <rPr>
            <b/>
            <sz val="9"/>
            <color indexed="81"/>
            <rFont val="Tahoma"/>
            <family val="2"/>
          </rPr>
          <t>&lt;[[TCDeals] - [TC Property Current Stage (Seq: 1)] - [Property Points (Seq: 1)] Relocation - Temporary - Both]&gt;</t>
        </r>
      </text>
    </comment>
    <comment ref="C421" authorId="0" shapeId="0" xr:uid="{CCAA5D68-4BFB-408C-834B-CB1FC939C5C4}">
      <text>
        <r>
          <rPr>
            <b/>
            <sz val="9"/>
            <color indexed="81"/>
            <rFont val="Tahoma"/>
            <family val="2"/>
          </rPr>
          <t>&lt;[[TCDeals] - [TC Property Current Stage (Seq: 1)] - [Property Points (Seq: 1)] Relocation - Permanent - Both]&gt;</t>
        </r>
      </text>
    </comment>
    <comment ref="C422" authorId="0" shapeId="0" xr:uid="{6ED14D87-10F8-4433-9EC4-06D5D0BD1793}">
      <text>
        <r>
          <rPr>
            <b/>
            <sz val="9"/>
            <color indexed="81"/>
            <rFont val="Tahoma"/>
            <family val="2"/>
          </rPr>
          <t>&lt;[[TCDeals] - [TC Property Current Stage (Seq: 1)] - [Property Points (Seq: 1)] Soft Cost Contingency - Both]&gt;</t>
        </r>
      </text>
    </comment>
    <comment ref="A423" authorId="0" shapeId="0" xr:uid="{C51729B0-713E-4BF3-92E6-51695B7CE968}">
      <text>
        <r>
          <rPr>
            <b/>
            <sz val="9"/>
            <color indexed="81"/>
            <rFont val="Tahoma"/>
            <family val="2"/>
          </rPr>
          <t>&lt;[[TCDeals] - [TC Property Current Stage (Seq: 1)] - [Property Points (Seq: 1)] Soft Cost Other 1 Comment - Both]&gt;</t>
        </r>
      </text>
    </comment>
    <comment ref="C423" authorId="0" shapeId="0" xr:uid="{51B14673-D101-4700-B23E-4247F52E2F31}">
      <text>
        <r>
          <rPr>
            <b/>
            <sz val="9"/>
            <color indexed="81"/>
            <rFont val="Tahoma"/>
            <family val="2"/>
          </rPr>
          <t>&lt;[[TCDeals] - [TC Property Current Stage (Seq: 1)] - [Property Points (Seq: 1)] Soft Cost Other 1 - Both]&gt;</t>
        </r>
      </text>
    </comment>
    <comment ref="A424" authorId="0" shapeId="0" xr:uid="{6B9F71B0-2FF2-4AEE-A2B0-43497DB4CBA7}">
      <text>
        <r>
          <rPr>
            <b/>
            <sz val="9"/>
            <color indexed="81"/>
            <rFont val="Tahoma"/>
            <family val="2"/>
          </rPr>
          <t>&lt;[[TCDeals] - [TC Property Current Stage (Seq: 1)] - [Property Points (Seq: 1)] Soft Cost Other 2 Comment - Both]&gt;</t>
        </r>
      </text>
    </comment>
    <comment ref="C424" authorId="0" shapeId="0" xr:uid="{EFF8E93F-364B-4C4D-B14A-704DC474A3E0}">
      <text>
        <r>
          <rPr>
            <b/>
            <sz val="9"/>
            <color indexed="81"/>
            <rFont val="Tahoma"/>
            <family val="2"/>
          </rPr>
          <t>&lt;[[TCDeals] - [TC Property Current Stage (Seq: 1)] - [Property Points (Seq: 1)] Soft Cost Other 2 - Both]&gt;</t>
        </r>
      </text>
    </comment>
    <comment ref="A425" authorId="0" shapeId="0" xr:uid="{AF4BB61C-AF73-4A05-B7A4-44EE9B26F757}">
      <text>
        <r>
          <rPr>
            <b/>
            <sz val="9"/>
            <color indexed="81"/>
            <rFont val="Tahoma"/>
            <family val="2"/>
          </rPr>
          <t>&lt;[[TCDeals] - [TC Property Current Stage (Seq: 1)] - [Property Points (Seq: 1)] Soft Cost Other 3 Comment - Both]&gt;</t>
        </r>
      </text>
    </comment>
    <comment ref="C425" authorId="0" shapeId="0" xr:uid="{46A6FCBA-D657-4158-8C1A-4C6BE9F0D87E}">
      <text>
        <r>
          <rPr>
            <b/>
            <sz val="9"/>
            <color indexed="81"/>
            <rFont val="Tahoma"/>
            <family val="2"/>
          </rPr>
          <t>&lt;[[TCDeals] - [TC Property Current Stage (Seq: 1)] - [Property Points (Seq: 1)] Soft Cost Other 3 - Both]&gt;</t>
        </r>
      </text>
    </comment>
    <comment ref="C426" authorId="0" shapeId="0" xr:uid="{FE12B97C-BC9E-42F7-BC56-68309758AA81}">
      <text>
        <r>
          <rPr>
            <b/>
            <sz val="9"/>
            <color indexed="81"/>
            <rFont val="Tahoma"/>
            <family val="2"/>
          </rPr>
          <t>&lt;[[TCDeals] - [TC Property Current Stage (Seq: 1)] - [Property Points (Seq: 1)] Organization Costs - Both]&gt;</t>
        </r>
      </text>
    </comment>
    <comment ref="C427" authorId="0" shapeId="0" xr:uid="{645229B9-0AFF-4387-B723-C93CAE096378}">
      <text>
        <r>
          <rPr>
            <b/>
            <sz val="9"/>
            <color indexed="81"/>
            <rFont val="Tahoma"/>
            <family val="2"/>
          </rPr>
          <t>&lt;[[TCDeals] - [TC Property Current Stage (Seq: 1)] - [Property Points (Seq: 1)] Tax Opinion - Both]&gt;</t>
        </r>
      </text>
    </comment>
    <comment ref="C428" authorId="0" shapeId="0" xr:uid="{0956955B-C474-4B94-95C5-61CA866D99F4}">
      <text>
        <r>
          <rPr>
            <b/>
            <sz val="9"/>
            <color indexed="81"/>
            <rFont val="Tahoma"/>
            <family val="2"/>
          </rPr>
          <t>&lt;[[TCDeals] - [TC Property Current Stage (Seq: 1)] - [Property Points (Seq: 1)] Syndication Legal Fees - Both]&gt;</t>
        </r>
      </text>
    </comment>
    <comment ref="A429" authorId="0" shapeId="0" xr:uid="{47874130-A5C7-43E7-B643-245B95A58963}">
      <text>
        <r>
          <rPr>
            <b/>
            <sz val="9"/>
            <color indexed="81"/>
            <rFont val="Tahoma"/>
            <family val="2"/>
          </rPr>
          <t>&lt;[[TCDeals] - [TC Property Current Stage (Seq: 1)] - [Property Points (Seq: 1)] Syndication Cost Other 1 Comment - Both]&gt;</t>
        </r>
      </text>
    </comment>
    <comment ref="C429" authorId="0" shapeId="0" xr:uid="{D6D4F15C-464D-4B0E-8159-B83BC2497C9C}">
      <text>
        <r>
          <rPr>
            <b/>
            <sz val="9"/>
            <color indexed="81"/>
            <rFont val="Tahoma"/>
            <family val="2"/>
          </rPr>
          <t>&lt;[[TCDeals] - [TC Property Current Stage (Seq: 1)] - [Property Points (Seq: 1)] Syndication Cost Other 1 - Both]&gt;</t>
        </r>
      </text>
    </comment>
    <comment ref="A430" authorId="0" shapeId="0" xr:uid="{13F441FA-9388-4941-872D-FB65708E5D49}">
      <text>
        <r>
          <rPr>
            <b/>
            <sz val="9"/>
            <color indexed="81"/>
            <rFont val="Tahoma"/>
            <family val="2"/>
          </rPr>
          <t>&lt;[[TCDeals] - [TC Property Current Stage (Seq: 1)] - [Property Points (Seq: 1)] Syndication Cost Other 2 Comment - Both]&gt;</t>
        </r>
      </text>
    </comment>
    <comment ref="C430" authorId="0" shapeId="0" xr:uid="{5CE5270E-9FF6-4027-B980-801FA4C0F436}">
      <text>
        <r>
          <rPr>
            <b/>
            <sz val="9"/>
            <color indexed="81"/>
            <rFont val="Tahoma"/>
            <family val="2"/>
          </rPr>
          <t>&lt;[[TCDeals] - [TC Property Current Stage (Seq: 1)] - [Property Points (Seq: 1)] Syndication Cost Other 2 - Both]&gt;</t>
        </r>
      </text>
    </comment>
    <comment ref="A431" authorId="0" shapeId="0" xr:uid="{DBD05BA3-3390-4C6C-AA93-72C17FDD237C}">
      <text>
        <r>
          <rPr>
            <b/>
            <sz val="9"/>
            <color indexed="81"/>
            <rFont val="Tahoma"/>
            <family val="2"/>
          </rPr>
          <t>&lt;[[TCDeals] - [TC Property Current Stage (Seq: 1)] - [Property Points (Seq: 1)] Syndication Cost Other 3 Comment - Both]&gt;</t>
        </r>
      </text>
    </comment>
    <comment ref="C431" authorId="0" shapeId="0" xr:uid="{F41E9303-3E02-447A-80CF-0EB82927AA06}">
      <text>
        <r>
          <rPr>
            <b/>
            <sz val="9"/>
            <color indexed="81"/>
            <rFont val="Tahoma"/>
            <family val="2"/>
          </rPr>
          <t>&lt;[[TCDeals] - [TC Property Current Stage (Seq: 1)] - [Property Points (Seq: 1)] Syndication Cost Other 3 - Both]&gt;</t>
        </r>
      </text>
    </comment>
    <comment ref="C432" authorId="0" shapeId="0" xr:uid="{F299DC43-5333-47D8-B6F3-ADA50D34C1BE}">
      <text>
        <r>
          <rPr>
            <b/>
            <sz val="9"/>
            <color indexed="81"/>
            <rFont val="Tahoma"/>
            <family val="2"/>
          </rPr>
          <t>&lt;[[TCDeals] - [TC Property Current Stage (Seq: 1)] - [Actual Property Costs (Seq: 1)] Developer Fees - Both]&gt;</t>
        </r>
      </text>
    </comment>
    <comment ref="C433" authorId="0" shapeId="0" xr:uid="{D0C85303-9515-4784-B10A-F2ECCB59DF44}">
      <text>
        <r>
          <rPr>
            <b/>
            <sz val="9"/>
            <color indexed="81"/>
            <rFont val="Tahoma"/>
            <family val="2"/>
          </rPr>
          <t>&lt;[[TCDeals] - [TC Property Current Stage (Seq: 1)] - [Property Points (Seq: 1)] Developer Overhead - Both]&gt;</t>
        </r>
      </text>
    </comment>
    <comment ref="C434" authorId="0" shapeId="0" xr:uid="{55B252EE-9167-4989-91A5-495E00BC082D}">
      <text>
        <r>
          <rPr>
            <b/>
            <sz val="9"/>
            <color indexed="81"/>
            <rFont val="Tahoma"/>
            <family val="2"/>
          </rPr>
          <t>&lt;[[TCDeals] - [TC Property Current Stage (Seq: 1)] - [Property Points (Seq: 1)] Developer Profit - Both]&gt;</t>
        </r>
      </text>
    </comment>
    <comment ref="C435" authorId="0" shapeId="0" xr:uid="{1CE31F5E-B57E-496B-8E66-DAE608DF0671}">
      <text>
        <r>
          <rPr>
            <b/>
            <sz val="9"/>
            <color indexed="81"/>
            <rFont val="Tahoma"/>
            <family val="2"/>
          </rPr>
          <t>&lt;[[TCDeals] - [TC Property Current Stage (Seq: 1)] - [Property Points (Seq: 1)] PSH developer fee boost (up to 5%) - Both]&gt;</t>
        </r>
      </text>
    </comment>
    <comment ref="C436" authorId="0" shapeId="0" xr:uid="{4F5E23EF-35B9-44AE-8A45-3B964AC3928D}">
      <text>
        <r>
          <rPr>
            <b/>
            <sz val="9"/>
            <color indexed="81"/>
            <rFont val="Tahoma"/>
            <family val="2"/>
          </rPr>
          <t>&lt;[[TCDeals] - [TC Property Current Stage (Seq: 1)] - [Property Points (Seq: 1)] Third Party Development Management/Owner's Rep - Both]&gt;</t>
        </r>
      </text>
    </comment>
    <comment ref="C437"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8" authorId="0" shapeId="0" xr:uid="{DD0E1C75-5B81-4BE0-A1C4-47F374444D20}">
      <text>
        <r>
          <rPr>
            <b/>
            <sz val="9"/>
            <color indexed="81"/>
            <rFont val="Tahoma"/>
            <family val="2"/>
          </rPr>
          <t>&lt;[[TCDeals] - [TC Property Current Stage (Seq: 1)] - [Property Points (Seq: 1)] Other Consultant Fees - Both]&gt;</t>
        </r>
      </text>
    </comment>
    <comment ref="C439" authorId="0" shapeId="0" xr:uid="{1A474457-9ADB-4DBA-ACDD-4BCEB15EC3D8}">
      <text>
        <r>
          <rPr>
            <b/>
            <sz val="9"/>
            <color indexed="81"/>
            <rFont val="Tahoma"/>
            <family val="2"/>
          </rPr>
          <t>&lt;[[TCDeals] - [TC Property Current Stage (Seq: 1)] - [Property Points (Seq: 1)] Rent-up Reserves - Both]&gt;</t>
        </r>
      </text>
    </comment>
    <comment ref="C440" authorId="0" shapeId="0" xr:uid="{2E539AF1-EC72-43A5-89EB-20B55388564D}">
      <text>
        <r>
          <rPr>
            <b/>
            <sz val="9"/>
            <color indexed="81"/>
            <rFont val="Tahoma"/>
            <family val="2"/>
          </rPr>
          <t>&lt;[[TCDeals] - [TC Property Current Stage (Seq: 1)] - [Actual Property Costs (Seq: 1)] Oper Reserve - Both]&gt;</t>
        </r>
      </text>
    </comment>
    <comment ref="C441" authorId="0" shapeId="0" xr:uid="{A518EB8C-012C-4395-B014-69052383F1D7}">
      <text>
        <r>
          <rPr>
            <b/>
            <sz val="9"/>
            <color indexed="81"/>
            <rFont val="Tahoma"/>
            <family val="2"/>
          </rPr>
          <t>&lt;[[TCDeals] - [TC Property Current Stage (Seq: 1)] Replacement Reserves - Both]&gt;</t>
        </r>
      </text>
    </comment>
    <comment ref="C442" authorId="0" shapeId="0" xr:uid="{3F4BE609-469F-48A6-8B58-1A675E6D07AF}">
      <text>
        <r>
          <rPr>
            <b/>
            <sz val="9"/>
            <color indexed="81"/>
            <rFont val="Tahoma"/>
            <family val="2"/>
          </rPr>
          <t>&lt;[[TCDeals] - [TC Property Current Stage (Seq: 1)] - [Property Points (Seq: 1)] Debt Service Reserves - Both]&gt;</t>
        </r>
      </text>
    </comment>
    <comment ref="C443" authorId="0" shapeId="0" xr:uid="{190B870A-D7FA-4714-A410-FB1986A8198D}">
      <text>
        <r>
          <rPr>
            <b/>
            <sz val="9"/>
            <color indexed="81"/>
            <rFont val="Tahoma"/>
            <family val="2"/>
          </rPr>
          <t>&lt;[[TCDeals] - [TC Property Current Stage (Seq: 1)] - [Property Points (Seq: 1)] Operating Reserves - Both]&gt;</t>
        </r>
      </text>
    </comment>
    <comment ref="C444" authorId="0" shapeId="0" xr:uid="{C3016F21-E2A8-43D0-BE6B-6F457AC44604}">
      <text>
        <r>
          <rPr>
            <b/>
            <sz val="9"/>
            <color indexed="81"/>
            <rFont val="Tahoma"/>
            <family val="2"/>
          </rPr>
          <t>&lt;[[TCDeals] - [TC Property Current Stage (Seq: 1)] - [Property Points (Seq: 1)] Project Reserves Other 2 - Both]&gt;</t>
        </r>
      </text>
    </comment>
    <comment ref="C445" authorId="0" shapeId="0" xr:uid="{4049999D-2809-4461-8D7A-9EABA4BACB67}">
      <text>
        <r>
          <rPr>
            <b/>
            <sz val="9"/>
            <color indexed="81"/>
            <rFont val="Tahoma"/>
            <family val="2"/>
          </rPr>
          <t>&lt;[[TCDeals] - [TC Property Current Stage (Seq: 1)] - [Property Points (Seq: 1)] Total Project Costs - Both]&gt;</t>
        </r>
      </text>
    </comment>
    <comment ref="C446" authorId="0" shapeId="0" xr:uid="{737AA197-F785-453B-99CD-90615AEB65BA}">
      <text>
        <r>
          <rPr>
            <b/>
            <sz val="9"/>
            <color indexed="81"/>
            <rFont val="Tahoma"/>
            <family val="2"/>
          </rPr>
          <t>&lt;[[TCDeals] - [TC Property Current Stage (Seq: 1)] - [Property Points (Seq: 1)] 4% Eligible Basis - Both]&gt;</t>
        </r>
      </text>
    </comment>
    <comment ref="C447" authorId="0" shapeId="0" xr:uid="{E64D36E5-022A-4D19-BFE8-5A77CAEA643E}">
      <text>
        <r>
          <rPr>
            <b/>
            <sz val="9"/>
            <color indexed="81"/>
            <rFont val="Tahoma"/>
            <family val="2"/>
          </rPr>
          <t>&lt;[[TCDeals] - [TC Property Current Stage (Seq: 1)] - [Property Points (Seq: 1)] 9 Percent Eligible Basis - Both]&gt;</t>
        </r>
      </text>
    </comment>
    <comment ref="C448"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9" authorId="0" shapeId="0" xr:uid="{6CBB8152-9639-4826-AF77-D1B500F85419}">
      <text>
        <r>
          <rPr>
            <b/>
            <sz val="9"/>
            <color indexed="81"/>
            <rFont val="Tahoma"/>
            <family val="2"/>
          </rPr>
          <t>&lt;[[TCDeals] - [TC Property Current Stage (Seq: 1)] - [Property Points (Seq: 1)] Private Activity Bond Mortgage Amount - Both]&gt;</t>
        </r>
      </text>
    </comment>
    <comment ref="C450" authorId="0" shapeId="0" xr:uid="{C2C061F9-765E-4314-8EF7-5141753B2B54}">
      <text>
        <r>
          <rPr>
            <b/>
            <sz val="9"/>
            <color indexed="81"/>
            <rFont val="Tahoma"/>
            <family val="2"/>
          </rPr>
          <t>&lt;[[TCDeals] - [TC Property Current Stage (Seq: 1)] - [Property Points (Seq: 1)] Optional Field 468 - Both]&gt;</t>
        </r>
      </text>
    </comment>
    <comment ref="C451" authorId="0" shapeId="0" xr:uid="{AFA8CE07-75C9-400D-B67E-3FF87EE1F202}">
      <text>
        <r>
          <rPr>
            <b/>
            <sz val="9"/>
            <color indexed="81"/>
            <rFont val="Tahoma"/>
            <family val="2"/>
          </rPr>
          <t>&lt;[[TCDeals] - [TC Property Current Stage (Seq: 1)] - [Property Points (Seq: 1)] Hard Costs/Square Foot - Both]&gt;</t>
        </r>
      </text>
    </comment>
    <comment ref="C452" authorId="0" shapeId="0" xr:uid="{1E452E3A-25CE-438C-BA41-CE9ADDA417D2}">
      <text>
        <r>
          <rPr>
            <b/>
            <sz val="9"/>
            <color indexed="81"/>
            <rFont val="Tahoma"/>
            <family val="2"/>
          </rPr>
          <t>&lt;[[TCDeals] - [TC Property Current Stage (Seq: 1)] - [Property Points (Seq: 1)] Hard Costs/Unit - Both]&gt;</t>
        </r>
      </text>
    </comment>
    <comment ref="C453" authorId="0" shapeId="0" xr:uid="{43A16F64-573F-4359-A30B-933EC1DB3A62}">
      <text>
        <r>
          <rPr>
            <b/>
            <sz val="9"/>
            <color indexed="81"/>
            <rFont val="Tahoma"/>
            <family val="2"/>
          </rPr>
          <t>&lt;[[TCDeals] - [TC Property Current Stage (Seq: 1)] - [Property Points (Seq: 1)] Optional Field 459 - Both]&gt;</t>
        </r>
      </text>
    </comment>
    <comment ref="C454" authorId="0" shapeId="0" xr:uid="{E9C53475-4BAC-47CE-AD24-83B9965FADA5}">
      <text>
        <r>
          <rPr>
            <b/>
            <sz val="9"/>
            <color indexed="81"/>
            <rFont val="Tahoma"/>
            <family val="2"/>
          </rPr>
          <t>&lt;[[TCDeals] - [TC Property Current Stage (Seq: 1)] - [Property Points (Seq: 1)] Optional Field 460 - Both]&gt;</t>
        </r>
      </text>
    </comment>
    <comment ref="C455" authorId="0" shapeId="0" xr:uid="{C5E61F85-E4BC-46AD-9482-86677D060B8C}">
      <text>
        <r>
          <rPr>
            <b/>
            <sz val="9"/>
            <color indexed="81"/>
            <rFont val="Tahoma"/>
            <family val="2"/>
          </rPr>
          <t>&lt;[[TCDeals] - [TC Property Current Stage (Seq: 1)] - [Property Points (Seq: 1)] Dev Costs/Square Foot - Both]&gt;</t>
        </r>
      </text>
    </comment>
    <comment ref="C456" authorId="0" shapeId="0" xr:uid="{C100155E-3661-4FAA-9B6D-5E69032CE2C8}">
      <text>
        <r>
          <rPr>
            <b/>
            <sz val="9"/>
            <color indexed="81"/>
            <rFont val="Tahoma"/>
            <family val="2"/>
          </rPr>
          <t>&lt;[[TCDeals] - [TC Property Current Stage (Seq: 1)] - [Property Points (Seq: 1)] Dev Costs/Unit - Both]&gt;</t>
        </r>
      </text>
    </comment>
    <comment ref="C457" authorId="0" shapeId="0" xr:uid="{85186AB5-00AE-4F4A-B812-6B29E3993350}">
      <text>
        <r>
          <rPr>
            <b/>
            <sz val="9"/>
            <color indexed="81"/>
            <rFont val="Tahoma"/>
            <family val="2"/>
          </rPr>
          <t>&lt;[[TCDeals] - [TC Property Current Stage (Seq: 1)] - [Property Points (Seq: 1)] Reserves/Square Foot - Both]&gt;</t>
        </r>
      </text>
    </comment>
    <comment ref="C458" authorId="0" shapeId="0" xr:uid="{4FA2EE83-025E-49D3-8EA6-BF3D2FCC1C9E}">
      <text>
        <r>
          <rPr>
            <b/>
            <sz val="9"/>
            <color indexed="81"/>
            <rFont val="Tahoma"/>
            <family val="2"/>
          </rPr>
          <t>&lt;[[TCDeals] - [TC Property Current Stage (Seq: 1)] - [Property Points (Seq: 1)] Reserves/Unit - Both]&gt;</t>
        </r>
      </text>
    </comment>
    <comment ref="C459" authorId="0" shapeId="0" xr:uid="{08D2E655-9E5D-4C92-8C9B-CF1A8BB21171}">
      <text>
        <r>
          <rPr>
            <b/>
            <sz val="9"/>
            <color indexed="81"/>
            <rFont val="Tahoma"/>
            <family val="2"/>
          </rPr>
          <t>&lt;[[TCDeals] - [TC Property Current Stage (Seq: 1)] - [Property Points (Seq: 1)] Dev Fee/Square Foot - Both]&gt;</t>
        </r>
      </text>
    </comment>
    <comment ref="C460" authorId="0" shapeId="0" xr:uid="{F87CDB0F-39C0-4B12-B849-20889113DFB9}">
      <text>
        <r>
          <rPr>
            <b/>
            <sz val="9"/>
            <color indexed="81"/>
            <rFont val="Tahoma"/>
            <family val="2"/>
          </rPr>
          <t>&lt;[[TCDeals] - [TC Property Current Stage (Seq: 1)] - [Property Points (Seq: 1)] Dev Fee/Unit - Both]&gt;</t>
        </r>
      </text>
    </comment>
    <comment ref="C463" authorId="0" shapeId="0" xr:uid="{9D9C29C5-6740-43E5-895B-200F1A677162}">
      <text>
        <r>
          <rPr>
            <b/>
            <sz val="9"/>
            <color indexed="81"/>
            <rFont val="Tahoma"/>
            <family val="2"/>
          </rPr>
          <t>&lt;[[TCDeals] - [TC Property Current Stage (Seq: 1)] Finalized Accumulated Basis - Both]&gt;</t>
        </r>
      </text>
    </comment>
    <comment ref="C464" authorId="0" shapeId="0" xr:uid="{5504A0A6-9A00-43B3-8429-8B9045CA6E39}">
      <text>
        <r>
          <rPr>
            <b/>
            <sz val="9"/>
            <color indexed="81"/>
            <rFont val="Tahoma"/>
            <family val="2"/>
          </rPr>
          <t>&lt;[[TCDeals] - [TC Property Current Stage (Seq: 1)] Finalized Reasonably Expected Total Basis - Both]&gt;</t>
        </r>
      </text>
    </comment>
    <comment ref="C466" authorId="0" shapeId="0" xr:uid="{B41ABBA4-1C0F-4E67-8320-7F3AE67834F6}">
      <text>
        <r>
          <rPr>
            <b/>
            <sz val="9"/>
            <color indexed="81"/>
            <rFont val="Tahoma"/>
            <family val="2"/>
          </rPr>
          <t>&lt;[[TCDeals] - [TC Property Current Stage (Seq: 1)] - [TC Unit Detail (Seq: 1)] Issuing Authority - Both]&gt;</t>
        </r>
      </text>
    </comment>
    <comment ref="C467" authorId="0" shapeId="0" xr:uid="{78367758-D8E5-4F3F-83EA-D3691F0302FF}">
      <text>
        <r>
          <rPr>
            <b/>
            <sz val="9"/>
            <color indexed="81"/>
            <rFont val="Tahoma"/>
            <family val="2"/>
          </rPr>
          <t>&lt;[[TCDeals] - [TC Property Current Stage (Seq: 1)] - [TC Unit Detail (Seq: 1)] Income Percentage - Both]&gt;</t>
        </r>
      </text>
    </comment>
    <comment ref="C468" authorId="0" shapeId="0" xr:uid="{639BDF38-B5A2-48CA-AE18-B6E8F2C22EF9}">
      <text>
        <r>
          <rPr>
            <b/>
            <sz val="9"/>
            <color indexed="81"/>
            <rFont val="Tahoma"/>
            <family val="2"/>
          </rPr>
          <t>&lt;[[TCDeals] - [TC Property Current Stage (Seq: 1)] - [TC Unit Detail (Seq: 1)] Income Units - Both]&gt;</t>
        </r>
      </text>
    </comment>
    <comment ref="C469" authorId="0" shapeId="0" xr:uid="{6DB48AC5-5A87-4BA8-88BD-593F4F7A737E}">
      <text>
        <r>
          <rPr>
            <b/>
            <sz val="9"/>
            <color indexed="81"/>
            <rFont val="Tahoma"/>
            <family val="2"/>
          </rPr>
          <t>&lt;[[TCDeals] - [TC Property Current Stage (Seq: 1)] - [TC Unit Detail (Seq: 2)] Issuing Authority - Both]&gt;</t>
        </r>
      </text>
    </comment>
    <comment ref="C470" authorId="0" shapeId="0" xr:uid="{F63AFA72-A520-47EF-B1A1-FFCE52537637}">
      <text>
        <r>
          <rPr>
            <b/>
            <sz val="9"/>
            <color indexed="81"/>
            <rFont val="Tahoma"/>
            <family val="2"/>
          </rPr>
          <t>&lt;[[TCDeals] - [TC Property Current Stage (Seq: 1)] - [TC Unit Detail (Seq: 2)] Income Percentage - Both]&gt;</t>
        </r>
      </text>
    </comment>
    <comment ref="C471" authorId="0" shapeId="0" xr:uid="{EBAEC0D7-D95D-4D15-871C-3A7C860A505A}">
      <text>
        <r>
          <rPr>
            <b/>
            <sz val="9"/>
            <color indexed="81"/>
            <rFont val="Tahoma"/>
            <family val="2"/>
          </rPr>
          <t>&lt;[[TCDeals] - [TC Property Current Stage (Seq: 1)] - [TC Unit Detail (Seq: 2)] Income Units - Both]&gt;</t>
        </r>
      </text>
    </comment>
    <comment ref="C472" authorId="0" shapeId="0" xr:uid="{94E85930-BE1C-4CE5-91DA-C8AC2F34629D}">
      <text>
        <r>
          <rPr>
            <b/>
            <sz val="9"/>
            <color indexed="81"/>
            <rFont val="Tahoma"/>
            <family val="2"/>
          </rPr>
          <t>&lt;[[TCDeals] - [TC Property Current Stage (Seq: 1)] - [TC Unit Detail (Seq: 3)] Issuing Authority - Both]&gt;</t>
        </r>
      </text>
    </comment>
    <comment ref="C473" authorId="0" shapeId="0" xr:uid="{F0D45D72-50EA-40CA-96B8-178386D0634E}">
      <text>
        <r>
          <rPr>
            <b/>
            <sz val="9"/>
            <color indexed="81"/>
            <rFont val="Tahoma"/>
            <family val="2"/>
          </rPr>
          <t>&lt;[[TCDeals] - [TC Property Current Stage (Seq: 1)] - [TC Unit Detail (Seq: 3)] Income Percentage - Both]&gt;</t>
        </r>
      </text>
    </comment>
    <comment ref="C474" authorId="0" shapeId="0" xr:uid="{A6505BF3-049B-489B-A2AF-94FC8BE2D05A}">
      <text>
        <r>
          <rPr>
            <b/>
            <sz val="9"/>
            <color indexed="81"/>
            <rFont val="Tahoma"/>
            <family val="2"/>
          </rPr>
          <t>&lt;[[TCDeals] - [TC Property Current Stage (Seq: 1)] - [TC Unit Detail (Seq: 3)] Income Units - Both]&gt;</t>
        </r>
      </text>
    </comment>
    <comment ref="C475" authorId="0" shapeId="0" xr:uid="{4F6B624E-342A-484B-AFDB-59146D4C72DD}">
      <text>
        <r>
          <rPr>
            <b/>
            <sz val="9"/>
            <color indexed="81"/>
            <rFont val="Tahoma"/>
            <family val="2"/>
          </rPr>
          <t>&lt;[[TCDeals] - [TC Property Current Stage (Seq: 1)] - [TC Unit Detail (Seq: 4)] Issuing Authority - Both]&gt;</t>
        </r>
      </text>
    </comment>
    <comment ref="C476" authorId="0" shapeId="0" xr:uid="{4620799C-83BC-41CA-9B48-4494F8CC7A41}">
      <text>
        <r>
          <rPr>
            <b/>
            <sz val="9"/>
            <color indexed="81"/>
            <rFont val="Tahoma"/>
            <family val="2"/>
          </rPr>
          <t>&lt;[[TCDeals] - [TC Property Current Stage (Seq: 1)] - [TC Unit Detail (Seq: 4)] Income Percentage - Both]&gt;</t>
        </r>
      </text>
    </comment>
    <comment ref="C477" authorId="0" shapeId="0" xr:uid="{00AE769E-71D7-4CD8-84CE-4126B59ADC8F}">
      <text>
        <r>
          <rPr>
            <b/>
            <sz val="9"/>
            <color indexed="81"/>
            <rFont val="Tahoma"/>
            <family val="2"/>
          </rPr>
          <t>&lt;[[TCDeals] - [TC Property Current Stage (Seq: 1)] - [TC Unit Detail (Seq: 4)] Income Units - Both]&gt;</t>
        </r>
      </text>
    </comment>
    <comment ref="C478" authorId="0" shapeId="0" xr:uid="{A7012604-E7F5-414C-A51F-4CB65C41F202}">
      <text>
        <r>
          <rPr>
            <b/>
            <sz val="9"/>
            <color indexed="81"/>
            <rFont val="Tahoma"/>
            <family val="2"/>
          </rPr>
          <t>&lt;[[TCDeals] - [TC Property Current Stage (Seq: 1)] - [TC Unit Detail (Seq: 5)] Issuing Authority - Both]&gt;</t>
        </r>
      </text>
    </comment>
    <comment ref="C479" authorId="0" shapeId="0" xr:uid="{1098C428-3AC1-4607-A55F-5051261D3861}">
      <text>
        <r>
          <rPr>
            <b/>
            <sz val="9"/>
            <color indexed="81"/>
            <rFont val="Tahoma"/>
            <family val="2"/>
          </rPr>
          <t>&lt;[[TCDeals] - [TC Property Current Stage (Seq: 1)] - [TC Unit Detail (Seq: 5)] Income Percentage - Both]&gt;</t>
        </r>
      </text>
    </comment>
    <comment ref="C480" authorId="0" shapeId="0" xr:uid="{FBF3A5C3-E974-40CE-AD3A-BAD15696ED02}">
      <text>
        <r>
          <rPr>
            <b/>
            <sz val="9"/>
            <color indexed="81"/>
            <rFont val="Tahoma"/>
            <family val="2"/>
          </rPr>
          <t>&lt;[[TCDeals] - [TC Property Current Stage (Seq: 1)] - [TC Unit Detail (Seq: 5)] Income Units - Both]&gt;</t>
        </r>
      </text>
    </comment>
    <comment ref="C481" authorId="0" shapeId="0" xr:uid="{41D39894-6003-46F9-988B-12535C4033F3}">
      <text>
        <r>
          <rPr>
            <b/>
            <sz val="9"/>
            <color indexed="81"/>
            <rFont val="Tahoma"/>
            <family val="2"/>
          </rPr>
          <t>&lt;[[TCDeals] - [TC Property Current Stage (Seq: 1)] - [TC Unit Detail (Seq: 6)] Issuing Authority - Both]&gt;</t>
        </r>
      </text>
    </comment>
    <comment ref="C482" authorId="0" shapeId="0" xr:uid="{A9DA6049-AF45-41D3-B032-C5AF0CE75C72}">
      <text>
        <r>
          <rPr>
            <b/>
            <sz val="9"/>
            <color indexed="81"/>
            <rFont val="Tahoma"/>
            <family val="2"/>
          </rPr>
          <t>&lt;[[TCDeals] - [TC Property Current Stage (Seq: 1)] - [TC Unit Detail (Seq: 6)] Income Percentage - Both]&gt;</t>
        </r>
      </text>
    </comment>
    <comment ref="C483" authorId="0" shapeId="0" xr:uid="{3409014E-2721-4146-B54D-489F8D00EEB1}">
      <text>
        <r>
          <rPr>
            <b/>
            <sz val="9"/>
            <color indexed="81"/>
            <rFont val="Tahoma"/>
            <family val="2"/>
          </rPr>
          <t>&lt;[[TCDeals] - [TC Property Current Stage (Seq: 1)] - [TC Unit Detail (Seq: 6)] Income Units - Both]&gt;</t>
        </r>
      </text>
    </comment>
    <comment ref="C484" authorId="0" shapeId="0" xr:uid="{D312F8FC-84EF-4084-B25C-70F07625349C}">
      <text>
        <r>
          <rPr>
            <b/>
            <sz val="9"/>
            <color indexed="81"/>
            <rFont val="Tahoma"/>
            <family val="2"/>
          </rPr>
          <t>&lt;[[TCDeals] - [TC Property Current Stage (Seq: 1)] - [TC Unit Detail (Seq: 7)] Issuing Authority - Both]&gt;</t>
        </r>
      </text>
    </comment>
    <comment ref="C485" authorId="0" shapeId="0" xr:uid="{A57A7CC2-A4D2-410A-A727-4CD6B76D3038}">
      <text>
        <r>
          <rPr>
            <b/>
            <sz val="9"/>
            <color indexed="81"/>
            <rFont val="Tahoma"/>
            <family val="2"/>
          </rPr>
          <t>&lt;[[TCDeals] - [TC Property Current Stage (Seq: 1)] - [TC Unit Detail (Seq: 7)] Income Percentage - Both]&gt;</t>
        </r>
      </text>
    </comment>
    <comment ref="C486" authorId="0" shapeId="0" xr:uid="{6A12F888-2B14-47F6-A7D7-DD15E6083851}">
      <text>
        <r>
          <rPr>
            <b/>
            <sz val="9"/>
            <color indexed="81"/>
            <rFont val="Tahoma"/>
            <family val="2"/>
          </rPr>
          <t>&lt;[[TCDeals] - [TC Property Current Stage (Seq: 1)] - [TC Unit Detail (Seq: 7)] Income Units - Both]&gt;</t>
        </r>
      </text>
    </comment>
    <comment ref="C487" authorId="0" shapeId="0" xr:uid="{833B97EA-86CD-4AA7-A0C6-F71F3E00BEFC}">
      <text>
        <r>
          <rPr>
            <b/>
            <sz val="9"/>
            <color indexed="81"/>
            <rFont val="Tahoma"/>
            <family val="2"/>
          </rPr>
          <t>&lt;[[TCDeals] - [TC Property Current Stage (Seq: 1)] - [TC Unit Detail (Seq: 8)] Issuing Authority - Both]&gt;</t>
        </r>
      </text>
    </comment>
    <comment ref="C488" authorId="0" shapeId="0" xr:uid="{F55D8866-631F-4A71-80BD-B03B644784BD}">
      <text>
        <r>
          <rPr>
            <b/>
            <sz val="9"/>
            <color indexed="81"/>
            <rFont val="Tahoma"/>
            <family val="2"/>
          </rPr>
          <t>&lt;[[TCDeals] - [TC Property Current Stage (Seq: 1)] - [TC Unit Detail (Seq: 8)] Income Percentage - Both]&gt;</t>
        </r>
      </text>
    </comment>
    <comment ref="C489" authorId="0" shapeId="0" xr:uid="{96C33B0C-F89F-4C56-9E8B-31B49C935E08}">
      <text>
        <r>
          <rPr>
            <b/>
            <sz val="9"/>
            <color indexed="81"/>
            <rFont val="Tahoma"/>
            <family val="2"/>
          </rPr>
          <t>&lt;[[TCDeals] - [TC Property Current Stage (Seq: 1)] - [TC Unit Detail (Seq: 8)] Income Units - Both]&gt;</t>
        </r>
      </text>
    </comment>
    <comment ref="C491" authorId="0" shapeId="0" xr:uid="{2BA418A4-C420-4D35-A46E-FF78BEAD8721}">
      <text>
        <r>
          <rPr>
            <b/>
            <sz val="9"/>
            <color indexed="81"/>
            <rFont val="Tahoma"/>
            <family val="2"/>
          </rPr>
          <t>&lt;[[TCDeals] - [TC Property Current Stage (Seq: 1)] - [Property Points (Seq: 1)] Total Employee units - Both]&gt;</t>
        </r>
      </text>
    </comment>
    <comment ref="C492" authorId="0" shapeId="0" xr:uid="{9C083A0E-06BC-409E-8EAD-09DF3A46FBD1}">
      <text>
        <r>
          <rPr>
            <b/>
            <sz val="9"/>
            <color indexed="81"/>
            <rFont val="Tahoma"/>
            <family val="2"/>
          </rPr>
          <t>&lt;[[TCDeals] - [TC Property Current Stage (Seq: 1)] Total Floor Sq Ft - Both]&gt;</t>
        </r>
      </text>
    </comment>
    <comment ref="C493" authorId="0" shapeId="0" xr:uid="{429F5B82-A475-474F-A987-98F030D73D5A}">
      <text>
        <r>
          <rPr>
            <b/>
            <sz val="9"/>
            <color indexed="81"/>
            <rFont val="Tahoma"/>
            <family val="2"/>
          </rPr>
          <t>&lt;[[TCDeals] - [TC Property Current Stage (Seq: 1)] Total Units - Both]&gt;</t>
        </r>
      </text>
    </comment>
    <comment ref="C494" authorId="0" shapeId="0" xr:uid="{F28B6FC5-3CF4-4A8D-BD58-A28A1CCFFBDE}">
      <text>
        <r>
          <rPr>
            <b/>
            <sz val="9"/>
            <color indexed="81"/>
            <rFont val="Tahoma"/>
            <family val="2"/>
          </rPr>
          <t>&lt;[[TCDeals] - [TC Property Current Stage (Seq: 1)] Total Allowance0 BR - Both]&gt;</t>
        </r>
      </text>
    </comment>
    <comment ref="C495" authorId="0" shapeId="0" xr:uid="{05F4D520-E9ED-48E4-9064-0D17C84FA44D}">
      <text>
        <r>
          <rPr>
            <b/>
            <sz val="9"/>
            <color indexed="81"/>
            <rFont val="Tahoma"/>
            <family val="2"/>
          </rPr>
          <t>&lt;[[TCDeals] - [TC Property Current Stage (Seq: 1)] Total Allowance1 BR - Both]&gt;</t>
        </r>
      </text>
    </comment>
    <comment ref="C496" authorId="0" shapeId="0" xr:uid="{2705110C-663F-4EB0-9BAB-281F89F31E1E}">
      <text>
        <r>
          <rPr>
            <b/>
            <sz val="9"/>
            <color indexed="81"/>
            <rFont val="Tahoma"/>
            <family val="2"/>
          </rPr>
          <t>&lt;[[TCDeals] - [TC Property Current Stage (Seq: 1)] Total Allowance2 BR - Both]&gt;</t>
        </r>
      </text>
    </comment>
    <comment ref="C497" authorId="0" shapeId="0" xr:uid="{E57C39DE-F1E3-4F2C-A90B-B6C98596E6AE}">
      <text>
        <r>
          <rPr>
            <b/>
            <sz val="9"/>
            <color indexed="81"/>
            <rFont val="Tahoma"/>
            <family val="2"/>
          </rPr>
          <t>&lt;[[TCDeals] - [TC Property Current Stage (Seq: 1)] Total Allowance3 BR - Both]&gt;</t>
        </r>
      </text>
    </comment>
    <comment ref="C498" authorId="0" shapeId="0" xr:uid="{617B3D2C-FFEF-483A-94A3-930782E41803}">
      <text>
        <r>
          <rPr>
            <b/>
            <sz val="9"/>
            <color indexed="81"/>
            <rFont val="Tahoma"/>
            <family val="2"/>
          </rPr>
          <t>&lt;[[TCDeals] - [TC Property Current Stage (Seq: 1)] Total Allowance4 BR - Both]&gt;</t>
        </r>
      </text>
    </comment>
    <comment ref="C499" authorId="0" shapeId="0" xr:uid="{91B4550E-7894-452F-B487-21A3F58F3A00}">
      <text>
        <r>
          <rPr>
            <b/>
            <sz val="9"/>
            <color indexed="81"/>
            <rFont val="Tahoma"/>
            <family val="2"/>
          </rPr>
          <t>&lt;[[TCDeals] - [TC Property Current Stage (Seq: 1)] - [Property Points (Seq: 1)] Total Allowance 5BR - Both]&gt;</t>
        </r>
      </text>
    </comment>
    <comment ref="C500" authorId="0" shapeId="0" xr:uid="{40066AE8-DF46-4187-8144-7559468E8E3D}">
      <text>
        <r>
          <rPr>
            <b/>
            <sz val="9"/>
            <color indexed="81"/>
            <rFont val="Tahoma"/>
            <family val="2"/>
          </rPr>
          <t>&lt;[[TCDeals] - [TC Property Current Stage (Seq: 1)] - [Property Points (Seq: 1)] Is Do Rents Include Utilities? - Both]&gt;</t>
        </r>
      </text>
    </comment>
    <comment ref="C501" authorId="0" shapeId="0" xr:uid="{ADE795E0-934E-4133-9EB8-035E154DBF0F}">
      <text>
        <r>
          <rPr>
            <b/>
            <sz val="9"/>
            <color indexed="81"/>
            <rFont val="Tahoma"/>
            <family val="2"/>
          </rPr>
          <t>&lt;[[TCDeals] - [TC Property Current Stage (Seq: 1)] - [Property Points (Seq: 1)] Total Residential SF - Both]&gt;</t>
        </r>
      </text>
    </comment>
    <comment ref="C502" authorId="0" shapeId="0" xr:uid="{3749BDBA-626E-44DE-B0EB-6C0C2AF60A51}">
      <text>
        <r>
          <rPr>
            <b/>
            <sz val="9"/>
            <color indexed="81"/>
            <rFont val="Tahoma"/>
            <family val="2"/>
          </rPr>
          <t>&lt;[[TCDeals] - [TC Property Current Stage (Seq: 1)] - [Property Points (Seq: 1)] Total Employee SF - Both]&gt;</t>
        </r>
      </text>
    </comment>
    <comment ref="C503" authorId="0" shapeId="0" xr:uid="{D3917661-46F7-4A21-B0F7-9379F2504558}">
      <text>
        <r>
          <rPr>
            <b/>
            <sz val="9"/>
            <color indexed="81"/>
            <rFont val="Tahoma"/>
            <family val="2"/>
          </rPr>
          <t>&lt;[[TCDeals] - [TC Property Current Stage (Seq: 1)] - [Property Points (Seq: 1)] Common Space SF - Both]&gt;</t>
        </r>
      </text>
    </comment>
    <comment ref="C504" authorId="0" shapeId="0" xr:uid="{37978988-FF61-4132-8717-9D0E414CAB0F}">
      <text>
        <r>
          <rPr>
            <b/>
            <sz val="9"/>
            <color indexed="81"/>
            <rFont val="Tahoma"/>
            <family val="2"/>
          </rPr>
          <t>&lt;[[TCDeals] - [TC Property Current Stage (Seq: 1)] Total Low Income Units - Both]&gt;</t>
        </r>
      </text>
    </comment>
    <comment ref="C505" authorId="0" shapeId="0" xr:uid="{59168418-A195-4D5D-9D18-B89654BA13C0}">
      <text>
        <r>
          <rPr>
            <b/>
            <sz val="9"/>
            <color indexed="81"/>
            <rFont val="Tahoma"/>
            <family val="2"/>
          </rPr>
          <t>&lt;[[TCDeals] - [TC Property Current Stage (Seq: 1)] Commercial Sq Ft - Both]&gt;</t>
        </r>
      </text>
    </comment>
    <comment ref="C506" authorId="0" shapeId="0" xr:uid="{D9A52AE9-2C23-4CED-A85B-D3AEE1CC409C}">
      <text>
        <r>
          <rPr>
            <b/>
            <sz val="9"/>
            <color indexed="81"/>
            <rFont val="Tahoma"/>
            <family val="2"/>
          </rPr>
          <t>&lt;[[TCDeals] - [TC Property Current Stage (Seq: 1)] TC Net Rentable SF - Both]&gt;</t>
        </r>
      </text>
    </comment>
    <comment ref="C507" authorId="0" shapeId="0" xr:uid="{BA051946-955D-46B9-B427-9ADC706190BE}">
      <text>
        <r>
          <rPr>
            <b/>
            <sz val="9"/>
            <color indexed="81"/>
            <rFont val="Tahoma"/>
            <family val="2"/>
          </rPr>
          <t>&lt;[[TCDeals] - [TC Property Current Stage (Seq: 1)] Mkt Net Rentable SF - Both]&gt;</t>
        </r>
      </text>
    </comment>
    <comment ref="C508" authorId="0" shapeId="0" xr:uid="{5BE67F60-EBB4-4948-BA37-A098E5BE98F7}">
      <text>
        <r>
          <rPr>
            <b/>
            <sz val="9"/>
            <color indexed="81"/>
            <rFont val="Tahoma"/>
            <family val="2"/>
          </rPr>
          <t>&lt;[[TCDeals] - [TC Property Current Stage (Seq: 1)] Floor Space Fraction - Both]&gt;</t>
        </r>
      </text>
    </comment>
    <comment ref="C509" authorId="0" shapeId="0" xr:uid="{37C6BF1C-6873-4974-A2F1-E4EF247195F1}">
      <text>
        <r>
          <rPr>
            <b/>
            <sz val="9"/>
            <color indexed="81"/>
            <rFont val="Tahoma"/>
            <family val="2"/>
          </rPr>
          <t>&lt;[[TCDeals] - [TC Property Current Stage (Seq: 1)] Total Bedrooms - Both]&gt;</t>
        </r>
      </text>
    </comment>
    <comment ref="C511" authorId="0" shapeId="0" xr:uid="{56ABCC42-CEE1-4FC1-B55F-00EFA47F1DDB}">
      <text>
        <r>
          <rPr>
            <b/>
            <sz val="9"/>
            <color indexed="81"/>
            <rFont val="Tahoma"/>
            <family val="2"/>
          </rPr>
          <t>&lt;[[TCDeals] - [TC Property Current Stage (Seq: 1)] Extended Use Restriction - Both]&gt;</t>
        </r>
      </text>
    </comment>
    <comment ref="C512" authorId="0" shapeId="0" xr:uid="{F1F5AE0E-17BF-42B3-B4E0-9A4A7E0709D3}">
      <text>
        <r>
          <rPr>
            <b/>
            <sz val="9"/>
            <color indexed="81"/>
            <rFont val="Tahoma"/>
            <family val="2"/>
          </rPr>
          <t>&lt;[[TCDeals] - [TC Property Current Stage (Seq: 1)] Total Score - Both]&gt;</t>
        </r>
      </text>
    </comment>
    <comment ref="C513" authorId="0" shapeId="0" xr:uid="{3BB6CC8D-22C0-4BE0-8920-A9D6B3B85D28}">
      <text>
        <r>
          <rPr>
            <b/>
            <sz val="9"/>
            <color indexed="81"/>
            <rFont val="Tahoma"/>
            <family val="2"/>
          </rPr>
          <t>&lt;[[TCDeals] - [TC Property Current Stage (Seq: 1)] - [Property Points (Seq: 1)] Is Threshold: 40% at 60% of Area Median Income - Both]&gt;</t>
        </r>
      </text>
    </comment>
    <comment ref="C514" authorId="0" shapeId="0" xr:uid="{7678553D-F13B-4A3A-BFB5-2EA6C14B2CD4}">
      <text>
        <r>
          <rPr>
            <b/>
            <sz val="9"/>
            <color indexed="81"/>
            <rFont val="Tahoma"/>
            <family val="2"/>
          </rPr>
          <t>&lt;[[TCDeals] - [TC Property Current Stage (Seq: 1)] - [Property Points (Seq: 1)] Is Threshold: 20% at 50% of Area Median Income - Both]&gt;</t>
        </r>
      </text>
    </comment>
    <comment ref="C515" authorId="0" shapeId="0" xr:uid="{638BD83A-1667-4A39-AE11-6B7300FF3734}">
      <text>
        <r>
          <rPr>
            <b/>
            <sz val="9"/>
            <color indexed="81"/>
            <rFont val="Tahoma"/>
            <family val="2"/>
          </rPr>
          <t>&lt;[[TCDeals] - [TC Property Current Stage (Seq: 1)] - [Property Points (Seq: 1)] Is Optional Field 452 - Both]&gt;</t>
        </r>
      </text>
    </comment>
    <comment ref="C516" authorId="0" shapeId="0" xr:uid="{CBF8AFFC-BAEC-40C7-9810-1CBC64909BCA}">
      <text>
        <r>
          <rPr>
            <b/>
            <sz val="9"/>
            <color indexed="81"/>
            <rFont val="Tahoma"/>
            <family val="2"/>
          </rPr>
          <t>&lt;[[TCDeals] - [TC Property Current Stage (Seq: 1)] - [Property Points (Seq: 1)] Optional Field 469 - Both]&gt;</t>
        </r>
      </text>
    </comment>
    <comment ref="C517" authorId="0" shapeId="0" xr:uid="{3E7ACF03-92E0-4BE1-B0FC-8F45BF7C106C}">
      <text>
        <r>
          <rPr>
            <b/>
            <sz val="9"/>
            <color indexed="81"/>
            <rFont val="Tahoma"/>
            <family val="2"/>
          </rPr>
          <t>&lt;[[TCDeals] - [TC Property Current Stage (Seq: 1)] - [Property Score (Seq: 1)] Bonus A - Both]&gt;</t>
        </r>
      </text>
    </comment>
    <comment ref="C518" authorId="0" shapeId="0" xr:uid="{AC285633-E2D3-40D6-BC2C-6449E401BD0A}">
      <text>
        <r>
          <rPr>
            <b/>
            <sz val="9"/>
            <color indexed="81"/>
            <rFont val="Tahoma"/>
            <family val="2"/>
          </rPr>
          <t>&lt;[[TCDeals] - [TC Property Current Stage (Seq: 1)] - [Property Score (Seq: 1)] Bonus B - Both]&gt;</t>
        </r>
      </text>
    </comment>
    <comment ref="C519" authorId="0" shapeId="0" xr:uid="{45D760E6-DE6B-4262-8A40-1F744EAC1D64}">
      <text>
        <r>
          <rPr>
            <b/>
            <sz val="9"/>
            <color indexed="81"/>
            <rFont val="Tahoma"/>
            <family val="2"/>
          </rPr>
          <t>&lt;[[TCDeals] - [TC Property Current Stage (Seq: 1)] - [Property Score (Seq: 1)] Bonus C - Both]&gt;</t>
        </r>
      </text>
    </comment>
    <comment ref="C520" authorId="0" shapeId="0" xr:uid="{9B5ABF85-688C-4D71-A2FF-60B8544F3E7B}">
      <text>
        <r>
          <rPr>
            <b/>
            <sz val="9"/>
            <color indexed="81"/>
            <rFont val="Tahoma"/>
            <family val="2"/>
          </rPr>
          <t>&lt;[[TCDeals] - [TC Property Current Stage (Seq: 1)] - [Property Score (Seq: 1)] Bonus D - Both]&gt;</t>
        </r>
      </text>
    </comment>
    <comment ref="C521" authorId="0" shapeId="0" xr:uid="{6A06AFA8-636B-45FE-B6CD-09E708E0EDEB}">
      <text>
        <r>
          <rPr>
            <b/>
            <sz val="9"/>
            <color indexed="81"/>
            <rFont val="Tahoma"/>
            <family val="2"/>
          </rPr>
          <t>&lt;[[TCDeals] - [TC Property Current Stage (Seq: 1)] - [Property Score (Seq: 1)] Bonus E - Both]&gt;</t>
        </r>
      </text>
    </comment>
    <comment ref="C522" authorId="0" shapeId="0" xr:uid="{591EDEAB-21CE-499C-89E2-963654027AA6}">
      <text>
        <r>
          <rPr>
            <b/>
            <sz val="9"/>
            <color indexed="81"/>
            <rFont val="Tahoma"/>
            <family val="2"/>
          </rPr>
          <t>&lt;[[TCDeals] - [TC Property Current Stage (Seq: 1)] - [Property Score (Seq: 1)] Bonus F - Both]&gt;</t>
        </r>
      </text>
    </comment>
    <comment ref="C523" authorId="0" shapeId="0" xr:uid="{2BF6BB27-0B05-412B-826A-126B046ABF68}">
      <text>
        <r>
          <rPr>
            <b/>
            <sz val="9"/>
            <color indexed="81"/>
            <rFont val="Tahoma"/>
            <family val="2"/>
          </rPr>
          <t>&lt;[[TCDeals] - [TC Property Current Stage (Seq: 1)] - [Property Score (Seq: 1)] Bonus G - Both]&gt;</t>
        </r>
      </text>
    </comment>
    <comment ref="C524" authorId="0" shapeId="0" xr:uid="{B4558E34-420D-4CE6-806B-05A075107977}">
      <text>
        <r>
          <rPr>
            <b/>
            <sz val="9"/>
            <color indexed="81"/>
            <rFont val="Tahoma"/>
            <family val="2"/>
          </rPr>
          <t>&lt;[[TCDeals] - [TC Property Current Stage (Seq: 1)] - [Property Score (Seq: 1)] Bonus H - Both]&gt;</t>
        </r>
      </text>
    </comment>
    <comment ref="C525" authorId="0" shapeId="0" xr:uid="{AAE7B0A3-3019-4A5B-AA9D-5B0B829D0F78}">
      <text>
        <r>
          <rPr>
            <b/>
            <sz val="9"/>
            <color indexed="81"/>
            <rFont val="Tahoma"/>
            <family val="2"/>
          </rPr>
          <t>&lt;[[TCDeals] - [TC Property Current Stage (Seq: 1)] - [Property Score (Seq: 1)] Bonus K - Both]&gt;</t>
        </r>
      </text>
    </comment>
    <comment ref="C526" authorId="0" shapeId="0" xr:uid="{3AF71094-6319-4CE0-9EC6-7F4F4D658C15}">
      <text>
        <r>
          <rPr>
            <b/>
            <sz val="9"/>
            <color indexed="81"/>
            <rFont val="Tahoma"/>
            <family val="2"/>
          </rPr>
          <t>&lt;[[TCDeals] - [TC Property Current Stage (Seq: 1)] - [Property Score (Seq: 1)] Bonus M - Both]&gt;</t>
        </r>
      </text>
    </comment>
    <comment ref="C527" authorId="0" shapeId="0" xr:uid="{7E559095-5C32-43C8-A009-8B808744F55D}">
      <text>
        <r>
          <rPr>
            <b/>
            <sz val="9"/>
            <color indexed="81"/>
            <rFont val="Tahoma"/>
            <family val="2"/>
          </rPr>
          <t>&lt;[[TCDeals] - [TC Property Current Stage (Seq: 1)] - [Property Score (Seq: 1)] Housing Needs A - Both]&gt;</t>
        </r>
      </text>
    </comment>
    <comment ref="C528" authorId="0" shapeId="0" xr:uid="{9EE6A225-CB75-4236-9F6C-0208D1C29DB1}">
      <text>
        <r>
          <rPr>
            <b/>
            <sz val="9"/>
            <color indexed="81"/>
            <rFont val="Tahoma"/>
            <family val="2"/>
          </rPr>
          <t>&lt;[[TCDeals] - [TC Property Current Stage (Seq: 1)] - [Property Score (Seq: 1)] Housing Needs B - Both]&gt;</t>
        </r>
      </text>
    </comment>
    <comment ref="C529" authorId="0" shapeId="0" xr:uid="{1E0978A5-FA31-4537-889E-245A01C5F71F}">
      <text>
        <r>
          <rPr>
            <b/>
            <sz val="9"/>
            <color indexed="81"/>
            <rFont val="Tahoma"/>
            <family val="2"/>
          </rPr>
          <t>&lt;[[TCDeals] - [TC Property Current Stage (Seq: 1)] - [Property Score (Seq: 1)] Housing Needs C - Both]&gt;</t>
        </r>
      </text>
    </comment>
    <comment ref="C530" authorId="0" shapeId="0" xr:uid="{3B0F1676-33F7-4170-B0D1-D7DCA7FE7986}">
      <text>
        <r>
          <rPr>
            <b/>
            <sz val="9"/>
            <color indexed="81"/>
            <rFont val="Tahoma"/>
            <family val="2"/>
          </rPr>
          <t>&lt;[[TCDeals] - [TC Property Current Stage (Seq: 1)] - [Property Score (Seq: 1)] Housing Needs D - Both]&gt;</t>
        </r>
      </text>
    </comment>
    <comment ref="C531" authorId="0" shapeId="0" xr:uid="{05CC1DA8-37A0-4D95-BE14-84F67B51C3CB}">
      <text>
        <r>
          <rPr>
            <b/>
            <sz val="9"/>
            <color indexed="81"/>
            <rFont val="Tahoma"/>
            <family val="2"/>
          </rPr>
          <t>&lt;[[TCDeals] - [TC Property Current Stage (Seq: 1)] - [Property Score (Seq: 1)] Dev Char A - Both]&gt;</t>
        </r>
      </text>
    </comment>
    <comment ref="C532" authorId="0" shapeId="0" xr:uid="{F51DFE0B-F687-4C69-9552-6136B9F8D4F9}">
      <text>
        <r>
          <rPr>
            <b/>
            <sz val="9"/>
            <color indexed="81"/>
            <rFont val="Tahoma"/>
            <family val="2"/>
          </rPr>
          <t>&lt;[[TCDeals] - [TC Property Current Stage (Seq: 1)] - [Property Score (Seq: 1)] Dev Char B - Both]&gt;</t>
        </r>
      </text>
    </comment>
    <comment ref="C533" authorId="0" shapeId="0" xr:uid="{FE2A68EE-8E21-4A90-B069-4A675555AFBE}">
      <text>
        <r>
          <rPr>
            <b/>
            <sz val="9"/>
            <color indexed="81"/>
            <rFont val="Tahoma"/>
            <family val="2"/>
          </rPr>
          <t>&lt;[[TCDeals] - [TC Property Current Stage (Seq: 1)] - [Property Score (Seq: 1)] Dev Char C - Both]&gt;</t>
        </r>
      </text>
    </comment>
    <comment ref="C534" authorId="0" shapeId="0" xr:uid="{15621177-C997-4938-BDCA-66B8D239B348}">
      <text>
        <r>
          <rPr>
            <b/>
            <sz val="9"/>
            <color indexed="81"/>
            <rFont val="Tahoma"/>
            <family val="2"/>
          </rPr>
          <t>&lt;[[TCDeals] - [TC Property Current Stage (Seq: 1)] - [Property Score (Seq: 1)] Dev Char D - Both]&gt;</t>
        </r>
      </text>
    </comment>
    <comment ref="C535" authorId="0" shapeId="0" xr:uid="{FE1B7283-91F0-4568-BFDC-D063F7236518}">
      <text>
        <r>
          <rPr>
            <b/>
            <sz val="9"/>
            <color indexed="81"/>
            <rFont val="Tahoma"/>
            <family val="2"/>
          </rPr>
          <t>&lt;[[TCDeals] - [TC Property Current Stage (Seq: 1)] - [Property Score (Seq: 1)] Dev Char E - Both]&gt;</t>
        </r>
      </text>
    </comment>
    <comment ref="C536" authorId="0" shapeId="0" xr:uid="{F0150116-2BCC-4321-94FF-F9A2B763586B}">
      <text>
        <r>
          <rPr>
            <b/>
            <sz val="9"/>
            <color indexed="81"/>
            <rFont val="Tahoma"/>
            <family val="2"/>
          </rPr>
          <t>&lt;[[TCDeals] - [TC Property Current Stage (Seq: 1)] - [Property Score (Seq: 1)] Dev Char F - Both]&gt;</t>
        </r>
      </text>
    </comment>
    <comment ref="C537" authorId="0" shapeId="0" xr:uid="{5BA58652-22C5-4970-82A9-CB217708F5D3}">
      <text>
        <r>
          <rPr>
            <b/>
            <sz val="9"/>
            <color indexed="81"/>
            <rFont val="Tahoma"/>
            <family val="2"/>
          </rPr>
          <t>&lt;[[TCDeals] - [TC Property Current Stage (Seq: 1)] - [Property Score (Seq: 1)] Dev Char G - Both]&gt;</t>
        </r>
      </text>
    </comment>
    <comment ref="C538" authorId="0" shapeId="0" xr:uid="{C9F7747B-DBBE-451D-9B77-DB27424C6EB6}">
      <text>
        <r>
          <rPr>
            <b/>
            <sz val="9"/>
            <color indexed="81"/>
            <rFont val="Tahoma"/>
            <family val="2"/>
          </rPr>
          <t>&lt;[[TCDeals] - [TC Property Current Stage (Seq: 1)] - [Property Score (Seq: 1)] Dev Char H - Both]&gt;</t>
        </r>
      </text>
    </comment>
    <comment ref="C539" authorId="0" shapeId="0" xr:uid="{8E9372FE-F4C9-46A5-A75C-FD7FEB766C59}">
      <text>
        <r>
          <rPr>
            <b/>
            <sz val="9"/>
            <color indexed="81"/>
            <rFont val="Tahoma"/>
            <family val="2"/>
          </rPr>
          <t>&lt;[[TCDeals] - [TC Property Current Stage (Seq: 1)] - [Property Score (Seq: 1)] Sponsor Char A - Both]&gt;</t>
        </r>
      </text>
    </comment>
    <comment ref="C540" authorId="0" shapeId="0" xr:uid="{262D8E22-B913-42AC-BB0B-B8D96467F5E4}">
      <text>
        <r>
          <rPr>
            <b/>
            <sz val="9"/>
            <color indexed="81"/>
            <rFont val="Tahoma"/>
            <family val="2"/>
          </rPr>
          <t>&lt;[[TCDeals] - [TC Property Current Stage (Seq: 1)] - [Property Score (Seq: 1)] Tenant Char A - Both]&gt;</t>
        </r>
      </text>
    </comment>
    <comment ref="C541" authorId="0" shapeId="0" xr:uid="{36D8DB5C-2664-4B23-A130-BF85C6DE4602}">
      <text>
        <r>
          <rPr>
            <b/>
            <sz val="9"/>
            <color indexed="81"/>
            <rFont val="Tahoma"/>
            <family val="2"/>
          </rPr>
          <t>&lt;[[TCDeals] - [TC Property Current Stage (Seq: 1)] - [Property Points (Seq: 1)] Applicant/Sponsor Organization - Both]&gt;</t>
        </r>
      </text>
    </comment>
    <comment ref="C542" authorId="0" shapeId="0" xr:uid="{4DD0E17E-7557-4456-BDD4-C94C8B277BEE}">
      <text>
        <r>
          <rPr>
            <b/>
            <sz val="9"/>
            <color indexed="81"/>
            <rFont val="Tahoma"/>
            <family val="2"/>
          </rPr>
          <t>&lt;[[TCDeals] - [TC Property Current Stage (Seq: 1)] - [Property Points (Seq: 1)] Applicant/Sponsor Contact First Name - Both]&gt;</t>
        </r>
      </text>
    </comment>
    <comment ref="C543" authorId="0" shapeId="0" xr:uid="{6A9603DA-99BD-4176-93F3-735250F44CEB}">
      <text>
        <r>
          <rPr>
            <b/>
            <sz val="9"/>
            <color indexed="81"/>
            <rFont val="Tahoma"/>
            <family val="2"/>
          </rPr>
          <t>&lt;[[TCDeals] - [TC Property Current Stage (Seq: 1)] - [Property Points (Seq: 1)] Applicant/Sponsor Contact Last Name - Both]&gt;</t>
        </r>
      </text>
    </comment>
    <comment ref="C544" authorId="0" shapeId="0" xr:uid="{4BFE5953-6A52-4A80-86B0-FC0EC792FA48}">
      <text>
        <r>
          <rPr>
            <b/>
            <sz val="9"/>
            <color indexed="81"/>
            <rFont val="Tahoma"/>
            <family val="2"/>
          </rPr>
          <t>&lt;[[TCDeals] - [TC Property Current Stage (Seq: 1)] - [Property Points (Seq: 1)] Applicant/Sponsor Address - Both]&gt;</t>
        </r>
      </text>
    </comment>
    <comment ref="C545" authorId="0" shapeId="0" xr:uid="{371CF4FB-342F-4CFD-9CCE-87CA8E3244DF}">
      <text>
        <r>
          <rPr>
            <b/>
            <sz val="9"/>
            <color indexed="81"/>
            <rFont val="Tahoma"/>
            <family val="2"/>
          </rPr>
          <t>&lt;[[TCDeals] - [TC Property Current Stage (Seq: 1)] - [Property Points (Seq: 1)] Applicant/Sponsor City - Both]&gt;</t>
        </r>
      </text>
    </comment>
    <comment ref="C546" authorId="0" shapeId="0" xr:uid="{58C76A72-4861-4FCE-8F84-554597FA7E75}">
      <text>
        <r>
          <rPr>
            <b/>
            <sz val="9"/>
            <color indexed="81"/>
            <rFont val="Tahoma"/>
            <family val="2"/>
          </rPr>
          <t>&lt;[[TCDeals] - [TC Property Current Stage (Seq: 1)] - [Property Points (Seq: 1)] Applicant/Sponsor Phone # - Both]&gt;</t>
        </r>
      </text>
    </comment>
    <comment ref="C547" authorId="0" shapeId="0" xr:uid="{98303806-5868-4A76-A283-72501F134484}">
      <text>
        <r>
          <rPr>
            <b/>
            <sz val="9"/>
            <color indexed="81"/>
            <rFont val="Tahoma"/>
            <family val="2"/>
          </rPr>
          <t>&lt;[[TCDeals] - [TC Property Current Stage (Seq: 1)] - [Property Points (Seq: 1)] Applicant/Sponsor Email - Both]&gt;</t>
        </r>
      </text>
    </comment>
    <comment ref="C548" authorId="0" shapeId="0" xr:uid="{0DC25B0F-4F9D-4E95-895A-4547BA9AAD1A}">
      <text>
        <r>
          <rPr>
            <b/>
            <sz val="9"/>
            <color indexed="81"/>
            <rFont val="Tahoma"/>
            <family val="2"/>
          </rPr>
          <t>&lt;[[TCDeals] - [TC Property Current Stage (Seq: 1)] - [Property Points (Seq: 1)] Applicant/Sponsor State - Both]&gt;</t>
        </r>
      </text>
    </comment>
    <comment ref="C549" authorId="0" shapeId="0" xr:uid="{6B990B07-186C-42B9-B4C6-F3F5A2647E4F}">
      <text>
        <r>
          <rPr>
            <b/>
            <sz val="9"/>
            <color indexed="81"/>
            <rFont val="Tahoma"/>
            <family val="2"/>
          </rPr>
          <t>&lt;[[TCDeals] - [TC Property Current Stage (Seq: 1)] - [Property Points (Seq: 1)] Applicant/Sponsor Zip Code - Both]&gt;</t>
        </r>
      </text>
    </comment>
    <comment ref="C550" authorId="1" shapeId="0" xr:uid="{C6C9B9C3-DE27-4335-AEED-6210C22D93BB}">
      <text>
        <r>
          <rPr>
            <b/>
            <sz val="9"/>
            <color indexed="81"/>
            <rFont val="Tahoma"/>
            <family val="2"/>
          </rPr>
          <t>&lt;[[TCDeals] - [TC Property Current Stage (Seq: 1)] - [Property Points (Seq: 1)] Applicant racial/ethnic composition - Both]&gt;</t>
        </r>
      </text>
    </comment>
    <comment ref="C551" authorId="1" shapeId="0" xr:uid="{EC3B12FC-51DA-4C77-BC2B-15698F0ED4B1}">
      <text>
        <r>
          <rPr>
            <b/>
            <sz val="9"/>
            <color indexed="81"/>
            <rFont val="Tahoma"/>
            <family val="2"/>
          </rPr>
          <t>&lt;[[TCDeals] - [TC Property Current Stage (Seq: 1)] - [Property Points (Seq: 1)] Applicant gender composition - Both]&gt;</t>
        </r>
      </text>
    </comment>
    <comment ref="C552" authorId="0" shapeId="0" xr:uid="{0026AAA0-53C4-40C6-BA68-B1913ABA62FC}">
      <text>
        <r>
          <rPr>
            <b/>
            <sz val="9"/>
            <color indexed="81"/>
            <rFont val="Tahoma"/>
            <family val="2"/>
          </rPr>
          <t>&lt;[[TCDeals] - [TC Property Current Stage (Seq: 1)] Owner Name - Both]&gt;</t>
        </r>
      </text>
    </comment>
    <comment ref="C553" authorId="0" shapeId="0" xr:uid="{848E222B-9285-4DA9-BC68-E31104221409}">
      <text>
        <r>
          <rPr>
            <b/>
            <sz val="9"/>
            <color indexed="81"/>
            <rFont val="Tahoma"/>
            <family val="2"/>
          </rPr>
          <t>&lt;[[TCDeals] - [TC Property Current Stage (Seq: 1)] Owner Contact First Name - Both]&gt;</t>
        </r>
      </text>
    </comment>
    <comment ref="C554" authorId="0" shapeId="0" xr:uid="{D5ABAD21-4075-40C5-85A6-A8C179D54BE9}">
      <text>
        <r>
          <rPr>
            <b/>
            <sz val="9"/>
            <color indexed="81"/>
            <rFont val="Tahoma"/>
            <family val="2"/>
          </rPr>
          <t>&lt;[[TCDeals] - [TC Property Current Stage (Seq: 1)] Owner Contact Last Name - Both]&gt;</t>
        </r>
      </text>
    </comment>
    <comment ref="C555" authorId="0" shapeId="0" xr:uid="{F4E2DD78-E409-44FA-9285-3D9DDFFFFA8D}">
      <text>
        <r>
          <rPr>
            <b/>
            <sz val="9"/>
            <color indexed="81"/>
            <rFont val="Tahoma"/>
            <family val="2"/>
          </rPr>
          <t>&lt;[[TCDeals] - [TC Property Current Stage (Seq: 1)] Owner Address - Both]&gt;</t>
        </r>
      </text>
    </comment>
    <comment ref="C556" authorId="0" shapeId="0" xr:uid="{EAF56B6A-E851-4DBF-9C1C-A6BE4188C67E}">
      <text>
        <r>
          <rPr>
            <b/>
            <sz val="9"/>
            <color indexed="81"/>
            <rFont val="Tahoma"/>
            <family val="2"/>
          </rPr>
          <t>&lt;[[TCDeals] - [TC Property Current Stage (Seq: 1)] Owner City - Both]&gt;</t>
        </r>
      </text>
    </comment>
    <comment ref="C557" authorId="0" shapeId="0" xr:uid="{CE2D0C61-3DA1-4229-A7E8-0948B6DF6945}">
      <text>
        <r>
          <rPr>
            <b/>
            <sz val="9"/>
            <color indexed="81"/>
            <rFont val="Tahoma"/>
            <family val="2"/>
          </rPr>
          <t>&lt;[[TCDeals] - [TC Property Current Stage (Seq: 1)] Owner State - Both]&gt;</t>
        </r>
      </text>
    </comment>
    <comment ref="C558" authorId="0" shapeId="0" xr:uid="{4C3C76FB-67D4-4644-877D-EACBA36FF85E}">
      <text>
        <r>
          <rPr>
            <b/>
            <sz val="9"/>
            <color indexed="81"/>
            <rFont val="Tahoma"/>
            <family val="2"/>
          </rPr>
          <t>&lt;[[TCDeals] - [TC Property Current Stage (Seq: 1)] Owner Zip - Both]&gt;</t>
        </r>
      </text>
    </comment>
    <comment ref="C559" authorId="0" shapeId="0" xr:uid="{E15A52A6-965C-4CD4-B2C6-BAA306262836}">
      <text>
        <r>
          <rPr>
            <b/>
            <sz val="9"/>
            <color indexed="81"/>
            <rFont val="Tahoma"/>
            <family val="2"/>
          </rPr>
          <t>&lt;[[TCDeals] - [TC Property Current Stage (Seq: 1)] Owner Fed Tax Id Number - Both]&gt;</t>
        </r>
      </text>
    </comment>
    <comment ref="C560" authorId="0" shapeId="0" xr:uid="{BA88CF6A-8EF4-48B8-B034-DD35AD45D0F9}">
      <text>
        <r>
          <rPr>
            <b/>
            <sz val="9"/>
            <color indexed="81"/>
            <rFont val="Tahoma"/>
            <family val="2"/>
          </rPr>
          <t>&lt;[[TCDeals] - [TC Property Current Stage (Seq: 1)] Owner Phone - Both]&gt;</t>
        </r>
      </text>
    </comment>
    <comment ref="C561" authorId="0" shapeId="0" xr:uid="{545AA95F-923A-4EC1-AB83-6BC7459AF30C}">
      <text>
        <r>
          <rPr>
            <b/>
            <sz val="9"/>
            <color indexed="81"/>
            <rFont val="Tahoma"/>
            <family val="2"/>
          </rPr>
          <t>&lt;[[TCDeals] - [TC Property Current Stage (Seq: 1)] Owner Email - Both]&gt;</t>
        </r>
      </text>
    </comment>
    <comment ref="C562" authorId="0" shapeId="0" xr:uid="{A210F44A-47F7-4993-A453-79D0E083A8C2}">
      <text>
        <r>
          <rPr>
            <b/>
            <sz val="9"/>
            <color indexed="81"/>
            <rFont val="Tahoma"/>
            <family val="2"/>
          </rPr>
          <t>&lt;[[TCDeals] - [TC Property Current Stage (Seq: 1)] - [Property Points (Seq: 1)] Optional Field 461 - Both]&gt;</t>
        </r>
      </text>
    </comment>
    <comment ref="C563"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64" authorId="1" shapeId="0" xr:uid="{419FAA1C-E74C-492B-A9E4-2E8200390C28}">
      <text>
        <r>
          <rPr>
            <b/>
            <sz val="9"/>
            <color indexed="81"/>
            <rFont val="Tahoma"/>
            <family val="2"/>
          </rPr>
          <t>&lt;[[TCDeals] - [TC Property Current Stage (Seq: 1)] - [Property Points (Seq: 1)] Owner racial/ethnic composition - Both]&gt;</t>
        </r>
      </text>
    </comment>
    <comment ref="C565" authorId="1" shapeId="0" xr:uid="{DBCC0DD1-B6C7-4BAC-B055-3B092AFBB15A}">
      <text>
        <r>
          <rPr>
            <b/>
            <sz val="9"/>
            <color indexed="81"/>
            <rFont val="Tahoma"/>
            <family val="2"/>
          </rPr>
          <t>&lt;[[TCDeals] - [TC Property Current Stage (Seq: 1)] - [Property Points (Seq: 1)] Owner gender composition - Both]&gt;</t>
        </r>
      </text>
    </comment>
    <comment ref="C566" authorId="0" shapeId="0" xr:uid="{273B7A1D-72B5-4093-8D8D-75C87B101C80}">
      <text>
        <r>
          <rPr>
            <b/>
            <sz val="9"/>
            <color indexed="81"/>
            <rFont val="Tahoma"/>
            <family val="2"/>
          </rPr>
          <t>&lt;[[TCDeals] - [TC Property Current Stage (Seq: 1)] Is Non Profit Involvement - Both]&gt;</t>
        </r>
      </text>
    </comment>
    <comment ref="C567" authorId="0" shapeId="0" xr:uid="{A8B2ACE7-7F92-4E77-927E-48E815F93D66}">
      <text>
        <r>
          <rPr>
            <b/>
            <sz val="9"/>
            <color indexed="81"/>
            <rFont val="Tahoma"/>
            <family val="2"/>
          </rPr>
          <t>&lt;[[TCDeals] - [TC Property Current Stage (Seq: 1)] Contractor Contact Name - Both]&gt;</t>
        </r>
      </text>
    </comment>
    <comment ref="C568" authorId="0" shapeId="0" xr:uid="{628FC45C-2678-49F8-8C22-AEB13FB5A7AD}">
      <text>
        <r>
          <rPr>
            <b/>
            <sz val="9"/>
            <color indexed="81"/>
            <rFont val="Tahoma"/>
            <family val="2"/>
          </rPr>
          <t>&lt;[[TCDeals] - [TC Property Current Stage (Seq: 1)] Contractor Firm Name - Both]&gt;</t>
        </r>
      </text>
    </comment>
    <comment ref="C569" authorId="0" shapeId="0" xr:uid="{CAC11E6E-29BC-4D34-9539-B6A63E008401}">
      <text>
        <r>
          <rPr>
            <b/>
            <sz val="9"/>
            <color indexed="81"/>
            <rFont val="Tahoma"/>
            <family val="2"/>
          </rPr>
          <t>&lt;[[TCDeals] - [TC Property Current Stage (Seq: 1)] Mgt Entity Contact Name - Both]&gt;</t>
        </r>
      </text>
    </comment>
    <comment ref="C570" authorId="0" shapeId="0" xr:uid="{B6240601-6202-40A7-949E-075F66939438}">
      <text>
        <r>
          <rPr>
            <b/>
            <sz val="9"/>
            <color indexed="81"/>
            <rFont val="Tahoma"/>
            <family val="2"/>
          </rPr>
          <t>&lt;[[TCDeals] - [TC Property Current Stage (Seq: 1)] Mgt Entity Firm Name - Both]&gt;</t>
        </r>
      </text>
    </comment>
    <comment ref="C571" authorId="0" shapeId="0" xr:uid="{7CD96426-6957-4D5E-8BA1-8B85243CE4F2}">
      <text>
        <r>
          <rPr>
            <b/>
            <sz val="9"/>
            <color indexed="81"/>
            <rFont val="Tahoma"/>
            <family val="2"/>
          </rPr>
          <t>&lt;[[TCDeals] - [TC Property Current Stage (Seq: 1)] - [Property Points (Seq: 1)] Management Contact Email - Both]&gt;</t>
        </r>
      </text>
    </comment>
    <comment ref="C572" authorId="0" shapeId="0" xr:uid="{27B6FD8C-676B-403A-99D7-A5372701F792}">
      <text>
        <r>
          <rPr>
            <b/>
            <sz val="9"/>
            <color indexed="81"/>
            <rFont val="Tahoma"/>
            <family val="2"/>
          </rPr>
          <t>&lt;[[TCDeals] - [TC Property Current Stage (Seq: 1)] - [Property Points (Seq: 1)] Management Contact Phone - Both]&gt;</t>
        </r>
      </text>
    </comment>
    <comment ref="C573" authorId="0" shapeId="0" xr:uid="{50E955D9-514A-4F25-BE2E-6213CEC174D4}">
      <text>
        <r>
          <rPr>
            <b/>
            <sz val="9"/>
            <color indexed="81"/>
            <rFont val="Tahoma"/>
            <family val="2"/>
          </rPr>
          <t>&lt;[[TCDeals] - [TC Property Current Stage (Seq: 1)] Consultant Contact Name - Both]&gt;</t>
        </r>
      </text>
    </comment>
    <comment ref="C574" authorId="0" shapeId="0" xr:uid="{3EF8CBB4-2961-42D3-8169-130F791592C1}">
      <text>
        <r>
          <rPr>
            <b/>
            <sz val="9"/>
            <color indexed="81"/>
            <rFont val="Tahoma"/>
            <family val="2"/>
          </rPr>
          <t>&lt;[[TCDeals] - [TC Property Current Stage (Seq: 1)] Consultant Firm Name - Both]&gt;</t>
        </r>
      </text>
    </comment>
    <comment ref="C575" authorId="0" shapeId="0" xr:uid="{8171FBCE-8C72-4F9B-ACF4-19FF8B045EDD}">
      <text>
        <r>
          <rPr>
            <b/>
            <sz val="9"/>
            <color indexed="81"/>
            <rFont val="Tahoma"/>
            <family val="2"/>
          </rPr>
          <t>&lt;[[TCDeals] - [TC Property Current Stage (Seq: 1)] Tax Accountant Contact Name - Both]&gt;</t>
        </r>
      </text>
    </comment>
    <comment ref="C576" authorId="0" shapeId="0" xr:uid="{09DC72B1-E02E-42E7-B542-623BC09D945C}">
      <text>
        <r>
          <rPr>
            <b/>
            <sz val="9"/>
            <color indexed="81"/>
            <rFont val="Tahoma"/>
            <family val="2"/>
          </rPr>
          <t>&lt;[[TCDeals] - [TC Property Current Stage (Seq: 1)] Tax Accountant Firm Name - Both]&gt;</t>
        </r>
      </text>
    </comment>
    <comment ref="C577" authorId="0" shapeId="0" xr:uid="{FA778CCA-3A6B-4F0C-A66F-B459BA29E01B}">
      <text>
        <r>
          <rPr>
            <b/>
            <sz val="9"/>
            <color indexed="81"/>
            <rFont val="Tahoma"/>
            <family val="2"/>
          </rPr>
          <t>&lt;[[TCDeals] - [TC Property Current Stage (Seq: 1)] Architect Contact Name - Both]&gt;</t>
        </r>
      </text>
    </comment>
    <comment ref="C578" authorId="0" shapeId="0" xr:uid="{9D437406-7403-4242-8320-9173ADCF6AC9}">
      <text>
        <r>
          <rPr>
            <b/>
            <sz val="9"/>
            <color indexed="81"/>
            <rFont val="Tahoma"/>
            <family val="2"/>
          </rPr>
          <t>&lt;[[TCDeals] - [TC Property Current Stage (Seq: 1)] Architect Firm Name - Both]&gt;</t>
        </r>
      </text>
    </comment>
    <comment ref="C579" authorId="0" shapeId="0" xr:uid="{4937C3F5-DFED-4235-BABD-698BDB1F30C5}">
      <text>
        <r>
          <rPr>
            <b/>
            <sz val="9"/>
            <color indexed="81"/>
            <rFont val="Tahoma"/>
            <family val="2"/>
          </rPr>
          <t>&lt;[[TCDeals] - [TC Property Current Stage (Seq: 1)] Non Profit Name - Both]&gt;</t>
        </r>
      </text>
    </comment>
    <comment ref="C580" authorId="0" shapeId="0" xr:uid="{8929D144-BBBB-4FA5-9DC3-5F03D538CD88}">
      <text>
        <r>
          <rPr>
            <b/>
            <sz val="9"/>
            <color indexed="81"/>
            <rFont val="Tahoma"/>
            <family val="2"/>
          </rPr>
          <t>&lt;[[TCDeals] - [TC Property Current Stage (Seq: 1)] Syndicator - Both]&gt;</t>
        </r>
      </text>
    </comment>
    <comment ref="C581" authorId="0" shapeId="0" xr:uid="{56840161-5368-4042-9DC2-8311E0472197}">
      <text>
        <r>
          <rPr>
            <b/>
            <sz val="9"/>
            <color indexed="81"/>
            <rFont val="Tahoma"/>
            <family val="2"/>
          </rPr>
          <t>&lt;[[TCDeals] - [TC Property Current Stage (Seq: 1)] - [Property Points (Seq: 1)] 3rd Party Estimator Name - Both]&gt;</t>
        </r>
      </text>
    </comment>
    <comment ref="C582" authorId="1" shapeId="0" xr:uid="{FB489BCF-A96E-42DE-AEC0-C5987E4F0981}">
      <text>
        <r>
          <rPr>
            <b/>
            <sz val="9"/>
            <color indexed="81"/>
            <rFont val="Tahoma"/>
            <family val="2"/>
          </rPr>
          <t>&lt;[[TCDeals] - [TC Property Current Stage (Seq: 1)] - [Property Points (Seq: 1)] Construction Lender - Both]&gt;</t>
        </r>
      </text>
    </comment>
    <comment ref="C583" authorId="1" shapeId="0" xr:uid="{AA98BEC9-756A-4FAF-A87F-D8CF9C350D28}">
      <text>
        <r>
          <rPr>
            <b/>
            <sz val="9"/>
            <color indexed="81"/>
            <rFont val="Tahoma"/>
            <family val="2"/>
          </rPr>
          <t>&lt;[[TCDeals] - [TC Property Current Stage (Seq: 1)] - [Property Points (Seq: 1)] Developer Org - Both]&gt;</t>
        </r>
      </text>
    </comment>
    <comment ref="C584" authorId="1" shapeId="0" xr:uid="{777B80A7-E753-4D8E-BBC0-50C1885414AE}">
      <text>
        <r>
          <rPr>
            <b/>
            <sz val="9"/>
            <color indexed="81"/>
            <rFont val="Tahoma"/>
            <family val="2"/>
          </rPr>
          <t>&lt;[[TCDeals] - [TC Property Current Stage (Seq: 1)] - [Property Points (Seq: 1)] Developer First Name - Both]&gt;</t>
        </r>
      </text>
    </comment>
    <comment ref="C585" authorId="1" shapeId="0" xr:uid="{7F5AB4D4-9C0F-4692-8D75-0E2287DA293A}">
      <text>
        <r>
          <rPr>
            <b/>
            <sz val="9"/>
            <color indexed="81"/>
            <rFont val="Tahoma"/>
            <family val="2"/>
          </rPr>
          <t>&lt;[[TCDeals] - [TC Property Current Stage (Seq: 1)] - [Property Points (Seq: 1)] Developer Last Name - Both]&gt;</t>
        </r>
      </text>
    </comment>
    <comment ref="C586" authorId="1" shapeId="0" xr:uid="{FF65BFD0-3C43-478A-B911-282FEF0A1ACA}">
      <text>
        <r>
          <rPr>
            <b/>
            <sz val="9"/>
            <color indexed="81"/>
            <rFont val="Tahoma"/>
            <family val="2"/>
          </rPr>
          <t>&lt;[[TCDeals] - [TC Property Current Stage (Seq: 1)] - [Property Points (Seq: 1)] Developer Phone - Both]&gt;</t>
        </r>
      </text>
    </comment>
    <comment ref="C587" authorId="1" shapeId="0" xr:uid="{E654BB81-C703-4717-875E-9646D4A4E202}">
      <text>
        <r>
          <rPr>
            <b/>
            <sz val="9"/>
            <color indexed="81"/>
            <rFont val="Tahoma"/>
            <family val="2"/>
          </rPr>
          <t>&lt;[[TCDeals] - [TC Property Current Stage (Seq: 1)] - [Property Points (Seq: 1)] Developer Email - Both]&gt;</t>
        </r>
      </text>
    </comment>
    <comment ref="C588"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589" authorId="1" shapeId="0" xr:uid="{57D75772-0382-4B34-AF91-0A40D344F61C}">
      <text>
        <r>
          <rPr>
            <b/>
            <sz val="9"/>
            <color indexed="81"/>
            <rFont val="Tahoma"/>
            <family val="2"/>
          </rPr>
          <t>&lt;[[TCDeals] - [TC Property Current Stage (Seq: 1)] - [Property Points (Seq: 1)] Developer racial/ethnic composition - Both]&gt;</t>
        </r>
      </text>
    </comment>
    <comment ref="C590" authorId="1" shapeId="0" xr:uid="{54C25C53-32DD-4C70-A4CD-FB78BA253007}">
      <text>
        <r>
          <rPr>
            <b/>
            <sz val="9"/>
            <color indexed="81"/>
            <rFont val="Tahoma"/>
            <family val="2"/>
          </rPr>
          <t>&lt;[[TCDeals] - [TC Property Current Stage (Seq: 1)] - [Property Points (Seq: 1)] Developer gender composition - Both]&gt;</t>
        </r>
      </text>
    </comment>
    <comment ref="C591" authorId="1" shapeId="0" xr:uid="{9E201594-482C-48CC-90DE-7643B301553C}">
      <text>
        <r>
          <rPr>
            <b/>
            <sz val="9"/>
            <color indexed="81"/>
            <rFont val="Tahoma"/>
            <family val="2"/>
          </rPr>
          <t>&lt;[[TCDeals] - [TC Property Current Stage (Seq: 1)] - [Property Points (Seq: 1)] General Partner Contact to be Published Org - Both]&gt;</t>
        </r>
      </text>
    </comment>
    <comment ref="C592"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593"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594" authorId="1" shapeId="0" xr:uid="{19A9BB75-F94D-4382-8A14-2C13E4633FCA}">
      <text>
        <r>
          <rPr>
            <b/>
            <sz val="9"/>
            <color indexed="81"/>
            <rFont val="Tahoma"/>
            <family val="2"/>
          </rPr>
          <t>&lt;[[TCDeals] - [TC Property Current Stage (Seq: 1)] - [Property Points (Seq: 1)] General Partner Contact to be Published Phone - Both]&gt;</t>
        </r>
      </text>
    </comment>
    <comment ref="C595" authorId="1" shapeId="0" xr:uid="{206BD5BB-489B-4BF9-A90E-FA65009267EF}">
      <text>
        <r>
          <rPr>
            <b/>
            <sz val="9"/>
            <color indexed="81"/>
            <rFont val="Tahoma"/>
            <family val="2"/>
          </rPr>
          <t>&lt;[[TCDeals] - [TC Property Current Stage (Seq: 1)] - [Property Points (Seq: 1)] General Partner Contact to be Published Email - Both]&gt;</t>
        </r>
      </text>
    </comment>
    <comment ref="C596"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597" authorId="1" shapeId="0" xr:uid="{CF8DD938-A0F4-4E34-AC3F-B824F56AA3C7}">
      <text>
        <r>
          <rPr>
            <b/>
            <sz val="9"/>
            <color indexed="81"/>
            <rFont val="Tahoma"/>
            <family val="2"/>
          </rPr>
          <t>&lt;[[TCDeals] - [TC Property Current Stage (Seq: 1)] - [Property Points (Seq: 1)] General Partner racial/ethnic composition - Both]&gt;</t>
        </r>
      </text>
    </comment>
    <comment ref="C598" authorId="1" shapeId="0" xr:uid="{6FD768CE-06AB-4360-988E-9E994FA1DBEF}">
      <text>
        <r>
          <rPr>
            <b/>
            <sz val="9"/>
            <color indexed="81"/>
            <rFont val="Tahoma"/>
            <family val="2"/>
          </rPr>
          <t>&lt;[[TCDeals] - [TC Property Current Stage (Seq: 1)] - [Property Points (Seq: 1)] General Partner gender composition - Both]&gt;</t>
        </r>
      </text>
    </comment>
    <comment ref="C599" authorId="1" shapeId="0" xr:uid="{5092696D-678F-4449-A1C9-3F868202DD61}">
      <text>
        <r>
          <rPr>
            <b/>
            <sz val="9"/>
            <color indexed="81"/>
            <rFont val="Tahoma"/>
            <family val="2"/>
          </rPr>
          <t>&lt;[[TCDeals] - [TC Property Current Stage (Seq: 1)] - [Property Points (Seq: 1)] Syndicator Organization Name - Both]&gt;</t>
        </r>
      </text>
    </comment>
    <comment ref="C600" authorId="1" shapeId="0" xr:uid="{85EC2D7D-32EF-401F-A644-767B3F1080E7}">
      <text>
        <r>
          <rPr>
            <b/>
            <sz val="9"/>
            <color indexed="81"/>
            <rFont val="Tahoma"/>
            <family val="2"/>
          </rPr>
          <t>&lt;[[TCDeals] - [TC Property Current Stage (Seq: 1)] - [Property Points (Seq: 1)] Syndicator Contact Name - Both]&gt;</t>
        </r>
      </text>
    </comment>
    <comment ref="C601" authorId="1" shapeId="0" xr:uid="{A391D110-EFC7-47C8-941A-21158A24E605}">
      <text>
        <r>
          <rPr>
            <b/>
            <sz val="9"/>
            <color indexed="81"/>
            <rFont val="Tahoma"/>
            <family val="2"/>
          </rPr>
          <t>&lt;[[TCDeals] - [TC Property Current Stage (Seq: 1)] - [Property Points (Seq: 1)] Syndicator Last Name - Both]&gt;</t>
        </r>
      </text>
    </comment>
    <comment ref="C602" authorId="1" shapeId="0" xr:uid="{0B997B97-5BA6-4B99-90A8-EB37E83F2995}">
      <text>
        <r>
          <rPr>
            <b/>
            <sz val="9"/>
            <color indexed="81"/>
            <rFont val="Tahoma"/>
            <family val="2"/>
          </rPr>
          <t>&lt;[[TCDeals] - [TC Property Current Stage (Seq: 1)] - [Property Points (Seq: 1)] Syndicator Phone - Both]&gt;</t>
        </r>
      </text>
    </comment>
    <comment ref="C603" authorId="1" shapeId="0" xr:uid="{8B078BEA-B400-4A48-9042-553815049125}">
      <text>
        <r>
          <rPr>
            <b/>
            <sz val="9"/>
            <color indexed="81"/>
            <rFont val="Tahoma"/>
            <family val="2"/>
          </rPr>
          <t>&lt;[[TCDeals] - [TC Property Current Stage (Seq: 1)] - [Property Points (Seq: 1)] Syndicator Email - Both]&gt;</t>
        </r>
      </text>
    </comment>
    <comment ref="C604" authorId="1" shapeId="0" xr:uid="{AFA77B92-B682-4641-88AD-E5968561E516}">
      <text>
        <r>
          <rPr>
            <b/>
            <sz val="9"/>
            <color indexed="81"/>
            <rFont val="Tahoma"/>
            <family val="2"/>
          </rPr>
          <t>&lt;[[TCDeals] - [TC Property Current Stage (Seq: 1)] - [Property Points (Seq: 1)] State TC Syndicator/Investor Org - Both]&gt;</t>
        </r>
      </text>
    </comment>
    <comment ref="C605" authorId="1" shapeId="0" xr:uid="{8CAA10B3-3E52-4326-8937-8E45E0627C4F}">
      <text>
        <r>
          <rPr>
            <b/>
            <sz val="9"/>
            <color indexed="81"/>
            <rFont val="Tahoma"/>
            <family val="2"/>
          </rPr>
          <t>&lt;[[TCDeals] - [TC Property Current Stage (Seq: 1)] - [Property Points (Seq: 1)] State TC Syndicator/Investor Contact First Name - Both]&gt;</t>
        </r>
      </text>
    </comment>
    <comment ref="C606" authorId="1" shapeId="0" xr:uid="{3EC62541-0477-486F-A9AA-899F579E7CFE}">
      <text>
        <r>
          <rPr>
            <b/>
            <sz val="9"/>
            <color indexed="81"/>
            <rFont val="Tahoma"/>
            <family val="2"/>
          </rPr>
          <t>&lt;[[TCDeals] - [TC Property Current Stage (Seq: 1)] - [Property Points (Seq: 1)] State TC Syndicator/Investor Contact Last Name - Both]&gt;</t>
        </r>
      </text>
    </comment>
    <comment ref="C607" authorId="1" shapeId="0" xr:uid="{54898643-92E4-43C6-998F-4CBF7013B5D2}">
      <text>
        <r>
          <rPr>
            <b/>
            <sz val="9"/>
            <color indexed="81"/>
            <rFont val="Tahoma"/>
            <family val="2"/>
          </rPr>
          <t>&lt;[[TCDeals] - [TC Property Current Stage (Seq: 1)] - [Property Points (Seq: 1)] State TC Syndicator/Investor Phone - Both]&gt;</t>
        </r>
      </text>
    </comment>
    <comment ref="C608" authorId="1" shapeId="0" xr:uid="{FDADAB36-6843-491C-B4AE-6F0AD0F52CDB}">
      <text>
        <r>
          <rPr>
            <b/>
            <sz val="9"/>
            <color indexed="81"/>
            <rFont val="Tahoma"/>
            <family val="2"/>
          </rPr>
          <t>&lt;[[TCDeals] - [TC Property Current Stage (Seq: 1)] - [Property Points (Seq: 1)] State TC Syndicator/Investor Email - Both]&gt;</t>
        </r>
      </text>
    </comment>
    <comment ref="C609" authorId="1" shapeId="0" xr:uid="{DBEE0EC4-3EF9-4BDE-9AB4-BCAF3CD345F3}">
      <text>
        <r>
          <rPr>
            <b/>
            <sz val="9"/>
            <color indexed="81"/>
            <rFont val="Tahoma"/>
            <family val="2"/>
          </rPr>
          <t>&lt;[[TCDeals] - [TC Property Current Stage (Seq: 1)] - [Property Points (Seq: 1)] 3rd Party Estimator Org - Both]&gt;</t>
        </r>
      </text>
    </comment>
    <comment ref="C610" authorId="1" shapeId="0" xr:uid="{D70F9DA8-7AE0-4A23-B19C-3A07DB78F948}">
      <text>
        <r>
          <rPr>
            <b/>
            <sz val="9"/>
            <color indexed="81"/>
            <rFont val="Tahoma"/>
            <family val="2"/>
          </rPr>
          <t>&lt;[[TCDeals] - [TC Property Current Stage (Seq: 1)] - [Property Points (Seq: 1)] 3rd Party Estimator Contact First Name - Both]&gt;</t>
        </r>
      </text>
    </comment>
    <comment ref="C611" authorId="1" shapeId="0" xr:uid="{7171C5DD-C9E2-4F06-82B6-B24D4129AFAF}">
      <text>
        <r>
          <rPr>
            <b/>
            <sz val="9"/>
            <color indexed="81"/>
            <rFont val="Tahoma"/>
            <family val="2"/>
          </rPr>
          <t>&lt;[[TCDeals] - [TC Property Current Stage (Seq: 1)] - [Property Points (Seq: 1)] 3rd Party Estimator Contact Last Name - Both]&gt;</t>
        </r>
      </text>
    </comment>
    <comment ref="C612" authorId="1" shapeId="0" xr:uid="{03A3A0C2-22D7-48AE-A8BE-B9EBDD76BCAF}">
      <text>
        <r>
          <rPr>
            <b/>
            <sz val="9"/>
            <color indexed="81"/>
            <rFont val="Tahoma"/>
            <family val="2"/>
          </rPr>
          <t>&lt;[[TCDeals] - [TC Property Current Stage (Seq: 1)] - [Property Points (Seq: 1)] 3rd Party Estimator Contact Phone - Both]&gt;</t>
        </r>
      </text>
    </comment>
    <comment ref="C613" authorId="1" shapeId="0" xr:uid="{B63E7A72-AD8E-4D69-8621-53A6CDC52FB8}">
      <text>
        <r>
          <rPr>
            <b/>
            <sz val="9"/>
            <color indexed="81"/>
            <rFont val="Tahoma"/>
            <family val="2"/>
          </rPr>
          <t>&lt;[[TCDeals] - [TC Property Current Stage (Seq: 1)] - [Property Points (Seq: 1)] 3rd Party Estimator Email - Both]&gt;</t>
        </r>
      </text>
    </comment>
    <comment ref="C614" authorId="1" shapeId="0" xr:uid="{5CCE21FB-E2C3-448D-A753-4604281AA248}">
      <text>
        <r>
          <rPr>
            <b/>
            <sz val="9"/>
            <color indexed="81"/>
            <rFont val="Tahoma"/>
            <family val="2"/>
          </rPr>
          <t>&lt;[[TCDeals] - [TC Property Current Stage (Seq: 1)] - [Property Points (Seq: 1)] Contractor/General Contractor Org - Both]&gt;</t>
        </r>
      </text>
    </comment>
    <comment ref="C615" authorId="1" shapeId="0" xr:uid="{E89ADA1C-7C6E-4D57-B953-1AD1F70EF865}">
      <text>
        <r>
          <rPr>
            <b/>
            <sz val="9"/>
            <color indexed="81"/>
            <rFont val="Tahoma"/>
            <family val="2"/>
          </rPr>
          <t>&lt;[[TCDeals] - [TC Property Current Stage (Seq: 1)] - [Property Points (Seq: 1)] Contractor/General Contractor First Name - Both]&gt;</t>
        </r>
      </text>
    </comment>
    <comment ref="C616" authorId="1" shapeId="0" xr:uid="{E51FE537-F30D-4A5E-AEC8-6132F883FB61}">
      <text>
        <r>
          <rPr>
            <b/>
            <sz val="9"/>
            <color indexed="81"/>
            <rFont val="Tahoma"/>
            <family val="2"/>
          </rPr>
          <t>&lt;[[TCDeals] - [TC Property Current Stage (Seq: 1)] - [Property Points (Seq: 1)] Contractor/General Contractor Last Name - Both]&gt;</t>
        </r>
      </text>
    </comment>
    <comment ref="C617" authorId="1" shapeId="0" xr:uid="{CBB73AE4-1405-473C-AF1D-5AFD026EC9AF}">
      <text>
        <r>
          <rPr>
            <b/>
            <sz val="9"/>
            <color indexed="81"/>
            <rFont val="Tahoma"/>
            <family val="2"/>
          </rPr>
          <t>&lt;[[TCDeals] - [TC Property Current Stage (Seq: 1)] - [Property Points (Seq: 1)] Contractor/General Contractor Phone - Both]&gt;</t>
        </r>
      </text>
    </comment>
    <comment ref="C618" authorId="1" shapeId="0" xr:uid="{4DD3AFEE-7A02-4A75-88F4-C10FED3360BC}">
      <text>
        <r>
          <rPr>
            <b/>
            <sz val="9"/>
            <color indexed="81"/>
            <rFont val="Tahoma"/>
            <family val="2"/>
          </rPr>
          <t>&lt;[[TCDeals] - [TC Property Current Stage (Seq: 1)] - [Property Points (Seq: 1)] Contractor/General Contractor Email - Both]&gt;</t>
        </r>
      </text>
    </comment>
    <comment ref="C619"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20" authorId="1" shapeId="0" xr:uid="{31AE60CB-DA84-41EA-B7D0-D8E50B734457}">
      <text>
        <r>
          <rPr>
            <b/>
            <sz val="9"/>
            <color indexed="81"/>
            <rFont val="Tahoma"/>
            <family val="2"/>
          </rPr>
          <t>&lt;[[TCDeals] - [TC Property Current Stage (Seq: 1)] - [Property Points (Seq: 1)] General Contractor racial/ethnic composition - Both]&gt;</t>
        </r>
      </text>
    </comment>
    <comment ref="C621" authorId="1" shapeId="0" xr:uid="{E3C807B1-0E0E-4005-8875-4FEB8A6891D2}">
      <text>
        <r>
          <rPr>
            <b/>
            <sz val="9"/>
            <color indexed="81"/>
            <rFont val="Tahoma"/>
            <family val="2"/>
          </rPr>
          <t>&lt;[[TCDeals] - [TC Property Current Stage (Seq: 1)] - [Property Points (Seq: 1)] General Contractor gender composition - Both]&gt;</t>
        </r>
      </text>
    </comment>
    <comment ref="C622" authorId="1" shapeId="0" xr:uid="{366E358B-6101-4F82-87B9-E2FCF07A1941}">
      <text>
        <r>
          <rPr>
            <b/>
            <sz val="9"/>
            <color indexed="81"/>
            <rFont val="Tahoma"/>
            <family val="2"/>
          </rPr>
          <t>&lt;[[TCDeals] - [TC Property Current Stage (Seq: 1)] - [Property Points (Seq: 1)] Management Company/Management Agent  Org - Both]&gt;</t>
        </r>
      </text>
    </comment>
    <comment ref="C623"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24"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25" authorId="1" shapeId="0" xr:uid="{04BE1A25-A2A5-4AEC-8841-5BBD43991793}">
      <text>
        <r>
          <rPr>
            <b/>
            <sz val="9"/>
            <color indexed="81"/>
            <rFont val="Tahoma"/>
            <family val="2"/>
          </rPr>
          <t>&lt;[[TCDeals] - [TC Property Current Stage (Seq: 1)] - [Property Points (Seq: 1)] Management Company/Management Agent Phone - Both]&gt;</t>
        </r>
      </text>
    </comment>
    <comment ref="C626" authorId="1" shapeId="0" xr:uid="{6E208DBF-1164-41E8-9A7E-CB3341087872}">
      <text>
        <r>
          <rPr>
            <b/>
            <sz val="9"/>
            <color indexed="81"/>
            <rFont val="Tahoma"/>
            <family val="2"/>
          </rPr>
          <t>&lt;[[TCDeals] - [TC Property Current Stage (Seq: 1)] - [Property Points (Seq: 1)] Management Company/Management Agent email - Both]&gt;</t>
        </r>
      </text>
    </comment>
    <comment ref="C627" authorId="1" shapeId="0" xr:uid="{8E7DB5E3-E602-46F3-AC95-93138358023D}">
      <text>
        <r>
          <rPr>
            <b/>
            <sz val="9"/>
            <color indexed="81"/>
            <rFont val="Tahoma"/>
            <family val="2"/>
          </rPr>
          <t>&lt;[[TCDeals] - [TC Property Current Stage (Seq: 1)] - [Property Points (Seq: 1)] Consultant Org - Both]&gt;</t>
        </r>
      </text>
    </comment>
    <comment ref="C628" authorId="1" shapeId="0" xr:uid="{A49B77C7-AC88-4AC8-8B1C-3B1BDAAA6EF7}">
      <text>
        <r>
          <rPr>
            <b/>
            <sz val="9"/>
            <color indexed="81"/>
            <rFont val="Tahoma"/>
            <family val="2"/>
          </rPr>
          <t>&lt;[[TCDeals] - [TC Property Current Stage (Seq: 1)] - [Property Points (Seq: 1)] Consultant Contact First Name - Both]&gt;</t>
        </r>
      </text>
    </comment>
    <comment ref="C629" authorId="1" shapeId="0" xr:uid="{25F17FD6-EEC3-4326-BDD6-61123655737D}">
      <text>
        <r>
          <rPr>
            <b/>
            <sz val="9"/>
            <color indexed="81"/>
            <rFont val="Tahoma"/>
            <family val="2"/>
          </rPr>
          <t>&lt;[[TCDeals] - [TC Property Current Stage (Seq: 1)] - [Property Points (Seq: 1)] Consultant Contact Last Name - Both]&gt;</t>
        </r>
      </text>
    </comment>
    <comment ref="C630" authorId="1" shapeId="0" xr:uid="{B46F8E3E-31A7-4165-8EB3-312DADCB64BA}">
      <text>
        <r>
          <rPr>
            <b/>
            <sz val="9"/>
            <color indexed="81"/>
            <rFont val="Tahoma"/>
            <family val="2"/>
          </rPr>
          <t>&lt;[[TCDeals] - [TC Property Current Stage (Seq: 1)] - [Property Points (Seq: 1)] Consultant phone - Both]&gt;</t>
        </r>
      </text>
    </comment>
    <comment ref="C631" authorId="1" shapeId="0" xr:uid="{BA7B896B-2EFC-4203-B6A7-BA64B4546240}">
      <text>
        <r>
          <rPr>
            <b/>
            <sz val="9"/>
            <color indexed="81"/>
            <rFont val="Tahoma"/>
            <family val="2"/>
          </rPr>
          <t>&lt;[[TCDeals] - [TC Property Current Stage (Seq: 1)] - [Property Points (Seq: 1)] Consultant email - Both]&gt;</t>
        </r>
      </text>
    </comment>
    <comment ref="C632" authorId="1" shapeId="0" xr:uid="{E933E579-E466-4456-8531-D6A2DF3A2BF3}">
      <text>
        <r>
          <rPr>
            <b/>
            <sz val="9"/>
            <color indexed="81"/>
            <rFont val="Tahoma"/>
            <family val="2"/>
          </rPr>
          <t>&lt;[[TCDeals] - [TC Property Current Stage (Seq: 1)] - [Property Points (Seq: 1)] Consultant 2 Org Name - Both]&gt;</t>
        </r>
      </text>
    </comment>
    <comment ref="C633" authorId="1" shapeId="0" xr:uid="{654316A3-9DA9-4174-A02D-1243325FD3B3}">
      <text>
        <r>
          <rPr>
            <b/>
            <sz val="9"/>
            <color indexed="81"/>
            <rFont val="Tahoma"/>
            <family val="2"/>
          </rPr>
          <t>&lt;[[TCDeals] - [TC Property Current Stage (Seq: 1)] - [Property Points (Seq: 1)] Consultant 2 Contact First Name - Both]&gt;</t>
        </r>
      </text>
    </comment>
    <comment ref="C634" authorId="1" shapeId="0" xr:uid="{2BE98CCD-A1BC-4579-B184-8CD305E5639D}">
      <text>
        <r>
          <rPr>
            <b/>
            <sz val="9"/>
            <color indexed="81"/>
            <rFont val="Tahoma"/>
            <family val="2"/>
          </rPr>
          <t>&lt;[[TCDeals] - [TC Property Current Stage (Seq: 1)] - [Property Points (Seq: 1)] Consultant 2 Contact Last Name - Both]&gt;</t>
        </r>
      </text>
    </comment>
    <comment ref="C635" authorId="1" shapeId="0" xr:uid="{E50B5B3F-4AE9-49BD-B9FE-8DDC50382938}">
      <text>
        <r>
          <rPr>
            <b/>
            <sz val="9"/>
            <color indexed="81"/>
            <rFont val="Tahoma"/>
            <family val="2"/>
          </rPr>
          <t>&lt;[[TCDeals] - [TC Property Current Stage (Seq: 1)] - [Property Points (Seq: 1)] Consultant 2 Phone - Both]&gt;</t>
        </r>
      </text>
    </comment>
    <comment ref="C636" authorId="1" shapeId="0" xr:uid="{E81139CE-C2F5-456C-9F74-2DE52C832CAE}">
      <text>
        <r>
          <rPr>
            <b/>
            <sz val="9"/>
            <color indexed="81"/>
            <rFont val="Tahoma"/>
            <family val="2"/>
          </rPr>
          <t>&lt;[[TCDeals] - [TC Property Current Stage (Seq: 1)] - [Property Points (Seq: 1)] Consultant 2 Email - Both]&gt;</t>
        </r>
      </text>
    </comment>
    <comment ref="C638" authorId="1" shapeId="0" xr:uid="{30700B53-7A52-4443-9325-C8A26EA9A3FC}">
      <text>
        <r>
          <rPr>
            <b/>
            <sz val="9"/>
            <color indexed="81"/>
            <rFont val="Tahoma"/>
            <family val="2"/>
          </rPr>
          <t>&lt;[[TCDeals] - [TC Property Current Stage (Seq: 1)] - [Property Points (Seq: 1)] Consultant 3 Org Name - Both]&gt;</t>
        </r>
      </text>
    </comment>
    <comment ref="C639" authorId="1" shapeId="0" xr:uid="{EFA89C30-75FD-4D81-9B3F-B79C49EBB738}">
      <text>
        <r>
          <rPr>
            <b/>
            <sz val="9"/>
            <color indexed="81"/>
            <rFont val="Tahoma"/>
            <family val="2"/>
          </rPr>
          <t>&lt;[[TCDeals] - [TC Property Current Stage (Seq: 1)] - [Property Points (Seq: 1)] Consultant 3 Contact First Name - Both]&gt;</t>
        </r>
      </text>
    </comment>
    <comment ref="C640" authorId="1" shapeId="0" xr:uid="{7FCD4A00-7795-4903-A18A-92DE46E552A3}">
      <text>
        <r>
          <rPr>
            <b/>
            <sz val="9"/>
            <color indexed="81"/>
            <rFont val="Tahoma"/>
            <family val="2"/>
          </rPr>
          <t>&lt;[[TCDeals] - [TC Property Current Stage (Seq: 1)] - [Property Points (Seq: 1)] Consultant 3 Contact Last Name - Both]&gt;</t>
        </r>
      </text>
    </comment>
    <comment ref="C641" authorId="1" shapeId="0" xr:uid="{581EA78D-1C06-4776-8512-55BA61118A6A}">
      <text>
        <r>
          <rPr>
            <b/>
            <sz val="9"/>
            <color indexed="81"/>
            <rFont val="Tahoma"/>
            <family val="2"/>
          </rPr>
          <t>&lt;[[TCDeals] - [TC Property Current Stage (Seq: 1)] - [Property Points (Seq: 1)] Consultant 3 Phone - Both]&gt;</t>
        </r>
      </text>
    </comment>
    <comment ref="C642" authorId="1" shapeId="0" xr:uid="{CFABE379-A085-41E3-8934-7D555358B360}">
      <text>
        <r>
          <rPr>
            <b/>
            <sz val="9"/>
            <color indexed="81"/>
            <rFont val="Tahoma"/>
            <family val="2"/>
          </rPr>
          <t>&lt;[[TCDeals] - [TC Property Current Stage (Seq: 1)] - [Property Points (Seq: 1)] Consultant 3 Email - Both]&gt;</t>
        </r>
      </text>
    </comment>
    <comment ref="C643" authorId="1" shapeId="0" xr:uid="{1E9067C8-CC03-462C-AEDF-2C9559544049}">
      <text>
        <r>
          <rPr>
            <b/>
            <sz val="9"/>
            <color indexed="81"/>
            <rFont val="Tahoma"/>
            <family val="2"/>
          </rPr>
          <t>&lt;[[TCDeals] - [TC Property Current Stage (Seq: 1)] - [Property Points (Seq: 1)] Tax Attorney Firm/Law Firm Org - Both]&gt;</t>
        </r>
      </text>
    </comment>
    <comment ref="C644" authorId="1" shapeId="0" xr:uid="{BC5BD7E6-697C-4454-BB7C-CD304B74E72D}">
      <text>
        <r>
          <rPr>
            <b/>
            <sz val="9"/>
            <color indexed="81"/>
            <rFont val="Tahoma"/>
            <family val="2"/>
          </rPr>
          <t>&lt;[[TCDeals] - [TC Property Current Stage (Seq: 1)] - [Property Points (Seq: 1)] Tax Attorney Firm/Law Firm Contact First Name - Both]&gt;</t>
        </r>
      </text>
    </comment>
    <comment ref="C645" authorId="1" shapeId="0" xr:uid="{D1CE0462-2858-45B5-9CD7-63D059BAE6F9}">
      <text>
        <r>
          <rPr>
            <b/>
            <sz val="9"/>
            <color indexed="81"/>
            <rFont val="Tahoma"/>
            <family val="2"/>
          </rPr>
          <t>&lt;[[TCDeals] - [TC Property Current Stage (Seq: 1)] - [Property Points (Seq: 1)] Tax Attorney Firm/Law Firm Contact Last Name - Both]&gt;</t>
        </r>
      </text>
    </comment>
    <comment ref="C646" authorId="1" shapeId="0" xr:uid="{CCA5C8E3-93D8-4728-9206-FEE895E64929}">
      <text>
        <r>
          <rPr>
            <b/>
            <sz val="9"/>
            <color indexed="81"/>
            <rFont val="Tahoma"/>
            <family val="2"/>
          </rPr>
          <t>&lt;[[TCDeals] - [TC Property Current Stage (Seq: 1)] - [Property Points (Seq: 1)] Tax Attorney Firm/Law Firm Phone - Both]&gt;</t>
        </r>
      </text>
    </comment>
    <comment ref="C647" authorId="1" shapeId="0" xr:uid="{64FEA609-E585-488A-B37F-9EF1D0D18199}">
      <text>
        <r>
          <rPr>
            <b/>
            <sz val="9"/>
            <color indexed="81"/>
            <rFont val="Tahoma"/>
            <family val="2"/>
          </rPr>
          <t>&lt;[[TCDeals] - [TC Property Current Stage (Seq: 1)] - [Property Points (Seq: 1)] Tax Attorney Firm/Law Firm Email - Both]&gt;</t>
        </r>
      </text>
    </comment>
    <comment ref="C648" authorId="1" shapeId="0" xr:uid="{F0350B93-7AF6-44F4-B638-F500009203BE}">
      <text>
        <r>
          <rPr>
            <b/>
            <sz val="9"/>
            <color indexed="81"/>
            <rFont val="Tahoma"/>
            <family val="2"/>
          </rPr>
          <t>&lt;[[TCDeals] - [TC Property Current Stage (Seq: 1)] - [Property Points (Seq: 1)] CPA Firm/Accountant Org - Both]&gt;</t>
        </r>
      </text>
    </comment>
    <comment ref="C649" authorId="1" shapeId="0" xr:uid="{5511B0EB-FE42-4247-A28B-99028B739332}">
      <text>
        <r>
          <rPr>
            <b/>
            <sz val="9"/>
            <color indexed="81"/>
            <rFont val="Tahoma"/>
            <family val="2"/>
          </rPr>
          <t>&lt;[[TCDeals] - [TC Property Current Stage (Seq: 1)] - [Property Points (Seq: 1)] CPA Firm/Accountant Contact First Name - Both]&gt;</t>
        </r>
      </text>
    </comment>
    <comment ref="C650" authorId="1" shapeId="0" xr:uid="{52917DF6-CC2C-4CA0-9A42-492B6B8AA444}">
      <text>
        <r>
          <rPr>
            <b/>
            <sz val="9"/>
            <color indexed="81"/>
            <rFont val="Tahoma"/>
            <family val="2"/>
          </rPr>
          <t>&lt;[[TCDeals] - [TC Property Current Stage (Seq: 1)] - [Property Points (Seq: 1)] CPA Firm/Accountant Contact Last Name - Both]&gt;</t>
        </r>
      </text>
    </comment>
    <comment ref="C651" authorId="1" shapeId="0" xr:uid="{C77F773D-4AD2-44A9-85E0-3FF67C72A62C}">
      <text>
        <r>
          <rPr>
            <b/>
            <sz val="9"/>
            <color indexed="81"/>
            <rFont val="Tahoma"/>
            <family val="2"/>
          </rPr>
          <t>&lt;[[TCDeals] - [TC Property Current Stage (Seq: 1)] - [Property Points (Seq: 1)] CPA Firm/Accountant Phone - Both]&gt;</t>
        </r>
      </text>
    </comment>
    <comment ref="C652" authorId="1" shapeId="0" xr:uid="{10878A68-5CA2-4FF9-A074-337123060A75}">
      <text>
        <r>
          <rPr>
            <b/>
            <sz val="9"/>
            <color indexed="81"/>
            <rFont val="Tahoma"/>
            <family val="2"/>
          </rPr>
          <t>&lt;[[TCDeals] - [TC Property Current Stage (Seq: 1)] - [Property Points (Seq: 1)] CPA Firm/Accountant Email - Both]&gt;</t>
        </r>
      </text>
    </comment>
    <comment ref="C653" authorId="1" shapeId="0" xr:uid="{A17B45A5-388D-4AFA-A4E9-F07FB62CB5D8}">
      <text>
        <r>
          <rPr>
            <b/>
            <sz val="9"/>
            <color indexed="81"/>
            <rFont val="Tahoma"/>
            <family val="2"/>
          </rPr>
          <t>&lt;[[TCDeals] - [TC Property Current Stage (Seq: 1)] - [Property Points (Seq: 1)] Architect Org - Both]&gt;</t>
        </r>
      </text>
    </comment>
    <comment ref="C654" authorId="1" shapeId="0" xr:uid="{E5B0F778-51F5-4583-A133-587746A8F86E}">
      <text>
        <r>
          <rPr>
            <b/>
            <sz val="9"/>
            <color indexed="81"/>
            <rFont val="Tahoma"/>
            <family val="2"/>
          </rPr>
          <t>&lt;[[TCDeals] - [TC Property Current Stage (Seq: 1)] - [Property Points (Seq: 1)] Architect Contact First Name - Both]&gt;</t>
        </r>
      </text>
    </comment>
    <comment ref="C655" authorId="1" shapeId="0" xr:uid="{B532BDCD-A827-4A8B-8914-0D1E7CC4EE91}">
      <text>
        <r>
          <rPr>
            <b/>
            <sz val="9"/>
            <color indexed="81"/>
            <rFont val="Tahoma"/>
            <family val="2"/>
          </rPr>
          <t>&lt;[[TCDeals] - [TC Property Current Stage (Seq: 1)] - [Property Points (Seq: 1)] Architect Contact Last Name - Both]&gt;</t>
        </r>
      </text>
    </comment>
    <comment ref="C656" authorId="1" shapeId="0" xr:uid="{5509697C-98D3-4BB7-96BD-D544EF290749}">
      <text>
        <r>
          <rPr>
            <b/>
            <sz val="9"/>
            <color indexed="81"/>
            <rFont val="Tahoma"/>
            <family val="2"/>
          </rPr>
          <t>&lt;[[TCDeals] - [TC Property Current Stage (Seq: 1)] - [Property Points (Seq: 1)] Architect Phone - Both]&gt;</t>
        </r>
      </text>
    </comment>
    <comment ref="C657" authorId="1" shapeId="0" xr:uid="{5F668FAC-35F6-413A-B39A-9F36DA6425D9}">
      <text>
        <r>
          <rPr>
            <b/>
            <sz val="9"/>
            <color indexed="81"/>
            <rFont val="Tahoma"/>
            <family val="2"/>
          </rPr>
          <t>&lt;[[TCDeals] - [TC Property Current Stage (Seq: 1)] - [Property Points (Seq: 1)] Architect Email - Both]&gt;</t>
        </r>
      </text>
    </comment>
    <comment ref="C658" authorId="1" shapeId="0" xr:uid="{2E9BC5C5-EFC4-4371-A8E0-C55C935B795D}">
      <text>
        <r>
          <rPr>
            <b/>
            <sz val="9"/>
            <color indexed="81"/>
            <rFont val="Tahoma"/>
            <family val="2"/>
          </rPr>
          <t>&lt;[[TCDeals] - [TC Property Current Stage (Seq: 1)] - [Property Points (Seq: 1)] Perm Lender Org - Both]&gt;</t>
        </r>
      </text>
    </comment>
    <comment ref="C659" authorId="1" shapeId="0" xr:uid="{CDA7B354-BC45-4F4E-9A1F-20AD59C47839}">
      <text>
        <r>
          <rPr>
            <b/>
            <sz val="9"/>
            <color indexed="81"/>
            <rFont val="Tahoma"/>
            <family val="2"/>
          </rPr>
          <t>&lt;[[TCDeals] - [TC Property Current Stage (Seq: 1)] - [Property Points (Seq: 1)] Perm Lender Contact First Name - Both]&gt;</t>
        </r>
      </text>
    </comment>
    <comment ref="C660" authorId="1" shapeId="0" xr:uid="{270A5CA1-E980-448A-B2A9-EEC1C951EE5E}">
      <text>
        <r>
          <rPr>
            <b/>
            <sz val="9"/>
            <color indexed="81"/>
            <rFont val="Tahoma"/>
            <family val="2"/>
          </rPr>
          <t>&lt;[[TCDeals] - [TC Property Current Stage (Seq: 1)] - [Property Points (Seq: 1)] Perm Lender Contact Last Name - Both]&gt;</t>
        </r>
      </text>
    </comment>
    <comment ref="C661" authorId="1" shapeId="0" xr:uid="{8B8DA5B4-3958-4176-9019-9380269D2786}">
      <text>
        <r>
          <rPr>
            <b/>
            <sz val="9"/>
            <color indexed="81"/>
            <rFont val="Tahoma"/>
            <family val="2"/>
          </rPr>
          <t>&lt;[[TCDeals] - [TC Property Current Stage (Seq: 1)] - [Property Points (Seq: 1)] Perm Lender Phone - Both]&gt;</t>
        </r>
      </text>
    </comment>
    <comment ref="C662" authorId="1" shapeId="0" xr:uid="{3B9679CA-2508-4C2A-B5F5-240F4D95E338}">
      <text>
        <r>
          <rPr>
            <b/>
            <sz val="9"/>
            <color indexed="81"/>
            <rFont val="Tahoma"/>
            <family val="2"/>
          </rPr>
          <t>&lt;[[TCDeals] - [TC Property Current Stage (Seq: 1)] - [Property Points (Seq: 1)] Perm Lender Email - Both]&gt;</t>
        </r>
      </text>
    </comment>
    <comment ref="C663" authorId="1" shapeId="0" xr:uid="{F4DB065A-4576-41EC-B5BE-DC01221B1887}">
      <text>
        <r>
          <rPr>
            <b/>
            <sz val="9"/>
            <color indexed="81"/>
            <rFont val="Tahoma"/>
            <family val="2"/>
          </rPr>
          <t>&lt;[[TCDeals] - [TC Property Current Stage (Seq: 1)] - [Property Points (Seq: 1)] Construction Lender Org - Both]&gt;</t>
        </r>
      </text>
    </comment>
    <comment ref="C664" authorId="1" shapeId="0" xr:uid="{FB24754A-F6E2-4DE2-958A-794BEE9F0943}">
      <text>
        <r>
          <rPr>
            <b/>
            <sz val="9"/>
            <color indexed="81"/>
            <rFont val="Tahoma"/>
            <family val="2"/>
          </rPr>
          <t>&lt;[[TCDeals] - [TC Property Current Stage (Seq: 1)] - [Property Points (Seq: 1)] Construction Lender Contact First Name - Both]&gt;</t>
        </r>
      </text>
    </comment>
    <comment ref="C665" authorId="1" shapeId="0" xr:uid="{FF71EA60-D8FF-46A4-8302-CA45D96D52BB}">
      <text>
        <r>
          <rPr>
            <b/>
            <sz val="9"/>
            <color indexed="81"/>
            <rFont val="Tahoma"/>
            <family val="2"/>
          </rPr>
          <t>&lt;[[TCDeals] - [TC Property Current Stage (Seq: 1)] - [Property Points (Seq: 1)] Construction Lender Contact Last Name - Both]&gt;</t>
        </r>
      </text>
    </comment>
    <comment ref="C666" authorId="1" shapeId="0" xr:uid="{395FE6B0-CF22-4C11-B0A1-9534AD00EAB9}">
      <text>
        <r>
          <rPr>
            <b/>
            <sz val="9"/>
            <color indexed="81"/>
            <rFont val="Tahoma"/>
            <family val="2"/>
          </rPr>
          <t>&lt;[[TCDeals] - [TC Property Current Stage (Seq: 1)] - [Property Points (Seq: 1)] Construction Lender Phone - Both]&gt;</t>
        </r>
      </text>
    </comment>
    <comment ref="C667" authorId="1" shapeId="0" xr:uid="{F77DEB5A-0167-423D-887E-08F78E5BADDB}">
      <text>
        <r>
          <rPr>
            <b/>
            <sz val="9"/>
            <color indexed="81"/>
            <rFont val="Tahoma"/>
            <family val="2"/>
          </rPr>
          <t>&lt;[[TCDeals] - [TC Property Current Stage (Seq: 1)] - [Property Points (Seq: 1)] Construction Lender Email - Both]&gt;</t>
        </r>
      </text>
    </comment>
    <comment ref="C668" authorId="1" shapeId="0" xr:uid="{253140EF-DAC2-4029-AB49-AD69D03B4C73}">
      <text>
        <r>
          <rPr>
            <b/>
            <sz val="9"/>
            <color indexed="81"/>
            <rFont val="Tahoma"/>
            <family val="2"/>
          </rPr>
          <t>&lt;[[TCDeals] - [TC Property Current Stage (Seq: 1)] - [Property Points (Seq: 1)] Environment Review Org - Both]&gt;</t>
        </r>
      </text>
    </comment>
    <comment ref="C669" authorId="1" shapeId="0" xr:uid="{8A95B0EF-63EC-440A-9C2F-B1F6051ADAB3}">
      <text>
        <r>
          <rPr>
            <b/>
            <sz val="9"/>
            <color indexed="81"/>
            <rFont val="Tahoma"/>
            <family val="2"/>
          </rPr>
          <t>&lt;[[TCDeals] - [TC Property Current Stage (Seq: 1)] - [Property Points (Seq: 1)] Environment Review Contact First Name - Both]&gt;</t>
        </r>
      </text>
    </comment>
    <comment ref="C670" authorId="1" shapeId="0" xr:uid="{7AABC994-F907-4810-A198-55655C4F635D}">
      <text>
        <r>
          <rPr>
            <b/>
            <sz val="9"/>
            <color indexed="81"/>
            <rFont val="Tahoma"/>
            <family val="2"/>
          </rPr>
          <t>&lt;[[TCDeals] - [TC Property Current Stage (Seq: 1)] - [Property Points (Seq: 1)] Environment Review Contact Last Name - Both]&gt;</t>
        </r>
      </text>
    </comment>
    <comment ref="C671" authorId="1" shapeId="0" xr:uid="{859A56B1-ED32-4F2D-9794-0188F4861928}">
      <text>
        <r>
          <rPr>
            <b/>
            <sz val="9"/>
            <color indexed="81"/>
            <rFont val="Tahoma"/>
            <family val="2"/>
          </rPr>
          <t>&lt;[[TCDeals] - [TC Property Current Stage (Seq: 1)] - [Property Points (Seq: 1)] Environment Review Phone - Both]&gt;</t>
        </r>
      </text>
    </comment>
    <comment ref="C672" authorId="1" shapeId="0" xr:uid="{FAE17A76-57B8-47F6-800F-82863528A904}">
      <text>
        <r>
          <rPr>
            <b/>
            <sz val="9"/>
            <color indexed="81"/>
            <rFont val="Tahoma"/>
            <family val="2"/>
          </rPr>
          <t>&lt;[[TCDeals] - [TC Property Current Stage (Seq: 1)] - [Property Points (Seq: 1)] Environment Review Email - Both]&gt;</t>
        </r>
      </text>
    </comment>
    <comment ref="C673" authorId="1" shapeId="0" xr:uid="{E751199B-BFFF-4298-AB5F-2605447E2C5B}">
      <text>
        <r>
          <rPr>
            <b/>
            <sz val="9"/>
            <color indexed="81"/>
            <rFont val="Tahoma"/>
            <family val="2"/>
          </rPr>
          <t>&lt;[[TCDeals] - [TC Property Current Stage (Seq: 1)] - [Property Points (Seq: 1)] Capital Needs Preparer/Other Org - Both]&gt;</t>
        </r>
      </text>
    </comment>
    <comment ref="C674" authorId="1" shapeId="0" xr:uid="{5B1826CA-B8A8-4059-A224-31AB6856EED3}">
      <text>
        <r>
          <rPr>
            <b/>
            <sz val="9"/>
            <color indexed="81"/>
            <rFont val="Tahoma"/>
            <family val="2"/>
          </rPr>
          <t>&lt;[[TCDeals] - [TC Property Current Stage (Seq: 1)] - [Property Points (Seq: 1)] Capital Needs Preparer/Other Contact First Name - Both]&gt;</t>
        </r>
      </text>
    </comment>
    <comment ref="C675" authorId="1" shapeId="0" xr:uid="{ED1242F5-5A2C-4086-AB6D-D67778E250B1}">
      <text>
        <r>
          <rPr>
            <b/>
            <sz val="9"/>
            <color indexed="81"/>
            <rFont val="Tahoma"/>
            <family val="2"/>
          </rPr>
          <t>&lt;[[TCDeals] - [TC Property Current Stage (Seq: 1)] - [Property Points (Seq: 1)] Capital Needs Preparer/Other Contact Last Name - Both]&gt;</t>
        </r>
      </text>
    </comment>
    <comment ref="C676" authorId="1" shapeId="0" xr:uid="{B01BCC41-B644-460B-8C24-9D4098B652A9}">
      <text>
        <r>
          <rPr>
            <b/>
            <sz val="9"/>
            <color indexed="81"/>
            <rFont val="Tahoma"/>
            <family val="2"/>
          </rPr>
          <t>&lt;[[TCDeals] - [TC Property Current Stage (Seq: 1)] - [Property Points (Seq: 1)] Capital Needs Preparer/Other Phone - Both]&gt;</t>
        </r>
      </text>
    </comment>
    <comment ref="C677" authorId="1" shapeId="0" xr:uid="{4C54BA71-AC3E-4244-96E3-A1DE6C749CC9}">
      <text>
        <r>
          <rPr>
            <b/>
            <sz val="9"/>
            <color indexed="81"/>
            <rFont val="Tahoma"/>
            <family val="2"/>
          </rPr>
          <t>&lt;[[TCDeals] - [TC Property Current Stage (Seq: 1)] - [Property Points (Seq: 1)] Capital Needs Preparer/Other Email - Both]&gt;</t>
        </r>
      </text>
    </comment>
    <comment ref="C678" authorId="1" shapeId="0" xr:uid="{BCC4621C-E507-42A6-BBC1-5ACC3720CF0C}">
      <text>
        <r>
          <rPr>
            <b/>
            <sz val="9"/>
            <color indexed="81"/>
            <rFont val="Tahoma"/>
            <family val="2"/>
          </rPr>
          <t>&lt;[[TCDeals] - [TC Property Current Stage (Seq: 1)] - [Property Points (Seq: 1)] Green Consultant Org - Both]&gt;</t>
        </r>
      </text>
    </comment>
    <comment ref="C679" authorId="1" shapeId="0" xr:uid="{3264A97B-2E90-4747-A0FC-B27E4C8C46EC}">
      <text>
        <r>
          <rPr>
            <b/>
            <sz val="9"/>
            <color indexed="81"/>
            <rFont val="Tahoma"/>
            <family val="2"/>
          </rPr>
          <t>&lt;[[TCDeals] - [TC Property Current Stage (Seq: 1)] - [Property Points (Seq: 1)] Green Consultant Contact First Name - Both]&gt;</t>
        </r>
      </text>
    </comment>
    <comment ref="C680" authorId="1" shapeId="0" xr:uid="{C706E738-B5B6-46F4-9406-08D8DF4B7FA4}">
      <text>
        <r>
          <rPr>
            <b/>
            <sz val="9"/>
            <color indexed="81"/>
            <rFont val="Tahoma"/>
            <family val="2"/>
          </rPr>
          <t>&lt;[[TCDeals] - [TC Property Current Stage (Seq: 1)] - [Property Points (Seq: 1)] Green Consultant Contact Last Name - Both]&gt;</t>
        </r>
      </text>
    </comment>
    <comment ref="C681" authorId="1" shapeId="0" xr:uid="{91469A89-0361-49B3-9127-6ED656689B9F}">
      <text>
        <r>
          <rPr>
            <b/>
            <sz val="9"/>
            <color indexed="81"/>
            <rFont val="Tahoma"/>
            <family val="2"/>
          </rPr>
          <t>&lt;[[TCDeals] - [TC Property Current Stage (Seq: 1)] - [Property Points (Seq: 1)] Green Consultant Phone - Both]&gt;</t>
        </r>
      </text>
    </comment>
    <comment ref="C682" authorId="1" shapeId="0" xr:uid="{3BAE5637-68E3-4AC4-9810-FA50BBE20388}">
      <text>
        <r>
          <rPr>
            <b/>
            <sz val="9"/>
            <color indexed="81"/>
            <rFont val="Tahoma"/>
            <family val="2"/>
          </rPr>
          <t>&lt;[[TCDeals] - [TC Property Current Stage (Seq: 1)] - [Property Points (Seq: 1)] Green Consultant Email - Both]&gt;</t>
        </r>
      </text>
    </comment>
    <comment ref="C683" authorId="1" shapeId="0" xr:uid="{8F2CABCB-D3EA-4581-8996-90442CE28C70}">
      <text>
        <r>
          <rPr>
            <b/>
            <sz val="9"/>
            <color indexed="81"/>
            <rFont val="Tahoma"/>
            <family val="2"/>
          </rPr>
          <t>&lt;[[TCDeals] - [TC Property Current Stage (Seq: 1)] - [Property Points (Seq: 1)] Fee Turnkey Org - Both]&gt;</t>
        </r>
      </text>
    </comment>
    <comment ref="C684" authorId="1" shapeId="0" xr:uid="{AFA652A4-4151-4556-8F02-E016EC6FCAF7}">
      <text>
        <r>
          <rPr>
            <b/>
            <sz val="9"/>
            <color indexed="81"/>
            <rFont val="Tahoma"/>
            <family val="2"/>
          </rPr>
          <t>&lt;[[TCDeals] - [TC Property Current Stage (Seq: 1)] - [Property Points (Seq: 1)] Fee Turnkey Contact First Name - Both]&gt;</t>
        </r>
      </text>
    </comment>
    <comment ref="C685" authorId="1" shapeId="0" xr:uid="{A3A28887-BEC0-4772-8E89-D3BB4F0ED045}">
      <text>
        <r>
          <rPr>
            <b/>
            <sz val="9"/>
            <color indexed="81"/>
            <rFont val="Tahoma"/>
            <family val="2"/>
          </rPr>
          <t>&lt;[[TCDeals] - [TC Property Current Stage (Seq: 1)] - [Property Points (Seq: 1)] Fee Turnkey Contact Last Name - Both]&gt;</t>
        </r>
      </text>
    </comment>
    <comment ref="C686" authorId="1" shapeId="0" xr:uid="{FD3C2840-5A73-4A62-A120-EA289B28F563}">
      <text>
        <r>
          <rPr>
            <b/>
            <sz val="9"/>
            <color indexed="81"/>
            <rFont val="Tahoma"/>
            <family val="2"/>
          </rPr>
          <t>&lt;[[TCDeals] - [TC Property Current Stage (Seq: 1)] - [Property Points (Seq: 1)] Fee Turnkey Contact Phone - Both]&gt;</t>
        </r>
      </text>
    </comment>
    <comment ref="C687" authorId="1" shapeId="0" xr:uid="{7B0BDD64-33A9-4324-B990-91BF2AC3B975}">
      <text>
        <r>
          <rPr>
            <b/>
            <sz val="9"/>
            <color indexed="81"/>
            <rFont val="Tahoma"/>
            <family val="2"/>
          </rPr>
          <t>&lt;[[TCDeals] - [TC Property Current Stage (Seq: 1)] - [Property Points (Seq: 1)] Fee Turnkey Contact Email - Both]&gt;</t>
        </r>
      </text>
    </comment>
    <comment ref="C688"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689" authorId="1" shapeId="0" xr:uid="{682BAEB9-B2BC-4CAE-BBA9-D61DD8307999}">
      <text>
        <r>
          <rPr>
            <b/>
            <sz val="9"/>
            <color indexed="81"/>
            <rFont val="Tahoma"/>
            <family val="2"/>
          </rPr>
          <t>&lt;[[TCDeals] - [TC Property Current Stage (Seq: 1)] - [Property Points (Seq: 1)] Fee/Turnkey Developer racial/ethnic composition - Both]&gt;</t>
        </r>
      </text>
    </comment>
    <comment ref="C690" authorId="1" shapeId="0" xr:uid="{D2742CB2-AA79-4FED-B1B8-85A777D53D70}">
      <text>
        <r>
          <rPr>
            <b/>
            <sz val="9"/>
            <color indexed="81"/>
            <rFont val="Tahoma"/>
            <family val="2"/>
          </rPr>
          <t>&lt;[[TCDeals] - [TC Property Current Stage (Seq: 1)] - [Property Points (Seq: 1)] Fee-Turnkey Developer gender composition - Both]&gt;</t>
        </r>
      </text>
    </comment>
    <comment ref="C693" authorId="1" shapeId="0" xr:uid="{37517386-F270-4557-9019-AF82F778EC39}">
      <text>
        <r>
          <rPr>
            <b/>
            <sz val="9"/>
            <color indexed="81"/>
            <rFont val="Tahoma"/>
            <family val="2"/>
          </rPr>
          <t>&lt;[[TCDeals] - [Proxy Entities (Seq: 1)] Name (Doing Business As) - Both]&gt;</t>
        </r>
      </text>
    </comment>
    <comment ref="D693" authorId="1" shapeId="0" xr:uid="{8EBDFEE4-4E3D-404A-B915-5D2F0016CBF8}">
      <text>
        <r>
          <rPr>
            <b/>
            <sz val="9"/>
            <color indexed="81"/>
            <rFont val="Tahoma"/>
            <family val="2"/>
          </rPr>
          <t>&lt;[[TCDeals] - [Proxy Entities (Seq: 1)] Address 1 - Both]&gt;</t>
        </r>
      </text>
    </comment>
    <comment ref="E693" authorId="1" shapeId="0" xr:uid="{E0C75D92-02DC-477A-BD81-158AF54EAA77}">
      <text>
        <r>
          <rPr>
            <b/>
            <sz val="9"/>
            <color indexed="81"/>
            <rFont val="Tahoma"/>
            <family val="2"/>
          </rPr>
          <t>&lt;[[TCDeals] - [Proxy Entities (Seq: 1)] City - Both]&gt;</t>
        </r>
      </text>
    </comment>
    <comment ref="F693" authorId="3" shapeId="0" xr:uid="{852B9AA1-E723-484C-9BC2-BC62B235DDA5}">
      <text>
        <r>
          <rPr>
            <b/>
            <sz val="9"/>
            <color indexed="81"/>
            <rFont val="Tahoma"/>
            <family val="2"/>
          </rPr>
          <t>&lt;[[TCDeals] - [Proxy Entities (Seq: 1)] State - Send]&gt;</t>
        </r>
      </text>
    </comment>
    <comment ref="G693" authorId="1" shapeId="0" xr:uid="{1431309C-F6EE-4F06-B2BA-7091BD449BCC}">
      <text>
        <r>
          <rPr>
            <b/>
            <sz val="9"/>
            <color indexed="81"/>
            <rFont val="Tahoma"/>
            <family val="2"/>
          </rPr>
          <t>&lt;[[TCDeals] - [Proxy Entities (Seq: 1)] Zip Code - Both]&gt;</t>
        </r>
      </text>
    </comment>
    <comment ref="H693" authorId="1" shapeId="0" xr:uid="{CFD40F10-9129-4C9A-8AD5-65E24557F147}">
      <text>
        <r>
          <rPr>
            <b/>
            <sz val="9"/>
            <color indexed="81"/>
            <rFont val="Tahoma"/>
            <family val="2"/>
          </rPr>
          <t>&lt;[[TCDeals] - [Proxy Entities (Seq: 1)] Direct Phone - Both]&gt;</t>
        </r>
      </text>
    </comment>
    <comment ref="I693" authorId="1" shapeId="0" xr:uid="{2AD7E45F-78A6-4652-9A35-2F65AF6B7624}">
      <text>
        <r>
          <rPr>
            <b/>
            <sz val="9"/>
            <color indexed="81"/>
            <rFont val="Tahoma"/>
            <family val="2"/>
          </rPr>
          <t>&lt;[[TCDeals] - [Proxy Entities (Seq: 1)] Email Address 1 - Both]&gt;</t>
        </r>
      </text>
    </comment>
    <comment ref="J693" authorId="1" shapeId="0" xr:uid="{4B03BA64-F1A2-4290-8AD5-390263129A34}">
      <text>
        <r>
          <rPr>
            <b/>
            <sz val="9"/>
            <color indexed="81"/>
            <rFont val="Tahoma"/>
            <family val="2"/>
          </rPr>
          <t>&lt;[[TCDeals] - [Proxy Entities (Seq: 1)] Deal Entity Role - Both]&gt;</t>
        </r>
      </text>
    </comment>
    <comment ref="K693" authorId="1" shapeId="0" xr:uid="{E70BD47C-C3BA-48FB-BF77-51C0D0109585}">
      <text>
        <r>
          <rPr>
            <b/>
            <sz val="9"/>
            <color indexed="81"/>
            <rFont val="Tahoma"/>
            <family val="2"/>
          </rPr>
          <t>&lt;[[TCDeals] - [Proxy Entities (Seq: 1)] Company or Individual? - Both]&gt;</t>
        </r>
      </text>
    </comment>
    <comment ref="C694" authorId="1" shapeId="0" xr:uid="{AEF99263-470A-4D32-902D-99F26655636D}">
      <text>
        <r>
          <rPr>
            <b/>
            <sz val="9"/>
            <color indexed="81"/>
            <rFont val="Tahoma"/>
            <family val="2"/>
          </rPr>
          <t>&lt;[[TCDeals] - [Proxy Entities (Seq: 2)] Name (Doing Business As) - Both]&gt;</t>
        </r>
      </text>
    </comment>
    <comment ref="D694" authorId="1" shapeId="0" xr:uid="{7617EF54-22CA-43F3-B2C2-A990691A5A01}">
      <text>
        <r>
          <rPr>
            <b/>
            <sz val="9"/>
            <color indexed="81"/>
            <rFont val="Tahoma"/>
            <family val="2"/>
          </rPr>
          <t>&lt;[[TCDeals] - [Proxy Entities (Seq: 2)] Address 1 - Both]&gt;</t>
        </r>
      </text>
    </comment>
    <comment ref="E694" authorId="1" shapeId="0" xr:uid="{45344F92-5215-4EE5-A967-672113FB9F75}">
      <text>
        <r>
          <rPr>
            <b/>
            <sz val="9"/>
            <color indexed="81"/>
            <rFont val="Tahoma"/>
            <family val="2"/>
          </rPr>
          <t>&lt;[[TCDeals] - [Proxy Entities (Seq: 2)] City - Both]&gt;</t>
        </r>
      </text>
    </comment>
    <comment ref="F694" authorId="3" shapeId="0" xr:uid="{C7D3FF00-C11D-41B2-A331-D7F0E05FF331}">
      <text>
        <r>
          <rPr>
            <b/>
            <sz val="9"/>
            <color indexed="81"/>
            <rFont val="Tahoma"/>
            <family val="2"/>
          </rPr>
          <t>&lt;[[TCDeals] - [Proxy Entities (Seq: 2)] State - Send]&gt;</t>
        </r>
      </text>
    </comment>
    <comment ref="G694" authorId="1" shapeId="0" xr:uid="{799268F8-C518-40CC-A036-E11E8F20763B}">
      <text>
        <r>
          <rPr>
            <b/>
            <sz val="9"/>
            <color indexed="81"/>
            <rFont val="Tahoma"/>
            <family val="2"/>
          </rPr>
          <t>&lt;[[TCDeals] - [Proxy Entities (Seq: 2)] Zip Code - Both]&gt;</t>
        </r>
      </text>
    </comment>
    <comment ref="H694" authorId="1" shapeId="0" xr:uid="{EDC48A7B-56C6-4482-9259-3AF4F421FBD9}">
      <text>
        <r>
          <rPr>
            <b/>
            <sz val="9"/>
            <color indexed="81"/>
            <rFont val="Tahoma"/>
            <family val="2"/>
          </rPr>
          <t>&lt;[[TCDeals] - [Proxy Entities (Seq: 2)] Direct Phone - Both]&gt;</t>
        </r>
      </text>
    </comment>
    <comment ref="I694" authorId="1" shapeId="0" xr:uid="{F8CDCCD9-C742-4729-ADE8-5B86F52FD5BF}">
      <text>
        <r>
          <rPr>
            <b/>
            <sz val="9"/>
            <color indexed="81"/>
            <rFont val="Tahoma"/>
            <family val="2"/>
          </rPr>
          <t>&lt;[[TCDeals] - [Proxy Entities (Seq: 2)] Email Address 1 - Both]&gt;</t>
        </r>
      </text>
    </comment>
    <comment ref="J694" authorId="1" shapeId="0" xr:uid="{17D8A768-C2B3-43FF-B098-456EB6778FBE}">
      <text>
        <r>
          <rPr>
            <b/>
            <sz val="9"/>
            <color indexed="81"/>
            <rFont val="Tahoma"/>
            <family val="2"/>
          </rPr>
          <t>&lt;[[TCDeals] - [Proxy Entities (Seq: 2)] Deal Entity Role - Both]&gt;</t>
        </r>
      </text>
    </comment>
    <comment ref="K694" authorId="1" shapeId="0" xr:uid="{36556948-C746-4B51-B7FF-A0ABBF833478}">
      <text>
        <r>
          <rPr>
            <b/>
            <sz val="9"/>
            <color indexed="81"/>
            <rFont val="Tahoma"/>
            <family val="2"/>
          </rPr>
          <t>&lt;[[TCDeals] - [Proxy Entities (Seq: 2)] Company or Individual? - Both]&gt;</t>
        </r>
      </text>
    </comment>
    <comment ref="C695" authorId="1" shapeId="0" xr:uid="{6807AC01-2DA9-4413-969A-069864AB0643}">
      <text>
        <r>
          <rPr>
            <b/>
            <sz val="9"/>
            <color indexed="81"/>
            <rFont val="Tahoma"/>
            <family val="2"/>
          </rPr>
          <t>&lt;[[TCDeals] - [Proxy Entities (Seq: 3)] Name (Doing Business As) - Both]&gt;</t>
        </r>
      </text>
    </comment>
    <comment ref="D695" authorId="1" shapeId="0" xr:uid="{F5EDE2DD-C330-482D-B492-3D3B9CFCD278}">
      <text>
        <r>
          <rPr>
            <b/>
            <sz val="9"/>
            <color indexed="81"/>
            <rFont val="Tahoma"/>
            <family val="2"/>
          </rPr>
          <t>&lt;[[TCDeals] - [Proxy Entities (Seq: 3)] Address 1 - Both]&gt;</t>
        </r>
      </text>
    </comment>
    <comment ref="E695" authorId="1" shapeId="0" xr:uid="{95689520-A25C-47BA-A0C5-78220F91171D}">
      <text>
        <r>
          <rPr>
            <b/>
            <sz val="9"/>
            <color indexed="81"/>
            <rFont val="Tahoma"/>
            <family val="2"/>
          </rPr>
          <t>&lt;[[TCDeals] - [Proxy Entities (Seq: 3)] City - Both]&gt;</t>
        </r>
      </text>
    </comment>
    <comment ref="F695" authorId="3" shapeId="0" xr:uid="{238A1912-FA43-44A9-8785-0A8C39893C8E}">
      <text>
        <r>
          <rPr>
            <b/>
            <sz val="9"/>
            <color indexed="81"/>
            <rFont val="Tahoma"/>
            <family val="2"/>
          </rPr>
          <t>&lt;[[TCDeals] - [Proxy Entities (Seq: 3)] State - Send]&gt;</t>
        </r>
      </text>
    </comment>
    <comment ref="G695" authorId="1" shapeId="0" xr:uid="{C7D34B6E-19B5-4913-B3E6-29B02D91ADBB}">
      <text>
        <r>
          <rPr>
            <b/>
            <sz val="9"/>
            <color indexed="81"/>
            <rFont val="Tahoma"/>
            <family val="2"/>
          </rPr>
          <t>&lt;[[TCDeals] - [Proxy Entities (Seq: 3)] Zip Code - Both]&gt;</t>
        </r>
      </text>
    </comment>
    <comment ref="H695" authorId="1" shapeId="0" xr:uid="{51F49A28-BDC8-4A25-B130-041937319FF0}">
      <text>
        <r>
          <rPr>
            <b/>
            <sz val="9"/>
            <color indexed="81"/>
            <rFont val="Tahoma"/>
            <family val="2"/>
          </rPr>
          <t>&lt;[[TCDeals] - [Proxy Entities (Seq: 3)] Direct Phone - Both]&gt;</t>
        </r>
      </text>
    </comment>
    <comment ref="I695" authorId="1" shapeId="0" xr:uid="{4E1AE4A5-1EB2-4BD4-913A-F47C65236773}">
      <text>
        <r>
          <rPr>
            <b/>
            <sz val="9"/>
            <color indexed="81"/>
            <rFont val="Tahoma"/>
            <family val="2"/>
          </rPr>
          <t>&lt;[[TCDeals] - [Proxy Entities (Seq: 3)] Email Address 1 - Both]&gt;</t>
        </r>
      </text>
    </comment>
    <comment ref="J695" authorId="1" shapeId="0" xr:uid="{4C852C63-573B-44B9-BE25-3067B2BF6B26}">
      <text>
        <r>
          <rPr>
            <b/>
            <sz val="9"/>
            <color indexed="81"/>
            <rFont val="Tahoma"/>
            <family val="2"/>
          </rPr>
          <t>&lt;[[TCDeals] - [Proxy Entities (Seq: 3)] Deal Entity Role - Both]&gt;</t>
        </r>
      </text>
    </comment>
    <comment ref="K695" authorId="1" shapeId="0" xr:uid="{9D5D3537-8A64-469B-85EE-55D07FC9A115}">
      <text>
        <r>
          <rPr>
            <b/>
            <sz val="9"/>
            <color indexed="81"/>
            <rFont val="Tahoma"/>
            <family val="2"/>
          </rPr>
          <t>&lt;[[TCDeals] - [Proxy Entities (Seq: 3)] Company or Individual? - Both]&gt;</t>
        </r>
      </text>
    </comment>
    <comment ref="C696" authorId="1" shapeId="0" xr:uid="{E8657BEE-CBA5-41A5-867B-F4B8D3761417}">
      <text>
        <r>
          <rPr>
            <b/>
            <sz val="9"/>
            <color indexed="81"/>
            <rFont val="Tahoma"/>
            <family val="2"/>
          </rPr>
          <t>&lt;[[TCDeals] - [Proxy Entities (Seq: 4)] Name (Doing Business As) - Both]&gt;</t>
        </r>
      </text>
    </comment>
    <comment ref="D696" authorId="1" shapeId="0" xr:uid="{D9E54F00-F05D-4A04-8271-F948C3A73992}">
      <text>
        <r>
          <rPr>
            <b/>
            <sz val="9"/>
            <color indexed="81"/>
            <rFont val="Tahoma"/>
            <family val="2"/>
          </rPr>
          <t>&lt;[[TCDeals] - [Proxy Entities (Seq: 4)] Address 1 - Both]&gt;</t>
        </r>
      </text>
    </comment>
    <comment ref="E696" authorId="1" shapeId="0" xr:uid="{390A7014-F444-4BB7-A93E-BFC90A614A56}">
      <text>
        <r>
          <rPr>
            <b/>
            <sz val="9"/>
            <color indexed="81"/>
            <rFont val="Tahoma"/>
            <family val="2"/>
          </rPr>
          <t>&lt;[[TCDeals] - [Proxy Entities (Seq: 4)] City - Both]&gt;</t>
        </r>
      </text>
    </comment>
    <comment ref="F696" authorId="3" shapeId="0" xr:uid="{E6ED927B-A234-4062-B737-C43E260EEB38}">
      <text>
        <r>
          <rPr>
            <b/>
            <sz val="9"/>
            <color indexed="81"/>
            <rFont val="Tahoma"/>
            <family val="2"/>
          </rPr>
          <t>&lt;[[TCDeals] - [Proxy Entities (Seq: 4)] State - Send]&gt;</t>
        </r>
      </text>
    </comment>
    <comment ref="G696" authorId="1" shapeId="0" xr:uid="{DCF6F512-D57E-43F5-A36F-ADFFAB43B2C0}">
      <text>
        <r>
          <rPr>
            <b/>
            <sz val="9"/>
            <color indexed="81"/>
            <rFont val="Tahoma"/>
            <family val="2"/>
          </rPr>
          <t>&lt;[[TCDeals] - [Proxy Entities (Seq: 4)] Zip Code - Both]&gt;</t>
        </r>
      </text>
    </comment>
    <comment ref="H696" authorId="1" shapeId="0" xr:uid="{557BDDC1-AFDC-4620-9D74-3E229089C2F0}">
      <text>
        <r>
          <rPr>
            <b/>
            <sz val="9"/>
            <color indexed="81"/>
            <rFont val="Tahoma"/>
            <family val="2"/>
          </rPr>
          <t>&lt;[[TCDeals] - [Proxy Entities (Seq: 4)] Direct Phone - Both]&gt;</t>
        </r>
      </text>
    </comment>
    <comment ref="I696" authorId="1" shapeId="0" xr:uid="{6082239B-7AE5-4FFA-9978-A1264A942006}">
      <text>
        <r>
          <rPr>
            <b/>
            <sz val="9"/>
            <color indexed="81"/>
            <rFont val="Tahoma"/>
            <family val="2"/>
          </rPr>
          <t>&lt;[[TCDeals] - [Proxy Entities (Seq: 4)] Email Address 1 - Both]&gt;</t>
        </r>
      </text>
    </comment>
    <comment ref="J696" authorId="1" shapeId="0" xr:uid="{CC647D29-78EE-4F33-9CB5-5DA4A2614168}">
      <text>
        <r>
          <rPr>
            <b/>
            <sz val="9"/>
            <color indexed="81"/>
            <rFont val="Tahoma"/>
            <family val="2"/>
          </rPr>
          <t>&lt;[[TCDeals] - [Proxy Entities (Seq: 4)] Deal Entity Role - Both]&gt;</t>
        </r>
      </text>
    </comment>
    <comment ref="K696" authorId="1" shapeId="0" xr:uid="{58C9A967-3620-4E48-AAB3-F5CD4E3BF026}">
      <text>
        <r>
          <rPr>
            <b/>
            <sz val="9"/>
            <color indexed="81"/>
            <rFont val="Tahoma"/>
            <family val="2"/>
          </rPr>
          <t>&lt;[[TCDeals] - [Proxy Entities (Seq: 4)] Company or Individual? - Both]&gt;</t>
        </r>
      </text>
    </comment>
    <comment ref="C697" authorId="1" shapeId="0" xr:uid="{A0BE99BE-4B28-4848-8C28-9E1741D85EC7}">
      <text>
        <r>
          <rPr>
            <b/>
            <sz val="9"/>
            <color indexed="81"/>
            <rFont val="Tahoma"/>
            <family val="2"/>
          </rPr>
          <t>&lt;[[TCDeals] - [Proxy Entities (Seq: 5)] Name (Doing Business As) - Both]&gt;</t>
        </r>
      </text>
    </comment>
    <comment ref="D697" authorId="1" shapeId="0" xr:uid="{DD7B1929-C549-423F-97FF-ABFC0A603FE3}">
      <text>
        <r>
          <rPr>
            <b/>
            <sz val="9"/>
            <color indexed="81"/>
            <rFont val="Tahoma"/>
            <family val="2"/>
          </rPr>
          <t>&lt;[[TCDeals] - [Proxy Entities (Seq: 5)] Address 1 - Both]&gt;</t>
        </r>
      </text>
    </comment>
    <comment ref="E697" authorId="1" shapeId="0" xr:uid="{EA1289D1-FFBE-49EA-A0CF-A285D015ADA9}">
      <text>
        <r>
          <rPr>
            <b/>
            <sz val="9"/>
            <color indexed="81"/>
            <rFont val="Tahoma"/>
            <family val="2"/>
          </rPr>
          <t>&lt;[[TCDeals] - [Proxy Entities (Seq: 5)] City - Both]&gt;</t>
        </r>
      </text>
    </comment>
    <comment ref="F697" authorId="3" shapeId="0" xr:uid="{F0F65819-9A27-4123-859C-5536C2F1DA14}">
      <text>
        <r>
          <rPr>
            <b/>
            <sz val="9"/>
            <color indexed="81"/>
            <rFont val="Tahoma"/>
            <family val="2"/>
          </rPr>
          <t>&lt;[[TCDeals] - [Proxy Entities (Seq: 5)] State - Send]&gt;</t>
        </r>
      </text>
    </comment>
    <comment ref="G697" authorId="1" shapeId="0" xr:uid="{362446F2-D7E5-4326-8849-21A696D022E4}">
      <text>
        <r>
          <rPr>
            <b/>
            <sz val="9"/>
            <color indexed="81"/>
            <rFont val="Tahoma"/>
            <family val="2"/>
          </rPr>
          <t>&lt;[[TCDeals] - [Proxy Entities (Seq: 5)] Zip Code - Both]&gt;</t>
        </r>
      </text>
    </comment>
    <comment ref="H697" authorId="1" shapeId="0" xr:uid="{BD11244C-6A97-406B-B89D-259382BF7F70}">
      <text>
        <r>
          <rPr>
            <b/>
            <sz val="9"/>
            <color indexed="81"/>
            <rFont val="Tahoma"/>
            <family val="2"/>
          </rPr>
          <t>&lt;[[TCDeals] - [Proxy Entities (Seq: 5)] Direct Phone - Both]&gt;</t>
        </r>
      </text>
    </comment>
    <comment ref="I697" authorId="1" shapeId="0" xr:uid="{E779AF04-570D-424D-8FCB-BDD407616BBB}">
      <text>
        <r>
          <rPr>
            <b/>
            <sz val="9"/>
            <color indexed="81"/>
            <rFont val="Tahoma"/>
            <family val="2"/>
          </rPr>
          <t>&lt;[[TCDeals] - [Proxy Entities (Seq: 5)] Email Address 1 - Both]&gt;</t>
        </r>
      </text>
    </comment>
    <comment ref="J697" authorId="1" shapeId="0" xr:uid="{9EA3C75A-2922-4DAE-B420-D4AC76BE1B49}">
      <text>
        <r>
          <rPr>
            <b/>
            <sz val="9"/>
            <color indexed="81"/>
            <rFont val="Tahoma"/>
            <family val="2"/>
          </rPr>
          <t>&lt;[[TCDeals] - [Proxy Entities (Seq: 5)] Deal Entity Role - Both]&gt;</t>
        </r>
      </text>
    </comment>
    <comment ref="K697" authorId="1" shapeId="0" xr:uid="{14796096-62D0-4785-A0D1-11FC83501149}">
      <text>
        <r>
          <rPr>
            <b/>
            <sz val="9"/>
            <color indexed="81"/>
            <rFont val="Tahoma"/>
            <family val="2"/>
          </rPr>
          <t>&lt;[[TCDeals] - [Proxy Entities (Seq: 5)] Company or Individual? - Both]&gt;</t>
        </r>
      </text>
    </comment>
    <comment ref="C698" authorId="1" shapeId="0" xr:uid="{39B68631-5B31-4394-BBD1-ACC5F2248095}">
      <text>
        <r>
          <rPr>
            <b/>
            <sz val="9"/>
            <color indexed="81"/>
            <rFont val="Tahoma"/>
            <family val="2"/>
          </rPr>
          <t>&lt;[[TCDeals] - [Proxy Entities (Seq: 6)] Name (Doing Business As) - Both]&gt;</t>
        </r>
      </text>
    </comment>
    <comment ref="D698" authorId="1" shapeId="0" xr:uid="{A72BAF23-97AA-4E23-A5EB-B343D4A1F9E4}">
      <text>
        <r>
          <rPr>
            <b/>
            <sz val="9"/>
            <color indexed="81"/>
            <rFont val="Tahoma"/>
            <family val="2"/>
          </rPr>
          <t>&lt;[[TCDeals] - [Proxy Entities (Seq: 6)] Address 1 - Both]&gt;</t>
        </r>
      </text>
    </comment>
    <comment ref="E698" authorId="1" shapeId="0" xr:uid="{331FA482-9E98-4FAE-ACB7-4DEB2435AB4A}">
      <text>
        <r>
          <rPr>
            <b/>
            <sz val="9"/>
            <color indexed="81"/>
            <rFont val="Tahoma"/>
            <family val="2"/>
          </rPr>
          <t>&lt;[[TCDeals] - [Proxy Entities (Seq: 6)] City - Both]&gt;</t>
        </r>
      </text>
    </comment>
    <comment ref="F698" authorId="3" shapeId="0" xr:uid="{03CE1B9F-03E5-4EEE-B19B-D09324AC92E3}">
      <text>
        <r>
          <rPr>
            <b/>
            <sz val="9"/>
            <color indexed="81"/>
            <rFont val="Tahoma"/>
            <family val="2"/>
          </rPr>
          <t>&lt;[[TCDeals] - [Proxy Entities (Seq: 6)] State - Send]&gt;</t>
        </r>
      </text>
    </comment>
    <comment ref="G698" authorId="1" shapeId="0" xr:uid="{9FA2A776-CCA2-415C-A6E1-DC52A2787418}">
      <text>
        <r>
          <rPr>
            <b/>
            <sz val="9"/>
            <color indexed="81"/>
            <rFont val="Tahoma"/>
            <family val="2"/>
          </rPr>
          <t>&lt;[[TCDeals] - [Proxy Entities (Seq: 6)] Zip Code - Both]&gt;</t>
        </r>
      </text>
    </comment>
    <comment ref="H698" authorId="1" shapeId="0" xr:uid="{904F0BBE-7784-4071-A98D-BA515BA057C7}">
      <text>
        <r>
          <rPr>
            <b/>
            <sz val="9"/>
            <color indexed="81"/>
            <rFont val="Tahoma"/>
            <family val="2"/>
          </rPr>
          <t>&lt;[[TCDeals] - [Proxy Entities (Seq: 6)] Direct Phone - Both]&gt;</t>
        </r>
      </text>
    </comment>
    <comment ref="I698" authorId="1" shapeId="0" xr:uid="{88D5D200-FCA5-4BC9-AA0E-5C2114FF070B}">
      <text>
        <r>
          <rPr>
            <b/>
            <sz val="9"/>
            <color indexed="81"/>
            <rFont val="Tahoma"/>
            <family val="2"/>
          </rPr>
          <t>&lt;[[TCDeals] - [Proxy Entities (Seq: 6)] Email Address 1 - Both]&gt;</t>
        </r>
      </text>
    </comment>
    <comment ref="J698" authorId="1" shapeId="0" xr:uid="{F7C1C665-3B79-4BF3-8B13-6FE973E3C882}">
      <text>
        <r>
          <rPr>
            <b/>
            <sz val="9"/>
            <color indexed="81"/>
            <rFont val="Tahoma"/>
            <family val="2"/>
          </rPr>
          <t>&lt;[[TCDeals] - [Proxy Entities (Seq: 6)] Deal Entity Role - Both]&gt;</t>
        </r>
      </text>
    </comment>
    <comment ref="K698" authorId="1" shapeId="0" xr:uid="{504E5D60-FF1F-4662-A8ED-DE8D9D8FA220}">
      <text>
        <r>
          <rPr>
            <b/>
            <sz val="9"/>
            <color indexed="81"/>
            <rFont val="Tahoma"/>
            <family val="2"/>
          </rPr>
          <t>&lt;[[TCDeals] - [Proxy Entities (Seq: 6)] Company or Individual? - Both]&gt;</t>
        </r>
      </text>
    </comment>
    <comment ref="C699" authorId="1" shapeId="0" xr:uid="{2D920416-FE4B-4E82-A8D4-1A2F23195233}">
      <text>
        <r>
          <rPr>
            <b/>
            <sz val="9"/>
            <color indexed="81"/>
            <rFont val="Tahoma"/>
            <family val="2"/>
          </rPr>
          <t>&lt;[[TCDeals] - [Proxy Entities (Seq: 7)] Name (Doing Business As) - Both]&gt;</t>
        </r>
      </text>
    </comment>
    <comment ref="D699" authorId="1" shapeId="0" xr:uid="{A2F51783-613F-48C4-B37B-BC6506FF0BBF}">
      <text>
        <r>
          <rPr>
            <b/>
            <sz val="9"/>
            <color indexed="81"/>
            <rFont val="Tahoma"/>
            <family val="2"/>
          </rPr>
          <t>&lt;[[TCDeals] - [Proxy Entities (Seq: 7)] Address 1 - Both]&gt;</t>
        </r>
      </text>
    </comment>
    <comment ref="E699" authorId="1" shapeId="0" xr:uid="{A8A4B14E-62A0-409D-81E9-2C51D88A8840}">
      <text>
        <r>
          <rPr>
            <b/>
            <sz val="9"/>
            <color indexed="81"/>
            <rFont val="Tahoma"/>
            <family val="2"/>
          </rPr>
          <t>&lt;[[TCDeals] - [Proxy Entities (Seq: 7)] City - Both]&gt;</t>
        </r>
      </text>
    </comment>
    <comment ref="F699" authorId="3" shapeId="0" xr:uid="{EA796649-DC32-4632-B000-B0ACFFFE6F1D}">
      <text>
        <r>
          <rPr>
            <b/>
            <sz val="9"/>
            <color indexed="81"/>
            <rFont val="Tahoma"/>
            <family val="2"/>
          </rPr>
          <t>&lt;[[TCDeals] - [Proxy Entities (Seq: 7)] State - Send]&gt;</t>
        </r>
      </text>
    </comment>
    <comment ref="G699" authorId="1" shapeId="0" xr:uid="{0D797071-0D56-4265-B652-2EDBDBD1FB7D}">
      <text>
        <r>
          <rPr>
            <b/>
            <sz val="9"/>
            <color indexed="81"/>
            <rFont val="Tahoma"/>
            <family val="2"/>
          </rPr>
          <t>&lt;[[TCDeals] - [Proxy Entities (Seq: 7)] Zip Code - Both]&gt;</t>
        </r>
      </text>
    </comment>
    <comment ref="H699" authorId="1" shapeId="0" xr:uid="{98FA34DE-102C-45A7-A95A-722ACB923ADC}">
      <text>
        <r>
          <rPr>
            <b/>
            <sz val="9"/>
            <color indexed="81"/>
            <rFont val="Tahoma"/>
            <family val="2"/>
          </rPr>
          <t>&lt;[[TCDeals] - [Proxy Entities (Seq: 7)] Direct Phone - Both]&gt;</t>
        </r>
      </text>
    </comment>
    <comment ref="I699" authorId="1" shapeId="0" xr:uid="{513C6ADA-8579-4D72-BF2A-C1572A20B265}">
      <text>
        <r>
          <rPr>
            <b/>
            <sz val="9"/>
            <color indexed="81"/>
            <rFont val="Tahoma"/>
            <family val="2"/>
          </rPr>
          <t>&lt;[[TCDeals] - [Proxy Entities (Seq: 7)] Email Address 1 - Both]&gt;</t>
        </r>
      </text>
    </comment>
    <comment ref="J699" authorId="1" shapeId="0" xr:uid="{8F389638-540D-4C68-A954-1B4B8D61F9F5}">
      <text>
        <r>
          <rPr>
            <b/>
            <sz val="9"/>
            <color indexed="81"/>
            <rFont val="Tahoma"/>
            <family val="2"/>
          </rPr>
          <t>&lt;[[TCDeals] - [Proxy Entities (Seq: 7)] Deal Entity Role - Both]&gt;</t>
        </r>
      </text>
    </comment>
    <comment ref="K699" authorId="1" shapeId="0" xr:uid="{068B8127-31D8-4D31-A6ED-50A778D7BC3E}">
      <text>
        <r>
          <rPr>
            <b/>
            <sz val="9"/>
            <color indexed="81"/>
            <rFont val="Tahoma"/>
            <family val="2"/>
          </rPr>
          <t>&lt;[[TCDeals] - [Proxy Entities (Seq: 7)] Company or Individual? - Both]&gt;</t>
        </r>
      </text>
    </comment>
    <comment ref="C700" authorId="1" shapeId="0" xr:uid="{F67A2564-7882-4479-9ED8-6BBF9B01BF44}">
      <text>
        <r>
          <rPr>
            <b/>
            <sz val="9"/>
            <color indexed="81"/>
            <rFont val="Tahoma"/>
            <family val="2"/>
          </rPr>
          <t>&lt;[[TCDeals] - [Proxy Entities (Seq: 8)] Name (Doing Business As) - Both]&gt;</t>
        </r>
      </text>
    </comment>
    <comment ref="D700" authorId="1" shapeId="0" xr:uid="{3D875AEE-6E92-4240-A6C7-4360455FBF5F}">
      <text>
        <r>
          <rPr>
            <b/>
            <sz val="9"/>
            <color indexed="81"/>
            <rFont val="Tahoma"/>
            <family val="2"/>
          </rPr>
          <t>&lt;[[TCDeals] - [Proxy Entities (Seq: 8)] Address 1 - Both]&gt;</t>
        </r>
      </text>
    </comment>
    <comment ref="E700" authorId="1" shapeId="0" xr:uid="{8E63B8C6-D351-46ED-B403-E720E6024156}">
      <text>
        <r>
          <rPr>
            <b/>
            <sz val="9"/>
            <color indexed="81"/>
            <rFont val="Tahoma"/>
            <family val="2"/>
          </rPr>
          <t>&lt;[[TCDeals] - [Proxy Entities (Seq: 8)] City - Both]&gt;</t>
        </r>
      </text>
    </comment>
    <comment ref="F700" authorId="3" shapeId="0" xr:uid="{BB1C09DA-E4F1-46AB-9FEE-DB257369391F}">
      <text>
        <r>
          <rPr>
            <b/>
            <sz val="9"/>
            <color indexed="81"/>
            <rFont val="Tahoma"/>
            <family val="2"/>
          </rPr>
          <t>&lt;[[TCDeals] - [Proxy Entities (Seq: 8)] State - Send]&gt;</t>
        </r>
      </text>
    </comment>
    <comment ref="G700" authorId="1" shapeId="0" xr:uid="{D31FDFA5-885B-4062-92E0-99E45EB03A2A}">
      <text>
        <r>
          <rPr>
            <b/>
            <sz val="9"/>
            <color indexed="81"/>
            <rFont val="Tahoma"/>
            <family val="2"/>
          </rPr>
          <t>&lt;[[TCDeals] - [Proxy Entities (Seq: 8)] Zip Code - Both]&gt;</t>
        </r>
      </text>
    </comment>
    <comment ref="H700" authorId="1" shapeId="0" xr:uid="{93823A4F-D200-4AAF-8E82-1EC6448C0231}">
      <text>
        <r>
          <rPr>
            <b/>
            <sz val="9"/>
            <color indexed="81"/>
            <rFont val="Tahoma"/>
            <family val="2"/>
          </rPr>
          <t>&lt;[[TCDeals] - [Proxy Entities (Seq: 8)] Direct Phone - Both]&gt;</t>
        </r>
      </text>
    </comment>
    <comment ref="I700" authorId="1" shapeId="0" xr:uid="{6B4977E7-5329-4D35-8997-7962342D36D8}">
      <text>
        <r>
          <rPr>
            <b/>
            <sz val="9"/>
            <color indexed="81"/>
            <rFont val="Tahoma"/>
            <family val="2"/>
          </rPr>
          <t>&lt;[[TCDeals] - [Proxy Entities (Seq: 8)] Email Address 1 - Both]&gt;</t>
        </r>
      </text>
    </comment>
    <comment ref="J700" authorId="1" shapeId="0" xr:uid="{1621088C-2D20-4348-ABB4-9134CE82804B}">
      <text>
        <r>
          <rPr>
            <b/>
            <sz val="9"/>
            <color indexed="81"/>
            <rFont val="Tahoma"/>
            <family val="2"/>
          </rPr>
          <t>&lt;[[TCDeals] - [Proxy Entities (Seq: 8)] Deal Entity Role - Both]&gt;</t>
        </r>
      </text>
    </comment>
    <comment ref="K700" authorId="1" shapeId="0" xr:uid="{ABCC3DC7-CD87-4EC4-B6D4-7461A751CEEC}">
      <text>
        <r>
          <rPr>
            <b/>
            <sz val="9"/>
            <color indexed="81"/>
            <rFont val="Tahoma"/>
            <family val="2"/>
          </rPr>
          <t>&lt;[[TCDeals] - [Proxy Entities (Seq: 8)] Company or Individual? - Both]&gt;</t>
        </r>
      </text>
    </comment>
    <comment ref="C701" authorId="1" shapeId="0" xr:uid="{08C67485-BFA8-426D-B975-77234327536C}">
      <text>
        <r>
          <rPr>
            <b/>
            <sz val="9"/>
            <color indexed="81"/>
            <rFont val="Tahoma"/>
            <family val="2"/>
          </rPr>
          <t>&lt;[[TCDeals] - [Proxy Entities (Seq: 9)] Name (Doing Business As) - Both]&gt;</t>
        </r>
      </text>
    </comment>
    <comment ref="D701" authorId="1" shapeId="0" xr:uid="{92D4D21D-9FE1-4DC0-9A9E-53AB5BADE143}">
      <text>
        <r>
          <rPr>
            <b/>
            <sz val="9"/>
            <color indexed="81"/>
            <rFont val="Tahoma"/>
            <family val="2"/>
          </rPr>
          <t>&lt;[[TCDeals] - [Proxy Entities (Seq: 9)] Address 1 - Both]&gt;</t>
        </r>
      </text>
    </comment>
    <comment ref="E701" authorId="1" shapeId="0" xr:uid="{E7CEEF4E-5674-4DD2-BCF8-DECDFC58C77C}">
      <text>
        <r>
          <rPr>
            <b/>
            <sz val="9"/>
            <color indexed="81"/>
            <rFont val="Tahoma"/>
            <family val="2"/>
          </rPr>
          <t>&lt;[[TCDeals] - [Proxy Entities (Seq: 9)] City - Both]&gt;</t>
        </r>
      </text>
    </comment>
    <comment ref="F701" authorId="3" shapeId="0" xr:uid="{234862D2-0F63-4B88-934C-BCB5C14C5BDB}">
      <text>
        <r>
          <rPr>
            <b/>
            <sz val="9"/>
            <color indexed="81"/>
            <rFont val="Tahoma"/>
            <family val="2"/>
          </rPr>
          <t>&lt;[[TCDeals] - [Proxy Entities (Seq: 9)] State - Send]&gt;</t>
        </r>
      </text>
    </comment>
    <comment ref="G701" authorId="1" shapeId="0" xr:uid="{802E36FF-2D6A-4FFD-9D7C-206240DA83C5}">
      <text>
        <r>
          <rPr>
            <b/>
            <sz val="9"/>
            <color indexed="81"/>
            <rFont val="Tahoma"/>
            <family val="2"/>
          </rPr>
          <t>&lt;[[TCDeals] - [Proxy Entities (Seq: 9)] Zip Code - Both]&gt;</t>
        </r>
      </text>
    </comment>
    <comment ref="H701" authorId="1" shapeId="0" xr:uid="{ACCD4CEC-FA60-4195-94B2-10CA63B4FC57}">
      <text>
        <r>
          <rPr>
            <b/>
            <sz val="9"/>
            <color indexed="81"/>
            <rFont val="Tahoma"/>
            <family val="2"/>
          </rPr>
          <t>&lt;[[TCDeals] - [Proxy Entities (Seq: 9)] Direct Phone - Both]&gt;</t>
        </r>
      </text>
    </comment>
    <comment ref="I701" authorId="1" shapeId="0" xr:uid="{71A9AC21-BC49-4B1E-A155-65D121438F71}">
      <text>
        <r>
          <rPr>
            <b/>
            <sz val="9"/>
            <color indexed="81"/>
            <rFont val="Tahoma"/>
            <family val="2"/>
          </rPr>
          <t>&lt;[[TCDeals] - [Proxy Entities (Seq: 9)] Email Address 1 - Both]&gt;</t>
        </r>
      </text>
    </comment>
    <comment ref="J701" authorId="1" shapeId="0" xr:uid="{47110F0B-3512-4B46-AE27-91FCD5D70119}">
      <text>
        <r>
          <rPr>
            <b/>
            <sz val="9"/>
            <color indexed="81"/>
            <rFont val="Tahoma"/>
            <family val="2"/>
          </rPr>
          <t>&lt;[[TCDeals] - [Proxy Entities (Seq: 9)] Deal Entity Role - Both]&gt;</t>
        </r>
      </text>
    </comment>
    <comment ref="K701" authorId="1" shapeId="0" xr:uid="{5571128B-C28D-4A2F-8A7B-C9FB8CCB8341}">
      <text>
        <r>
          <rPr>
            <b/>
            <sz val="9"/>
            <color indexed="81"/>
            <rFont val="Tahoma"/>
            <family val="2"/>
          </rPr>
          <t>&lt;[[TCDeals] - [Proxy Entities (Seq: 9)] Company or Individual? - Both]&gt;</t>
        </r>
      </text>
    </comment>
    <comment ref="C702" authorId="1" shapeId="0" xr:uid="{F5B61EEB-0D78-4692-82EE-8AFBF9AEF806}">
      <text>
        <r>
          <rPr>
            <b/>
            <sz val="9"/>
            <color indexed="81"/>
            <rFont val="Tahoma"/>
            <family val="2"/>
          </rPr>
          <t>&lt;[[TCDeals] - [Proxy Entities (Seq: 10)] Name (Doing Business As) - Both]&gt;</t>
        </r>
      </text>
    </comment>
    <comment ref="D702" authorId="1" shapeId="0" xr:uid="{DE39B304-EC7A-4240-8B5A-54535DE9DAE8}">
      <text>
        <r>
          <rPr>
            <b/>
            <sz val="9"/>
            <color indexed="81"/>
            <rFont val="Tahoma"/>
            <family val="2"/>
          </rPr>
          <t>&lt;[[TCDeals] - [Proxy Entities (Seq: 10)] Address 1 - Both]&gt;</t>
        </r>
      </text>
    </comment>
    <comment ref="E702" authorId="1" shapeId="0" xr:uid="{D9ED6988-FF75-49EA-B6BB-EB9D82CD3AA9}">
      <text>
        <r>
          <rPr>
            <b/>
            <sz val="9"/>
            <color indexed="81"/>
            <rFont val="Tahoma"/>
            <family val="2"/>
          </rPr>
          <t>&lt;[[TCDeals] - [Proxy Entities (Seq: 10)] City - Both]&gt;</t>
        </r>
      </text>
    </comment>
    <comment ref="F702" authorId="3" shapeId="0" xr:uid="{1590D2C2-1EFB-49F0-BF18-AACA8E7F23CD}">
      <text>
        <r>
          <rPr>
            <b/>
            <sz val="9"/>
            <color indexed="81"/>
            <rFont val="Tahoma"/>
            <family val="2"/>
          </rPr>
          <t>&lt;[[TCDeals] - [Proxy Entities (Seq: 10)] State - Send]&gt;</t>
        </r>
      </text>
    </comment>
    <comment ref="G702" authorId="1" shapeId="0" xr:uid="{53C18D7D-2938-460F-99D0-933B789FB52D}">
      <text>
        <r>
          <rPr>
            <b/>
            <sz val="9"/>
            <color indexed="81"/>
            <rFont val="Tahoma"/>
            <family val="2"/>
          </rPr>
          <t>&lt;[[TCDeals] - [Proxy Entities (Seq: 10)] Zip Code - Both]&gt;</t>
        </r>
      </text>
    </comment>
    <comment ref="H702" authorId="1" shapeId="0" xr:uid="{31B7429E-93EC-4820-8793-AE146E9D3F9B}">
      <text>
        <r>
          <rPr>
            <b/>
            <sz val="9"/>
            <color indexed="81"/>
            <rFont val="Tahoma"/>
            <family val="2"/>
          </rPr>
          <t>&lt;[[TCDeals] - [Proxy Entities (Seq: 10)] Direct Phone - Both]&gt;</t>
        </r>
      </text>
    </comment>
    <comment ref="I702" authorId="1" shapeId="0" xr:uid="{AFF2D4DD-CF9F-4B19-BCEF-D3DCA6E841E2}">
      <text>
        <r>
          <rPr>
            <b/>
            <sz val="9"/>
            <color indexed="81"/>
            <rFont val="Tahoma"/>
            <family val="2"/>
          </rPr>
          <t>&lt;[[TCDeals] - [Proxy Entities (Seq: 10)] Email Address 1 - Both]&gt;</t>
        </r>
      </text>
    </comment>
    <comment ref="J702" authorId="1" shapeId="0" xr:uid="{D82E6591-DA8B-4B51-9FD9-3A2A11143BCA}">
      <text>
        <r>
          <rPr>
            <b/>
            <sz val="9"/>
            <color indexed="81"/>
            <rFont val="Tahoma"/>
            <family val="2"/>
          </rPr>
          <t>&lt;[[TCDeals] - [Proxy Entities (Seq: 10)] Deal Entity Role - Both]&gt;</t>
        </r>
      </text>
    </comment>
    <comment ref="K702" authorId="1" shapeId="0" xr:uid="{2B420D0E-B3E0-4E6E-B538-43F122578FA5}">
      <text>
        <r>
          <rPr>
            <b/>
            <sz val="9"/>
            <color indexed="81"/>
            <rFont val="Tahoma"/>
            <family val="2"/>
          </rPr>
          <t>&lt;[[TCDeals] - [Proxy Entities (Seq: 10)] Company or Individual? - Both]&gt;</t>
        </r>
      </text>
    </comment>
    <comment ref="C703" authorId="1" shapeId="0" xr:uid="{840DF391-3920-407D-8F1B-5FC93D4ACCB5}">
      <text>
        <r>
          <rPr>
            <b/>
            <sz val="9"/>
            <color indexed="81"/>
            <rFont val="Tahoma"/>
            <family val="2"/>
          </rPr>
          <t>&lt;[[TCDeals] - [Proxy Entities (Seq: 11)] Name (Doing Business As) - Both]&gt;</t>
        </r>
      </text>
    </comment>
    <comment ref="D703" authorId="1" shapeId="0" xr:uid="{04635037-7967-478F-8FC3-3AE0B6A5B5A0}">
      <text>
        <r>
          <rPr>
            <b/>
            <sz val="9"/>
            <color indexed="81"/>
            <rFont val="Tahoma"/>
            <family val="2"/>
          </rPr>
          <t>&lt;[[TCDeals] - [Proxy Entities (Seq: 11)] Address 1 - Both]&gt;</t>
        </r>
      </text>
    </comment>
    <comment ref="E703" authorId="1" shapeId="0" xr:uid="{27B7871A-EB4D-4D2D-9288-D1F6ECD7788F}">
      <text>
        <r>
          <rPr>
            <b/>
            <sz val="9"/>
            <color indexed="81"/>
            <rFont val="Tahoma"/>
            <family val="2"/>
          </rPr>
          <t>&lt;[[TCDeals] - [Proxy Entities (Seq: 11)] City - Both]&gt;</t>
        </r>
      </text>
    </comment>
    <comment ref="F703" authorId="3" shapeId="0" xr:uid="{6EF55028-D218-48A7-94B5-20FEB43E1F69}">
      <text>
        <r>
          <rPr>
            <b/>
            <sz val="9"/>
            <color indexed="81"/>
            <rFont val="Tahoma"/>
            <family val="2"/>
          </rPr>
          <t>&lt;[[TCDeals] - [Proxy Entities (Seq: 11)] State - Send]&gt;</t>
        </r>
      </text>
    </comment>
    <comment ref="G703" authorId="1" shapeId="0" xr:uid="{1829F799-2E3E-4D5C-AB93-1021298FB0BF}">
      <text>
        <r>
          <rPr>
            <b/>
            <sz val="9"/>
            <color indexed="81"/>
            <rFont val="Tahoma"/>
            <family val="2"/>
          </rPr>
          <t>&lt;[[TCDeals] - [Proxy Entities (Seq: 11)] Zip Code - Both]&gt;</t>
        </r>
      </text>
    </comment>
    <comment ref="H703" authorId="1" shapeId="0" xr:uid="{48E858EF-ADA6-429D-BAAF-FB54109C7B31}">
      <text>
        <r>
          <rPr>
            <b/>
            <sz val="9"/>
            <color indexed="81"/>
            <rFont val="Tahoma"/>
            <family val="2"/>
          </rPr>
          <t>&lt;[[TCDeals] - [Proxy Entities (Seq: 11)] Direct Phone - Both]&gt;</t>
        </r>
      </text>
    </comment>
    <comment ref="I703" authorId="1" shapeId="0" xr:uid="{EB22D9E1-96ED-4AFA-ABD4-E9EE99FE456A}">
      <text>
        <r>
          <rPr>
            <b/>
            <sz val="9"/>
            <color indexed="81"/>
            <rFont val="Tahoma"/>
            <family val="2"/>
          </rPr>
          <t>&lt;[[TCDeals] - [Proxy Entities (Seq: 11)] Email Address 1 - Both]&gt;</t>
        </r>
      </text>
    </comment>
    <comment ref="J703" authorId="1" shapeId="0" xr:uid="{5BD5C0B7-ADFD-4974-A472-0328DE6BE6F3}">
      <text>
        <r>
          <rPr>
            <b/>
            <sz val="9"/>
            <color indexed="81"/>
            <rFont val="Tahoma"/>
            <family val="2"/>
          </rPr>
          <t>&lt;[[TCDeals] - [Proxy Entities (Seq: 11)] Deal Entity Role - Both]&gt;</t>
        </r>
      </text>
    </comment>
    <comment ref="K703" authorId="1" shapeId="0" xr:uid="{241C45C5-D1E9-49BF-9097-63C6E140CCC4}">
      <text>
        <r>
          <rPr>
            <b/>
            <sz val="9"/>
            <color indexed="81"/>
            <rFont val="Tahoma"/>
            <family val="2"/>
          </rPr>
          <t>&lt;[[TCDeals] - [Proxy Entities (Seq: 11)] Company or Individual? - Both]&gt;</t>
        </r>
      </text>
    </comment>
    <comment ref="C704" authorId="1" shapeId="0" xr:uid="{4D4B7C2D-84E2-4944-B5EB-38ADDE648BEB}">
      <text>
        <r>
          <rPr>
            <b/>
            <sz val="9"/>
            <color indexed="81"/>
            <rFont val="Tahoma"/>
            <family val="2"/>
          </rPr>
          <t>&lt;[[TCDeals] - [Proxy Entities (Seq: 12)] Name (Doing Business As) - Both]&gt;</t>
        </r>
      </text>
    </comment>
    <comment ref="D704" authorId="1" shapeId="0" xr:uid="{88BAFEE6-41C7-49F8-99B5-0755E9A2DE7E}">
      <text>
        <r>
          <rPr>
            <b/>
            <sz val="9"/>
            <color indexed="81"/>
            <rFont val="Tahoma"/>
            <family val="2"/>
          </rPr>
          <t>&lt;[[TCDeals] - [Proxy Entities (Seq: 12)] Address 1 - Both]&gt;</t>
        </r>
      </text>
    </comment>
    <comment ref="E704" authorId="1" shapeId="0" xr:uid="{06E5AF6D-3E6F-4EDF-87EC-AFAF2AB65FE3}">
      <text>
        <r>
          <rPr>
            <b/>
            <sz val="9"/>
            <color indexed="81"/>
            <rFont val="Tahoma"/>
            <family val="2"/>
          </rPr>
          <t>&lt;[[TCDeals] - [Proxy Entities (Seq: 12)] City - Both]&gt;</t>
        </r>
      </text>
    </comment>
    <comment ref="F704" authorId="3" shapeId="0" xr:uid="{20EBA923-5210-4FEE-85F4-E079BE7E3EEE}">
      <text>
        <r>
          <rPr>
            <b/>
            <sz val="9"/>
            <color indexed="81"/>
            <rFont val="Tahoma"/>
            <family val="2"/>
          </rPr>
          <t>&lt;[[TCDeals] - [Proxy Entities (Seq: 12)] State - Send]&gt;</t>
        </r>
      </text>
    </comment>
    <comment ref="G704" authorId="1" shapeId="0" xr:uid="{6C0F1B8A-A5A3-4EBC-8A54-87368A5761FE}">
      <text>
        <r>
          <rPr>
            <b/>
            <sz val="9"/>
            <color indexed="81"/>
            <rFont val="Tahoma"/>
            <family val="2"/>
          </rPr>
          <t>&lt;[[TCDeals] - [Proxy Entities (Seq: 12)] Zip Code - Both]&gt;</t>
        </r>
      </text>
    </comment>
    <comment ref="H704" authorId="1" shapeId="0" xr:uid="{2429A5B3-7769-4074-BA0E-C2DFD873CCF5}">
      <text>
        <r>
          <rPr>
            <b/>
            <sz val="9"/>
            <color indexed="81"/>
            <rFont val="Tahoma"/>
            <family val="2"/>
          </rPr>
          <t>&lt;[[TCDeals] - [Proxy Entities (Seq: 12)] Direct Phone - Both]&gt;</t>
        </r>
      </text>
    </comment>
    <comment ref="I704" authorId="1" shapeId="0" xr:uid="{A43C5C2D-188E-4397-9667-7C3BB345854A}">
      <text>
        <r>
          <rPr>
            <b/>
            <sz val="9"/>
            <color indexed="81"/>
            <rFont val="Tahoma"/>
            <family val="2"/>
          </rPr>
          <t>&lt;[[TCDeals] - [Proxy Entities (Seq: 12)] Email Address 1 - Both]&gt;</t>
        </r>
      </text>
    </comment>
    <comment ref="J704" authorId="1" shapeId="0" xr:uid="{6963D876-5CEA-4781-BC86-11B35BFA1D5E}">
      <text>
        <r>
          <rPr>
            <b/>
            <sz val="9"/>
            <color indexed="81"/>
            <rFont val="Tahoma"/>
            <family val="2"/>
          </rPr>
          <t>&lt;[[TCDeals] - [Proxy Entities (Seq: 12)] Deal Entity Role - Both]&gt;</t>
        </r>
      </text>
    </comment>
    <comment ref="K704" authorId="1" shapeId="0" xr:uid="{5BC49F74-F0EA-4544-BF11-E0F0AD703DCA}">
      <text>
        <r>
          <rPr>
            <b/>
            <sz val="9"/>
            <color indexed="81"/>
            <rFont val="Tahoma"/>
            <family val="2"/>
          </rPr>
          <t>&lt;[[TCDeals] - [Proxy Entities (Seq: 12)] Company or Individual? - Both]&gt;</t>
        </r>
      </text>
    </comment>
    <comment ref="C705" authorId="1" shapeId="0" xr:uid="{3F7BD172-5C7A-45EF-B04A-0B12321EC6B9}">
      <text>
        <r>
          <rPr>
            <b/>
            <sz val="9"/>
            <color indexed="81"/>
            <rFont val="Tahoma"/>
            <family val="2"/>
          </rPr>
          <t>&lt;[[TCDeals] - [Proxy Entities (Seq: 13)] Name (Doing Business As) - Both]&gt;</t>
        </r>
      </text>
    </comment>
    <comment ref="D705" authorId="1" shapeId="0" xr:uid="{A5E3B09B-1F2D-4ADF-837C-1D56BD8E7107}">
      <text>
        <r>
          <rPr>
            <b/>
            <sz val="9"/>
            <color indexed="81"/>
            <rFont val="Tahoma"/>
            <family val="2"/>
          </rPr>
          <t>&lt;[[TCDeals] - [Proxy Entities (Seq: 13)] Address 1 - Both]&gt;</t>
        </r>
      </text>
    </comment>
    <comment ref="E705" authorId="1" shapeId="0" xr:uid="{169AFF65-22D2-496A-ADB5-D31BA9167D87}">
      <text>
        <r>
          <rPr>
            <b/>
            <sz val="9"/>
            <color indexed="81"/>
            <rFont val="Tahoma"/>
            <family val="2"/>
          </rPr>
          <t>&lt;[[TCDeals] - [Proxy Entities (Seq: 13)] City - Both]&gt;</t>
        </r>
      </text>
    </comment>
    <comment ref="F705" authorId="3" shapeId="0" xr:uid="{72747132-D187-41A1-8EA1-4348CF17F467}">
      <text>
        <r>
          <rPr>
            <b/>
            <sz val="9"/>
            <color indexed="81"/>
            <rFont val="Tahoma"/>
            <family val="2"/>
          </rPr>
          <t>&lt;[[TCDeals] - [Proxy Entities (Seq: 13)] State - Send]&gt;</t>
        </r>
      </text>
    </comment>
    <comment ref="G705" authorId="1" shapeId="0" xr:uid="{D901B1C1-B37F-43AD-8B37-5DB6268B113A}">
      <text>
        <r>
          <rPr>
            <b/>
            <sz val="9"/>
            <color indexed="81"/>
            <rFont val="Tahoma"/>
            <family val="2"/>
          </rPr>
          <t>&lt;[[TCDeals] - [Proxy Entities (Seq: 13)] Zip Code - Both]&gt;</t>
        </r>
      </text>
    </comment>
    <comment ref="H705" authorId="1" shapeId="0" xr:uid="{62521FA6-C98A-4102-A73D-F28463844B45}">
      <text>
        <r>
          <rPr>
            <b/>
            <sz val="9"/>
            <color indexed="81"/>
            <rFont val="Tahoma"/>
            <family val="2"/>
          </rPr>
          <t>&lt;[[TCDeals] - [Proxy Entities (Seq: 13)] Direct Phone - Both]&gt;</t>
        </r>
      </text>
    </comment>
    <comment ref="I705" authorId="1" shapeId="0" xr:uid="{1DA84E16-91B1-4077-8466-31D45452877E}">
      <text>
        <r>
          <rPr>
            <b/>
            <sz val="9"/>
            <color indexed="81"/>
            <rFont val="Tahoma"/>
            <family val="2"/>
          </rPr>
          <t>&lt;[[TCDeals] - [Proxy Entities (Seq: 13)] Email Address 1 - Both]&gt;</t>
        </r>
      </text>
    </comment>
    <comment ref="J705" authorId="1" shapeId="0" xr:uid="{61653D01-2FB5-40C8-9567-7BA05B94453B}">
      <text>
        <r>
          <rPr>
            <b/>
            <sz val="9"/>
            <color indexed="81"/>
            <rFont val="Tahoma"/>
            <family val="2"/>
          </rPr>
          <t>&lt;[[TCDeals] - [Proxy Entities (Seq: 13)] Deal Entity Role - Both]&gt;</t>
        </r>
      </text>
    </comment>
    <comment ref="K705" authorId="1" shapeId="0" xr:uid="{BC84A971-EE6C-4D40-851A-5D4583CD8B78}">
      <text>
        <r>
          <rPr>
            <b/>
            <sz val="9"/>
            <color indexed="81"/>
            <rFont val="Tahoma"/>
            <family val="2"/>
          </rPr>
          <t>&lt;[[TCDeals] - [Proxy Entities (Seq: 13)] Company or Individual? - Both]&gt;</t>
        </r>
      </text>
    </comment>
    <comment ref="C706" authorId="1" shapeId="0" xr:uid="{0D3D0015-0C7E-4A48-A553-CB01D06E75F3}">
      <text>
        <r>
          <rPr>
            <b/>
            <sz val="9"/>
            <color indexed="81"/>
            <rFont val="Tahoma"/>
            <family val="2"/>
          </rPr>
          <t>&lt;[[TCDeals] - [Proxy Entities (Seq: 14)] Name (Doing Business As) - Both]&gt;</t>
        </r>
      </text>
    </comment>
    <comment ref="D706" authorId="1" shapeId="0" xr:uid="{148FD976-51B5-40B8-816D-AA40799FD981}">
      <text>
        <r>
          <rPr>
            <b/>
            <sz val="9"/>
            <color indexed="81"/>
            <rFont val="Tahoma"/>
            <family val="2"/>
          </rPr>
          <t>&lt;[[TCDeals] - [Proxy Entities (Seq: 14)] Address 1 - Both]&gt;</t>
        </r>
      </text>
    </comment>
    <comment ref="E706" authorId="1" shapeId="0" xr:uid="{03CF148A-4834-48AA-8BD9-937929213761}">
      <text>
        <r>
          <rPr>
            <b/>
            <sz val="9"/>
            <color indexed="81"/>
            <rFont val="Tahoma"/>
            <family val="2"/>
          </rPr>
          <t>&lt;[[TCDeals] - [Proxy Entities (Seq: 14)] City - Both]&gt;</t>
        </r>
      </text>
    </comment>
    <comment ref="F706" authorId="3" shapeId="0" xr:uid="{4EBA95E3-9D61-43EF-8FE2-8A24783138BF}">
      <text>
        <r>
          <rPr>
            <b/>
            <sz val="9"/>
            <color indexed="81"/>
            <rFont val="Tahoma"/>
            <family val="2"/>
          </rPr>
          <t>&lt;[[TCDeals] - [Proxy Entities (Seq: 14)] State - Send]&gt;</t>
        </r>
      </text>
    </comment>
    <comment ref="G706" authorId="1" shapeId="0" xr:uid="{167A6A73-B1CE-4777-9CE1-84F4C7C1E500}">
      <text>
        <r>
          <rPr>
            <b/>
            <sz val="9"/>
            <color indexed="81"/>
            <rFont val="Tahoma"/>
            <family val="2"/>
          </rPr>
          <t>&lt;[[TCDeals] - [Proxy Entities (Seq: 14)] Zip Code - Both]&gt;</t>
        </r>
      </text>
    </comment>
    <comment ref="H706" authorId="1" shapeId="0" xr:uid="{DC9B9D45-2F0C-4F24-98B0-64955046FE31}">
      <text>
        <r>
          <rPr>
            <b/>
            <sz val="9"/>
            <color indexed="81"/>
            <rFont val="Tahoma"/>
            <family val="2"/>
          </rPr>
          <t>&lt;[[TCDeals] - [Proxy Entities (Seq: 14)] Direct Phone - Both]&gt;</t>
        </r>
      </text>
    </comment>
    <comment ref="I706" authorId="1" shapeId="0" xr:uid="{9BE7A267-3F61-402A-A01D-819EC91C7B7B}">
      <text>
        <r>
          <rPr>
            <b/>
            <sz val="9"/>
            <color indexed="81"/>
            <rFont val="Tahoma"/>
            <family val="2"/>
          </rPr>
          <t>&lt;[[TCDeals] - [Proxy Entities (Seq: 14)] Email Address 1 - Both]&gt;</t>
        </r>
      </text>
    </comment>
    <comment ref="J706" authorId="1" shapeId="0" xr:uid="{8304C36A-4DF9-4518-9127-6F6315400930}">
      <text>
        <r>
          <rPr>
            <b/>
            <sz val="9"/>
            <color indexed="81"/>
            <rFont val="Tahoma"/>
            <family val="2"/>
          </rPr>
          <t>&lt;[[TCDeals] - [Proxy Entities (Seq: 14)] Deal Entity Role - Both]&gt;</t>
        </r>
      </text>
    </comment>
    <comment ref="K706" authorId="1" shapeId="0" xr:uid="{049FF5DF-0B5C-4B37-9826-8F8FBCFB56F4}">
      <text>
        <r>
          <rPr>
            <b/>
            <sz val="9"/>
            <color indexed="81"/>
            <rFont val="Tahoma"/>
            <family val="2"/>
          </rPr>
          <t>&lt;[[TCDeals] - [Proxy Entities (Seq: 14)] Company or Individual? - Both]&gt;</t>
        </r>
      </text>
    </comment>
    <comment ref="C707" authorId="1" shapeId="0" xr:uid="{2217BEC7-CF41-4B30-A25E-BB12A69BB3FC}">
      <text>
        <r>
          <rPr>
            <b/>
            <sz val="9"/>
            <color indexed="81"/>
            <rFont val="Tahoma"/>
            <family val="2"/>
          </rPr>
          <t>&lt;[[TCDeals] - [Proxy Entities (Seq: 15)] Name (Doing Business As) - Both]&gt;</t>
        </r>
      </text>
    </comment>
    <comment ref="D707" authorId="1" shapeId="0" xr:uid="{1D5893D0-41E3-4C99-89F1-2274BB304F28}">
      <text>
        <r>
          <rPr>
            <b/>
            <sz val="9"/>
            <color indexed="81"/>
            <rFont val="Tahoma"/>
            <family val="2"/>
          </rPr>
          <t>&lt;[[TCDeals] - [Proxy Entities (Seq: 15)] Address 1 - Both]&gt;</t>
        </r>
      </text>
    </comment>
    <comment ref="E707" authorId="1" shapeId="0" xr:uid="{6A08C8C7-8F43-4B0C-9DBB-E4CD97CD35BF}">
      <text>
        <r>
          <rPr>
            <b/>
            <sz val="9"/>
            <color indexed="81"/>
            <rFont val="Tahoma"/>
            <family val="2"/>
          </rPr>
          <t>&lt;[[TCDeals] - [Proxy Entities (Seq: 15)] City - Both]&gt;</t>
        </r>
      </text>
    </comment>
    <comment ref="F707" authorId="3" shapeId="0" xr:uid="{BB7D871B-6F97-47FB-B5F9-46C4D44A90DC}">
      <text>
        <r>
          <rPr>
            <b/>
            <sz val="9"/>
            <color indexed="81"/>
            <rFont val="Tahoma"/>
            <family val="2"/>
          </rPr>
          <t>&lt;[[TCDeals] - [Proxy Entities (Seq: 15)] State - Send]&gt;</t>
        </r>
      </text>
    </comment>
    <comment ref="G707" authorId="1" shapeId="0" xr:uid="{0888F8CA-8149-48EC-AE7E-3EDA596897DF}">
      <text>
        <r>
          <rPr>
            <b/>
            <sz val="9"/>
            <color indexed="81"/>
            <rFont val="Tahoma"/>
            <family val="2"/>
          </rPr>
          <t>&lt;[[TCDeals] - [Proxy Entities (Seq: 15)] Zip Code - Both]&gt;</t>
        </r>
      </text>
    </comment>
    <comment ref="H707" authorId="1" shapeId="0" xr:uid="{DBDD3FB1-669F-4210-8642-C18B01D3489A}">
      <text>
        <r>
          <rPr>
            <b/>
            <sz val="9"/>
            <color indexed="81"/>
            <rFont val="Tahoma"/>
            <family val="2"/>
          </rPr>
          <t>&lt;[[TCDeals] - [Proxy Entities (Seq: 15)] Direct Phone - Both]&gt;</t>
        </r>
      </text>
    </comment>
    <comment ref="I707" authorId="1" shapeId="0" xr:uid="{B6C225A6-8277-434A-8653-DFF385B61280}">
      <text>
        <r>
          <rPr>
            <b/>
            <sz val="9"/>
            <color indexed="81"/>
            <rFont val="Tahoma"/>
            <family val="2"/>
          </rPr>
          <t>&lt;[[TCDeals] - [Proxy Entities (Seq: 15)] Email Address 1 - Both]&gt;</t>
        </r>
      </text>
    </comment>
    <comment ref="J707" authorId="1" shapeId="0" xr:uid="{80789B56-88A4-4839-9CD1-AD0498835535}">
      <text>
        <r>
          <rPr>
            <b/>
            <sz val="9"/>
            <color indexed="81"/>
            <rFont val="Tahoma"/>
            <family val="2"/>
          </rPr>
          <t>&lt;[[TCDeals] - [Proxy Entities (Seq: 15)] Deal Entity Role - Both]&gt;</t>
        </r>
      </text>
    </comment>
    <comment ref="K707" authorId="1" shapeId="0" xr:uid="{4461ADF5-9961-4EDB-A90A-1BAED585D1F7}">
      <text>
        <r>
          <rPr>
            <b/>
            <sz val="9"/>
            <color indexed="81"/>
            <rFont val="Tahoma"/>
            <family val="2"/>
          </rPr>
          <t>&lt;[[TCDeals] - [Proxy Entities (Seq: 15)] Company or Individual? - Both]&gt;</t>
        </r>
      </text>
    </comment>
    <comment ref="C708" authorId="1" shapeId="0" xr:uid="{19F56DE0-08FA-4183-85D9-9A4F4A5B637C}">
      <text>
        <r>
          <rPr>
            <b/>
            <sz val="9"/>
            <color indexed="81"/>
            <rFont val="Tahoma"/>
            <family val="2"/>
          </rPr>
          <t>&lt;[[TCDeals] - [Proxy Entities (Seq: 16)] Name (Doing Business As) - Both]&gt;</t>
        </r>
      </text>
    </comment>
    <comment ref="D708" authorId="1" shapeId="0" xr:uid="{0EDE6993-C3DE-4E5B-AFA4-609304C95C4B}">
      <text>
        <r>
          <rPr>
            <b/>
            <sz val="9"/>
            <color indexed="81"/>
            <rFont val="Tahoma"/>
            <family val="2"/>
          </rPr>
          <t>&lt;[[TCDeals] - [Proxy Entities (Seq: 16)] Address 1 - Both]&gt;</t>
        </r>
      </text>
    </comment>
    <comment ref="E708" authorId="1" shapeId="0" xr:uid="{134E2E97-7553-4278-8C03-F4F158DA2C34}">
      <text>
        <r>
          <rPr>
            <b/>
            <sz val="9"/>
            <color indexed="81"/>
            <rFont val="Tahoma"/>
            <family val="2"/>
          </rPr>
          <t>&lt;[[TCDeals] - [Proxy Entities (Seq: 16)] City - Both]&gt;</t>
        </r>
      </text>
    </comment>
    <comment ref="F708" authorId="3" shapeId="0" xr:uid="{07FD68AD-98F5-4576-8786-A48CF326425B}">
      <text>
        <r>
          <rPr>
            <b/>
            <sz val="9"/>
            <color indexed="81"/>
            <rFont val="Tahoma"/>
            <family val="2"/>
          </rPr>
          <t>&lt;[[TCDeals] - [Proxy Entities (Seq: 16)] State - Send]&gt;</t>
        </r>
      </text>
    </comment>
    <comment ref="G708" authorId="1" shapeId="0" xr:uid="{6DD21BA8-9868-4F1C-AC20-9820DB748746}">
      <text>
        <r>
          <rPr>
            <b/>
            <sz val="9"/>
            <color indexed="81"/>
            <rFont val="Tahoma"/>
            <family val="2"/>
          </rPr>
          <t>&lt;[[TCDeals] - [Proxy Entities (Seq: 16)] Zip Code - Both]&gt;</t>
        </r>
      </text>
    </comment>
    <comment ref="H708" authorId="1" shapeId="0" xr:uid="{3C4AF867-71E1-4F90-BB93-A7B20A37DF4E}">
      <text>
        <r>
          <rPr>
            <b/>
            <sz val="9"/>
            <color indexed="81"/>
            <rFont val="Tahoma"/>
            <family val="2"/>
          </rPr>
          <t>&lt;[[TCDeals] - [Proxy Entities (Seq: 16)] Direct Phone - Both]&gt;</t>
        </r>
      </text>
    </comment>
    <comment ref="I708" authorId="1" shapeId="0" xr:uid="{7542C5E2-D756-4EA0-91C9-682BE2C608A0}">
      <text>
        <r>
          <rPr>
            <b/>
            <sz val="9"/>
            <color indexed="81"/>
            <rFont val="Tahoma"/>
            <family val="2"/>
          </rPr>
          <t>&lt;[[TCDeals] - [Proxy Entities (Seq: 16)] Email Address 1 - Both]&gt;</t>
        </r>
      </text>
    </comment>
    <comment ref="J708" authorId="1" shapeId="0" xr:uid="{1707E6FB-D32B-4ABC-9612-B0E192810B1B}">
      <text>
        <r>
          <rPr>
            <b/>
            <sz val="9"/>
            <color indexed="81"/>
            <rFont val="Tahoma"/>
            <family val="2"/>
          </rPr>
          <t>&lt;[[TCDeals] - [Proxy Entities (Seq: 16)] Deal Entity Role - Both]&gt;</t>
        </r>
      </text>
    </comment>
    <comment ref="K708" authorId="1" shapeId="0" xr:uid="{419067B1-7D2E-4A78-B4E7-3705119F8B27}">
      <text>
        <r>
          <rPr>
            <b/>
            <sz val="9"/>
            <color indexed="81"/>
            <rFont val="Tahoma"/>
            <family val="2"/>
          </rPr>
          <t>&lt;[[TCDeals] - [Proxy Entities (Seq: 16)] Company or Individual? - Both]&gt;</t>
        </r>
      </text>
    </comment>
    <comment ref="C731"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32"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33" authorId="0" shapeId="0" xr:uid="{EAC68052-1E81-4626-9BDD-5231FC55E6C8}">
      <text>
        <r>
          <rPr>
            <b/>
            <sz val="9"/>
            <color indexed="81"/>
            <rFont val="Tahoma"/>
            <family val="2"/>
          </rPr>
          <t>&lt;[[TCDeals] - [TC Property Current Stage (Seq: 1)] - [Property Points (Seq: 1)] Is Private Placement - Both]&gt;</t>
        </r>
      </text>
    </comment>
    <comment ref="C734" authorId="0" shapeId="0" xr:uid="{26FB8D31-57B8-464B-91F4-2AC2CE0E825B}">
      <text>
        <r>
          <rPr>
            <b/>
            <sz val="9"/>
            <color indexed="81"/>
            <rFont val="Tahoma"/>
            <family val="2"/>
          </rPr>
          <t>&lt;[[TCDeals] - [TC Property Current Stage (Seq: 1)] - [Property Points (Seq: 1)] Is Public Placement - Both]&gt;</t>
        </r>
      </text>
    </comment>
    <comment ref="C735" authorId="0" shapeId="0" xr:uid="{2528154D-AADB-493B-81AA-763313B331FD}">
      <text>
        <r>
          <rPr>
            <b/>
            <sz val="9"/>
            <color indexed="81"/>
            <rFont val="Tahoma"/>
            <family val="2"/>
          </rPr>
          <t>&lt;[[TCDeals] - [TC Property Current Stage (Seq: 1)] - [Property Points (Seq: 1)] Optional Field 154 - Both]&gt;</t>
        </r>
      </text>
    </comment>
    <comment ref="C736" authorId="0" shapeId="0" xr:uid="{9F77FA70-E801-4E23-B780-74946759D1B7}">
      <text>
        <r>
          <rPr>
            <b/>
            <sz val="9"/>
            <color indexed="81"/>
            <rFont val="Tahoma"/>
            <family val="2"/>
          </rPr>
          <t>&lt;[[TCDeals] - [TC Property Current Stage (Seq: 1)] - [Property Points (Seq: 1)] Optional Field 155 - Both]&gt;</t>
        </r>
      </text>
    </comment>
    <comment ref="C737" authorId="0" shapeId="0" xr:uid="{E2924A1B-9531-403B-AC67-79B323D5971F}">
      <text>
        <r>
          <rPr>
            <b/>
            <sz val="9"/>
            <color indexed="81"/>
            <rFont val="Tahoma"/>
            <family val="2"/>
          </rPr>
          <t>&lt;[[TCDeals] - [TC Property Current Stage (Seq: 1)] - [Property Points (Seq: 1)] Optional Field 156 - Both]&gt;</t>
        </r>
      </text>
    </comment>
    <comment ref="C738" authorId="0" shapeId="0" xr:uid="{BF6AEAA3-6097-471D-81EA-E7F2974D004A}">
      <text>
        <r>
          <rPr>
            <b/>
            <sz val="9"/>
            <color indexed="81"/>
            <rFont val="Tahoma"/>
            <family val="2"/>
          </rPr>
          <t>&lt;[[TCDeals] - [TC Property Current Stage (Seq: 1)] - [Property Points (Seq: 1)] Optional Field 157 - Both]&gt;</t>
        </r>
      </text>
    </comment>
    <comment ref="C739" authorId="0" shapeId="0" xr:uid="{88A43A9A-9A64-4FB5-9740-BB82A0704371}">
      <text>
        <r>
          <rPr>
            <b/>
            <sz val="9"/>
            <color indexed="81"/>
            <rFont val="Tahoma"/>
            <family val="2"/>
          </rPr>
          <t>&lt;[[TCDeals] - [TC Property Current Stage (Seq: 1)] - [Property Points (Seq: 1)] Optional Field 158 - Both]&gt;</t>
        </r>
      </text>
    </comment>
    <comment ref="C740" authorId="0" shapeId="0" xr:uid="{18B2695E-15F6-4BBF-83A3-175BDADA35ED}">
      <text>
        <r>
          <rPr>
            <b/>
            <sz val="9"/>
            <color indexed="81"/>
            <rFont val="Tahoma"/>
            <family val="2"/>
          </rPr>
          <t>&lt;[[TCDeals] - [TC Property Current Stage (Seq: 1)] - [Property Points (Seq: 1)] Optional Field 453 - Both]&gt;</t>
        </r>
      </text>
    </comment>
    <comment ref="C741" authorId="1" shapeId="0" xr:uid="{4E2597B8-640D-420F-A558-208BB71EAA9A}">
      <text>
        <r>
          <rPr>
            <b/>
            <sz val="9"/>
            <color indexed="81"/>
            <rFont val="Tahoma"/>
            <family val="2"/>
          </rPr>
          <t>&lt;[[TCDeals] - [TC Property Current Stage (Seq: 1)] - [Property Points (Seq: 1)] Mayor State - Both]&gt;</t>
        </r>
      </text>
    </comment>
    <comment ref="C742" authorId="1" shapeId="0" xr:uid="{655A39EF-03EE-4F45-909B-20BAAFB7FEF5}">
      <text>
        <r>
          <rPr>
            <b/>
            <sz val="9"/>
            <color indexed="81"/>
            <rFont val="Tahoma"/>
            <family val="2"/>
          </rPr>
          <t>&lt;[[TCDeals] - [TC Property Current Stage (Seq: 1)] - [Property Points (Seq: 1)] Mayor Email - Both]&gt;</t>
        </r>
      </text>
    </comment>
    <comment ref="C743" authorId="0" shapeId="0" xr:uid="{B0162736-F91B-4E86-8E4A-BFF8814F2FA6}">
      <text>
        <r>
          <rPr>
            <b/>
            <sz val="9"/>
            <color indexed="81"/>
            <rFont val="Tahoma"/>
            <family val="2"/>
          </rPr>
          <t>&lt;[[TCDeals] - [TC Property Current Stage (Seq: 1)] - [Property Points (Seq: 1)] Optional Field 160 - Both]&gt;</t>
        </r>
      </text>
    </comment>
    <comment ref="C744" authorId="0" shapeId="0" xr:uid="{C33EDB3F-7EC8-4E54-86B2-31F64845C0A9}">
      <text>
        <r>
          <rPr>
            <b/>
            <sz val="9"/>
            <color indexed="81"/>
            <rFont val="Tahoma"/>
            <family val="2"/>
          </rPr>
          <t>&lt;[[TCDeals] - [TC Property Current Stage (Seq: 1)] - [Property Points (Seq: 1)] Optional Field 161 - Both]&gt;</t>
        </r>
      </text>
    </comment>
    <comment ref="C745" authorId="0" shapeId="0" xr:uid="{A258FB41-8B5E-421B-8E56-E5115B1443B2}">
      <text>
        <r>
          <rPr>
            <b/>
            <sz val="9"/>
            <color indexed="81"/>
            <rFont val="Tahoma"/>
            <family val="2"/>
          </rPr>
          <t>&lt;[[TCDeals] - [TC Property Current Stage (Seq: 1)] - [Property Points (Seq: 1)] Optional Field 162 - Both]&gt;</t>
        </r>
      </text>
    </comment>
    <comment ref="C746" authorId="0" shapeId="0" xr:uid="{8BE563EC-4D4E-4695-A3EF-D074E24C07CD}">
      <text>
        <r>
          <rPr>
            <b/>
            <sz val="9"/>
            <color indexed="81"/>
            <rFont val="Tahoma"/>
            <family val="2"/>
          </rPr>
          <t>&lt;[[TCDeals] - [TC Property Current Stage (Seq: 1)] - [Property Points (Seq: 1)] Optional Field 163 - Both]&gt;</t>
        </r>
      </text>
    </comment>
    <comment ref="C747" authorId="0" shapeId="0" xr:uid="{D078799C-E1FD-4B86-87B5-820405595EB9}">
      <text>
        <r>
          <rPr>
            <b/>
            <sz val="9"/>
            <color indexed="81"/>
            <rFont val="Tahoma"/>
            <family val="2"/>
          </rPr>
          <t>&lt;[[TCDeals] - [TC Property Current Stage (Seq: 1)] - [Property Points (Seq: 1)] Optional Field 164 - Both]&gt;</t>
        </r>
      </text>
    </comment>
    <comment ref="C748" authorId="0" shapeId="0" xr:uid="{1DE5BA71-F3A0-4256-985C-670AA93D145A}">
      <text>
        <r>
          <rPr>
            <b/>
            <sz val="9"/>
            <color indexed="81"/>
            <rFont val="Tahoma"/>
            <family val="2"/>
          </rPr>
          <t>&lt;[[TCDeals] - [TC Property Current Stage (Seq: 1)] - [Property Points (Seq: 1)] Optional Field 454 - Both]&gt;</t>
        </r>
      </text>
    </comment>
    <comment ref="C749" authorId="1" shapeId="0" xr:uid="{D094FD66-8FFF-4FF9-AECD-52593BC1452C}">
      <text>
        <r>
          <rPr>
            <b/>
            <sz val="9"/>
            <color indexed="81"/>
            <rFont val="Tahoma"/>
            <family val="2"/>
          </rPr>
          <t>&lt;[[TCDeals] - [TC Property Current Stage (Seq: 1)] - [Property Points (Seq: 1)] Local Housing Authority State - Both]&gt;</t>
        </r>
      </text>
    </comment>
    <comment ref="C750" authorId="1" shapeId="0" xr:uid="{B86AC30E-A26C-46ED-8CF5-217A81D805DB}">
      <text>
        <r>
          <rPr>
            <b/>
            <sz val="9"/>
            <color indexed="81"/>
            <rFont val="Tahoma"/>
            <family val="2"/>
          </rPr>
          <t>&lt;[[TCDeals] - [TC Property Current Stage (Seq: 1)] - [Property Points (Seq: 1)] Local Housing Authority Email - Both]&gt;</t>
        </r>
      </text>
    </comment>
    <comment ref="C751" authorId="1" shapeId="0" xr:uid="{9DB86E99-2137-43C3-AB0A-438190301AAE}">
      <text>
        <r>
          <rPr>
            <b/>
            <sz val="9"/>
            <color indexed="81"/>
            <rFont val="Tahoma"/>
            <family val="2"/>
          </rPr>
          <t>&lt;[[TCDeals] - [TC Property Current Stage (Seq: 1)] - [Property Points (Seq: 1)] Council Member - Both]&gt;</t>
        </r>
      </text>
    </comment>
    <comment ref="C752" authorId="1" shapeId="0" xr:uid="{E5033234-A6E7-4781-B0B2-51D8FC2A0FE0}">
      <text>
        <r>
          <rPr>
            <b/>
            <sz val="9"/>
            <color indexed="81"/>
            <rFont val="Tahoma"/>
            <family val="2"/>
          </rPr>
          <t>&lt;[[TCDeals] - [TC Property Current Stage (Seq: 1)] - [Property Points (Seq: 1)] Council Email - Both]&gt;</t>
        </r>
      </text>
    </comment>
    <comment ref="C753" authorId="0" shapeId="0" xr:uid="{DA1F1808-9A1B-4A9F-853D-93243228BA4B}">
      <text>
        <r>
          <rPr>
            <b/>
            <sz val="9"/>
            <color indexed="81"/>
            <rFont val="Tahoma"/>
            <family val="2"/>
          </rPr>
          <t>&lt;[[TCDeals] - [TC Property Current Stage (Seq: 1)] - [Property Points (Seq: 1)] Total Commercial Project Costs - Both]&gt;</t>
        </r>
      </text>
    </comment>
    <comment ref="C754" authorId="0" shapeId="0" xr:uid="{5D7E1000-4DDB-4E47-86C2-363489C58EC2}">
      <text>
        <r>
          <rPr>
            <b/>
            <sz val="9"/>
            <color indexed="81"/>
            <rFont val="Tahoma"/>
            <family val="2"/>
          </rPr>
          <t>&lt;[[TCDeals] - [TC Property Current Stage (Seq: 1)] - [Property Points (Seq: 1)] Total Funds for Commercial Development - Both]&gt;</t>
        </r>
      </text>
    </comment>
    <comment ref="C755" authorId="2" shapeId="0" xr:uid="{3A401898-200C-4BFC-9B13-F881751C8122}">
      <text>
        <r>
          <rPr>
            <b/>
            <sz val="9"/>
            <color indexed="81"/>
            <rFont val="Tahoma"/>
            <family val="2"/>
          </rPr>
          <t>&lt;[[TCDeals] - [TC Property Current Stage (Seq: 1)] - [Property Points (Seq: 1)] Type of State Tax Credit - Both]&gt;</t>
        </r>
      </text>
    </comment>
    <comment ref="C756" authorId="0" shapeId="0" xr:uid="{6C1995B3-C0AE-42FE-8C3A-678AACE0264A}">
      <text>
        <r>
          <rPr>
            <b/>
            <sz val="9"/>
            <color indexed="81"/>
            <rFont val="Tahoma"/>
            <family val="2"/>
          </rPr>
          <t>&lt;[[TCDeals] - [TC Property Current Stage (Seq: 1)] - [Property Points (Seq: 1)] State Equity Factor - Both]&gt;</t>
        </r>
      </text>
    </comment>
    <comment ref="C757" authorId="0" shapeId="0" xr:uid="{36CCF392-FC13-44CC-9ADE-52157F917E65}">
      <text>
        <r>
          <rPr>
            <b/>
            <sz val="9"/>
            <color indexed="81"/>
            <rFont val="Tahoma"/>
            <family val="2"/>
          </rPr>
          <t>&lt;[[TCDeals] - [TC Property Current Stage (Seq: 1)] - [Property Points (Seq: 1)] Other Owner Equity - Both]&gt;</t>
        </r>
      </text>
    </comment>
    <comment ref="C758" authorId="1" shapeId="0" xr:uid="{A6F0964A-0AA1-4785-9DA1-E41CFFBDC432}">
      <text>
        <r>
          <rPr>
            <b/>
            <sz val="9"/>
            <color indexed="81"/>
            <rFont val="Tahoma"/>
            <family val="2"/>
          </rPr>
          <t>&lt;[[TCDeals] - [TC Property Current Stage (Seq: 1)] - [Property Points (Seq: 1)] City Manager - Both]&gt;</t>
        </r>
      </text>
    </comment>
    <comment ref="C759" authorId="1" shapeId="0" xr:uid="{6FB675C9-67E3-452D-98BD-924CF59F78C1}">
      <text>
        <r>
          <rPr>
            <b/>
            <sz val="9"/>
            <color indexed="81"/>
            <rFont val="Tahoma"/>
            <family val="2"/>
          </rPr>
          <t>&lt;[[TCDeals] - [TC Property Current Stage (Seq: 1)] - [Property Points (Seq: 1)] City Manager Email - Both]&gt;</t>
        </r>
      </text>
    </comment>
    <comment ref="C760" authorId="0" shapeId="0" xr:uid="{14104D45-EB45-4269-B30A-94542296B0EF}">
      <text>
        <r>
          <rPr>
            <b/>
            <sz val="9"/>
            <color indexed="81"/>
            <rFont val="Tahoma"/>
            <family val="2"/>
          </rPr>
          <t>&lt;[[TCDeals] - [TC Property Current Stage (Seq: 1)] - [Property Points (Seq: 1)] Total Annual Miscellaneous Income - Both]&gt;</t>
        </r>
      </text>
    </comment>
    <comment ref="C761" authorId="0" shapeId="0" xr:uid="{120143D6-734E-4B14-A457-36BC5D1D16E3}">
      <text>
        <r>
          <rPr>
            <b/>
            <sz val="9"/>
            <color indexed="81"/>
            <rFont val="Tahoma"/>
            <family val="2"/>
          </rPr>
          <t>&lt;[[TCDeals] - [TC Property Current Stage (Seq: 1)] - [Property Points (Seq: 1)] Total Annual Rental Income - Both]&gt;</t>
        </r>
      </text>
    </comment>
    <comment ref="C762" authorId="0" shapeId="0" xr:uid="{E925B34B-3E21-4152-80FD-CA54CDCF6BB5}">
      <text>
        <r>
          <rPr>
            <b/>
            <sz val="9"/>
            <color indexed="81"/>
            <rFont val="Tahoma"/>
            <family val="2"/>
          </rPr>
          <t>&lt;[[TCDeals] - [TC Property Current Stage (Seq: 1)] - [Property Points (Seq: 1)] Total Annual Residential Income - Both]&gt;</t>
        </r>
      </text>
    </comment>
    <comment ref="C763" authorId="0" shapeId="0" xr:uid="{CE99F013-8090-4CC8-97D4-8A8DBF2B20C5}">
      <text>
        <r>
          <rPr>
            <b/>
            <sz val="9"/>
            <color indexed="81"/>
            <rFont val="Tahoma"/>
            <family val="2"/>
          </rPr>
          <t>&lt;[[TCDeals] - [TC Property Current Stage (Seq: 1)] - [Property Points (Seq: 1)] Total Annual Retail/Commercial Income - Both]&gt;</t>
        </r>
      </text>
    </comment>
    <comment ref="C766" authorId="0" shapeId="0" xr:uid="{1AEEBB14-FADB-4DA1-ACFB-E28B7DD26B99}">
      <text>
        <r>
          <rPr>
            <b/>
            <sz val="9"/>
            <color indexed="81"/>
            <rFont val="Tahoma"/>
            <family val="2"/>
          </rPr>
          <t>&lt;[[TCDeals] - [TC Property Current Stage (Seq: 1)] - [Property Points (Seq: 1)] Identity: # Units - Both]&gt;</t>
        </r>
      </text>
    </comment>
    <comment ref="C767" authorId="0" shapeId="0" xr:uid="{E8610FCB-44C0-483D-8283-8A92EF723F87}">
      <text>
        <r>
          <rPr>
            <b/>
            <sz val="9"/>
            <color indexed="81"/>
            <rFont val="Tahoma"/>
            <family val="2"/>
          </rPr>
          <t>&lt;[[TCDeals] - [TC Property Current Stage (Seq: 1)] - [Property Points (Seq: 1)] Identity: Max % - Both]&gt;</t>
        </r>
      </text>
    </comment>
    <comment ref="C768" authorId="0" shapeId="0" xr:uid="{7B4D23DF-E456-45CF-BC2A-EC92A34E9692}">
      <text>
        <r>
          <rPr>
            <b/>
            <sz val="9"/>
            <color indexed="81"/>
            <rFont val="Tahoma"/>
            <family val="2"/>
          </rPr>
          <t>&lt;[[TCDeals] - [TC Property Current Stage (Seq: 1)] - [Property Points (Seq: 1)] No Identity: # Units - Both]&gt;</t>
        </r>
      </text>
    </comment>
    <comment ref="C769" authorId="0" shapeId="0" xr:uid="{B78A978B-CF86-4945-BE2F-EEE337013760}">
      <text>
        <r>
          <rPr>
            <b/>
            <sz val="9"/>
            <color indexed="81"/>
            <rFont val="Tahoma"/>
            <family val="2"/>
          </rPr>
          <t>&lt;[[TCDeals] - [TC Property Current Stage (Seq: 1)] - [Property Points (Seq: 1)] No Identity: Max % - Both]&gt;</t>
        </r>
      </text>
    </comment>
    <comment ref="C773" authorId="0" shapeId="0" xr:uid="{36FA5C25-2B7D-4B0C-B8AF-1920634035CF}">
      <text>
        <r>
          <rPr>
            <b/>
            <sz val="9"/>
            <color indexed="81"/>
            <rFont val="Tahoma"/>
            <family val="2"/>
          </rPr>
          <t>&lt;[[TCDeals] - [TC Property Current Stage (Seq: 1)] - [Property Points (Seq: 1)] Is Prevail Wage - Both]&gt;</t>
        </r>
      </text>
    </comment>
    <comment ref="C774" authorId="0" shapeId="0" xr:uid="{C69F5ADF-9AEE-4098-8F96-534167C615CD}">
      <text>
        <r>
          <rPr>
            <b/>
            <sz val="9"/>
            <color indexed="81"/>
            <rFont val="Tahoma"/>
            <family val="2"/>
          </rPr>
          <t>&lt;[[TCDeals] - [TC Property Current Stage (Seq: 1)] - [Property Points (Seq: 1)] General Requirements - Both]&gt;</t>
        </r>
      </text>
    </comment>
    <comment ref="C775" authorId="0" shapeId="0" xr:uid="{BA6328FF-CD15-4CCD-9790-F49964387252}">
      <text>
        <r>
          <rPr>
            <b/>
            <sz val="9"/>
            <color indexed="81"/>
            <rFont val="Tahoma"/>
            <family val="2"/>
          </rPr>
          <t>&lt;[[TCDeals] - [TC Property Current Stage (Seq: 1)] - [Property Points (Seq: 1)] Existing Conditions - Both]&gt;</t>
        </r>
      </text>
    </comment>
    <comment ref="C776" authorId="0" shapeId="0" xr:uid="{FF9BD7A2-4F92-44A9-9F8A-7566E5C5857C}">
      <text>
        <r>
          <rPr>
            <b/>
            <sz val="9"/>
            <color indexed="81"/>
            <rFont val="Tahoma"/>
            <family val="2"/>
          </rPr>
          <t>&lt;[[TCDeals] - [TC Property Current Stage (Seq: 1)] - [Property Points (Seq: 1)] Concrete - Both]&gt;</t>
        </r>
      </text>
    </comment>
    <comment ref="C777" authorId="0" shapeId="0" xr:uid="{BC6F3A91-0904-45FB-9734-2F3BD7A3635C}">
      <text>
        <r>
          <rPr>
            <b/>
            <sz val="9"/>
            <color indexed="81"/>
            <rFont val="Tahoma"/>
            <family val="2"/>
          </rPr>
          <t>&lt;[[TCDeals] - [TC Property Current Stage (Seq: 1)] - [Property Points (Seq: 1)] Masonry - Both]&gt;</t>
        </r>
      </text>
    </comment>
    <comment ref="C778" authorId="0" shapeId="0" xr:uid="{4B20BE59-63DD-4693-A457-E9505D2D4D07}">
      <text>
        <r>
          <rPr>
            <b/>
            <sz val="9"/>
            <color indexed="81"/>
            <rFont val="Tahoma"/>
            <family val="2"/>
          </rPr>
          <t>&lt;[[TCDeals] - [TC Property Current Stage (Seq: 1)] - [Property Points (Seq: 1)] Metals - Both]&gt;</t>
        </r>
      </text>
    </comment>
    <comment ref="C779" authorId="0" shapeId="0" xr:uid="{B67A0D95-F7F3-43D4-956E-0E150C644DC0}">
      <text>
        <r>
          <rPr>
            <b/>
            <sz val="9"/>
            <color indexed="81"/>
            <rFont val="Tahoma"/>
            <family val="2"/>
          </rPr>
          <t>&lt;[[TCDeals] - [TC Property Current Stage (Seq: 1)] - [Property Points (Seq: 1)] Wood, Plastics &amp; Composites - Both]&gt;</t>
        </r>
      </text>
    </comment>
    <comment ref="C780" authorId="0" shapeId="0" xr:uid="{0C857C98-1CEA-4FB4-8582-84022D9257EF}">
      <text>
        <r>
          <rPr>
            <b/>
            <sz val="9"/>
            <color indexed="81"/>
            <rFont val="Tahoma"/>
            <family val="2"/>
          </rPr>
          <t>&lt;[[TCDeals] - [TC Property Current Stage (Seq: 1)] - [Property Points (Seq: 1)] Thermal and Moisture Protection - Both]&gt;</t>
        </r>
      </text>
    </comment>
    <comment ref="C781" authorId="0" shapeId="0" xr:uid="{B0130584-6F79-46FF-A292-F0F0D98EB62D}">
      <text>
        <r>
          <rPr>
            <b/>
            <sz val="9"/>
            <color indexed="81"/>
            <rFont val="Tahoma"/>
            <family val="2"/>
          </rPr>
          <t>&lt;[[TCDeals] - [TC Property Current Stage (Seq: 1)] - [Property Points (Seq: 1)] Openings - Both]&gt;</t>
        </r>
      </text>
    </comment>
    <comment ref="C782" authorId="0" shapeId="0" xr:uid="{37C19EE1-A36D-4D8D-A680-9A216DD955DC}">
      <text>
        <r>
          <rPr>
            <b/>
            <sz val="9"/>
            <color indexed="81"/>
            <rFont val="Tahoma"/>
            <family val="2"/>
          </rPr>
          <t>&lt;[[TCDeals] - [TC Property Current Stage (Seq: 1)] - [Property Points (Seq: 1)] Finishes - Both]&gt;</t>
        </r>
      </text>
    </comment>
    <comment ref="C783" authorId="0" shapeId="0" xr:uid="{76DACCD5-937D-4DDC-AB30-FE1E5C5FDECB}">
      <text>
        <r>
          <rPr>
            <b/>
            <sz val="9"/>
            <color indexed="81"/>
            <rFont val="Tahoma"/>
            <family val="2"/>
          </rPr>
          <t>&lt;[[TCDeals] - [TC Property Current Stage (Seq: 1)] - [Property Points (Seq: 1)] Specialties - Both]&gt;</t>
        </r>
      </text>
    </comment>
    <comment ref="C784" authorId="0" shapeId="0" xr:uid="{BA2C5A3A-BA71-4E35-834E-FF51F5FC3374}">
      <text>
        <r>
          <rPr>
            <b/>
            <sz val="9"/>
            <color indexed="81"/>
            <rFont val="Tahoma"/>
            <family val="2"/>
          </rPr>
          <t>&lt;[[TCDeals] - [TC Property Current Stage (Seq: 1)] - [Property Points (Seq: 1)] Equipment - Both]&gt;</t>
        </r>
      </text>
    </comment>
    <comment ref="C785" authorId="0" shapeId="0" xr:uid="{329ABE5E-FF99-46C5-A64E-8ECE4C2A3C4C}">
      <text>
        <r>
          <rPr>
            <b/>
            <sz val="9"/>
            <color indexed="81"/>
            <rFont val="Tahoma"/>
            <family val="2"/>
          </rPr>
          <t>&lt;[[TCDeals] - [TC Property Current Stage (Seq: 1)] - [Property Points (Seq: 1)] Furnishings - Both]&gt;</t>
        </r>
      </text>
    </comment>
    <comment ref="C786" authorId="0" shapeId="0" xr:uid="{1F7FA4F6-14A9-42BA-9EEB-3B58576934B9}">
      <text>
        <r>
          <rPr>
            <b/>
            <sz val="9"/>
            <color indexed="81"/>
            <rFont val="Tahoma"/>
            <family val="2"/>
          </rPr>
          <t>&lt;[[TCDeals] - [TC Property Current Stage (Seq: 1)] - [Property Points (Seq: 1)] Special Construction - Both]&gt;</t>
        </r>
      </text>
    </comment>
    <comment ref="C787" authorId="0" shapeId="0" xr:uid="{EB055FDB-066D-4C60-895A-1844E8BA6B94}">
      <text>
        <r>
          <rPr>
            <b/>
            <sz val="9"/>
            <color indexed="81"/>
            <rFont val="Tahoma"/>
            <family val="2"/>
          </rPr>
          <t>&lt;[[TCDeals] - [TC Property Current Stage (Seq: 1)] - [Property Points (Seq: 1)] Conveying Equipment - Both]&gt;</t>
        </r>
      </text>
    </comment>
    <comment ref="C788" authorId="0" shapeId="0" xr:uid="{5AD62947-2EE0-4BA1-977D-79F8D778F5DA}">
      <text>
        <r>
          <rPr>
            <b/>
            <sz val="9"/>
            <color indexed="81"/>
            <rFont val="Tahoma"/>
            <family val="2"/>
          </rPr>
          <t>&lt;[[TCDeals] - [TC Property Current Stage (Seq: 1)] - [Property Points (Seq: 1)] Fire Suppression - Both]&gt;</t>
        </r>
      </text>
    </comment>
    <comment ref="C789" authorId="0" shapeId="0" xr:uid="{2F895425-55B8-45A1-A707-0A80AF8A36B3}">
      <text>
        <r>
          <rPr>
            <b/>
            <sz val="9"/>
            <color indexed="81"/>
            <rFont val="Tahoma"/>
            <family val="2"/>
          </rPr>
          <t>&lt;[[TCDeals] - [TC Property Current Stage (Seq: 1)] - [Property Points (Seq: 1)] Plumbing - Both]&gt;</t>
        </r>
      </text>
    </comment>
    <comment ref="C790" authorId="0" shapeId="0" xr:uid="{1846B961-5DE3-48F4-906D-F8AA02FCD5C3}">
      <text>
        <r>
          <rPr>
            <b/>
            <sz val="9"/>
            <color indexed="81"/>
            <rFont val="Tahoma"/>
            <family val="2"/>
          </rPr>
          <t>&lt;[[TCDeals] - [TC Property Current Stage (Seq: 1)] - [Property Points (Seq: 1)] Heating Ventilation Air Conditioning - Both]&gt;</t>
        </r>
      </text>
    </comment>
    <comment ref="C791" authorId="0" shapeId="0" xr:uid="{C698059F-088D-449F-9EA9-3AD195E6E38A}">
      <text>
        <r>
          <rPr>
            <b/>
            <sz val="9"/>
            <color indexed="81"/>
            <rFont val="Tahoma"/>
            <family val="2"/>
          </rPr>
          <t>&lt;[[TCDeals] - [TC Property Current Stage (Seq: 1)] - [Property Points (Seq: 1)] Integrated Automation - Both]&gt;</t>
        </r>
      </text>
    </comment>
    <comment ref="C792" authorId="0" shapeId="0" xr:uid="{35244167-6F15-455B-8843-DD85A1A76F50}">
      <text>
        <r>
          <rPr>
            <b/>
            <sz val="9"/>
            <color indexed="81"/>
            <rFont val="Tahoma"/>
            <family val="2"/>
          </rPr>
          <t>&lt;[[TCDeals] - [TC Property Current Stage (Seq: 1)] - [Property Points (Seq: 1)] Electrical - Both]&gt;</t>
        </r>
      </text>
    </comment>
    <comment ref="C793" authorId="0" shapeId="0" xr:uid="{6F891DD3-3C10-4215-B17E-82665E0A9BFB}">
      <text>
        <r>
          <rPr>
            <b/>
            <sz val="9"/>
            <color indexed="81"/>
            <rFont val="Tahoma"/>
            <family val="2"/>
          </rPr>
          <t>&lt;[[TCDeals] - [TC Property Current Stage (Seq: 1)] - [Property Points (Seq: 1)] Communications - Both]&gt;</t>
        </r>
      </text>
    </comment>
    <comment ref="C794" authorId="0" shapeId="0" xr:uid="{43E8C262-BFE1-49EB-A3EA-34170BC1D4E2}">
      <text>
        <r>
          <rPr>
            <b/>
            <sz val="9"/>
            <color indexed="81"/>
            <rFont val="Tahoma"/>
            <family val="2"/>
          </rPr>
          <t>&lt;[[TCDeals] - [TC Property Current Stage (Seq: 1)] - [Property Points (Seq: 1)] Electronic Safety &amp; Security - Both]&gt;</t>
        </r>
      </text>
    </comment>
    <comment ref="C795" authorId="0" shapeId="0" xr:uid="{122BB2BE-EC0A-4CA8-8EC3-817BD6706246}">
      <text>
        <r>
          <rPr>
            <b/>
            <sz val="9"/>
            <color indexed="81"/>
            <rFont val="Tahoma"/>
            <family val="2"/>
          </rPr>
          <t>&lt;[[TCDeals] - [TC Property Current Stage (Seq: 1)] - [Property Points (Seq: 1)] Earthwork - Both]&gt;</t>
        </r>
      </text>
    </comment>
    <comment ref="C796" authorId="0" shapeId="0" xr:uid="{502A410F-69DE-42F9-AC08-46122914FDBC}">
      <text>
        <r>
          <rPr>
            <b/>
            <sz val="9"/>
            <color indexed="81"/>
            <rFont val="Tahoma"/>
            <family val="2"/>
          </rPr>
          <t>&lt;[[TCDeals] - [TC Property Current Stage (Seq: 1)] - [Property Points (Seq: 1)] Exterior Improvements - Both]&gt;</t>
        </r>
      </text>
    </comment>
    <comment ref="C797" authorId="0" shapeId="0" xr:uid="{98D55106-5CCF-42B1-A053-0847756E8EC5}">
      <text>
        <r>
          <rPr>
            <b/>
            <sz val="9"/>
            <color indexed="81"/>
            <rFont val="Tahoma"/>
            <family val="2"/>
          </rPr>
          <t>&lt;[[TCDeals] - [TC Property Current Stage (Seq: 1)] - [Property Points (Seq: 1)] Utilities - Both]&gt;</t>
        </r>
      </text>
    </comment>
    <comment ref="C798" authorId="0" shapeId="0" xr:uid="{CC63947A-DF65-4D59-93A4-058B1D776E3B}">
      <text>
        <r>
          <rPr>
            <b/>
            <sz val="9"/>
            <color indexed="81"/>
            <rFont val="Tahoma"/>
            <family val="2"/>
          </rPr>
          <t>&lt;[[TCDeals] - [TC Property Current Stage (Seq: 1)] - [Property Points (Seq: 1)] Transportation - Both]&gt;</t>
        </r>
      </text>
    </comment>
    <comment ref="C799" authorId="1" shapeId="0" xr:uid="{C2A0988D-BEAA-4C74-B1EE-B78A734B5586}">
      <text>
        <r>
          <rPr>
            <b/>
            <sz val="9"/>
            <color indexed="81"/>
            <rFont val="Tahoma"/>
            <family val="2"/>
          </rPr>
          <t>&lt;[[TCDeals] - [TC Property Current Stage (Seq: 1)] - [Property Points (Seq: 1)] Electric Power Generation - Both]&gt;</t>
        </r>
      </text>
    </comment>
    <comment ref="C800" authorId="0" shapeId="0" xr:uid="{3343D8B7-EE79-4713-B31D-DEC3B52BC129}">
      <text>
        <r>
          <rPr>
            <b/>
            <sz val="9"/>
            <color indexed="81"/>
            <rFont val="Tahoma"/>
            <family val="2"/>
          </rPr>
          <t>&lt;[[TCDeals] - [TC Property Current Stage (Seq: 1)] - [Property Points (Seq: 1)] Other Cost Summary - Both]&gt;</t>
        </r>
      </text>
    </comment>
    <comment ref="C801" authorId="0" shapeId="0" xr:uid="{71418831-3094-4B11-AA33-7F8D089B58E8}">
      <text>
        <r>
          <rPr>
            <b/>
            <sz val="9"/>
            <color indexed="81"/>
            <rFont val="Tahoma"/>
            <family val="2"/>
          </rPr>
          <t>&lt;[[TCDeals] - [TC Property Current Stage (Seq: 1)] - [Property Points (Seq: 1)] Other Cost Summary 2 - Both]&gt;</t>
        </r>
      </text>
    </comment>
    <comment ref="C802" authorId="0" shapeId="0" xr:uid="{D9E95444-31DF-4E22-82EC-37DC0F9BF576}">
      <text>
        <r>
          <rPr>
            <b/>
            <sz val="9"/>
            <color indexed="81"/>
            <rFont val="Tahoma"/>
            <family val="2"/>
          </rPr>
          <t>&lt;[[TCDeals] - [TC Property Current Stage (Seq: 1)] - [Property Points (Seq: 1)] Procurement Pre-constructon, Design-Build - Both]&gt;</t>
        </r>
      </text>
    </comment>
    <comment ref="C803" authorId="0" shapeId="0" xr:uid="{2DA8F053-E938-4CA5-ABB3-3D0792CE8174}">
      <text>
        <r>
          <rPr>
            <b/>
            <sz val="9"/>
            <color indexed="81"/>
            <rFont val="Tahoma"/>
            <family val="2"/>
          </rPr>
          <t>&lt;[[TCDeals] - [TC Property Current Stage (Seq: 1)] - [Property Points (Seq: 1)] Other Cost Summary 3 - Both]&gt;</t>
        </r>
      </text>
    </comment>
    <comment ref="C804" authorId="0" shapeId="0" xr:uid="{41A6E712-4435-4276-93C1-295AD87FC296}">
      <text>
        <r>
          <rPr>
            <b/>
            <sz val="9"/>
            <color indexed="81"/>
            <rFont val="Tahoma"/>
            <family val="2"/>
          </rPr>
          <t>&lt;[[TCDeals] - [TC Property Current Stage (Seq: 1)] - [Property Points (Seq: 1)] Other Cost Summary 4 - Both]&gt;</t>
        </r>
      </text>
    </comment>
    <comment ref="C805" authorId="0" shapeId="0" xr:uid="{C044BC1E-141D-42DB-AF33-72A31C7C62B5}">
      <text>
        <r>
          <rPr>
            <b/>
            <sz val="9"/>
            <color indexed="81"/>
            <rFont val="Tahoma"/>
            <family val="2"/>
          </rPr>
          <t>&lt;[[TCDeals] - [TC Property Current Stage (Seq: 1)] - [Property Points (Seq: 1)] Other Cost Summary 5 - Both]&gt;</t>
        </r>
      </text>
    </comment>
    <comment ref="C806" authorId="0" shapeId="0" xr:uid="{97C8C206-948E-4A28-88C7-62C1F6335EE1}">
      <text>
        <r>
          <rPr>
            <b/>
            <sz val="9"/>
            <color indexed="81"/>
            <rFont val="Tahoma"/>
            <family val="2"/>
          </rPr>
          <t>&lt;[[TCDeals] - [TC Property Current Stage (Seq: 1)] - [Property Points (Seq: 1)] Payment &amp; Performance Bond - Both]&gt;</t>
        </r>
      </text>
    </comment>
    <comment ref="C807" authorId="0" shapeId="0" xr:uid="{D65E8F3A-6FDF-4E13-B309-5A8917CBC5A5}">
      <text>
        <r>
          <rPr>
            <b/>
            <sz val="9"/>
            <color indexed="81"/>
            <rFont val="Tahoma"/>
            <family val="2"/>
          </rPr>
          <t>&lt;[[TCDeals] - [TC Property Current Stage (Seq: 1)] - [Property Points (Seq: 1)] Builders Risk - Both]&gt;</t>
        </r>
      </text>
    </comment>
    <comment ref="C808" authorId="0" shapeId="0" xr:uid="{19169DC0-4AD9-4786-9418-10E5251FF6A1}">
      <text>
        <r>
          <rPr>
            <b/>
            <sz val="9"/>
            <color indexed="81"/>
            <rFont val="Tahoma"/>
            <family val="2"/>
          </rPr>
          <t>&lt;[[TCDeals] - [TC Property Current Stage (Seq: 1)] - [Property Points (Seq: 1)] General Liability - Both]&gt;</t>
        </r>
      </text>
    </comment>
    <comment ref="C809" authorId="0" shapeId="0" xr:uid="{FB137E3D-1D39-4741-877B-B58845CEB442}">
      <text>
        <r>
          <rPr>
            <b/>
            <sz val="9"/>
            <color indexed="81"/>
            <rFont val="Tahoma"/>
            <family val="2"/>
          </rPr>
          <t>&lt;[[TCDeals] - [TC Property Current Stage (Seq: 1)] - [Property Points (Seq: 1)] Wrap Insurance Program - Both]&gt;</t>
        </r>
      </text>
    </comment>
    <comment ref="C810" authorId="0" shapeId="0" xr:uid="{1FE1D10C-39AF-4281-B497-B12846F10273}">
      <text>
        <r>
          <rPr>
            <b/>
            <sz val="9"/>
            <color indexed="81"/>
            <rFont val="Tahoma"/>
            <family val="2"/>
          </rPr>
          <t>&lt;[[TCDeals] - [TC Property Current Stage (Seq: 1)] - [Property Points (Seq: 1)] Other Cost Summary 6 - Both]&gt;</t>
        </r>
      </text>
    </comment>
    <comment ref="C811" authorId="0" shapeId="0" xr:uid="{149A807C-51A7-489B-9819-C886F25FDDB4}">
      <text>
        <r>
          <rPr>
            <b/>
            <sz val="9"/>
            <color indexed="81"/>
            <rFont val="Tahoma"/>
            <family val="2"/>
          </rPr>
          <t>&lt;[[TCDeals] - [TC Property Current Stage (Seq: 1)] - [Property Points (Seq: 1)] Contingency (Contractor's) - Both]&gt;</t>
        </r>
      </text>
    </comment>
    <comment ref="C812" authorId="0" shapeId="0" xr:uid="{9B98FD7B-3782-4C2C-BC83-2799214647FE}">
      <text>
        <r>
          <rPr>
            <b/>
            <sz val="9"/>
            <color indexed="81"/>
            <rFont val="Tahoma"/>
            <family val="2"/>
          </rPr>
          <t>&lt;[[TCDeals] - [TC Property Current Stage (Seq: 1)] - [Property Points (Seq: 1)] Contractor Overhead - Both]&gt;</t>
        </r>
      </text>
    </comment>
    <comment ref="C813" authorId="0" shapeId="0" xr:uid="{BA2D7FA6-3EC6-4D41-8DC1-934C6AAC34CB}">
      <text>
        <r>
          <rPr>
            <b/>
            <sz val="9"/>
            <color indexed="81"/>
            <rFont val="Tahoma"/>
            <family val="2"/>
          </rPr>
          <t>&lt;[[TCDeals] - [TC Property Current Stage (Seq: 1)] - [Property Points (Seq: 1)] Contractor Profit - Both]&gt;</t>
        </r>
      </text>
    </comment>
    <comment ref="C814" authorId="0" shapeId="0" xr:uid="{29B1A1DB-CD3E-438D-BC5D-94F7426FADA5}">
      <text>
        <r>
          <rPr>
            <b/>
            <sz val="9"/>
            <color indexed="81"/>
            <rFont val="Tahoma"/>
            <family val="2"/>
          </rPr>
          <t>&lt;[[TCDeals] - [TC Property Current Stage (Seq: 1)] - [Property Points (Seq: 1)] Cost progression/ escalation - Both]&gt;</t>
        </r>
      </text>
    </comment>
    <comment ref="C815" authorId="0" shapeId="0" xr:uid="{DD962E1F-A269-4B13-B900-509311A21395}">
      <text>
        <r>
          <rPr>
            <b/>
            <sz val="9"/>
            <color indexed="81"/>
            <rFont val="Tahoma"/>
            <family val="2"/>
          </rPr>
          <t>&lt;[[TCDeals] - [TC Property Current Stage (Seq: 1)] - [Property Points (Seq: 1)] Permits - Both]&gt;</t>
        </r>
      </text>
    </comment>
    <comment ref="C816" authorId="0" shapeId="0" xr:uid="{42A2563B-5FFC-4254-81A7-DBA4CC8140BA}">
      <text>
        <r>
          <rPr>
            <b/>
            <sz val="9"/>
            <color indexed="81"/>
            <rFont val="Tahoma"/>
            <family val="2"/>
          </rPr>
          <t>&lt;[[TCDeals] - [TC Property Current Stage (Seq: 1)] - [Property Points (Seq: 1)] Sales, Use Taxe, etc. - Both]&gt;</t>
        </r>
      </text>
    </comment>
    <comment ref="C817" authorId="0" shapeId="0" xr:uid="{291A2AD9-CE08-4F77-A600-43E6FBCFEE7F}">
      <text>
        <r>
          <rPr>
            <b/>
            <sz val="9"/>
            <color indexed="81"/>
            <rFont val="Tahoma"/>
            <family val="2"/>
          </rPr>
          <t>&lt;[[TCDeals] - [TC Property Current Stage (Seq: 1)] - [Property Points (Seq: 1)] Other Cost Summary 7 - Both]&gt;</t>
        </r>
      </text>
    </comment>
    <comment ref="C818" authorId="0" shapeId="0" xr:uid="{4C713A82-BDBD-45CB-92B3-E11A290CB442}">
      <text>
        <r>
          <rPr>
            <b/>
            <sz val="9"/>
            <color indexed="81"/>
            <rFont val="Tahoma"/>
            <family val="2"/>
          </rPr>
          <t>&lt;[[TCDeals] - [TC Property Current Stage (Seq: 1)] - [Property Points (Seq: 1)] Other Cost Summary 8 - Both]&gt;</t>
        </r>
      </text>
    </comment>
    <comment ref="C819" authorId="0" shapeId="0" xr:uid="{63B2F4C5-FC70-4FCC-A2A3-C3D957646362}">
      <text>
        <r>
          <rPr>
            <b/>
            <sz val="9"/>
            <color indexed="81"/>
            <rFont val="Tahoma"/>
            <family val="2"/>
          </rPr>
          <t>&lt;[[TCDeals] - [TC Property Current Stage (Seq: 1)] - [Property Points (Seq: 1)] Other Cost Summary 9 - Both]&gt;</t>
        </r>
      </text>
    </comment>
    <comment ref="C820" authorId="0" shapeId="0" xr:uid="{95D128AC-8E5C-4B71-A9D8-A1C0F5603C06}">
      <text>
        <r>
          <rPr>
            <b/>
            <sz val="9"/>
            <color indexed="81"/>
            <rFont val="Tahoma"/>
            <family val="2"/>
          </rPr>
          <t>&lt;[[TCDeals] - [TC Property Current Stage (Seq: 1)] - [Property Points (Seq: 1)] Other Cost Summary 10 - Both]&gt;</t>
        </r>
      </text>
    </comment>
    <comment ref="C821" authorId="0" shapeId="0" xr:uid="{766DCC91-BE90-42CF-B89C-2357E3B2260E}">
      <text>
        <r>
          <rPr>
            <b/>
            <sz val="9"/>
            <color indexed="81"/>
            <rFont val="Tahoma"/>
            <family val="2"/>
          </rPr>
          <t>&lt;[[TCDeals] - [TC Property Current Stage (Seq: 1)] - [Property Points (Seq: 1)] Other Cost Summary 11 - Both]&gt;</t>
        </r>
      </text>
    </comment>
    <comment ref="C822" authorId="0" shapeId="0" xr:uid="{4BF9B0FC-258C-4CC6-A879-FBC7DC886A2A}">
      <text>
        <r>
          <rPr>
            <b/>
            <sz val="9"/>
            <color indexed="81"/>
            <rFont val="Tahoma"/>
            <family val="2"/>
          </rPr>
          <t>&lt;[[TCDeals] - [TC Property Current Stage (Seq: 1)] - [Property Points (Seq: 1)] Other Cost Summary 12 - Both]&gt;</t>
        </r>
      </text>
    </comment>
    <comment ref="C845" authorId="0" shapeId="0" xr:uid="{EB4C0354-4949-4641-AE15-29CBA05E52F2}">
      <text>
        <r>
          <rPr>
            <b/>
            <sz val="9"/>
            <color indexed="81"/>
            <rFont val="Tahoma"/>
            <family val="2"/>
          </rPr>
          <t>&lt;[[TCDeals] - [TC Property Current Stage (Seq: 1)] - [Property Financing - Permanent (Seq: 1)] Source Name - Both]&gt;</t>
        </r>
      </text>
    </comment>
    <comment ref="D845" authorId="0" shapeId="0" xr:uid="{DCA81842-2327-4446-9E61-4F7C82FA8C7F}">
      <text>
        <r>
          <rPr>
            <b/>
            <sz val="9"/>
            <color indexed="81"/>
            <rFont val="Tahoma"/>
            <family val="2"/>
          </rPr>
          <t>&lt;[[TCDeals] - [TC Property Current Stage (Seq: 1)] - [Property Financing - Permanent (Seq: 1)] Amount - Both]&gt;</t>
        </r>
      </text>
    </comment>
    <comment ref="E845" authorId="0" shapeId="0" xr:uid="{F5841048-A866-49F6-98C3-70FF5B7CBE2B}">
      <text>
        <r>
          <rPr>
            <b/>
            <sz val="9"/>
            <color indexed="81"/>
            <rFont val="Tahoma"/>
            <family val="2"/>
          </rPr>
          <t>&lt;[[TCDeals] - [TC Property Current Stage (Seq: 1)] - [Property Financing - Permanent (Seq: 1)] Interest Rate - Both]&gt;</t>
        </r>
      </text>
    </comment>
    <comment ref="F845" authorId="0" shapeId="0" xr:uid="{6CCBBD7D-F2FE-4BFB-8DC7-93CFA9B871AA}">
      <text>
        <r>
          <rPr>
            <b/>
            <sz val="9"/>
            <color indexed="81"/>
            <rFont val="Tahoma"/>
            <family val="2"/>
          </rPr>
          <t>&lt;[[TCDeals] - [TC Property Current Stage (Seq: 1)] - [Property Financing - Permanent (Seq: 1)] Loan Term - Both]&gt;</t>
        </r>
      </text>
    </comment>
    <comment ref="G845" authorId="0" shapeId="0" xr:uid="{6425D1D9-124D-4849-BBDA-8AD75200CCF6}">
      <text>
        <r>
          <rPr>
            <b/>
            <sz val="9"/>
            <color indexed="81"/>
            <rFont val="Tahoma"/>
            <family val="2"/>
          </rPr>
          <t>&lt;[[TCDeals] - [TC Property Current Stage (Seq: 1)] - [Property Financing - Permanent (Seq: 1)] Num Amort Years - Both]&gt;</t>
        </r>
      </text>
    </comment>
    <comment ref="H845" authorId="0" shapeId="0" xr:uid="{398057D5-0046-458D-9DB6-4DA3E6F671F8}">
      <text>
        <r>
          <rPr>
            <b/>
            <sz val="9"/>
            <color indexed="81"/>
            <rFont val="Tahoma"/>
            <family val="2"/>
          </rPr>
          <t>&lt;[[TCDeals] - [TC Property Current Stage (Seq: 1)] - [Property Financing - Permanent (Seq: 1)] Annual Debt Svc Cost - Both]&gt;</t>
        </r>
      </text>
    </comment>
    <comment ref="I845" authorId="0" shapeId="0" xr:uid="{E9BE6C58-8214-4B68-82E0-DBE9D50C8C16}">
      <text>
        <r>
          <rPr>
            <b/>
            <sz val="9"/>
            <color indexed="81"/>
            <rFont val="Tahoma"/>
            <family val="2"/>
          </rPr>
          <t>&lt;[[TCDeals] - [TC Property Current Stage (Seq: 1)] - [Property Financing - Permanent (Seq: 1)] Financing Type - Both]&gt;</t>
        </r>
      </text>
    </comment>
    <comment ref="C846" authorId="0" shapeId="0" xr:uid="{A8EB8A4C-08B6-4DD7-9527-058C32B2D47C}">
      <text>
        <r>
          <rPr>
            <b/>
            <sz val="9"/>
            <color indexed="81"/>
            <rFont val="Tahoma"/>
            <family val="2"/>
          </rPr>
          <t>&lt;[[TCDeals] - [TC Property Current Stage (Seq: 1)] - [Property Financing - Permanent (Seq: 2)] Source Name - Both]&gt;</t>
        </r>
      </text>
    </comment>
    <comment ref="D846" authorId="0" shapeId="0" xr:uid="{41DF3651-5A1E-4CD2-A7F6-BC06E9E75E1E}">
      <text>
        <r>
          <rPr>
            <b/>
            <sz val="9"/>
            <color indexed="81"/>
            <rFont val="Tahoma"/>
            <family val="2"/>
          </rPr>
          <t>&lt;[[TCDeals] - [TC Property Current Stage (Seq: 1)] - [Property Financing - Permanent (Seq: 2)] Amount - Both]&gt;</t>
        </r>
      </text>
    </comment>
    <comment ref="E846" authorId="0" shapeId="0" xr:uid="{F3360A10-231B-4DF0-8C1B-2E3A97939D89}">
      <text>
        <r>
          <rPr>
            <b/>
            <sz val="9"/>
            <color indexed="81"/>
            <rFont val="Tahoma"/>
            <family val="2"/>
          </rPr>
          <t>&lt;[[TCDeals] - [TC Property Current Stage (Seq: 1)] - [Property Financing - Permanent (Seq: 2)] Interest Rate - Both]&gt;</t>
        </r>
      </text>
    </comment>
    <comment ref="F846" authorId="0" shapeId="0" xr:uid="{51A663BC-FF6D-4807-AD34-D2B680D42180}">
      <text>
        <r>
          <rPr>
            <b/>
            <sz val="9"/>
            <color indexed="81"/>
            <rFont val="Tahoma"/>
            <family val="2"/>
          </rPr>
          <t>&lt;[[TCDeals] - [TC Property Current Stage (Seq: 1)] - [Property Financing - Permanent (Seq: 2)] Loan Term - Both]&gt;</t>
        </r>
      </text>
    </comment>
    <comment ref="G846" authorId="0" shapeId="0" xr:uid="{5C98FCA3-C2E2-423F-A6BE-6D4F21B53F12}">
      <text>
        <r>
          <rPr>
            <b/>
            <sz val="9"/>
            <color indexed="81"/>
            <rFont val="Tahoma"/>
            <family val="2"/>
          </rPr>
          <t>&lt;[[TCDeals] - [TC Property Current Stage (Seq: 1)] - [Property Financing - Permanent (Seq: 2)] Num Amort Years - Both]&gt;</t>
        </r>
      </text>
    </comment>
    <comment ref="H846" authorId="0" shapeId="0" xr:uid="{E51D1D44-091A-458D-B6DC-8CBB3308C166}">
      <text>
        <r>
          <rPr>
            <b/>
            <sz val="9"/>
            <color indexed="81"/>
            <rFont val="Tahoma"/>
            <family val="2"/>
          </rPr>
          <t>&lt;[[TCDeals] - [TC Property Current Stage (Seq: 1)] - [Property Financing - Permanent (Seq: 2)] Annual Debt Svc Cost - Both]&gt;</t>
        </r>
      </text>
    </comment>
    <comment ref="I846" authorId="0" shapeId="0" xr:uid="{4324F69A-D9EF-4E04-9B6F-5E99C923195D}">
      <text>
        <r>
          <rPr>
            <b/>
            <sz val="9"/>
            <color indexed="81"/>
            <rFont val="Tahoma"/>
            <family val="2"/>
          </rPr>
          <t>&lt;[[TCDeals] - [TC Property Current Stage (Seq: 1)] - [Property Financing - Permanent (Seq: 2)] Financing Type - Both]&gt;</t>
        </r>
      </text>
    </comment>
    <comment ref="C847" authorId="0" shapeId="0" xr:uid="{F218DBE1-3057-4345-BD0E-1BA6A825E55A}">
      <text>
        <r>
          <rPr>
            <b/>
            <sz val="9"/>
            <color indexed="81"/>
            <rFont val="Tahoma"/>
            <family val="2"/>
          </rPr>
          <t>&lt;[[TCDeals] - [TC Property Current Stage (Seq: 1)] - [Property Financing - Permanent (Seq: 3)] Source Name - Both]&gt;</t>
        </r>
      </text>
    </comment>
    <comment ref="D847" authorId="0" shapeId="0" xr:uid="{6FE17A74-D463-4DA4-8D36-71A9CD344F6D}">
      <text>
        <r>
          <rPr>
            <b/>
            <sz val="9"/>
            <color indexed="81"/>
            <rFont val="Tahoma"/>
            <family val="2"/>
          </rPr>
          <t>&lt;[[TCDeals] - [TC Property Current Stage (Seq: 1)] - [Property Financing - Permanent (Seq: 3)] Amount - Both]&gt;</t>
        </r>
      </text>
    </comment>
    <comment ref="E847" authorId="0" shapeId="0" xr:uid="{26B91987-538C-4B1C-B12F-3AB539AEB31E}">
      <text>
        <r>
          <rPr>
            <b/>
            <sz val="9"/>
            <color indexed="81"/>
            <rFont val="Tahoma"/>
            <family val="2"/>
          </rPr>
          <t>&lt;[[TCDeals] - [TC Property Current Stage (Seq: 1)] - [Property Financing - Permanent (Seq: 3)] Interest Rate - Both]&gt;</t>
        </r>
      </text>
    </comment>
    <comment ref="F847" authorId="0" shapeId="0" xr:uid="{A0757C5F-C207-4C0D-800C-F7D9EDEB42E6}">
      <text>
        <r>
          <rPr>
            <b/>
            <sz val="9"/>
            <color indexed="81"/>
            <rFont val="Tahoma"/>
            <family val="2"/>
          </rPr>
          <t>&lt;[[TCDeals] - [TC Property Current Stage (Seq: 1)] - [Property Financing - Permanent (Seq: 3)] Loan Term - Both]&gt;</t>
        </r>
      </text>
    </comment>
    <comment ref="G847" authorId="0" shapeId="0" xr:uid="{E48367B5-A16D-4596-B184-F6E1BD1732FE}">
      <text>
        <r>
          <rPr>
            <b/>
            <sz val="9"/>
            <color indexed="81"/>
            <rFont val="Tahoma"/>
            <family val="2"/>
          </rPr>
          <t>&lt;[[TCDeals] - [TC Property Current Stage (Seq: 1)] - [Property Financing - Permanent (Seq: 3)] Num Amort Years - Both]&gt;</t>
        </r>
      </text>
    </comment>
    <comment ref="H847" authorId="0" shapeId="0" xr:uid="{4B96042D-8E63-4E30-999F-F0DC7BECC5E3}">
      <text>
        <r>
          <rPr>
            <b/>
            <sz val="9"/>
            <color indexed="81"/>
            <rFont val="Tahoma"/>
            <family val="2"/>
          </rPr>
          <t>&lt;[[TCDeals] - [TC Property Current Stage (Seq: 1)] - [Property Financing - Permanent (Seq: 3)] Annual Debt Svc Cost - Both]&gt;</t>
        </r>
      </text>
    </comment>
    <comment ref="I847" authorId="0" shapeId="0" xr:uid="{78CE54DD-8BC4-4F3C-A8EB-41A6FA09E801}">
      <text>
        <r>
          <rPr>
            <b/>
            <sz val="9"/>
            <color indexed="81"/>
            <rFont val="Tahoma"/>
            <family val="2"/>
          </rPr>
          <t>&lt;[[TCDeals] - [TC Property Current Stage (Seq: 1)] - [Property Financing - Permanent (Seq: 3)] Financing Type - Both]&gt;</t>
        </r>
      </text>
    </comment>
    <comment ref="C848" authorId="0" shapeId="0" xr:uid="{CC47293F-1679-44B6-805A-3CA188EE768C}">
      <text>
        <r>
          <rPr>
            <b/>
            <sz val="9"/>
            <color indexed="81"/>
            <rFont val="Tahoma"/>
            <family val="2"/>
          </rPr>
          <t>&lt;[[TCDeals] - [TC Property Current Stage (Seq: 1)] - [Property Financing - Permanent (Seq: 4)] Source Name - Both]&gt;</t>
        </r>
      </text>
    </comment>
    <comment ref="D848" authorId="0" shapeId="0" xr:uid="{3E604E94-B661-404E-9D7D-1F3C65C83BC7}">
      <text>
        <r>
          <rPr>
            <b/>
            <sz val="9"/>
            <color indexed="81"/>
            <rFont val="Tahoma"/>
            <family val="2"/>
          </rPr>
          <t>&lt;[[TCDeals] - [TC Property Current Stage (Seq: 1)] - [Property Financing - Permanent (Seq: 4)] Amount - Both]&gt;</t>
        </r>
      </text>
    </comment>
    <comment ref="E848" authorId="0" shapeId="0" xr:uid="{ACF3006E-5726-4907-A49C-BE2412E5684C}">
      <text>
        <r>
          <rPr>
            <b/>
            <sz val="9"/>
            <color indexed="81"/>
            <rFont val="Tahoma"/>
            <family val="2"/>
          </rPr>
          <t>&lt;[[TCDeals] - [TC Property Current Stage (Seq: 1)] - [Property Financing - Permanent (Seq: 4)] Interest Rate - Both]&gt;</t>
        </r>
      </text>
    </comment>
    <comment ref="F848" authorId="0" shapeId="0" xr:uid="{6780AEB3-5067-428F-98B8-E99082D58AAA}">
      <text>
        <r>
          <rPr>
            <b/>
            <sz val="9"/>
            <color indexed="81"/>
            <rFont val="Tahoma"/>
            <family val="2"/>
          </rPr>
          <t>&lt;[[TCDeals] - [TC Property Current Stage (Seq: 1)] - [Property Financing - Permanent (Seq: 4)] Loan Term - Both]&gt;</t>
        </r>
      </text>
    </comment>
    <comment ref="G848" authorId="0" shapeId="0" xr:uid="{309E8379-A340-4CA4-AE48-B56E0EB54350}">
      <text>
        <r>
          <rPr>
            <b/>
            <sz val="9"/>
            <color indexed="81"/>
            <rFont val="Tahoma"/>
            <family val="2"/>
          </rPr>
          <t>&lt;[[TCDeals] - [TC Property Current Stage (Seq: 1)] - [Property Financing - Permanent (Seq: 4)] Num Amort Years - Both]&gt;</t>
        </r>
      </text>
    </comment>
    <comment ref="H848" authorId="0" shapeId="0" xr:uid="{596296F1-6C56-4CB6-BEF8-7C6E56BB100D}">
      <text>
        <r>
          <rPr>
            <b/>
            <sz val="9"/>
            <color indexed="81"/>
            <rFont val="Tahoma"/>
            <family val="2"/>
          </rPr>
          <t>&lt;[[TCDeals] - [TC Property Current Stage (Seq: 1)] - [Property Financing - Permanent (Seq: 4)] Annual Debt Svc Cost - Both]&gt;</t>
        </r>
      </text>
    </comment>
    <comment ref="I848" authorId="0" shapeId="0" xr:uid="{45ED2D06-17AD-4AA8-9F79-1723D8AC31C1}">
      <text>
        <r>
          <rPr>
            <b/>
            <sz val="9"/>
            <color indexed="81"/>
            <rFont val="Tahoma"/>
            <family val="2"/>
          </rPr>
          <t>&lt;[[TCDeals] - [TC Property Current Stage (Seq: 1)] - [Property Financing - Permanent (Seq: 4)] Financing Type - Both]&gt;</t>
        </r>
      </text>
    </comment>
    <comment ref="C849" authorId="0" shapeId="0" xr:uid="{1F1D202A-C6F3-4E52-8825-D39A7B43218F}">
      <text>
        <r>
          <rPr>
            <b/>
            <sz val="9"/>
            <color indexed="81"/>
            <rFont val="Tahoma"/>
            <family val="2"/>
          </rPr>
          <t>&lt;[[TCDeals] - [TC Property Current Stage (Seq: 1)] - [Property Financing - Permanent (Seq: 5)] Source Name - Both]&gt;</t>
        </r>
      </text>
    </comment>
    <comment ref="D849" authorId="0" shapeId="0" xr:uid="{49C5C14F-32E7-4066-A068-E36253358A4B}">
      <text>
        <r>
          <rPr>
            <b/>
            <sz val="9"/>
            <color indexed="81"/>
            <rFont val="Tahoma"/>
            <family val="2"/>
          </rPr>
          <t>&lt;[[TCDeals] - [TC Property Current Stage (Seq: 1)] - [Property Financing - Permanent (Seq: 5)] Amount - Both]&gt;</t>
        </r>
      </text>
    </comment>
    <comment ref="E849" authorId="0" shapeId="0" xr:uid="{EEC76A79-35C6-4AA7-B2A4-F784C4AEACE7}">
      <text>
        <r>
          <rPr>
            <b/>
            <sz val="9"/>
            <color indexed="81"/>
            <rFont val="Tahoma"/>
            <family val="2"/>
          </rPr>
          <t>&lt;[[TCDeals] - [TC Property Current Stage (Seq: 1)] - [Property Financing - Permanent (Seq: 5)] Interest Rate - Both]&gt;</t>
        </r>
      </text>
    </comment>
    <comment ref="F849" authorId="0" shapeId="0" xr:uid="{8E5AE5D1-4C7D-4CDE-97B7-3B1550085388}">
      <text>
        <r>
          <rPr>
            <b/>
            <sz val="9"/>
            <color indexed="81"/>
            <rFont val="Tahoma"/>
            <family val="2"/>
          </rPr>
          <t>&lt;[[TCDeals] - [TC Property Current Stage (Seq: 1)] - [Property Financing - Permanent (Seq: 5)] Loan Term - Both]&gt;</t>
        </r>
      </text>
    </comment>
    <comment ref="G849" authorId="0" shapeId="0" xr:uid="{648EACAA-83CE-4CDD-884A-D3554C77B469}">
      <text>
        <r>
          <rPr>
            <b/>
            <sz val="9"/>
            <color indexed="81"/>
            <rFont val="Tahoma"/>
            <family val="2"/>
          </rPr>
          <t>&lt;[[TCDeals] - [TC Property Current Stage (Seq: 1)] - [Property Financing - Permanent (Seq: 5)] Num Amort Years - Both]&gt;</t>
        </r>
      </text>
    </comment>
    <comment ref="H849" authorId="0" shapeId="0" xr:uid="{0C191476-C337-493A-A634-77DB54F5B623}">
      <text>
        <r>
          <rPr>
            <b/>
            <sz val="9"/>
            <color indexed="81"/>
            <rFont val="Tahoma"/>
            <family val="2"/>
          </rPr>
          <t>&lt;[[TCDeals] - [TC Property Current Stage (Seq: 1)] - [Property Financing - Permanent (Seq: 5)] Annual Debt Svc Cost - Both]&gt;</t>
        </r>
      </text>
    </comment>
    <comment ref="I849" authorId="0" shapeId="0" xr:uid="{BE0F6886-D8CB-4DDA-8FF8-3C9AB2F88450}">
      <text>
        <r>
          <rPr>
            <b/>
            <sz val="9"/>
            <color indexed="81"/>
            <rFont val="Tahoma"/>
            <family val="2"/>
          </rPr>
          <t>&lt;[[TCDeals] - [TC Property Current Stage (Seq: 1)] - [Property Financing - Permanent (Seq: 5)] Financing Type - Both]&gt;</t>
        </r>
      </text>
    </comment>
    <comment ref="C850" authorId="0" shapeId="0" xr:uid="{87722E37-A696-4CD4-8937-FDA39AE473AB}">
      <text>
        <r>
          <rPr>
            <b/>
            <sz val="9"/>
            <color indexed="81"/>
            <rFont val="Tahoma"/>
            <family val="2"/>
          </rPr>
          <t>&lt;[[TCDeals] - [TC Property Current Stage (Seq: 1)] - [Property Financing - Permanent (Seq: 6)] Source Name - Both]&gt;</t>
        </r>
      </text>
    </comment>
    <comment ref="D850" authorId="0" shapeId="0" xr:uid="{83FD8736-F210-4049-B63D-991F88374BE5}">
      <text>
        <r>
          <rPr>
            <b/>
            <sz val="9"/>
            <color indexed="81"/>
            <rFont val="Tahoma"/>
            <family val="2"/>
          </rPr>
          <t>&lt;[[TCDeals] - [TC Property Current Stage (Seq: 1)] - [Property Financing - Permanent (Seq: 6)] Amount - Both]&gt;</t>
        </r>
      </text>
    </comment>
    <comment ref="E850" authorId="0" shapeId="0" xr:uid="{11D55389-1A6C-4295-8C2C-14C8A27F43FC}">
      <text>
        <r>
          <rPr>
            <b/>
            <sz val="9"/>
            <color indexed="81"/>
            <rFont val="Tahoma"/>
            <family val="2"/>
          </rPr>
          <t>&lt;[[TCDeals] - [TC Property Current Stage (Seq: 1)] - [Property Financing - Permanent (Seq: 6)] Interest Rate - Both]&gt;</t>
        </r>
      </text>
    </comment>
    <comment ref="F850" authorId="0" shapeId="0" xr:uid="{536B6B67-42E0-4897-93CD-12172AF3018D}">
      <text>
        <r>
          <rPr>
            <b/>
            <sz val="9"/>
            <color indexed="81"/>
            <rFont val="Tahoma"/>
            <family val="2"/>
          </rPr>
          <t>&lt;[[TCDeals] - [TC Property Current Stage (Seq: 1)] - [Property Financing - Permanent (Seq: 6)] Loan Term - Both]&gt;</t>
        </r>
      </text>
    </comment>
    <comment ref="G850" authorId="0" shapeId="0" xr:uid="{91E4F119-6306-4753-8FB1-426444E56848}">
      <text>
        <r>
          <rPr>
            <b/>
            <sz val="9"/>
            <color indexed="81"/>
            <rFont val="Tahoma"/>
            <family val="2"/>
          </rPr>
          <t>&lt;[[TCDeals] - [TC Property Current Stage (Seq: 1)] - [Property Financing - Permanent (Seq: 6)] Num Amort Years - Both]&gt;</t>
        </r>
      </text>
    </comment>
    <comment ref="H850" authorId="0" shapeId="0" xr:uid="{251B4F9B-7FA6-4F28-8486-CBAB8A836FFA}">
      <text>
        <r>
          <rPr>
            <b/>
            <sz val="9"/>
            <color indexed="81"/>
            <rFont val="Tahoma"/>
            <family val="2"/>
          </rPr>
          <t>&lt;[[TCDeals] - [TC Property Current Stage (Seq: 1)] - [Property Financing - Permanent (Seq: 6)] Annual Debt Svc Cost - Both]&gt;</t>
        </r>
      </text>
    </comment>
    <comment ref="I850" authorId="0" shapeId="0" xr:uid="{FC663300-37BC-4A92-8EC2-4BE78FFAAD74}">
      <text>
        <r>
          <rPr>
            <b/>
            <sz val="9"/>
            <color indexed="81"/>
            <rFont val="Tahoma"/>
            <family val="2"/>
          </rPr>
          <t>&lt;[[TCDeals] - [TC Property Current Stage (Seq: 1)] - [Property Financing - Permanent (Seq: 6)] Financing Type - Both]&gt;</t>
        </r>
      </text>
    </comment>
    <comment ref="C851" authorId="0" shapeId="0" xr:uid="{50A8C3D3-BDFC-4D26-A3C2-44B74ECADA92}">
      <text>
        <r>
          <rPr>
            <b/>
            <sz val="9"/>
            <color indexed="81"/>
            <rFont val="Tahoma"/>
            <family val="2"/>
          </rPr>
          <t>&lt;[[TCDeals] - [TC Property Current Stage (Seq: 1)] - [Property Financing - Permanent (Seq: 7)] Source Name - Both]&gt;</t>
        </r>
      </text>
    </comment>
    <comment ref="D851" authorId="0" shapeId="0" xr:uid="{21679F28-7B31-4743-8C41-E31A92A64DED}">
      <text>
        <r>
          <rPr>
            <b/>
            <sz val="9"/>
            <color indexed="81"/>
            <rFont val="Tahoma"/>
            <family val="2"/>
          </rPr>
          <t>&lt;[[TCDeals] - [TC Property Current Stage (Seq: 1)] - [Property Financing - Permanent (Seq: 7)] Amount - Both]&gt;</t>
        </r>
      </text>
    </comment>
    <comment ref="E851" authorId="0" shapeId="0" xr:uid="{B52B7CAE-888F-4394-A38B-5FDF56BD4940}">
      <text>
        <r>
          <rPr>
            <b/>
            <sz val="9"/>
            <color indexed="81"/>
            <rFont val="Tahoma"/>
            <family val="2"/>
          </rPr>
          <t>&lt;[[TCDeals] - [TC Property Current Stage (Seq: 1)] - [Property Financing - Permanent (Seq: 7)] Interest Rate - Both]&gt;</t>
        </r>
      </text>
    </comment>
    <comment ref="F851" authorId="0" shapeId="0" xr:uid="{0057BAB1-B827-4FC5-B236-AD1D9D360D6F}">
      <text>
        <r>
          <rPr>
            <b/>
            <sz val="9"/>
            <color indexed="81"/>
            <rFont val="Tahoma"/>
            <family val="2"/>
          </rPr>
          <t>&lt;[[TCDeals] - [TC Property Current Stage (Seq: 1)] - [Property Financing - Permanent (Seq: 7)] Loan Term - Both]&gt;</t>
        </r>
      </text>
    </comment>
    <comment ref="G851" authorId="0" shapeId="0" xr:uid="{A1357B6F-1A58-4006-B7AB-B3679B7CB44B}">
      <text>
        <r>
          <rPr>
            <b/>
            <sz val="9"/>
            <color indexed="81"/>
            <rFont val="Tahoma"/>
            <family val="2"/>
          </rPr>
          <t>&lt;[[TCDeals] - [TC Property Current Stage (Seq: 1)] - [Property Financing - Permanent (Seq: 7)] Num Amort Years - Both]&gt;</t>
        </r>
      </text>
    </comment>
    <comment ref="H851" authorId="0" shapeId="0" xr:uid="{579BEFFA-59FE-4DCE-8DBC-80BE12253078}">
      <text>
        <r>
          <rPr>
            <b/>
            <sz val="9"/>
            <color indexed="81"/>
            <rFont val="Tahoma"/>
            <family val="2"/>
          </rPr>
          <t>&lt;[[TCDeals] - [TC Property Current Stage (Seq: 1)] - [Property Financing - Permanent (Seq: 7)] Annual Debt Svc Cost - Both]&gt;</t>
        </r>
      </text>
    </comment>
    <comment ref="I851" authorId="0" shapeId="0" xr:uid="{29D6FF69-B777-4B66-919E-D53E9EA28062}">
      <text>
        <r>
          <rPr>
            <b/>
            <sz val="9"/>
            <color indexed="81"/>
            <rFont val="Tahoma"/>
            <family val="2"/>
          </rPr>
          <t>&lt;[[TCDeals] - [TC Property Current Stage (Seq: 1)] - [Property Financing - Permanent (Seq: 7)] Financing Type - Both]&gt;</t>
        </r>
      </text>
    </comment>
    <comment ref="C852" authorId="0" shapeId="0" xr:uid="{4CFBDE5D-2ED0-4431-96AA-F27866A2801E}">
      <text>
        <r>
          <rPr>
            <b/>
            <sz val="9"/>
            <color indexed="81"/>
            <rFont val="Tahoma"/>
            <family val="2"/>
          </rPr>
          <t>&lt;[[TCDeals] - [TC Property Current Stage (Seq: 1)] - [Property Financing - Permanent (Seq: 8)] Source Name - Both]&gt;</t>
        </r>
      </text>
    </comment>
    <comment ref="D852" authorId="0" shapeId="0" xr:uid="{A4FBA935-255D-4BA3-AB18-D83214D17814}">
      <text>
        <r>
          <rPr>
            <b/>
            <sz val="9"/>
            <color indexed="81"/>
            <rFont val="Tahoma"/>
            <family val="2"/>
          </rPr>
          <t>&lt;[[TCDeals] - [TC Property Current Stage (Seq: 1)] - [Property Financing - Permanent (Seq: 8)] Amount - Both]&gt;</t>
        </r>
      </text>
    </comment>
    <comment ref="E852" authorId="0" shapeId="0" xr:uid="{BA2B008C-CBA3-421C-AA11-2A1C4B6179EE}">
      <text>
        <r>
          <rPr>
            <b/>
            <sz val="9"/>
            <color indexed="81"/>
            <rFont val="Tahoma"/>
            <family val="2"/>
          </rPr>
          <t>&lt;[[TCDeals] - [TC Property Current Stage (Seq: 1)] - [Property Financing - Permanent (Seq: 8)] Interest Rate - Both]&gt;</t>
        </r>
      </text>
    </comment>
    <comment ref="F852" authorId="0" shapeId="0" xr:uid="{6129D148-FBC8-45D9-AC0C-B5E5808693BE}">
      <text>
        <r>
          <rPr>
            <b/>
            <sz val="9"/>
            <color indexed="81"/>
            <rFont val="Tahoma"/>
            <family val="2"/>
          </rPr>
          <t>&lt;[[TCDeals] - [TC Property Current Stage (Seq: 1)] - [Property Financing - Permanent (Seq: 8)] Loan Term - Both]&gt;</t>
        </r>
      </text>
    </comment>
    <comment ref="G852" authorId="0" shapeId="0" xr:uid="{D50D2222-1FDE-4593-B55B-EF51A377DE42}">
      <text>
        <r>
          <rPr>
            <b/>
            <sz val="9"/>
            <color indexed="81"/>
            <rFont val="Tahoma"/>
            <family val="2"/>
          </rPr>
          <t>&lt;[[TCDeals] - [TC Property Current Stage (Seq: 1)] - [Property Financing - Permanent (Seq: 8)] Num Amort Years - Both]&gt;</t>
        </r>
      </text>
    </comment>
    <comment ref="H852" authorId="0" shapeId="0" xr:uid="{4C8DC415-4DF9-4F6A-BDB1-E7E6684E388F}">
      <text>
        <r>
          <rPr>
            <b/>
            <sz val="9"/>
            <color indexed="81"/>
            <rFont val="Tahoma"/>
            <family val="2"/>
          </rPr>
          <t>&lt;[[TCDeals] - [TC Property Current Stage (Seq: 1)] - [Property Financing - Permanent (Seq: 8)] Annual Debt Svc Cost - Both]&gt;</t>
        </r>
      </text>
    </comment>
    <comment ref="I852" authorId="0" shapeId="0" xr:uid="{0C27CCC3-DDBF-4C15-8CA3-BAA6B87865B4}">
      <text>
        <r>
          <rPr>
            <b/>
            <sz val="9"/>
            <color indexed="81"/>
            <rFont val="Tahoma"/>
            <family val="2"/>
          </rPr>
          <t>&lt;[[TCDeals] - [TC Property Current Stage (Seq: 1)] - [Property Financing - Permanent (Seq: 8)] Financing Type - Both]&gt;</t>
        </r>
      </text>
    </comment>
    <comment ref="C853" authorId="0" shapeId="0" xr:uid="{A6F76C79-C977-4FD7-A532-3D9617933F5C}">
      <text>
        <r>
          <rPr>
            <b/>
            <sz val="9"/>
            <color indexed="81"/>
            <rFont val="Tahoma"/>
            <family val="2"/>
          </rPr>
          <t>&lt;[[TCDeals] - [TC Property Current Stage (Seq: 1)] - [Property Financing - Permanent (Seq: 9)] Source Name - Both]&gt;</t>
        </r>
      </text>
    </comment>
    <comment ref="D853" authorId="0" shapeId="0" xr:uid="{9439E666-CEB2-4F0A-A812-DC8A5D4553D4}">
      <text>
        <r>
          <rPr>
            <b/>
            <sz val="9"/>
            <color indexed="81"/>
            <rFont val="Tahoma"/>
            <family val="2"/>
          </rPr>
          <t>&lt;[[TCDeals] - [TC Property Current Stage (Seq: 1)] - [Property Financing - Permanent (Seq: 9)] Amount - Both]&gt;</t>
        </r>
      </text>
    </comment>
    <comment ref="E853" authorId="0" shapeId="0" xr:uid="{25CD67F6-2DE2-4475-8083-88B86A2B3650}">
      <text>
        <r>
          <rPr>
            <b/>
            <sz val="9"/>
            <color indexed="81"/>
            <rFont val="Tahoma"/>
            <family val="2"/>
          </rPr>
          <t>&lt;[[TCDeals] - [TC Property Current Stage (Seq: 1)] - [Property Financing - Permanent (Seq: 9)] Interest Rate - Both]&gt;</t>
        </r>
      </text>
    </comment>
    <comment ref="F853" authorId="0" shapeId="0" xr:uid="{9C7BBBB8-FDC7-46FF-974D-3A40AD137189}">
      <text>
        <r>
          <rPr>
            <b/>
            <sz val="9"/>
            <color indexed="81"/>
            <rFont val="Tahoma"/>
            <family val="2"/>
          </rPr>
          <t>&lt;[[TCDeals] - [TC Property Current Stage (Seq: 1)] - [Property Financing - Permanent (Seq: 9)] Loan Term - Both]&gt;</t>
        </r>
      </text>
    </comment>
    <comment ref="G853" authorId="0" shapeId="0" xr:uid="{24FE2251-39FE-4241-84FC-4791FA3FB70D}">
      <text>
        <r>
          <rPr>
            <b/>
            <sz val="9"/>
            <color indexed="81"/>
            <rFont val="Tahoma"/>
            <family val="2"/>
          </rPr>
          <t>&lt;[[TCDeals] - [TC Property Current Stage (Seq: 1)] - [Property Financing - Permanent (Seq: 9)] Num Amort Years - Both]&gt;</t>
        </r>
      </text>
    </comment>
    <comment ref="H853" authorId="0" shapeId="0" xr:uid="{D2239EBC-F776-4999-9FCE-FC559EF332E5}">
      <text>
        <r>
          <rPr>
            <b/>
            <sz val="9"/>
            <color indexed="81"/>
            <rFont val="Tahoma"/>
            <family val="2"/>
          </rPr>
          <t>&lt;[[TCDeals] - [TC Property Current Stage (Seq: 1)] - [Property Financing - Permanent (Seq: 9)] Annual Debt Svc Cost - Both]&gt;</t>
        </r>
      </text>
    </comment>
    <comment ref="I853" authorId="0" shapeId="0" xr:uid="{75866038-196A-479C-B8B6-ACC714D0EE45}">
      <text>
        <r>
          <rPr>
            <b/>
            <sz val="9"/>
            <color indexed="81"/>
            <rFont val="Tahoma"/>
            <family val="2"/>
          </rPr>
          <t>&lt;[[TCDeals] - [TC Property Current Stage (Seq: 1)] - [Property Financing - Permanent (Seq: 9)] Financing Type - Both]&gt;</t>
        </r>
      </text>
    </comment>
    <comment ref="C869" authorId="0" shapeId="0" xr:uid="{0990179E-F95A-4105-BF25-F568BA3EEAEC}">
      <text>
        <r>
          <rPr>
            <b/>
            <sz val="9"/>
            <color indexed="81"/>
            <rFont val="Tahoma"/>
            <family val="2"/>
          </rPr>
          <t>&lt;[[TCDeals] - [TC Property Current Stage (Seq: 1)] - [Property Financing - Grant (Seq: 1)] Source Name - Both]&gt;</t>
        </r>
      </text>
    </comment>
    <comment ref="D869" authorId="0" shapeId="0" xr:uid="{C0034B07-5756-49DD-A1FF-53CA25D5C162}">
      <text>
        <r>
          <rPr>
            <b/>
            <sz val="9"/>
            <color indexed="81"/>
            <rFont val="Tahoma"/>
            <family val="2"/>
          </rPr>
          <t>&lt;[[TCDeals] - [TC Property Current Stage (Seq: 1)] - [Property Financing - Grant (Seq: 1)] Amount - Both]&gt;</t>
        </r>
      </text>
    </comment>
    <comment ref="E869" authorId="0" shapeId="0" xr:uid="{BB54B072-6CB4-462A-BBB7-50F6249A811E}">
      <text>
        <r>
          <rPr>
            <b/>
            <sz val="9"/>
            <color indexed="81"/>
            <rFont val="Tahoma"/>
            <family val="2"/>
          </rPr>
          <t>&lt;[[TCDeals] - [TC Property Current Stage (Seq: 1)] - [Property Financing - Grant (Seq: 1)] Financing Type - Both]&gt;</t>
        </r>
      </text>
    </comment>
    <comment ref="C870" authorId="0" shapeId="0" xr:uid="{7FE9AE16-6A6D-4AF7-A038-71A37B6290CC}">
      <text>
        <r>
          <rPr>
            <b/>
            <sz val="9"/>
            <color indexed="81"/>
            <rFont val="Tahoma"/>
            <family val="2"/>
          </rPr>
          <t>&lt;[[TCDeals] - [TC Property Current Stage (Seq: 1)] - [Property Financing - Grant (Seq: 2)] Source Name - Both]&gt;</t>
        </r>
      </text>
    </comment>
    <comment ref="D870" authorId="0" shapeId="0" xr:uid="{ED3CB09F-C446-482E-9D57-F264F50B287C}">
      <text>
        <r>
          <rPr>
            <b/>
            <sz val="9"/>
            <color indexed="81"/>
            <rFont val="Tahoma"/>
            <family val="2"/>
          </rPr>
          <t>&lt;[[TCDeals] - [TC Property Current Stage (Seq: 1)] - [Property Financing - Grant (Seq: 2)] Amount - Both]&gt;</t>
        </r>
      </text>
    </comment>
    <comment ref="E870" authorId="0" shapeId="0" xr:uid="{93E42205-D10B-4CBC-9165-4BAF7933A010}">
      <text>
        <r>
          <rPr>
            <b/>
            <sz val="9"/>
            <color indexed="81"/>
            <rFont val="Tahoma"/>
            <family val="2"/>
          </rPr>
          <t>&lt;[[TCDeals] - [TC Property Current Stage (Seq: 1)] - [Property Financing - Grant (Seq: 2)] Financing Type - Both]&gt;</t>
        </r>
      </text>
    </comment>
    <comment ref="C871" authorId="0" shapeId="0" xr:uid="{56A14D5E-21D7-4023-861D-EAE69C3EDD75}">
      <text>
        <r>
          <rPr>
            <b/>
            <sz val="9"/>
            <color indexed="81"/>
            <rFont val="Tahoma"/>
            <family val="2"/>
          </rPr>
          <t>&lt;[[TCDeals] - [TC Property Current Stage (Seq: 1)] - [Property Financing - Grant (Seq: 3)] Source Name - Both]&gt;</t>
        </r>
      </text>
    </comment>
    <comment ref="D871" authorId="0" shapeId="0" xr:uid="{6BD732F3-1C28-4E21-A5EE-56F60214DF1E}">
      <text>
        <r>
          <rPr>
            <b/>
            <sz val="9"/>
            <color indexed="81"/>
            <rFont val="Tahoma"/>
            <family val="2"/>
          </rPr>
          <t>&lt;[[TCDeals] - [TC Property Current Stage (Seq: 1)] - [Property Financing - Grant (Seq: 3)] Amount - Both]&gt;</t>
        </r>
      </text>
    </comment>
    <comment ref="E871" authorId="0" shapeId="0" xr:uid="{79FA1121-CDDD-432F-BA84-23A950E57EEC}">
      <text>
        <r>
          <rPr>
            <b/>
            <sz val="9"/>
            <color indexed="81"/>
            <rFont val="Tahoma"/>
            <family val="2"/>
          </rPr>
          <t>&lt;[[TCDeals] - [TC Property Current Stage (Seq: 1)] - [Property Financing - Grant (Seq: 3)] Financing Type - Both]&gt;</t>
        </r>
      </text>
    </comment>
    <comment ref="C872" authorId="0" shapeId="0" xr:uid="{0E2CD2ED-AA9A-475E-B773-28F419AC31A5}">
      <text>
        <r>
          <rPr>
            <b/>
            <sz val="9"/>
            <color indexed="81"/>
            <rFont val="Tahoma"/>
            <family val="2"/>
          </rPr>
          <t>&lt;[[TCDeals] - [TC Property Current Stage (Seq: 1)] - [Property Financing - Grant (Seq: 4)] Source Name - Both]&gt;</t>
        </r>
      </text>
    </comment>
    <comment ref="D872" authorId="0" shapeId="0" xr:uid="{9B706F46-EA88-4A1F-9B8C-45199932BD83}">
      <text>
        <r>
          <rPr>
            <b/>
            <sz val="9"/>
            <color indexed="81"/>
            <rFont val="Tahoma"/>
            <family val="2"/>
          </rPr>
          <t>&lt;[[TCDeals] - [TC Property Current Stage (Seq: 1)] - [Property Financing - Grant (Seq: 4)] Amount - Both]&gt;</t>
        </r>
      </text>
    </comment>
    <comment ref="E872" authorId="0" shapeId="0" xr:uid="{C34032FC-2AD1-472E-9690-1B1A21CA84E7}">
      <text>
        <r>
          <rPr>
            <b/>
            <sz val="9"/>
            <color indexed="81"/>
            <rFont val="Tahoma"/>
            <family val="2"/>
          </rPr>
          <t>&lt;[[TCDeals] - [TC Property Current Stage (Seq: 1)] - [Property Financing - Grant (Seq: 4)] Financing Type - Both]&gt;</t>
        </r>
      </text>
    </comment>
    <comment ref="C873" authorId="0" shapeId="0" xr:uid="{E4C29F09-1197-41DC-A535-EB5C8DC8E734}">
      <text>
        <r>
          <rPr>
            <b/>
            <sz val="9"/>
            <color indexed="81"/>
            <rFont val="Tahoma"/>
            <family val="2"/>
          </rPr>
          <t>&lt;[[TCDeals] - [TC Property Current Stage (Seq: 1)] - [Property Financing - Grant (Seq: 5)] Source Name - Both]&gt;</t>
        </r>
      </text>
    </comment>
    <comment ref="D873" authorId="0" shapeId="0" xr:uid="{C94F1F07-DD94-4E5D-8067-EEC2A995BD72}">
      <text>
        <r>
          <rPr>
            <b/>
            <sz val="9"/>
            <color indexed="81"/>
            <rFont val="Tahoma"/>
            <family val="2"/>
          </rPr>
          <t>&lt;[[TCDeals] - [TC Property Current Stage (Seq: 1)] - [Property Financing - Grant (Seq: 5)] Amount - Both]&gt;</t>
        </r>
      </text>
    </comment>
    <comment ref="E873" authorId="0" shapeId="0" xr:uid="{DEC3E940-37A9-4F1F-BC85-7F5A274C7877}">
      <text>
        <r>
          <rPr>
            <b/>
            <sz val="9"/>
            <color indexed="81"/>
            <rFont val="Tahoma"/>
            <family val="2"/>
          </rPr>
          <t>&lt;[[TCDeals] - [TC Property Current Stage (Seq: 1)] - [Property Financing - Grant (Seq: 5)] Financing Type - Both]&gt;</t>
        </r>
      </text>
    </comment>
    <comment ref="C874" authorId="0" shapeId="0" xr:uid="{531F000D-5F51-4F91-AFA8-72216D8FAFEC}">
      <text>
        <r>
          <rPr>
            <b/>
            <sz val="9"/>
            <color indexed="81"/>
            <rFont val="Tahoma"/>
            <family val="2"/>
          </rPr>
          <t>&lt;[[TCDeals] - [TC Property Current Stage (Seq: 1)] - [Property Financing - Grant (Seq: 6)] Source Name - Both]&gt;</t>
        </r>
      </text>
    </comment>
    <comment ref="D874" authorId="0" shapeId="0" xr:uid="{711EE395-5309-45B7-AF3D-3D7FE847E782}">
      <text>
        <r>
          <rPr>
            <b/>
            <sz val="9"/>
            <color indexed="81"/>
            <rFont val="Tahoma"/>
            <family val="2"/>
          </rPr>
          <t>&lt;[[TCDeals] - [TC Property Current Stage (Seq: 1)] - [Property Financing - Grant (Seq: 6)] Amount - Both]&gt;</t>
        </r>
      </text>
    </comment>
    <comment ref="E874" authorId="0" shapeId="0" xr:uid="{5069D33E-6E3D-4101-BB48-710D1028B1E0}">
      <text>
        <r>
          <rPr>
            <b/>
            <sz val="9"/>
            <color indexed="81"/>
            <rFont val="Tahoma"/>
            <family val="2"/>
          </rPr>
          <t>&lt;[[TCDeals] - [TC Property Current Stage (Seq: 1)] - [Property Financing - Grant (Seq: 6)] Financing Type - Both]&gt;</t>
        </r>
      </text>
    </comment>
    <comment ref="C875" authorId="0" shapeId="0" xr:uid="{D3826437-4DE3-48D1-8527-DEDD447782BA}">
      <text>
        <r>
          <rPr>
            <b/>
            <sz val="9"/>
            <color indexed="81"/>
            <rFont val="Tahoma"/>
            <family val="2"/>
          </rPr>
          <t>&lt;[[TCDeals] - [TC Property Current Stage (Seq: 1)] - [Property Financing - Grant (Seq: 7)] Source Name - Both]&gt;</t>
        </r>
      </text>
    </comment>
    <comment ref="D875" authorId="0" shapeId="0" xr:uid="{82166BEB-73A5-4C4F-A968-F3F3FA490A4C}">
      <text>
        <r>
          <rPr>
            <b/>
            <sz val="9"/>
            <color indexed="81"/>
            <rFont val="Tahoma"/>
            <family val="2"/>
          </rPr>
          <t>&lt;[[TCDeals] - [TC Property Current Stage (Seq: 1)] - [Property Financing - Grant (Seq: 7)] Amount - Both]&gt;</t>
        </r>
      </text>
    </comment>
    <comment ref="E875" authorId="0" shapeId="0" xr:uid="{6D2E8A88-8BFA-41FA-9180-B2A4F6576A06}">
      <text>
        <r>
          <rPr>
            <b/>
            <sz val="9"/>
            <color indexed="81"/>
            <rFont val="Tahoma"/>
            <family val="2"/>
          </rPr>
          <t>&lt;[[TCDeals] - [TC Property Current Stage (Seq: 1)] - [Property Financing - Grant (Seq: 7)] Financing Type - Both]&gt;</t>
        </r>
      </text>
    </comment>
    <comment ref="C876" authorId="0" shapeId="0" xr:uid="{AF5AFB61-0B90-4AD3-8895-D3D953F77B0B}">
      <text>
        <r>
          <rPr>
            <b/>
            <sz val="9"/>
            <color indexed="81"/>
            <rFont val="Tahoma"/>
            <family val="2"/>
          </rPr>
          <t>&lt;[[TCDeals] - [TC Property Current Stage (Seq: 1)] - [Property Financing - Grant (Seq: 8)] Source Name - Both]&gt;</t>
        </r>
      </text>
    </comment>
    <comment ref="D876" authorId="0" shapeId="0" xr:uid="{FB6C51B1-B5D4-4335-8A2E-958145A5F61D}">
      <text>
        <r>
          <rPr>
            <b/>
            <sz val="9"/>
            <color indexed="81"/>
            <rFont val="Tahoma"/>
            <family val="2"/>
          </rPr>
          <t>&lt;[[TCDeals] - [TC Property Current Stage (Seq: 1)] - [Property Financing - Grant (Seq: 8)] Amount - Both]&gt;</t>
        </r>
      </text>
    </comment>
    <comment ref="E876" authorId="0" shapeId="0" xr:uid="{2B03BEDF-FBB3-463C-9CE3-DD0451C7528A}">
      <text>
        <r>
          <rPr>
            <b/>
            <sz val="9"/>
            <color indexed="81"/>
            <rFont val="Tahoma"/>
            <family val="2"/>
          </rPr>
          <t>&lt;[[TCDeals] - [TC Property Current Stage (Seq: 1)] - [Property Financing - Grant (Seq: 8)] Financing Type - Both]&gt;</t>
        </r>
      </text>
    </comment>
    <comment ref="C899" authorId="0" shapeId="0" xr:uid="{92B3E930-6B55-46EE-A250-298337AC9419}">
      <text>
        <r>
          <rPr>
            <b/>
            <sz val="9"/>
            <color indexed="81"/>
            <rFont val="Tahoma"/>
            <family val="2"/>
          </rPr>
          <t>&lt;[[TCDeals] - [Fees (Seq: 1)] TC Deal Fee Type - Both]&gt;</t>
        </r>
      </text>
    </comment>
    <comment ref="D899" authorId="0" shapeId="0" xr:uid="{9A81F5FE-412E-45BE-91EF-465FE1EA3BBA}">
      <text>
        <r>
          <rPr>
            <b/>
            <sz val="9"/>
            <color indexed="81"/>
            <rFont val="Tahoma"/>
            <family val="2"/>
          </rPr>
          <t>&lt;[[TCDeals] - [Fees (Seq: 1)] Amount - Both]&gt;</t>
        </r>
      </text>
    </comment>
    <comment ref="C900" authorId="0" shapeId="0" xr:uid="{1715008F-BB20-416A-9CD4-CACA60399EB0}">
      <text>
        <r>
          <rPr>
            <b/>
            <sz val="9"/>
            <color indexed="81"/>
            <rFont val="Tahoma"/>
            <family val="2"/>
          </rPr>
          <t>&lt;[[TCDeals] - [Fees (Seq: 2)] TC Deal Fee Type - Both]&gt;</t>
        </r>
      </text>
    </comment>
    <comment ref="D900" authorId="0" shapeId="0" xr:uid="{32CDBA55-11FB-4AC5-BC21-1FBAF681F080}">
      <text>
        <r>
          <rPr>
            <b/>
            <sz val="9"/>
            <color indexed="81"/>
            <rFont val="Tahoma"/>
            <family val="2"/>
          </rPr>
          <t>&lt;[[TCDeals] - [Fees (Seq: 2)] Amount - Both]&gt;</t>
        </r>
      </text>
    </comment>
    <comment ref="C901" authorId="0" shapeId="0" xr:uid="{CF8F4F7C-9723-40B4-9C4F-D3C3D0E6D8CF}">
      <text>
        <r>
          <rPr>
            <b/>
            <sz val="9"/>
            <color indexed="81"/>
            <rFont val="Tahoma"/>
            <family val="2"/>
          </rPr>
          <t>&lt;[[TCDeals] - [Fees (Seq: 3)] TC Deal Fee Type - Both]&gt;</t>
        </r>
      </text>
    </comment>
    <comment ref="D901" authorId="0" shapeId="0" xr:uid="{AE87752F-D1F2-4E05-8E0D-FCABCE26B8C4}">
      <text>
        <r>
          <rPr>
            <b/>
            <sz val="9"/>
            <color indexed="81"/>
            <rFont val="Tahoma"/>
            <family val="2"/>
          </rPr>
          <t>&lt;[[TCDeals] - [Fees (Seq: 3)] Amount - Both]&gt;</t>
        </r>
      </text>
    </comment>
    <comment ref="C902" authorId="0" shapeId="0" xr:uid="{AE289E7B-15F6-43B7-8165-6D451DD35B13}">
      <text>
        <r>
          <rPr>
            <b/>
            <sz val="9"/>
            <color indexed="81"/>
            <rFont val="Tahoma"/>
            <family val="2"/>
          </rPr>
          <t>&lt;[[TCDeals] - [Fees (Seq: 4)] TC Deal Fee Type - Both]&gt;</t>
        </r>
      </text>
    </comment>
    <comment ref="D902" authorId="0" shapeId="0" xr:uid="{A2479000-B5C6-4802-B2A7-1F3C805BC8C0}">
      <text>
        <r>
          <rPr>
            <b/>
            <sz val="9"/>
            <color indexed="81"/>
            <rFont val="Tahoma"/>
            <family val="2"/>
          </rPr>
          <t>&lt;[[TCDeals] - [Fees (Seq: 4)] Amount - Both]&gt;</t>
        </r>
      </text>
    </comment>
    <comment ref="C903" authorId="0" shapeId="0" xr:uid="{0590B2EA-B878-4F3A-84C2-D7A34F66D79A}">
      <text>
        <r>
          <rPr>
            <b/>
            <sz val="9"/>
            <color indexed="81"/>
            <rFont val="Tahoma"/>
            <family val="2"/>
          </rPr>
          <t>&lt;[[TCDeals] - [Fees (Seq: 5)] TC Deal Fee Type - Both]&gt;</t>
        </r>
      </text>
    </comment>
    <comment ref="D903" authorId="0" shapeId="0" xr:uid="{0B5D88FA-5DC8-416A-990E-C3B61DAA8BD1}">
      <text>
        <r>
          <rPr>
            <b/>
            <sz val="9"/>
            <color indexed="81"/>
            <rFont val="Tahoma"/>
            <family val="2"/>
          </rPr>
          <t>&lt;[[TCDeals] - [Fees (Seq: 5)] Amount - Both]&gt;</t>
        </r>
      </text>
    </comment>
    <comment ref="C904" authorId="0" shapeId="0" xr:uid="{E5B2F57F-DDCA-4012-9B49-6CA81FBDC469}">
      <text>
        <r>
          <rPr>
            <b/>
            <sz val="9"/>
            <color indexed="81"/>
            <rFont val="Tahoma"/>
            <family val="2"/>
          </rPr>
          <t>&lt;[[TCDeals] - [Fees (Seq: 6)] TC Deal Fee Type - Both]&gt;</t>
        </r>
      </text>
    </comment>
    <comment ref="D904" authorId="0" shapeId="0" xr:uid="{7CAF2348-29BB-49D8-B92B-73480891C7FF}">
      <text>
        <r>
          <rPr>
            <b/>
            <sz val="9"/>
            <color indexed="81"/>
            <rFont val="Tahoma"/>
            <family val="2"/>
          </rPr>
          <t>&lt;[[TCDeals] - [Fees (Seq: 6)] Amount - Both]&gt;</t>
        </r>
      </text>
    </comment>
    <comment ref="C905" authorId="0" shapeId="0" xr:uid="{3E4BB4CA-7025-4D8F-ABCB-3BD951CE7924}">
      <text>
        <r>
          <rPr>
            <b/>
            <sz val="9"/>
            <color indexed="81"/>
            <rFont val="Tahoma"/>
            <family val="2"/>
          </rPr>
          <t>&lt;[[TCDeals] - [Fees (Seq: 7)] TC Deal Fee Type - Both]&gt;</t>
        </r>
      </text>
    </comment>
    <comment ref="D905" authorId="0" shapeId="0" xr:uid="{4C56376F-E692-4D27-9701-14F465B89DD9}">
      <text>
        <r>
          <rPr>
            <b/>
            <sz val="9"/>
            <color indexed="81"/>
            <rFont val="Tahoma"/>
            <family val="2"/>
          </rPr>
          <t>&lt;[[TCDeals] - [Fees (Seq: 7)] Amount - Both]&gt;</t>
        </r>
      </text>
    </comment>
    <comment ref="C906" authorId="1" shapeId="0" xr:uid="{E8850E95-E479-4BEE-A9AD-D08839B908CB}">
      <text>
        <r>
          <rPr>
            <b/>
            <sz val="9"/>
            <color indexed="81"/>
            <rFont val="Tahoma"/>
            <family val="2"/>
          </rPr>
          <t>&lt;[[TCDeals] - [Fees (Seq: 8)] TC Deal Fee Type - Both]&gt;</t>
        </r>
      </text>
    </comment>
    <comment ref="D906" authorId="1" shapeId="0" xr:uid="{2D9F996F-5726-429C-9D62-0A5E60362823}">
      <text>
        <r>
          <rPr>
            <b/>
            <sz val="9"/>
            <color indexed="81"/>
            <rFont val="Tahoma"/>
            <family val="2"/>
          </rPr>
          <t>&lt;[[TCDeals] - [Fees (Seq: 8)] Amount - Both]&gt;</t>
        </r>
      </text>
    </comment>
    <comment ref="C917" authorId="0" shapeId="0" xr:uid="{0C09C40F-2491-4E1C-A35B-F76ACE8704DC}">
      <text>
        <r>
          <rPr>
            <b/>
            <sz val="9"/>
            <color indexed="81"/>
            <rFont val="Tahoma"/>
            <family val="2"/>
          </rPr>
          <t>&lt;[[TCDeals] - [TC Property Current Stage (Seq: 1)] - [Units (Seq: 1)] Num TC Units - Both]&gt;</t>
        </r>
      </text>
    </comment>
    <comment ref="D917" authorId="0" shapeId="0" xr:uid="{83E1866B-BFFF-4F62-9EA9-BCC045E9985D}">
      <text>
        <r>
          <rPr>
            <b/>
            <sz val="9"/>
            <color indexed="81"/>
            <rFont val="Tahoma"/>
            <family val="2"/>
          </rPr>
          <t>&lt;[[TCDeals] - [TC Property Current Stage (Seq: 1)] - [Units (Seq: 1)] TC Unit Type - Both]&gt;</t>
        </r>
      </text>
    </comment>
    <comment ref="C918" authorId="0" shapeId="0" xr:uid="{D809DAD0-FF13-479A-B321-7EE6E6643116}">
      <text>
        <r>
          <rPr>
            <b/>
            <sz val="9"/>
            <color indexed="81"/>
            <rFont val="Tahoma"/>
            <family val="2"/>
          </rPr>
          <t>&lt;[[TCDeals] - [TC Property Current Stage (Seq: 1)] - [Units (Seq: 2)] Num TC Units - Both]&gt;</t>
        </r>
      </text>
    </comment>
    <comment ref="D918" authorId="0" shapeId="0" xr:uid="{2173526C-1FF8-410A-9768-3084A02C6310}">
      <text>
        <r>
          <rPr>
            <b/>
            <sz val="9"/>
            <color indexed="81"/>
            <rFont val="Tahoma"/>
            <family val="2"/>
          </rPr>
          <t>&lt;[[TCDeals] - [TC Property Current Stage (Seq: 1)] - [Units (Seq: 2)] TC Unit Type - Both]&gt;</t>
        </r>
      </text>
    </comment>
    <comment ref="C919" authorId="0" shapeId="0" xr:uid="{5B379DB0-F118-45E4-BB29-5DF2AD64F6BA}">
      <text>
        <r>
          <rPr>
            <b/>
            <sz val="9"/>
            <color indexed="81"/>
            <rFont val="Tahoma"/>
            <family val="2"/>
          </rPr>
          <t>&lt;[[TCDeals] - [TC Property Current Stage (Seq: 1)] - [Units (Seq: 3)] Num TC Units - Both]&gt;</t>
        </r>
      </text>
    </comment>
    <comment ref="D919" authorId="0" shapeId="0" xr:uid="{B8971ADC-212F-472C-A5D5-8A20A1BC05B6}">
      <text>
        <r>
          <rPr>
            <b/>
            <sz val="9"/>
            <color indexed="81"/>
            <rFont val="Tahoma"/>
            <family val="2"/>
          </rPr>
          <t>&lt;[[TCDeals] - [TC Property Current Stage (Seq: 1)] - [Units (Seq: 3)] TC Unit Type - Both]&gt;</t>
        </r>
      </text>
    </comment>
    <comment ref="C920" authorId="0" shapeId="0" xr:uid="{8E934114-705F-440F-A8DF-56A25AD96559}">
      <text>
        <r>
          <rPr>
            <b/>
            <sz val="9"/>
            <color indexed="81"/>
            <rFont val="Tahoma"/>
            <family val="2"/>
          </rPr>
          <t>&lt;[[TCDeals] - [TC Property Current Stage (Seq: 1)] - [Units (Seq: 4)] Num TC Units - Both]&gt;</t>
        </r>
      </text>
    </comment>
    <comment ref="D920" authorId="0" shapeId="0" xr:uid="{8DEDEAE2-7D4F-440B-9E0A-586DB3A357D1}">
      <text>
        <r>
          <rPr>
            <b/>
            <sz val="9"/>
            <color indexed="81"/>
            <rFont val="Tahoma"/>
            <family val="2"/>
          </rPr>
          <t>&lt;[[TCDeals] - [TC Property Current Stage (Seq: 1)] - [Units (Seq: 4)] TC Unit Type - Both]&gt;</t>
        </r>
      </text>
    </comment>
    <comment ref="C921" authorId="0" shapeId="0" xr:uid="{7C508BE4-9458-47B9-A2D9-F6DCCC89A110}">
      <text>
        <r>
          <rPr>
            <b/>
            <sz val="9"/>
            <color indexed="81"/>
            <rFont val="Tahoma"/>
            <family val="2"/>
          </rPr>
          <t>&lt;[[TCDeals] - [TC Property Current Stage (Seq: 1)] - [Units (Seq: 5)] Num TC Units - Both]&gt;</t>
        </r>
      </text>
    </comment>
    <comment ref="D921" authorId="0" shapeId="0" xr:uid="{2DC51D3F-1569-432F-99B2-D945E0FB050D}">
      <text>
        <r>
          <rPr>
            <b/>
            <sz val="9"/>
            <color indexed="81"/>
            <rFont val="Tahoma"/>
            <family val="2"/>
          </rPr>
          <t>&lt;[[TCDeals] - [TC Property Current Stage (Seq: 1)] - [Units (Seq: 5)] TC Unit Type - Both]&gt;</t>
        </r>
      </text>
    </comment>
    <comment ref="C922" authorId="0" shapeId="0" xr:uid="{F4A7FA0E-ECC4-4A95-ACE7-10CB00AAF540}">
      <text>
        <r>
          <rPr>
            <b/>
            <sz val="9"/>
            <color indexed="81"/>
            <rFont val="Tahoma"/>
            <family val="2"/>
          </rPr>
          <t>&lt;[[TCDeals] - [TC Property Current Stage (Seq: 1)] - [Units (Seq: 6)] Num TC Units - Both]&gt;</t>
        </r>
      </text>
    </comment>
    <comment ref="D922" authorId="0" shapeId="0" xr:uid="{DC3D9034-B9CD-46E4-963B-823E746D92CE}">
      <text>
        <r>
          <rPr>
            <b/>
            <sz val="9"/>
            <color indexed="81"/>
            <rFont val="Tahoma"/>
            <family val="2"/>
          </rPr>
          <t>&lt;[[TCDeals] - [TC Property Current Stage (Seq: 1)] - [Units (Seq: 6)] TC Unit Type - Both]&gt;</t>
        </r>
      </text>
    </comment>
    <comment ref="C994" authorId="1" shapeId="0" xr:uid="{48FCD760-C54A-48DE-9A6D-CEA03CCC7242}">
      <text>
        <r>
          <rPr>
            <b/>
            <sz val="9"/>
            <color indexed="81"/>
            <rFont val="Tahoma"/>
            <family val="2"/>
          </rPr>
          <t>&lt;[[TCDeals] - [TC Property Current Stage (Seq: 1)] - [Unit Mix (Seq: 1)] Income Target - Both]&gt;</t>
        </r>
      </text>
    </comment>
    <comment ref="D994" authorId="0" shapeId="0" xr:uid="{347C5FA5-5217-4315-BA7E-1A5DD2AB0B65}">
      <text>
        <r>
          <rPr>
            <b/>
            <sz val="9"/>
            <color indexed="81"/>
            <rFont val="Tahoma"/>
            <family val="2"/>
          </rPr>
          <t>&lt;[[TCDeals] - [TC Property Current Stage (Seq: 1)] - [Unit Mix (Seq: 1)] TC Unit Mix Type - Both]&gt;</t>
        </r>
      </text>
    </comment>
    <comment ref="E994" authorId="0" shapeId="0" xr:uid="{3D7115E5-E2DA-4B92-945E-C04CA694369F}">
      <text>
        <r>
          <rPr>
            <b/>
            <sz val="9"/>
            <color indexed="81"/>
            <rFont val="Tahoma"/>
            <family val="2"/>
          </rPr>
          <t>&lt;[[TCDeals] - [TC Property Current Stage (Seq: 1)] - [Unit Mix (Seq: 1)] Net Rentable Sq Ft - Both]&gt;</t>
        </r>
      </text>
    </comment>
    <comment ref="F994" authorId="0" shapeId="0" xr:uid="{9E9182ED-2D41-43A5-87D9-5228880DE042}">
      <text>
        <r>
          <rPr>
            <b/>
            <sz val="9"/>
            <color indexed="81"/>
            <rFont val="Tahoma"/>
            <family val="2"/>
          </rPr>
          <t>&lt;[[TCDeals] - [TC Property Current Stage (Seq: 1)] - [Unit Mix (Seq: 1)] Num Units - Both]&gt;</t>
        </r>
      </text>
    </comment>
    <comment ref="G994" authorId="0" shapeId="0" xr:uid="{58278505-84D4-4A66-87A9-C97202A36117}">
      <text>
        <r>
          <rPr>
            <b/>
            <sz val="9"/>
            <color indexed="81"/>
            <rFont val="Tahoma"/>
            <family val="2"/>
          </rPr>
          <t>&lt;[[TCDeals] - [TC Property Current Stage (Seq: 1)] - [Unit Mix (Seq: 1)] Monthly Rent Per Unit - Both]&gt;</t>
        </r>
      </text>
    </comment>
    <comment ref="C995" authorId="1" shapeId="0" xr:uid="{4E0CEAFD-B879-45FA-B14B-F99E36B4D345}">
      <text>
        <r>
          <rPr>
            <b/>
            <sz val="9"/>
            <color indexed="81"/>
            <rFont val="Tahoma"/>
            <family val="2"/>
          </rPr>
          <t>&lt;[[TCDeals] - [TC Property Current Stage (Seq: 1)] - [Unit Mix (Seq: 2)] Income Target - Both]&gt;</t>
        </r>
      </text>
    </comment>
    <comment ref="D995" authorId="0" shapeId="0" xr:uid="{CF35BD9D-6D8D-4C44-8FB4-5A9AED250D1C}">
      <text>
        <r>
          <rPr>
            <b/>
            <sz val="9"/>
            <color indexed="81"/>
            <rFont val="Tahoma"/>
            <family val="2"/>
          </rPr>
          <t>&lt;[[TCDeals] - [TC Property Current Stage (Seq: 1)] - [Unit Mix (Seq: 2)] TC Unit Mix Type - Both]&gt;</t>
        </r>
      </text>
    </comment>
    <comment ref="E995" authorId="0" shapeId="0" xr:uid="{2CDCE524-DC9E-469F-8392-10DF35B4F294}">
      <text>
        <r>
          <rPr>
            <b/>
            <sz val="9"/>
            <color indexed="81"/>
            <rFont val="Tahoma"/>
            <family val="2"/>
          </rPr>
          <t>&lt;[[TCDeals] - [TC Property Current Stage (Seq: 1)] - [Unit Mix (Seq: 2)] Net Rentable Sq Ft - Both]&gt;</t>
        </r>
      </text>
    </comment>
    <comment ref="F995" authorId="0" shapeId="0" xr:uid="{1B570894-3846-4F6B-9538-02FCAEB04E39}">
      <text>
        <r>
          <rPr>
            <b/>
            <sz val="9"/>
            <color indexed="81"/>
            <rFont val="Tahoma"/>
            <family val="2"/>
          </rPr>
          <t>&lt;[[TCDeals] - [TC Property Current Stage (Seq: 1)] - [Unit Mix (Seq: 2)] Num Units - Both]&gt;</t>
        </r>
      </text>
    </comment>
    <comment ref="G995" authorId="0" shapeId="0" xr:uid="{F20F613E-8790-4435-BC0C-A748D558B682}">
      <text>
        <r>
          <rPr>
            <b/>
            <sz val="9"/>
            <color indexed="81"/>
            <rFont val="Tahoma"/>
            <family val="2"/>
          </rPr>
          <t>&lt;[[TCDeals] - [TC Property Current Stage (Seq: 1)] - [Unit Mix (Seq: 2)] Monthly Rent Per Unit - Both]&gt;</t>
        </r>
      </text>
    </comment>
    <comment ref="C996" authorId="1" shapeId="0" xr:uid="{39676418-4A01-4666-87AB-FFFAB46BB336}">
      <text>
        <r>
          <rPr>
            <b/>
            <sz val="9"/>
            <color indexed="81"/>
            <rFont val="Tahoma"/>
            <family val="2"/>
          </rPr>
          <t>&lt;[[TCDeals] - [TC Property Current Stage (Seq: 1)] - [Unit Mix (Seq: 3)] Income Target - Both]&gt;</t>
        </r>
      </text>
    </comment>
    <comment ref="D996" authorId="0" shapeId="0" xr:uid="{178BEDE6-E8D4-4987-8C62-9BF1198F07EE}">
      <text>
        <r>
          <rPr>
            <b/>
            <sz val="9"/>
            <color indexed="81"/>
            <rFont val="Tahoma"/>
            <family val="2"/>
          </rPr>
          <t>&lt;[[TCDeals] - [TC Property Current Stage (Seq: 1)] - [Unit Mix (Seq: 3)] TC Unit Mix Type - Both]&gt;</t>
        </r>
      </text>
    </comment>
    <comment ref="E996" authorId="0" shapeId="0" xr:uid="{82C8121B-51EC-4757-9914-64F15231E5AD}">
      <text>
        <r>
          <rPr>
            <b/>
            <sz val="9"/>
            <color indexed="81"/>
            <rFont val="Tahoma"/>
            <family val="2"/>
          </rPr>
          <t>&lt;[[TCDeals] - [TC Property Current Stage (Seq: 1)] - [Unit Mix (Seq: 3)] Net Rentable Sq Ft - Both]&gt;</t>
        </r>
      </text>
    </comment>
    <comment ref="F996" authorId="0" shapeId="0" xr:uid="{1B750A31-C8FF-48BB-9940-4CD439EB246C}">
      <text>
        <r>
          <rPr>
            <b/>
            <sz val="9"/>
            <color indexed="81"/>
            <rFont val="Tahoma"/>
            <family val="2"/>
          </rPr>
          <t>&lt;[[TCDeals] - [TC Property Current Stage (Seq: 1)] - [Unit Mix (Seq: 3)] Num Units - Both]&gt;</t>
        </r>
      </text>
    </comment>
    <comment ref="G996" authorId="0" shapeId="0" xr:uid="{48340566-0D88-44AA-8499-A90A51D0FC72}">
      <text>
        <r>
          <rPr>
            <b/>
            <sz val="9"/>
            <color indexed="81"/>
            <rFont val="Tahoma"/>
            <family val="2"/>
          </rPr>
          <t>&lt;[[TCDeals] - [TC Property Current Stage (Seq: 1)] - [Unit Mix (Seq: 3)] Monthly Rent Per Unit - Both]&gt;</t>
        </r>
      </text>
    </comment>
    <comment ref="C997" authorId="1" shapeId="0" xr:uid="{F11E2A4A-D909-4DD2-990E-8625CACBB1A3}">
      <text>
        <r>
          <rPr>
            <b/>
            <sz val="9"/>
            <color indexed="81"/>
            <rFont val="Tahoma"/>
            <family val="2"/>
          </rPr>
          <t>&lt;[[TCDeals] - [TC Property Current Stage (Seq: 1)] - [Unit Mix (Seq: 4)] Income Target - Both]&gt;</t>
        </r>
      </text>
    </comment>
    <comment ref="D997" authorId="0" shapeId="0" xr:uid="{A7A7E92A-988E-4C82-933F-35C9CD9A9720}">
      <text>
        <r>
          <rPr>
            <b/>
            <sz val="9"/>
            <color indexed="81"/>
            <rFont val="Tahoma"/>
            <family val="2"/>
          </rPr>
          <t>&lt;[[TCDeals] - [TC Property Current Stage (Seq: 1)] - [Unit Mix (Seq: 4)] TC Unit Mix Type - Both]&gt;</t>
        </r>
      </text>
    </comment>
    <comment ref="E997" authorId="0" shapeId="0" xr:uid="{7A672B32-203E-4EB9-8354-BC2826454779}">
      <text>
        <r>
          <rPr>
            <b/>
            <sz val="9"/>
            <color indexed="81"/>
            <rFont val="Tahoma"/>
            <family val="2"/>
          </rPr>
          <t>&lt;[[TCDeals] - [TC Property Current Stage (Seq: 1)] - [Unit Mix (Seq: 4)] Net Rentable Sq Ft - Both]&gt;</t>
        </r>
      </text>
    </comment>
    <comment ref="F997" authorId="0" shapeId="0" xr:uid="{277C42A0-1709-451A-AB14-34000919E560}">
      <text>
        <r>
          <rPr>
            <b/>
            <sz val="9"/>
            <color indexed="81"/>
            <rFont val="Tahoma"/>
            <family val="2"/>
          </rPr>
          <t>&lt;[[TCDeals] - [TC Property Current Stage (Seq: 1)] - [Unit Mix (Seq: 4)] Num Units - Both]&gt;</t>
        </r>
      </text>
    </comment>
    <comment ref="G997" authorId="0" shapeId="0" xr:uid="{ED1CAEC8-0344-4677-93C6-C08A4E537145}">
      <text>
        <r>
          <rPr>
            <b/>
            <sz val="9"/>
            <color indexed="81"/>
            <rFont val="Tahoma"/>
            <family val="2"/>
          </rPr>
          <t>&lt;[[TCDeals] - [TC Property Current Stage (Seq: 1)] - [Unit Mix (Seq: 4)] Monthly Rent Per Unit - Both]&gt;</t>
        </r>
      </text>
    </comment>
    <comment ref="C998" authorId="1" shapeId="0" xr:uid="{3DE6456D-A67B-4ADC-AA9E-C85691125202}">
      <text>
        <r>
          <rPr>
            <b/>
            <sz val="9"/>
            <color indexed="81"/>
            <rFont val="Tahoma"/>
            <family val="2"/>
          </rPr>
          <t>&lt;[[TCDeals] - [TC Property Current Stage (Seq: 1)] - [Unit Mix (Seq: 5)] Income Target - Both]&gt;</t>
        </r>
      </text>
    </comment>
    <comment ref="D998" authorId="0" shapeId="0" xr:uid="{611A4641-BF3E-4941-8686-7809CFE657F1}">
      <text>
        <r>
          <rPr>
            <b/>
            <sz val="9"/>
            <color indexed="81"/>
            <rFont val="Tahoma"/>
            <family val="2"/>
          </rPr>
          <t>&lt;[[TCDeals] - [TC Property Current Stage (Seq: 1)] - [Unit Mix (Seq: 5)] TC Unit Mix Type - Both]&gt;</t>
        </r>
      </text>
    </comment>
    <comment ref="E998" authorId="0" shapeId="0" xr:uid="{A34360DF-FECF-4D7F-8F5F-613D8FE4678C}">
      <text>
        <r>
          <rPr>
            <b/>
            <sz val="9"/>
            <color indexed="81"/>
            <rFont val="Tahoma"/>
            <family val="2"/>
          </rPr>
          <t>&lt;[[TCDeals] - [TC Property Current Stage (Seq: 1)] - [Unit Mix (Seq: 5)] Net Rentable Sq Ft - Both]&gt;</t>
        </r>
      </text>
    </comment>
    <comment ref="F998" authorId="0" shapeId="0" xr:uid="{3E2A2AE4-BDF8-4486-A229-8477C2FEE4FA}">
      <text>
        <r>
          <rPr>
            <b/>
            <sz val="9"/>
            <color indexed="81"/>
            <rFont val="Tahoma"/>
            <family val="2"/>
          </rPr>
          <t>&lt;[[TCDeals] - [TC Property Current Stage (Seq: 1)] - [Unit Mix (Seq: 5)] Num Units - Both]&gt;</t>
        </r>
      </text>
    </comment>
    <comment ref="G998" authorId="0" shapeId="0" xr:uid="{CE650F58-B206-40EC-8862-2756DB3EF24A}">
      <text>
        <r>
          <rPr>
            <b/>
            <sz val="9"/>
            <color indexed="81"/>
            <rFont val="Tahoma"/>
            <family val="2"/>
          </rPr>
          <t>&lt;[[TCDeals] - [TC Property Current Stage (Seq: 1)] - [Unit Mix (Seq: 5)] Monthly Rent Per Unit - Both]&gt;</t>
        </r>
      </text>
    </comment>
    <comment ref="C999" authorId="1" shapeId="0" xr:uid="{67FD00FC-4B77-4254-9657-4E7DB0DEF374}">
      <text>
        <r>
          <rPr>
            <b/>
            <sz val="9"/>
            <color indexed="81"/>
            <rFont val="Tahoma"/>
            <family val="2"/>
          </rPr>
          <t>&lt;[[TCDeals] - [TC Property Current Stage (Seq: 1)] - [Unit Mix (Seq: 6)] Income Target - Both]&gt;</t>
        </r>
      </text>
    </comment>
    <comment ref="D999" authorId="0" shapeId="0" xr:uid="{722CBD0D-E910-45FF-9D3D-06C85B772F39}">
      <text>
        <r>
          <rPr>
            <b/>
            <sz val="9"/>
            <color indexed="81"/>
            <rFont val="Tahoma"/>
            <family val="2"/>
          </rPr>
          <t>&lt;[[TCDeals] - [TC Property Current Stage (Seq: 1)] - [Unit Mix (Seq: 6)] TC Unit Mix Type - Both]&gt;</t>
        </r>
      </text>
    </comment>
    <comment ref="E999" authorId="0" shapeId="0" xr:uid="{02FEED85-D121-4499-8393-F1E95A93AB86}">
      <text>
        <r>
          <rPr>
            <b/>
            <sz val="9"/>
            <color indexed="81"/>
            <rFont val="Tahoma"/>
            <family val="2"/>
          </rPr>
          <t>&lt;[[TCDeals] - [TC Property Current Stage (Seq: 1)] - [Unit Mix (Seq: 6)] Net Rentable Sq Ft - Both]&gt;</t>
        </r>
      </text>
    </comment>
    <comment ref="F999" authorId="0" shapeId="0" xr:uid="{941D454E-0742-4EAE-BB82-40BE26371DAE}">
      <text>
        <r>
          <rPr>
            <b/>
            <sz val="9"/>
            <color indexed="81"/>
            <rFont val="Tahoma"/>
            <family val="2"/>
          </rPr>
          <t>&lt;[[TCDeals] - [TC Property Current Stage (Seq: 1)] - [Unit Mix (Seq: 6)] Num Units - Both]&gt;</t>
        </r>
      </text>
    </comment>
    <comment ref="G999" authorId="0" shapeId="0" xr:uid="{63341B06-0AA0-4DDE-8809-2F1C6BFDBE79}">
      <text>
        <r>
          <rPr>
            <b/>
            <sz val="9"/>
            <color indexed="81"/>
            <rFont val="Tahoma"/>
            <family val="2"/>
          </rPr>
          <t>&lt;[[TCDeals] - [TC Property Current Stage (Seq: 1)] - [Unit Mix (Seq: 6)] Monthly Rent Per Unit - Both]&gt;</t>
        </r>
      </text>
    </comment>
    <comment ref="C1000" authorId="1" shapeId="0" xr:uid="{0F5AFD13-6FF8-464A-9E62-9F2885823EA9}">
      <text>
        <r>
          <rPr>
            <b/>
            <sz val="9"/>
            <color indexed="81"/>
            <rFont val="Tahoma"/>
            <family val="2"/>
          </rPr>
          <t>&lt;[[TCDeals] - [TC Property Current Stage (Seq: 1)] - [Unit Mix (Seq: 7)] Income Target - Both]&gt;</t>
        </r>
      </text>
    </comment>
    <comment ref="D1000" authorId="0" shapeId="0" xr:uid="{71BE43BE-EF50-4FCE-B7C7-23C594D37C70}">
      <text>
        <r>
          <rPr>
            <b/>
            <sz val="9"/>
            <color indexed="81"/>
            <rFont val="Tahoma"/>
            <family val="2"/>
          </rPr>
          <t>&lt;[[TCDeals] - [TC Property Current Stage (Seq: 1)] - [Unit Mix (Seq: 7)] TC Unit Mix Type - Both]&gt;</t>
        </r>
      </text>
    </comment>
    <comment ref="E1000" authorId="0" shapeId="0" xr:uid="{69661D2D-BC7F-464B-ADAE-D0306CB2540B}">
      <text>
        <r>
          <rPr>
            <b/>
            <sz val="9"/>
            <color indexed="81"/>
            <rFont val="Tahoma"/>
            <family val="2"/>
          </rPr>
          <t>&lt;[[TCDeals] - [TC Property Current Stage (Seq: 1)] - [Unit Mix (Seq: 7)] Net Rentable Sq Ft - Both]&gt;</t>
        </r>
      </text>
    </comment>
    <comment ref="F1000" authorId="0" shapeId="0" xr:uid="{985CA209-EEF2-4C1F-82A5-6B783B5C23BA}">
      <text>
        <r>
          <rPr>
            <b/>
            <sz val="9"/>
            <color indexed="81"/>
            <rFont val="Tahoma"/>
            <family val="2"/>
          </rPr>
          <t>&lt;[[TCDeals] - [TC Property Current Stage (Seq: 1)] - [Unit Mix (Seq: 7)] Num Units - Both]&gt;</t>
        </r>
      </text>
    </comment>
    <comment ref="G1000" authorId="0" shapeId="0" xr:uid="{1ECC99C2-2522-4889-8777-4D767C93BFF1}">
      <text>
        <r>
          <rPr>
            <b/>
            <sz val="9"/>
            <color indexed="81"/>
            <rFont val="Tahoma"/>
            <family val="2"/>
          </rPr>
          <t>&lt;[[TCDeals] - [TC Property Current Stage (Seq: 1)] - [Unit Mix (Seq: 7)] Monthly Rent Per Unit - Both]&gt;</t>
        </r>
      </text>
    </comment>
    <comment ref="C1001" authorId="1" shapeId="0" xr:uid="{E1E327CE-CC47-4DE2-B776-75808C3088A8}">
      <text>
        <r>
          <rPr>
            <b/>
            <sz val="9"/>
            <color indexed="81"/>
            <rFont val="Tahoma"/>
            <family val="2"/>
          </rPr>
          <t>&lt;[[TCDeals] - [TC Property Current Stage (Seq: 1)] - [Unit Mix (Seq: 8)] Income Target - Both]&gt;</t>
        </r>
      </text>
    </comment>
    <comment ref="D1001" authorId="0" shapeId="0" xr:uid="{BABF7F03-499E-49C6-A06B-59E24720262F}">
      <text>
        <r>
          <rPr>
            <b/>
            <sz val="9"/>
            <color indexed="81"/>
            <rFont val="Tahoma"/>
            <family val="2"/>
          </rPr>
          <t>&lt;[[TCDeals] - [TC Property Current Stage (Seq: 1)] - [Unit Mix (Seq: 8)] TC Unit Mix Type - Both]&gt;</t>
        </r>
      </text>
    </comment>
    <comment ref="E1001" authorId="0" shapeId="0" xr:uid="{52FB9358-D2DA-4D9F-98DC-55FE030B4015}">
      <text>
        <r>
          <rPr>
            <b/>
            <sz val="9"/>
            <color indexed="81"/>
            <rFont val="Tahoma"/>
            <family val="2"/>
          </rPr>
          <t>&lt;[[TCDeals] - [TC Property Current Stage (Seq: 1)] - [Unit Mix (Seq: 8)] Net Rentable Sq Ft - Both]&gt;</t>
        </r>
      </text>
    </comment>
    <comment ref="F1001" authorId="0" shapeId="0" xr:uid="{7E0BE5A3-1578-4E5C-AE7E-D67275118AC0}">
      <text>
        <r>
          <rPr>
            <b/>
            <sz val="9"/>
            <color indexed="81"/>
            <rFont val="Tahoma"/>
            <family val="2"/>
          </rPr>
          <t>&lt;[[TCDeals] - [TC Property Current Stage (Seq: 1)] - [Unit Mix (Seq: 8)] Num Units - Both]&gt;</t>
        </r>
      </text>
    </comment>
    <comment ref="G1001" authorId="0" shapeId="0" xr:uid="{6E16422F-A8DB-4F8F-8FFB-6F08A9D3520F}">
      <text>
        <r>
          <rPr>
            <b/>
            <sz val="9"/>
            <color indexed="81"/>
            <rFont val="Tahoma"/>
            <family val="2"/>
          </rPr>
          <t>&lt;[[TCDeals] - [TC Property Current Stage (Seq: 1)] - [Unit Mix (Seq: 8)] Monthly Rent Per Unit - Both]&gt;</t>
        </r>
      </text>
    </comment>
    <comment ref="C1002" authorId="1" shapeId="0" xr:uid="{30961E71-CFA3-4531-957C-F4AD6A0A934B}">
      <text>
        <r>
          <rPr>
            <b/>
            <sz val="9"/>
            <color indexed="81"/>
            <rFont val="Tahoma"/>
            <family val="2"/>
          </rPr>
          <t>&lt;[[TCDeals] - [TC Property Current Stage (Seq: 1)] - [Unit Mix (Seq: 9)] Income Target - Both]&gt;</t>
        </r>
      </text>
    </comment>
    <comment ref="D1002" authorId="0" shapeId="0" xr:uid="{A2796FF9-1B75-4663-A881-D09E2B5924AA}">
      <text>
        <r>
          <rPr>
            <b/>
            <sz val="9"/>
            <color indexed="81"/>
            <rFont val="Tahoma"/>
            <family val="2"/>
          </rPr>
          <t>&lt;[[TCDeals] - [TC Property Current Stage (Seq: 1)] - [Unit Mix (Seq: 9)] TC Unit Mix Type - Both]&gt;</t>
        </r>
      </text>
    </comment>
    <comment ref="E1002" authorId="0" shapeId="0" xr:uid="{373FDC8F-8BD7-4E82-94E3-FCCB3A30C4CB}">
      <text>
        <r>
          <rPr>
            <b/>
            <sz val="9"/>
            <color indexed="81"/>
            <rFont val="Tahoma"/>
            <family val="2"/>
          </rPr>
          <t>&lt;[[TCDeals] - [TC Property Current Stage (Seq: 1)] - [Unit Mix (Seq: 9)] Net Rentable Sq Ft - Both]&gt;</t>
        </r>
      </text>
    </comment>
    <comment ref="F1002" authorId="0" shapeId="0" xr:uid="{5F72C3EC-5373-412C-A9B1-3833C42F464F}">
      <text>
        <r>
          <rPr>
            <b/>
            <sz val="9"/>
            <color indexed="81"/>
            <rFont val="Tahoma"/>
            <family val="2"/>
          </rPr>
          <t>&lt;[[TCDeals] - [TC Property Current Stage (Seq: 1)] - [Unit Mix (Seq: 9)] Num Units - Both]&gt;</t>
        </r>
      </text>
    </comment>
    <comment ref="G1002" authorId="0" shapeId="0" xr:uid="{E09264EF-E409-4BCB-8FD3-074D5D55E6DE}">
      <text>
        <r>
          <rPr>
            <b/>
            <sz val="9"/>
            <color indexed="81"/>
            <rFont val="Tahoma"/>
            <family val="2"/>
          </rPr>
          <t>&lt;[[TCDeals] - [TC Property Current Stage (Seq: 1)] - [Unit Mix (Seq: 9)] Monthly Rent Per Unit - Both]&gt;</t>
        </r>
      </text>
    </comment>
    <comment ref="C1003" authorId="1" shapeId="0" xr:uid="{B2A145AF-8F06-463F-B89A-3B3848FA0209}">
      <text>
        <r>
          <rPr>
            <b/>
            <sz val="9"/>
            <color indexed="81"/>
            <rFont val="Tahoma"/>
            <family val="2"/>
          </rPr>
          <t>&lt;[[TCDeals] - [TC Property Current Stage (Seq: 1)] - [Unit Mix (Seq: 10)] Income Target - Both]&gt;</t>
        </r>
      </text>
    </comment>
    <comment ref="D1003" authorId="0" shapeId="0" xr:uid="{BADBF334-CAD0-4B7D-9F5A-64BB4BAC2FE9}">
      <text>
        <r>
          <rPr>
            <b/>
            <sz val="9"/>
            <color indexed="81"/>
            <rFont val="Tahoma"/>
            <family val="2"/>
          </rPr>
          <t>&lt;[[TCDeals] - [TC Property Current Stage (Seq: 1)] - [Unit Mix (Seq: 10)] TC Unit Mix Type - Both]&gt;</t>
        </r>
      </text>
    </comment>
    <comment ref="E1003" authorId="0" shapeId="0" xr:uid="{EFBBE17A-23BE-42B5-8743-50F843620D0D}">
      <text>
        <r>
          <rPr>
            <b/>
            <sz val="9"/>
            <color indexed="81"/>
            <rFont val="Tahoma"/>
            <family val="2"/>
          </rPr>
          <t>&lt;[[TCDeals] - [TC Property Current Stage (Seq: 1)] - [Unit Mix (Seq: 10)] Net Rentable Sq Ft - Both]&gt;</t>
        </r>
      </text>
    </comment>
    <comment ref="F1003" authorId="0" shapeId="0" xr:uid="{F8F89489-902E-462A-9FEE-50BC8435879E}">
      <text>
        <r>
          <rPr>
            <b/>
            <sz val="9"/>
            <color indexed="81"/>
            <rFont val="Tahoma"/>
            <family val="2"/>
          </rPr>
          <t>&lt;[[TCDeals] - [TC Property Current Stage (Seq: 1)] - [Unit Mix (Seq: 10)] Num Units - Both]&gt;</t>
        </r>
      </text>
    </comment>
    <comment ref="G1003" authorId="0" shapeId="0" xr:uid="{FF2852FC-8FB8-4DA4-ADD0-9CF4C8AC9FDC}">
      <text>
        <r>
          <rPr>
            <b/>
            <sz val="9"/>
            <color indexed="81"/>
            <rFont val="Tahoma"/>
            <family val="2"/>
          </rPr>
          <t>&lt;[[TCDeals] - [TC Property Current Stage (Seq: 1)] - [Unit Mix (Seq: 10)] Monthly Rent Per Unit - Both]&gt;</t>
        </r>
      </text>
    </comment>
    <comment ref="C1004" authorId="1" shapeId="0" xr:uid="{0161165A-BF52-4A88-A3A3-10291FB5EBD7}">
      <text>
        <r>
          <rPr>
            <b/>
            <sz val="9"/>
            <color indexed="81"/>
            <rFont val="Tahoma"/>
            <family val="2"/>
          </rPr>
          <t>&lt;[[TCDeals] - [TC Property Current Stage (Seq: 1)] - [Unit Mix (Seq: 11)] Income Target - Both]&gt;</t>
        </r>
      </text>
    </comment>
    <comment ref="D1004" authorId="0" shapeId="0" xr:uid="{629FA029-2FF4-486D-A95D-A68ED6945EC8}">
      <text>
        <r>
          <rPr>
            <b/>
            <sz val="9"/>
            <color indexed="81"/>
            <rFont val="Tahoma"/>
            <family val="2"/>
          </rPr>
          <t>&lt;[[TCDeals] - [TC Property Current Stage (Seq: 1)] - [Unit Mix (Seq: 11)] TC Unit Mix Type - Both]&gt;</t>
        </r>
      </text>
    </comment>
    <comment ref="E1004" authorId="0" shapeId="0" xr:uid="{9147F3A4-B89F-475E-A931-47BE7CD04AC6}">
      <text>
        <r>
          <rPr>
            <b/>
            <sz val="9"/>
            <color indexed="81"/>
            <rFont val="Tahoma"/>
            <family val="2"/>
          </rPr>
          <t>&lt;[[TCDeals] - [TC Property Current Stage (Seq: 1)] - [Unit Mix (Seq: 11)] Net Rentable Sq Ft - Both]&gt;</t>
        </r>
      </text>
    </comment>
    <comment ref="F1004" authorId="0" shapeId="0" xr:uid="{E4B4FFE6-CAC1-4739-BE80-E85FDE37BBAA}">
      <text>
        <r>
          <rPr>
            <b/>
            <sz val="9"/>
            <color indexed="81"/>
            <rFont val="Tahoma"/>
            <family val="2"/>
          </rPr>
          <t>&lt;[[TCDeals] - [TC Property Current Stage (Seq: 1)] - [Unit Mix (Seq: 11)] Num Units - Both]&gt;</t>
        </r>
      </text>
    </comment>
    <comment ref="G1004" authorId="0" shapeId="0" xr:uid="{AFB91196-257C-4267-878A-9AC5DE1E4A80}">
      <text>
        <r>
          <rPr>
            <b/>
            <sz val="9"/>
            <color indexed="81"/>
            <rFont val="Tahoma"/>
            <family val="2"/>
          </rPr>
          <t>&lt;[[TCDeals] - [TC Property Current Stage (Seq: 1)] - [Unit Mix (Seq: 11)] Monthly Rent Per Unit - Both]&gt;</t>
        </r>
      </text>
    </comment>
    <comment ref="C1005" authorId="1" shapeId="0" xr:uid="{7A06F75B-3265-409E-B9D3-17BB727B8831}">
      <text>
        <r>
          <rPr>
            <b/>
            <sz val="9"/>
            <color indexed="81"/>
            <rFont val="Tahoma"/>
            <family val="2"/>
          </rPr>
          <t>&lt;[[TCDeals] - [TC Property Current Stage (Seq: 1)] - [Unit Mix (Seq: 12)] Income Target - Both]&gt;</t>
        </r>
      </text>
    </comment>
    <comment ref="D1005" authorId="0" shapeId="0" xr:uid="{68BAE1FF-D653-4206-9FE7-32B9A5437EBA}">
      <text>
        <r>
          <rPr>
            <b/>
            <sz val="9"/>
            <color indexed="81"/>
            <rFont val="Tahoma"/>
            <family val="2"/>
          </rPr>
          <t>&lt;[[TCDeals] - [TC Property Current Stage (Seq: 1)] - [Unit Mix (Seq: 12)] TC Unit Mix Type - Both]&gt;</t>
        </r>
      </text>
    </comment>
    <comment ref="E1005" authorId="0" shapeId="0" xr:uid="{55D19E13-2EB1-4FE7-8976-696FD6D21CBE}">
      <text>
        <r>
          <rPr>
            <b/>
            <sz val="9"/>
            <color indexed="81"/>
            <rFont val="Tahoma"/>
            <family val="2"/>
          </rPr>
          <t>&lt;[[TCDeals] - [TC Property Current Stage (Seq: 1)] - [Unit Mix (Seq: 12)] Net Rentable Sq Ft - Both]&gt;</t>
        </r>
      </text>
    </comment>
    <comment ref="F1005" authorId="0" shapeId="0" xr:uid="{406931E2-2D49-4546-A0A8-00CD718F9CB9}">
      <text>
        <r>
          <rPr>
            <b/>
            <sz val="9"/>
            <color indexed="81"/>
            <rFont val="Tahoma"/>
            <family val="2"/>
          </rPr>
          <t>&lt;[[TCDeals] - [TC Property Current Stage (Seq: 1)] - [Unit Mix (Seq: 12)] Num Units - Both]&gt;</t>
        </r>
      </text>
    </comment>
    <comment ref="G1005" authorId="0" shapeId="0" xr:uid="{00A45971-0FB8-4736-84AB-AADF92F21574}">
      <text>
        <r>
          <rPr>
            <b/>
            <sz val="9"/>
            <color indexed="81"/>
            <rFont val="Tahoma"/>
            <family val="2"/>
          </rPr>
          <t>&lt;[[TCDeals] - [TC Property Current Stage (Seq: 1)] - [Unit Mix (Seq: 12)] Monthly Rent Per Unit - Both]&gt;</t>
        </r>
      </text>
    </comment>
    <comment ref="C1006" authorId="1" shapeId="0" xr:uid="{C2E3A1CF-0767-4F4C-B093-6ED9AFE423D2}">
      <text>
        <r>
          <rPr>
            <b/>
            <sz val="9"/>
            <color indexed="81"/>
            <rFont val="Tahoma"/>
            <family val="2"/>
          </rPr>
          <t>&lt;[[TCDeals] - [TC Property Current Stage (Seq: 1)] - [Unit Mix (Seq: 13)] Income Target - Both]&gt;</t>
        </r>
      </text>
    </comment>
    <comment ref="D1006" authorId="0" shapeId="0" xr:uid="{5F1B4E55-F0C4-48E4-88C5-F313BB32FD18}">
      <text>
        <r>
          <rPr>
            <b/>
            <sz val="9"/>
            <color indexed="81"/>
            <rFont val="Tahoma"/>
            <family val="2"/>
          </rPr>
          <t>&lt;[[TCDeals] - [TC Property Current Stage (Seq: 1)] - [Unit Mix (Seq: 13)] TC Unit Mix Type - Both]&gt;</t>
        </r>
      </text>
    </comment>
    <comment ref="E1006" authorId="0" shapeId="0" xr:uid="{EA78DF9C-D4D9-4A40-8780-541FABDE9593}">
      <text>
        <r>
          <rPr>
            <b/>
            <sz val="9"/>
            <color indexed="81"/>
            <rFont val="Tahoma"/>
            <family val="2"/>
          </rPr>
          <t>&lt;[[TCDeals] - [TC Property Current Stage (Seq: 1)] - [Unit Mix (Seq: 13)] Net Rentable Sq Ft - Both]&gt;</t>
        </r>
      </text>
    </comment>
    <comment ref="F1006" authorId="0" shapeId="0" xr:uid="{2EAAE5D7-5F05-4B27-8313-D66936A76F82}">
      <text>
        <r>
          <rPr>
            <b/>
            <sz val="9"/>
            <color indexed="81"/>
            <rFont val="Tahoma"/>
            <family val="2"/>
          </rPr>
          <t>&lt;[[TCDeals] - [TC Property Current Stage (Seq: 1)] - [Unit Mix (Seq: 13)] Num Units - Both]&gt;</t>
        </r>
      </text>
    </comment>
    <comment ref="G1006" authorId="0" shapeId="0" xr:uid="{B6C472CE-7B76-4FD5-B060-15F1538B1BAA}">
      <text>
        <r>
          <rPr>
            <b/>
            <sz val="9"/>
            <color indexed="81"/>
            <rFont val="Tahoma"/>
            <family val="2"/>
          </rPr>
          <t>&lt;[[TCDeals] - [TC Property Current Stage (Seq: 1)] - [Unit Mix (Seq: 13)] Monthly Rent Per Unit - Both]&gt;</t>
        </r>
      </text>
    </comment>
    <comment ref="C1007" authorId="1" shapeId="0" xr:uid="{AED8E051-1ABE-4A12-AF7A-972C3244E15D}">
      <text>
        <r>
          <rPr>
            <b/>
            <sz val="9"/>
            <color indexed="81"/>
            <rFont val="Tahoma"/>
            <family val="2"/>
          </rPr>
          <t>&lt;[[TCDeals] - [TC Property Current Stage (Seq: 1)] - [Unit Mix (Seq: 14)] Income Target - Both]&gt;</t>
        </r>
      </text>
    </comment>
    <comment ref="D1007" authorId="0" shapeId="0" xr:uid="{823B4946-DF3A-4740-90C1-730FC987C8AD}">
      <text>
        <r>
          <rPr>
            <b/>
            <sz val="9"/>
            <color indexed="81"/>
            <rFont val="Tahoma"/>
            <family val="2"/>
          </rPr>
          <t>&lt;[[TCDeals] - [TC Property Current Stage (Seq: 1)] - [Unit Mix (Seq: 14)] TC Unit Mix Type - Both]&gt;</t>
        </r>
      </text>
    </comment>
    <comment ref="E1007" authorId="0" shapeId="0" xr:uid="{4254ED46-F9FF-4459-84B6-91152C8B5F4D}">
      <text>
        <r>
          <rPr>
            <b/>
            <sz val="9"/>
            <color indexed="81"/>
            <rFont val="Tahoma"/>
            <family val="2"/>
          </rPr>
          <t>&lt;[[TCDeals] - [TC Property Current Stage (Seq: 1)] - [Unit Mix (Seq: 14)] Net Rentable Sq Ft - Both]&gt;</t>
        </r>
      </text>
    </comment>
    <comment ref="F1007" authorId="0" shapeId="0" xr:uid="{ED7768CF-190F-4AFC-9EB8-788BDF8A75EB}">
      <text>
        <r>
          <rPr>
            <b/>
            <sz val="9"/>
            <color indexed="81"/>
            <rFont val="Tahoma"/>
            <family val="2"/>
          </rPr>
          <t>&lt;[[TCDeals] - [TC Property Current Stage (Seq: 1)] - [Unit Mix (Seq: 14)] Num Units - Both]&gt;</t>
        </r>
      </text>
    </comment>
    <comment ref="G1007" authorId="0" shapeId="0" xr:uid="{912E0E89-72A8-4331-ACBC-85DB4AE3183B}">
      <text>
        <r>
          <rPr>
            <b/>
            <sz val="9"/>
            <color indexed="81"/>
            <rFont val="Tahoma"/>
            <family val="2"/>
          </rPr>
          <t>&lt;[[TCDeals] - [TC Property Current Stage (Seq: 1)] - [Unit Mix (Seq: 14)] Monthly Rent Per Unit - Both]&gt;</t>
        </r>
      </text>
    </comment>
    <comment ref="C1008" authorId="1" shapeId="0" xr:uid="{2E14369D-475C-4137-B083-1C95450BC7D2}">
      <text>
        <r>
          <rPr>
            <b/>
            <sz val="9"/>
            <color indexed="81"/>
            <rFont val="Tahoma"/>
            <family val="2"/>
          </rPr>
          <t>&lt;[[TCDeals] - [TC Property Current Stage (Seq: 1)] - [Unit Mix (Seq: 15)] Income Target - Both]&gt;</t>
        </r>
      </text>
    </comment>
    <comment ref="D1008" authorId="0" shapeId="0" xr:uid="{762F13B3-DDD5-4D63-BE27-3B00088B55B9}">
      <text>
        <r>
          <rPr>
            <b/>
            <sz val="9"/>
            <color indexed="81"/>
            <rFont val="Tahoma"/>
            <family val="2"/>
          </rPr>
          <t>&lt;[[TCDeals] - [TC Property Current Stage (Seq: 1)] - [Unit Mix (Seq: 15)] TC Unit Mix Type - Both]&gt;</t>
        </r>
      </text>
    </comment>
    <comment ref="E1008" authorId="0" shapeId="0" xr:uid="{7440098F-A2A5-4A35-8EE4-42B4CA090017}">
      <text>
        <r>
          <rPr>
            <b/>
            <sz val="9"/>
            <color indexed="81"/>
            <rFont val="Tahoma"/>
            <family val="2"/>
          </rPr>
          <t>&lt;[[TCDeals] - [TC Property Current Stage (Seq: 1)] - [Unit Mix (Seq: 15)] Net Rentable Sq Ft - Both]&gt;</t>
        </r>
      </text>
    </comment>
    <comment ref="F1008" authorId="0" shapeId="0" xr:uid="{72A83E6E-D4F0-46AA-99C4-26BB7AB243CC}">
      <text>
        <r>
          <rPr>
            <b/>
            <sz val="9"/>
            <color indexed="81"/>
            <rFont val="Tahoma"/>
            <family val="2"/>
          </rPr>
          <t>&lt;[[TCDeals] - [TC Property Current Stage (Seq: 1)] - [Unit Mix (Seq: 15)] Num Units - Both]&gt;</t>
        </r>
      </text>
    </comment>
    <comment ref="G1008" authorId="0" shapeId="0" xr:uid="{79CA1E04-3870-4592-946A-4895F0F53082}">
      <text>
        <r>
          <rPr>
            <b/>
            <sz val="9"/>
            <color indexed="81"/>
            <rFont val="Tahoma"/>
            <family val="2"/>
          </rPr>
          <t>&lt;[[TCDeals] - [TC Property Current Stage (Seq: 1)] - [Unit Mix (Seq: 15)] Monthly Rent Per Unit - Both]&gt;</t>
        </r>
      </text>
    </comment>
    <comment ref="C1009" authorId="1" shapeId="0" xr:uid="{9BB28FBA-F75C-491A-8105-144E9AD31A6D}">
      <text>
        <r>
          <rPr>
            <b/>
            <sz val="9"/>
            <color indexed="81"/>
            <rFont val="Tahoma"/>
            <family val="2"/>
          </rPr>
          <t>&lt;[[TCDeals] - [TC Property Current Stage (Seq: 1)] - [Unit Mix (Seq: 16)] Income Target - Both]&gt;</t>
        </r>
      </text>
    </comment>
    <comment ref="D1009" authorId="0" shapeId="0" xr:uid="{6CBECA6E-2EDA-4FF1-9452-9449C75A82B5}">
      <text>
        <r>
          <rPr>
            <b/>
            <sz val="9"/>
            <color indexed="81"/>
            <rFont val="Tahoma"/>
            <family val="2"/>
          </rPr>
          <t>&lt;[[TCDeals] - [TC Property Current Stage (Seq: 1)] - [Unit Mix (Seq: 16)] TC Unit Mix Type - Both]&gt;</t>
        </r>
      </text>
    </comment>
    <comment ref="E1009" authorId="0" shapeId="0" xr:uid="{21424D35-68E0-4229-B783-AEC92C2F2817}">
      <text>
        <r>
          <rPr>
            <b/>
            <sz val="9"/>
            <color indexed="81"/>
            <rFont val="Tahoma"/>
            <family val="2"/>
          </rPr>
          <t>&lt;[[TCDeals] - [TC Property Current Stage (Seq: 1)] - [Unit Mix (Seq: 16)] Net Rentable Sq Ft - Both]&gt;</t>
        </r>
      </text>
    </comment>
    <comment ref="F1009" authorId="0" shapeId="0" xr:uid="{FB105CC0-E87B-4F4F-9A8D-E471BEB56F45}">
      <text>
        <r>
          <rPr>
            <b/>
            <sz val="9"/>
            <color indexed="81"/>
            <rFont val="Tahoma"/>
            <family val="2"/>
          </rPr>
          <t>&lt;[[TCDeals] - [TC Property Current Stage (Seq: 1)] - [Unit Mix (Seq: 16)] Num Units - Both]&gt;</t>
        </r>
      </text>
    </comment>
    <comment ref="G1009" authorId="0" shapeId="0" xr:uid="{50A1015B-61D9-41F9-86B2-49B2BEDBDB40}">
      <text>
        <r>
          <rPr>
            <b/>
            <sz val="9"/>
            <color indexed="81"/>
            <rFont val="Tahoma"/>
            <family val="2"/>
          </rPr>
          <t>&lt;[[TCDeals] - [TC Property Current Stage (Seq: 1)] - [Unit Mix (Seq: 16)] Monthly Rent Per Unit - Both]&gt;</t>
        </r>
      </text>
    </comment>
    <comment ref="C1010" authorId="1" shapeId="0" xr:uid="{5AE3B7AD-B95A-404B-9252-CDF937323B4E}">
      <text>
        <r>
          <rPr>
            <b/>
            <sz val="9"/>
            <color indexed="81"/>
            <rFont val="Tahoma"/>
            <family val="2"/>
          </rPr>
          <t>&lt;[[TCDeals] - [TC Property Current Stage (Seq: 1)] - [Unit Mix (Seq: 17)] Income Target - Both]&gt;</t>
        </r>
      </text>
    </comment>
    <comment ref="D1010" authorId="0" shapeId="0" xr:uid="{193434D0-AD1D-49FF-AA5F-9F43FB33B5DB}">
      <text>
        <r>
          <rPr>
            <b/>
            <sz val="9"/>
            <color indexed="81"/>
            <rFont val="Tahoma"/>
            <family val="2"/>
          </rPr>
          <t>&lt;[[TCDeals] - [TC Property Current Stage (Seq: 1)] - [Unit Mix (Seq: 17)] TC Unit Mix Type - Both]&gt;</t>
        </r>
      </text>
    </comment>
    <comment ref="E1010" authorId="0" shapeId="0" xr:uid="{02C1A9F5-D7DC-4028-AA2C-A248AB782CA8}">
      <text>
        <r>
          <rPr>
            <b/>
            <sz val="9"/>
            <color indexed="81"/>
            <rFont val="Tahoma"/>
            <family val="2"/>
          </rPr>
          <t>&lt;[[TCDeals] - [TC Property Current Stage (Seq: 1)] - [Unit Mix (Seq: 17)] Net Rentable Sq Ft - Both]&gt;</t>
        </r>
      </text>
    </comment>
    <comment ref="F1010" authorId="0" shapeId="0" xr:uid="{E21AB530-25B1-4F4D-BE20-A8103CF2276B}">
      <text>
        <r>
          <rPr>
            <b/>
            <sz val="9"/>
            <color indexed="81"/>
            <rFont val="Tahoma"/>
            <family val="2"/>
          </rPr>
          <t>&lt;[[TCDeals] - [TC Property Current Stage (Seq: 1)] - [Unit Mix (Seq: 17)] Num Units - Both]&gt;</t>
        </r>
      </text>
    </comment>
    <comment ref="G1010" authorId="0" shapeId="0" xr:uid="{6B17369A-BD3F-4AAF-A4F5-1CD0AF220639}">
      <text>
        <r>
          <rPr>
            <b/>
            <sz val="9"/>
            <color indexed="81"/>
            <rFont val="Tahoma"/>
            <family val="2"/>
          </rPr>
          <t>&lt;[[TCDeals] - [TC Property Current Stage (Seq: 1)] - [Unit Mix (Seq: 17)] Monthly Rent Per Unit - Both]&gt;</t>
        </r>
      </text>
    </comment>
    <comment ref="C1011" authorId="1" shapeId="0" xr:uid="{D23F4B58-1573-4647-9451-F679E014FE6B}">
      <text>
        <r>
          <rPr>
            <b/>
            <sz val="9"/>
            <color indexed="81"/>
            <rFont val="Tahoma"/>
            <family val="2"/>
          </rPr>
          <t>&lt;[[TCDeals] - [TC Property Current Stage (Seq: 1)] - [Unit Mix (Seq: 18)] Income Target - Both]&gt;</t>
        </r>
      </text>
    </comment>
    <comment ref="D1011" authorId="0" shapeId="0" xr:uid="{881DBCD2-29D2-4229-850F-788341BBD095}">
      <text>
        <r>
          <rPr>
            <b/>
            <sz val="9"/>
            <color indexed="81"/>
            <rFont val="Tahoma"/>
            <family val="2"/>
          </rPr>
          <t>&lt;[[TCDeals] - [TC Property Current Stage (Seq: 1)] - [Unit Mix (Seq: 18)] TC Unit Mix Type - Both]&gt;</t>
        </r>
      </text>
    </comment>
    <comment ref="E1011" authorId="0" shapeId="0" xr:uid="{9E17692F-17F4-46A3-8503-C72DF512DCA4}">
      <text>
        <r>
          <rPr>
            <b/>
            <sz val="9"/>
            <color indexed="81"/>
            <rFont val="Tahoma"/>
            <family val="2"/>
          </rPr>
          <t>&lt;[[TCDeals] - [TC Property Current Stage (Seq: 1)] - [Unit Mix (Seq: 18)] Net Rentable Sq Ft - Both]&gt;</t>
        </r>
      </text>
    </comment>
    <comment ref="F1011" authorId="0" shapeId="0" xr:uid="{085959D8-B16F-4458-B0FD-DFC7AB709B8B}">
      <text>
        <r>
          <rPr>
            <b/>
            <sz val="9"/>
            <color indexed="81"/>
            <rFont val="Tahoma"/>
            <family val="2"/>
          </rPr>
          <t>&lt;[[TCDeals] - [TC Property Current Stage (Seq: 1)] - [Unit Mix (Seq: 18)] Num Units - Both]&gt;</t>
        </r>
      </text>
    </comment>
    <comment ref="G1011" authorId="0" shapeId="0" xr:uid="{E3038A6A-766D-45A5-B872-F4594E397CE9}">
      <text>
        <r>
          <rPr>
            <b/>
            <sz val="9"/>
            <color indexed="81"/>
            <rFont val="Tahoma"/>
            <family val="2"/>
          </rPr>
          <t>&lt;[[TCDeals] - [TC Property Current Stage (Seq: 1)] - [Unit Mix (Seq: 18)] Monthly Rent Per Unit - Both]&gt;</t>
        </r>
      </text>
    </comment>
    <comment ref="C1012" authorId="1" shapeId="0" xr:uid="{0573AD93-6811-4C75-8BD5-E5F4B67E1648}">
      <text>
        <r>
          <rPr>
            <b/>
            <sz val="9"/>
            <color indexed="81"/>
            <rFont val="Tahoma"/>
            <family val="2"/>
          </rPr>
          <t>&lt;[[TCDeals] - [TC Property Current Stage (Seq: 1)] - [Unit Mix (Seq: 19)] Income Target - Both]&gt;</t>
        </r>
      </text>
    </comment>
    <comment ref="D1012" authorId="0" shapeId="0" xr:uid="{FDA7E66A-1D70-449E-9DF5-EA2855FB52F4}">
      <text>
        <r>
          <rPr>
            <b/>
            <sz val="9"/>
            <color indexed="81"/>
            <rFont val="Tahoma"/>
            <family val="2"/>
          </rPr>
          <t>&lt;[[TCDeals] - [TC Property Current Stage (Seq: 1)] - [Unit Mix (Seq: 19)] TC Unit Mix Type - Both]&gt;</t>
        </r>
      </text>
    </comment>
    <comment ref="E1012" authorId="0" shapeId="0" xr:uid="{D5302714-0DE3-4F6B-A949-0872E1025E2B}">
      <text>
        <r>
          <rPr>
            <b/>
            <sz val="9"/>
            <color indexed="81"/>
            <rFont val="Tahoma"/>
            <family val="2"/>
          </rPr>
          <t>&lt;[[TCDeals] - [TC Property Current Stage (Seq: 1)] - [Unit Mix (Seq: 19)] Net Rentable Sq Ft - Both]&gt;</t>
        </r>
      </text>
    </comment>
    <comment ref="F1012" authorId="0" shapeId="0" xr:uid="{2E971818-2F29-4342-B855-BEA4C43E401C}">
      <text>
        <r>
          <rPr>
            <b/>
            <sz val="9"/>
            <color indexed="81"/>
            <rFont val="Tahoma"/>
            <family val="2"/>
          </rPr>
          <t>&lt;[[TCDeals] - [TC Property Current Stage (Seq: 1)] - [Unit Mix (Seq: 19)] Num Units - Both]&gt;</t>
        </r>
      </text>
    </comment>
    <comment ref="G1012" authorId="0" shapeId="0" xr:uid="{0F6A81B3-2AF9-40F6-B071-71EA7102CACA}">
      <text>
        <r>
          <rPr>
            <b/>
            <sz val="9"/>
            <color indexed="81"/>
            <rFont val="Tahoma"/>
            <family val="2"/>
          </rPr>
          <t>&lt;[[TCDeals] - [TC Property Current Stage (Seq: 1)] - [Unit Mix (Seq: 19)] Monthly Rent Per Unit - Both]&gt;</t>
        </r>
      </text>
    </comment>
    <comment ref="C1013" authorId="1" shapeId="0" xr:uid="{5FE683E6-E6E4-46CF-BDC3-4C7AEFACCB7E}">
      <text>
        <r>
          <rPr>
            <b/>
            <sz val="9"/>
            <color indexed="81"/>
            <rFont val="Tahoma"/>
            <family val="2"/>
          </rPr>
          <t>&lt;[[TCDeals] - [TC Property Current Stage (Seq: 1)] - [Unit Mix (Seq: 20)] Income Target - Both]&gt;</t>
        </r>
      </text>
    </comment>
    <comment ref="D1013" authorId="0" shapeId="0" xr:uid="{FEB0E6ED-E596-445A-9B20-93251C803FED}">
      <text>
        <r>
          <rPr>
            <b/>
            <sz val="9"/>
            <color indexed="81"/>
            <rFont val="Tahoma"/>
            <family val="2"/>
          </rPr>
          <t>&lt;[[TCDeals] - [TC Property Current Stage (Seq: 1)] - [Unit Mix (Seq: 20)] TC Unit Mix Type - Both]&gt;</t>
        </r>
      </text>
    </comment>
    <comment ref="E1013" authorId="0" shapeId="0" xr:uid="{B510854A-AE18-4E64-83D4-1AE1D1E6A34A}">
      <text>
        <r>
          <rPr>
            <b/>
            <sz val="9"/>
            <color indexed="81"/>
            <rFont val="Tahoma"/>
            <family val="2"/>
          </rPr>
          <t>&lt;[[TCDeals] - [TC Property Current Stage (Seq: 1)] - [Unit Mix (Seq: 20)] Net Rentable Sq Ft - Both]&gt;</t>
        </r>
      </text>
    </comment>
    <comment ref="F1013" authorId="0" shapeId="0" xr:uid="{E01321B3-35C4-487D-BFF7-D9AD5BA94495}">
      <text>
        <r>
          <rPr>
            <b/>
            <sz val="9"/>
            <color indexed="81"/>
            <rFont val="Tahoma"/>
            <family val="2"/>
          </rPr>
          <t>&lt;[[TCDeals] - [TC Property Current Stage (Seq: 1)] - [Unit Mix (Seq: 20)] Num Units - Both]&gt;</t>
        </r>
      </text>
    </comment>
    <comment ref="G1013" authorId="0" shapeId="0" xr:uid="{F0F04747-BB65-489C-8261-E67331928E5C}">
      <text>
        <r>
          <rPr>
            <b/>
            <sz val="9"/>
            <color indexed="81"/>
            <rFont val="Tahoma"/>
            <family val="2"/>
          </rPr>
          <t>&lt;[[TCDeals] - [TC Property Current Stage (Seq: 1)] - [Unit Mix (Seq: 20)] Monthly Rent Per Unit - Both]&gt;</t>
        </r>
      </text>
    </comment>
    <comment ref="C1014" authorId="1" shapeId="0" xr:uid="{CE2B9D03-7388-4541-A1A2-BB756AE80E2B}">
      <text>
        <r>
          <rPr>
            <b/>
            <sz val="9"/>
            <color indexed="81"/>
            <rFont val="Tahoma"/>
            <family val="2"/>
          </rPr>
          <t>&lt;[[TCDeals] - [TC Property Current Stage (Seq: 1)] - [Unit Mix (Seq: 21)] Income Target - Both]&gt;</t>
        </r>
      </text>
    </comment>
    <comment ref="D1014" authorId="0" shapeId="0" xr:uid="{DB32AAC8-8A45-49C4-9292-B8A0B4BF1396}">
      <text>
        <r>
          <rPr>
            <b/>
            <sz val="9"/>
            <color indexed="81"/>
            <rFont val="Tahoma"/>
            <family val="2"/>
          </rPr>
          <t>&lt;[[TCDeals] - [TC Property Current Stage (Seq: 1)] - [Unit Mix (Seq: 21)] TC Unit Mix Type - Both]&gt;</t>
        </r>
      </text>
    </comment>
    <comment ref="E1014" authorId="0" shapeId="0" xr:uid="{8E8BA958-53FB-4642-AF49-1330DC6805F5}">
      <text>
        <r>
          <rPr>
            <b/>
            <sz val="9"/>
            <color indexed="81"/>
            <rFont val="Tahoma"/>
            <family val="2"/>
          </rPr>
          <t>&lt;[[TCDeals] - [TC Property Current Stage (Seq: 1)] - [Unit Mix (Seq: 21)] Net Rentable Sq Ft - Both]&gt;</t>
        </r>
      </text>
    </comment>
    <comment ref="F1014" authorId="0" shapeId="0" xr:uid="{73C00576-1549-40CE-BA8E-8D848849A111}">
      <text>
        <r>
          <rPr>
            <b/>
            <sz val="9"/>
            <color indexed="81"/>
            <rFont val="Tahoma"/>
            <family val="2"/>
          </rPr>
          <t>&lt;[[TCDeals] - [TC Property Current Stage (Seq: 1)] - [Unit Mix (Seq: 21)] Num Units - Both]&gt;</t>
        </r>
      </text>
    </comment>
    <comment ref="G1014" authorId="0" shapeId="0" xr:uid="{D19B3DD0-84A6-45D8-9322-7EE434762343}">
      <text>
        <r>
          <rPr>
            <b/>
            <sz val="9"/>
            <color indexed="81"/>
            <rFont val="Tahoma"/>
            <family val="2"/>
          </rPr>
          <t>&lt;[[TCDeals] - [TC Property Current Stage (Seq: 1)] - [Unit Mix (Seq: 21)] Monthly Rent Per Unit - Both]&gt;</t>
        </r>
      </text>
    </comment>
    <comment ref="C1015" authorId="1" shapeId="0" xr:uid="{1B8FE23A-5072-40B4-83FE-91F952BF0C4D}">
      <text>
        <r>
          <rPr>
            <b/>
            <sz val="9"/>
            <color indexed="81"/>
            <rFont val="Tahoma"/>
            <family val="2"/>
          </rPr>
          <t>&lt;[[TCDeals] - [TC Property Current Stage (Seq: 1)] - [Unit Mix (Seq: 22)] Income Target - Both]&gt;</t>
        </r>
      </text>
    </comment>
    <comment ref="D1015" authorId="0" shapeId="0" xr:uid="{396C8116-AF8C-4959-9E1F-6A6CFD9511CF}">
      <text>
        <r>
          <rPr>
            <b/>
            <sz val="9"/>
            <color indexed="81"/>
            <rFont val="Tahoma"/>
            <family val="2"/>
          </rPr>
          <t>&lt;[[TCDeals] - [TC Property Current Stage (Seq: 1)] - [Unit Mix (Seq: 22)] TC Unit Mix Type - Both]&gt;</t>
        </r>
      </text>
    </comment>
    <comment ref="E1015" authorId="0" shapeId="0" xr:uid="{EFC693B5-6A5D-4F37-B35E-21A52E191B43}">
      <text>
        <r>
          <rPr>
            <b/>
            <sz val="9"/>
            <color indexed="81"/>
            <rFont val="Tahoma"/>
            <family val="2"/>
          </rPr>
          <t>&lt;[[TCDeals] - [TC Property Current Stage (Seq: 1)] - [Unit Mix (Seq: 22)] Net Rentable Sq Ft - Both]&gt;</t>
        </r>
      </text>
    </comment>
    <comment ref="F1015" authorId="0" shapeId="0" xr:uid="{0DADF8D4-C556-4F94-AEC6-27EC001FCCCD}">
      <text>
        <r>
          <rPr>
            <b/>
            <sz val="9"/>
            <color indexed="81"/>
            <rFont val="Tahoma"/>
            <family val="2"/>
          </rPr>
          <t>&lt;[[TCDeals] - [TC Property Current Stage (Seq: 1)] - [Unit Mix (Seq: 22)] Num Units - Both]&gt;</t>
        </r>
      </text>
    </comment>
    <comment ref="G1015" authorId="0" shapeId="0" xr:uid="{E8C5C9DB-114B-4855-A020-338E957382E7}">
      <text>
        <r>
          <rPr>
            <b/>
            <sz val="9"/>
            <color indexed="81"/>
            <rFont val="Tahoma"/>
            <family val="2"/>
          </rPr>
          <t>&lt;[[TCDeals] - [TC Property Current Stage (Seq: 1)] - [Unit Mix (Seq: 22)] Monthly Rent Per Unit - Both]&gt;</t>
        </r>
      </text>
    </comment>
    <comment ref="C1016" authorId="1" shapeId="0" xr:uid="{6AEA4463-62CB-46A1-8CA1-9396075D8288}">
      <text>
        <r>
          <rPr>
            <b/>
            <sz val="9"/>
            <color indexed="81"/>
            <rFont val="Tahoma"/>
            <family val="2"/>
          </rPr>
          <t>&lt;[[TCDeals] - [TC Property Current Stage (Seq: 1)] - [Unit Mix (Seq: 23)] Income Target - Both]&gt;</t>
        </r>
      </text>
    </comment>
    <comment ref="D1016" authorId="0" shapeId="0" xr:uid="{09E60FD4-8312-4D11-A526-DF230AA9E629}">
      <text>
        <r>
          <rPr>
            <b/>
            <sz val="9"/>
            <color indexed="81"/>
            <rFont val="Tahoma"/>
            <family val="2"/>
          </rPr>
          <t>&lt;[[TCDeals] - [TC Property Current Stage (Seq: 1)] - [Unit Mix (Seq: 23)] TC Unit Mix Type - Both]&gt;</t>
        </r>
      </text>
    </comment>
    <comment ref="E1016" authorId="0" shapeId="0" xr:uid="{D0C60B6F-E665-457C-81FE-814E41C3E844}">
      <text>
        <r>
          <rPr>
            <b/>
            <sz val="9"/>
            <color indexed="81"/>
            <rFont val="Tahoma"/>
            <family val="2"/>
          </rPr>
          <t>&lt;[[TCDeals] - [TC Property Current Stage (Seq: 1)] - [Unit Mix (Seq: 23)] Net Rentable Sq Ft - Both]&gt;</t>
        </r>
      </text>
    </comment>
    <comment ref="F1016" authorId="0" shapeId="0" xr:uid="{F878FD4D-7CC8-44FD-A6CE-3C49708FB806}">
      <text>
        <r>
          <rPr>
            <b/>
            <sz val="9"/>
            <color indexed="81"/>
            <rFont val="Tahoma"/>
            <family val="2"/>
          </rPr>
          <t>&lt;[[TCDeals] - [TC Property Current Stage (Seq: 1)] - [Unit Mix (Seq: 23)] Num Units - Both]&gt;</t>
        </r>
      </text>
    </comment>
    <comment ref="G1016" authorId="0" shapeId="0" xr:uid="{2BEA3330-F702-4FCF-A824-F23170DC136A}">
      <text>
        <r>
          <rPr>
            <b/>
            <sz val="9"/>
            <color indexed="81"/>
            <rFont val="Tahoma"/>
            <family val="2"/>
          </rPr>
          <t>&lt;[[TCDeals] - [TC Property Current Stage (Seq: 1)] - [Unit Mix (Seq: 23)] Monthly Rent Per Unit - Both]&gt;</t>
        </r>
      </text>
    </comment>
    <comment ref="C1017" authorId="1" shapeId="0" xr:uid="{3971B38A-2C5E-4F88-9ABF-793817CDAAA9}">
      <text>
        <r>
          <rPr>
            <b/>
            <sz val="9"/>
            <color indexed="81"/>
            <rFont val="Tahoma"/>
            <family val="2"/>
          </rPr>
          <t>&lt;[[TCDeals] - [TC Property Current Stage (Seq: 1)] - [Unit Mix (Seq: 24)] Income Target - Both]&gt;</t>
        </r>
      </text>
    </comment>
    <comment ref="D1017" authorId="0" shapeId="0" xr:uid="{DE9A8B3E-5E1D-4BC9-B1FF-A302FAAA5A6B}">
      <text>
        <r>
          <rPr>
            <b/>
            <sz val="9"/>
            <color indexed="81"/>
            <rFont val="Tahoma"/>
            <family val="2"/>
          </rPr>
          <t>&lt;[[TCDeals] - [TC Property Current Stage (Seq: 1)] - [Unit Mix (Seq: 24)] TC Unit Mix Type - Both]&gt;</t>
        </r>
      </text>
    </comment>
    <comment ref="E1017" authorId="0" shapeId="0" xr:uid="{F27E8D3B-84D3-4EF3-9FB9-BB8A91D6373E}">
      <text>
        <r>
          <rPr>
            <b/>
            <sz val="9"/>
            <color indexed="81"/>
            <rFont val="Tahoma"/>
            <family val="2"/>
          </rPr>
          <t>&lt;[[TCDeals] - [TC Property Current Stage (Seq: 1)] - [Unit Mix (Seq: 24)] Net Rentable Sq Ft - Both]&gt;</t>
        </r>
      </text>
    </comment>
    <comment ref="F1017" authorId="0" shapeId="0" xr:uid="{7E24EE4A-C62A-4839-BF37-079AED52E216}">
      <text>
        <r>
          <rPr>
            <b/>
            <sz val="9"/>
            <color indexed="81"/>
            <rFont val="Tahoma"/>
            <family val="2"/>
          </rPr>
          <t>&lt;[[TCDeals] - [TC Property Current Stage (Seq: 1)] - [Unit Mix (Seq: 24)] Num Units - Both]&gt;</t>
        </r>
      </text>
    </comment>
    <comment ref="G1017" authorId="0" shapeId="0" xr:uid="{D05576B8-6C04-46E7-AC9E-D15A36B0F37C}">
      <text>
        <r>
          <rPr>
            <b/>
            <sz val="9"/>
            <color indexed="81"/>
            <rFont val="Tahoma"/>
            <family val="2"/>
          </rPr>
          <t>&lt;[[TCDeals] - [TC Property Current Stage (Seq: 1)] - [Unit Mix (Seq: 24)] Monthly Rent Per Unit - Both]&gt;</t>
        </r>
      </text>
    </comment>
    <comment ref="C1018" authorId="1" shapeId="0" xr:uid="{E50A53DF-630E-40C0-AEBB-FB03C1D6F13C}">
      <text>
        <r>
          <rPr>
            <b/>
            <sz val="9"/>
            <color indexed="81"/>
            <rFont val="Tahoma"/>
            <family val="2"/>
          </rPr>
          <t>&lt;[[TCDeals] - [TC Property Current Stage (Seq: 1)] - [Unit Mix (Seq: 25)] Income Target - Both]&gt;</t>
        </r>
      </text>
    </comment>
    <comment ref="D1018" authorId="0" shapeId="0" xr:uid="{1FD94BCF-5C69-47BD-8872-DE8D7EAEB670}">
      <text>
        <r>
          <rPr>
            <b/>
            <sz val="9"/>
            <color indexed="81"/>
            <rFont val="Tahoma"/>
            <family val="2"/>
          </rPr>
          <t>&lt;[[TCDeals] - [TC Property Current Stage (Seq: 1)] - [Unit Mix (Seq: 25)] TC Unit Mix Type - Both]&gt;</t>
        </r>
      </text>
    </comment>
    <comment ref="E1018" authorId="0" shapeId="0" xr:uid="{64080D8D-C11B-4773-8FFE-E14A6C023705}">
      <text>
        <r>
          <rPr>
            <b/>
            <sz val="9"/>
            <color indexed="81"/>
            <rFont val="Tahoma"/>
            <family val="2"/>
          </rPr>
          <t>&lt;[[TCDeals] - [TC Property Current Stage (Seq: 1)] - [Unit Mix (Seq: 25)] Net Rentable Sq Ft - Both]&gt;</t>
        </r>
      </text>
    </comment>
    <comment ref="F1018" authorId="0" shapeId="0" xr:uid="{9DC95D3D-DD25-460D-8420-95D60CEF8B77}">
      <text>
        <r>
          <rPr>
            <b/>
            <sz val="9"/>
            <color indexed="81"/>
            <rFont val="Tahoma"/>
            <family val="2"/>
          </rPr>
          <t>&lt;[[TCDeals] - [TC Property Current Stage (Seq: 1)] - [Unit Mix (Seq: 25)] Num Units - Both]&gt;</t>
        </r>
      </text>
    </comment>
    <comment ref="G1018" authorId="0" shapeId="0" xr:uid="{0DB0F347-ED86-430F-BCB3-2B69EFAE33AA}">
      <text>
        <r>
          <rPr>
            <b/>
            <sz val="9"/>
            <color indexed="81"/>
            <rFont val="Tahoma"/>
            <family val="2"/>
          </rPr>
          <t>&lt;[[TCDeals] - [TC Property Current Stage (Seq: 1)] - [Unit Mix (Seq: 25)] Monthly Rent Per Unit - Both]&gt;</t>
        </r>
      </text>
    </comment>
    <comment ref="C1019" authorId="1" shapeId="0" xr:uid="{0F6F1897-8C6E-4D4F-8AB8-6F1EC836145A}">
      <text>
        <r>
          <rPr>
            <b/>
            <sz val="9"/>
            <color indexed="81"/>
            <rFont val="Tahoma"/>
            <family val="2"/>
          </rPr>
          <t>&lt;[[TCDeals] - [TC Property Current Stage (Seq: 1)] - [Unit Mix (Seq: 26)] Income Target - Both]&gt;</t>
        </r>
      </text>
    </comment>
    <comment ref="D1019" authorId="0" shapeId="0" xr:uid="{3CC56FD2-4994-4A5A-BA56-A6C4E492EBE6}">
      <text>
        <r>
          <rPr>
            <b/>
            <sz val="9"/>
            <color indexed="81"/>
            <rFont val="Tahoma"/>
            <family val="2"/>
          </rPr>
          <t>&lt;[[TCDeals] - [TC Property Current Stage (Seq: 1)] - [Unit Mix (Seq: 26)] TC Unit Mix Type - Both]&gt;</t>
        </r>
      </text>
    </comment>
    <comment ref="E1019" authorId="0" shapeId="0" xr:uid="{4ED90FA9-A9EB-4318-AAF5-7225CC0E813F}">
      <text>
        <r>
          <rPr>
            <b/>
            <sz val="9"/>
            <color indexed="81"/>
            <rFont val="Tahoma"/>
            <family val="2"/>
          </rPr>
          <t>&lt;[[TCDeals] - [TC Property Current Stage (Seq: 1)] - [Unit Mix (Seq: 26)] Net Rentable Sq Ft - Both]&gt;</t>
        </r>
      </text>
    </comment>
    <comment ref="F1019" authorId="0" shapeId="0" xr:uid="{EE2E7403-F0D8-4948-8EEC-C17F2F6F983E}">
      <text>
        <r>
          <rPr>
            <b/>
            <sz val="9"/>
            <color indexed="81"/>
            <rFont val="Tahoma"/>
            <family val="2"/>
          </rPr>
          <t>&lt;[[TCDeals] - [TC Property Current Stage (Seq: 1)] - [Unit Mix (Seq: 26)] Num Units - Both]&gt;</t>
        </r>
      </text>
    </comment>
    <comment ref="G1019" authorId="0" shapeId="0" xr:uid="{644BF3A2-4B4F-4F63-9BF6-690F553ED777}">
      <text>
        <r>
          <rPr>
            <b/>
            <sz val="9"/>
            <color indexed="81"/>
            <rFont val="Tahoma"/>
            <family val="2"/>
          </rPr>
          <t>&lt;[[TCDeals] - [TC Property Current Stage (Seq: 1)] - [Unit Mix (Seq: 26)] Monthly Rent Per Unit - Both]&gt;</t>
        </r>
      </text>
    </comment>
    <comment ref="C1020" authorId="1" shapeId="0" xr:uid="{A50EC029-3455-4D71-9B6B-F90084D9409B}">
      <text>
        <r>
          <rPr>
            <b/>
            <sz val="9"/>
            <color indexed="81"/>
            <rFont val="Tahoma"/>
            <family val="2"/>
          </rPr>
          <t>&lt;[[TCDeals] - [TC Property Current Stage (Seq: 1)] - [Unit Mix (Seq: 27)] Income Target - Both]&gt;</t>
        </r>
      </text>
    </comment>
    <comment ref="D1020" authorId="0" shapeId="0" xr:uid="{45214B7E-8E4B-422D-91D8-F07580F1F996}">
      <text>
        <r>
          <rPr>
            <b/>
            <sz val="9"/>
            <color indexed="81"/>
            <rFont val="Tahoma"/>
            <family val="2"/>
          </rPr>
          <t>&lt;[[TCDeals] - [TC Property Current Stage (Seq: 1)] - [Unit Mix (Seq: 27)] TC Unit Mix Type - Both]&gt;</t>
        </r>
      </text>
    </comment>
    <comment ref="E1020" authorId="0" shapeId="0" xr:uid="{86EBA308-DA4C-44DE-A760-0B38E59BEA3C}">
      <text>
        <r>
          <rPr>
            <b/>
            <sz val="9"/>
            <color indexed="81"/>
            <rFont val="Tahoma"/>
            <family val="2"/>
          </rPr>
          <t>&lt;[[TCDeals] - [TC Property Current Stage (Seq: 1)] - [Unit Mix (Seq: 27)] Net Rentable Sq Ft - Both]&gt;</t>
        </r>
      </text>
    </comment>
    <comment ref="F1020" authorId="0" shapeId="0" xr:uid="{B4544C59-CD3C-4A3F-A020-E90A1B92C52F}">
      <text>
        <r>
          <rPr>
            <b/>
            <sz val="9"/>
            <color indexed="81"/>
            <rFont val="Tahoma"/>
            <family val="2"/>
          </rPr>
          <t>&lt;[[TCDeals] - [TC Property Current Stage (Seq: 1)] - [Unit Mix (Seq: 27)] Num Units - Both]&gt;</t>
        </r>
      </text>
    </comment>
    <comment ref="G1020" authorId="0" shapeId="0" xr:uid="{163E92CB-B82E-45E9-B7B1-5C8984E6E3C9}">
      <text>
        <r>
          <rPr>
            <b/>
            <sz val="9"/>
            <color indexed="81"/>
            <rFont val="Tahoma"/>
            <family val="2"/>
          </rPr>
          <t>&lt;[[TCDeals] - [TC Property Current Stage (Seq: 1)] - [Unit Mix (Seq: 27)] Monthly Rent Per Unit - Both]&gt;</t>
        </r>
      </text>
    </comment>
    <comment ref="C1021" authorId="1" shapeId="0" xr:uid="{D081E79F-776E-4029-87DC-050ECE97649F}">
      <text>
        <r>
          <rPr>
            <b/>
            <sz val="9"/>
            <color indexed="81"/>
            <rFont val="Tahoma"/>
            <family val="2"/>
          </rPr>
          <t>&lt;[[TCDeals] - [TC Property Current Stage (Seq: 1)] - [Unit Mix (Seq: 28)] Income Target - Both]&gt;</t>
        </r>
      </text>
    </comment>
    <comment ref="D1021" authorId="0" shapeId="0" xr:uid="{E7AF1A37-DCAE-4E57-ACC3-B4F1EB49BC80}">
      <text>
        <r>
          <rPr>
            <b/>
            <sz val="9"/>
            <color indexed="81"/>
            <rFont val="Tahoma"/>
            <family val="2"/>
          </rPr>
          <t>&lt;[[TCDeals] - [TC Property Current Stage (Seq: 1)] - [Unit Mix (Seq: 28)] TC Unit Mix Type - Both]&gt;</t>
        </r>
      </text>
    </comment>
    <comment ref="E1021" authorId="0" shapeId="0" xr:uid="{A0060B2C-ACFD-4DBF-8B0D-CABC0301605E}">
      <text>
        <r>
          <rPr>
            <b/>
            <sz val="9"/>
            <color indexed="81"/>
            <rFont val="Tahoma"/>
            <family val="2"/>
          </rPr>
          <t>&lt;[[TCDeals] - [TC Property Current Stage (Seq: 1)] - [Unit Mix (Seq: 28)] Net Rentable Sq Ft - Both]&gt;</t>
        </r>
      </text>
    </comment>
    <comment ref="F1021" authorId="0" shapeId="0" xr:uid="{4A75E897-CAD3-4284-89DA-3AD0DCBE2367}">
      <text>
        <r>
          <rPr>
            <b/>
            <sz val="9"/>
            <color indexed="81"/>
            <rFont val="Tahoma"/>
            <family val="2"/>
          </rPr>
          <t>&lt;[[TCDeals] - [TC Property Current Stage (Seq: 1)] - [Unit Mix (Seq: 28)] Num Units - Both]&gt;</t>
        </r>
      </text>
    </comment>
    <comment ref="G1021" authorId="0" shapeId="0" xr:uid="{9030DB64-30F7-4230-94A5-DE505B617876}">
      <text>
        <r>
          <rPr>
            <b/>
            <sz val="9"/>
            <color indexed="81"/>
            <rFont val="Tahoma"/>
            <family val="2"/>
          </rPr>
          <t>&lt;[[TCDeals] - [TC Property Current Stage (Seq: 1)] - [Unit Mix (Seq: 28)] Monthly Rent Per Unit - Both]&gt;</t>
        </r>
      </text>
    </comment>
    <comment ref="C1022" authorId="1" shapeId="0" xr:uid="{BD8CFE54-0E4E-4E79-9A43-1258E545FC42}">
      <text>
        <r>
          <rPr>
            <b/>
            <sz val="9"/>
            <color indexed="81"/>
            <rFont val="Tahoma"/>
            <family val="2"/>
          </rPr>
          <t>&lt;[[TCDeals] - [TC Property Current Stage (Seq: 1)] - [Unit Mix (Seq: 29)] Income Target - Both]&gt;</t>
        </r>
      </text>
    </comment>
    <comment ref="D1022" authorId="0" shapeId="0" xr:uid="{B3CC63D9-7BBF-4BCA-877F-6DA37198442F}">
      <text>
        <r>
          <rPr>
            <b/>
            <sz val="9"/>
            <color indexed="81"/>
            <rFont val="Tahoma"/>
            <family val="2"/>
          </rPr>
          <t>&lt;[[TCDeals] - [TC Property Current Stage (Seq: 1)] - [Unit Mix (Seq: 29)] TC Unit Mix Type - Both]&gt;</t>
        </r>
      </text>
    </comment>
    <comment ref="E1022" authorId="0" shapeId="0" xr:uid="{2B86996D-B4A3-474E-9C99-3C478F58F32B}">
      <text>
        <r>
          <rPr>
            <b/>
            <sz val="9"/>
            <color indexed="81"/>
            <rFont val="Tahoma"/>
            <family val="2"/>
          </rPr>
          <t>&lt;[[TCDeals] - [TC Property Current Stage (Seq: 1)] - [Unit Mix (Seq: 29)] Net Rentable Sq Ft - Both]&gt;</t>
        </r>
      </text>
    </comment>
    <comment ref="F1022" authorId="0" shapeId="0" xr:uid="{DE700198-BC56-4722-87D0-987E50C861A1}">
      <text>
        <r>
          <rPr>
            <b/>
            <sz val="9"/>
            <color indexed="81"/>
            <rFont val="Tahoma"/>
            <family val="2"/>
          </rPr>
          <t>&lt;[[TCDeals] - [TC Property Current Stage (Seq: 1)] - [Unit Mix (Seq: 29)] Num Units - Both]&gt;</t>
        </r>
      </text>
    </comment>
    <comment ref="G1022" authorId="0" shapeId="0" xr:uid="{0B141E21-DD1D-4861-B3C9-54F390B47170}">
      <text>
        <r>
          <rPr>
            <b/>
            <sz val="9"/>
            <color indexed="81"/>
            <rFont val="Tahoma"/>
            <family val="2"/>
          </rPr>
          <t>&lt;[[TCDeals] - [TC Property Current Stage (Seq: 1)] - [Unit Mix (Seq: 29)] Monthly Rent Per Unit - Both]&gt;</t>
        </r>
      </text>
    </comment>
    <comment ref="C1023" authorId="1" shapeId="0" xr:uid="{13C58A60-33AA-4991-9BE7-B4CC5503B8E7}">
      <text>
        <r>
          <rPr>
            <b/>
            <sz val="9"/>
            <color indexed="81"/>
            <rFont val="Tahoma"/>
            <family val="2"/>
          </rPr>
          <t>&lt;[[TCDeals] - [TC Property Current Stage (Seq: 1)] - [Unit Mix (Seq: 30)] Income Target - Both]&gt;</t>
        </r>
      </text>
    </comment>
    <comment ref="D1023" authorId="0" shapeId="0" xr:uid="{3F9A89D9-BC8B-4562-A1F7-84C21DBE8632}">
      <text>
        <r>
          <rPr>
            <b/>
            <sz val="9"/>
            <color indexed="81"/>
            <rFont val="Tahoma"/>
            <family val="2"/>
          </rPr>
          <t>&lt;[[TCDeals] - [TC Property Current Stage (Seq: 1)] - [Unit Mix (Seq: 30)] TC Unit Mix Type - Both]&gt;</t>
        </r>
      </text>
    </comment>
    <comment ref="E1023" authorId="0" shapeId="0" xr:uid="{115BC535-AEF6-47F6-AC4B-9BE6173D0E46}">
      <text>
        <r>
          <rPr>
            <b/>
            <sz val="9"/>
            <color indexed="81"/>
            <rFont val="Tahoma"/>
            <family val="2"/>
          </rPr>
          <t>&lt;[[TCDeals] - [TC Property Current Stage (Seq: 1)] - [Unit Mix (Seq: 30)] Net Rentable Sq Ft - Both]&gt;</t>
        </r>
      </text>
    </comment>
    <comment ref="F1023" authorId="0" shapeId="0" xr:uid="{B188BA81-EC79-4AA2-8A61-4CDDDE5678A6}">
      <text>
        <r>
          <rPr>
            <b/>
            <sz val="9"/>
            <color indexed="81"/>
            <rFont val="Tahoma"/>
            <family val="2"/>
          </rPr>
          <t>&lt;[[TCDeals] - [TC Property Current Stage (Seq: 1)] - [Unit Mix (Seq: 30)] Num Units - Both]&gt;</t>
        </r>
      </text>
    </comment>
    <comment ref="G1023" authorId="0" shapeId="0" xr:uid="{D57F9CF0-A027-4DA0-BAD9-31D20220B379}">
      <text>
        <r>
          <rPr>
            <b/>
            <sz val="9"/>
            <color indexed="81"/>
            <rFont val="Tahoma"/>
            <family val="2"/>
          </rPr>
          <t>&lt;[[TCDeals] - [TC Property Current Stage (Seq: 1)] - [Unit Mix (Seq: 30)] Monthly Rent Per Unit - Both]&gt;</t>
        </r>
      </text>
    </comment>
    <comment ref="C1024" authorId="1" shapeId="0" xr:uid="{C9A9492A-537E-4D2F-BEEF-23A0E3A100E9}">
      <text>
        <r>
          <rPr>
            <b/>
            <sz val="9"/>
            <color indexed="81"/>
            <rFont val="Tahoma"/>
            <family val="2"/>
          </rPr>
          <t>&lt;[[TCDeals] - [TC Property Current Stage (Seq: 1)] - [Unit Mix (Seq: 31)] Income Target - Both]&gt;</t>
        </r>
      </text>
    </comment>
    <comment ref="D1024" authorId="0" shapeId="0" xr:uid="{52B954AB-E3FB-4D56-AF48-020F9CD4AE19}">
      <text>
        <r>
          <rPr>
            <b/>
            <sz val="9"/>
            <color indexed="81"/>
            <rFont val="Tahoma"/>
            <family val="2"/>
          </rPr>
          <t>&lt;[[TCDeals] - [TC Property Current Stage (Seq: 1)] - [Unit Mix (Seq: 31)] TC Unit Mix Type - Both]&gt;</t>
        </r>
      </text>
    </comment>
    <comment ref="E1024" authorId="0" shapeId="0" xr:uid="{0D604461-99CE-493F-9572-DAFB567C3BE8}">
      <text>
        <r>
          <rPr>
            <b/>
            <sz val="9"/>
            <color indexed="81"/>
            <rFont val="Tahoma"/>
            <family val="2"/>
          </rPr>
          <t>&lt;[[TCDeals] - [TC Property Current Stage (Seq: 1)] - [Unit Mix (Seq: 31)] Net Rentable Sq Ft - Both]&gt;</t>
        </r>
      </text>
    </comment>
    <comment ref="F1024" authorId="0" shapeId="0" xr:uid="{06F4B48F-CE04-4A87-B0CE-B8387E2ACF9B}">
      <text>
        <r>
          <rPr>
            <b/>
            <sz val="9"/>
            <color indexed="81"/>
            <rFont val="Tahoma"/>
            <family val="2"/>
          </rPr>
          <t>&lt;[[TCDeals] - [TC Property Current Stage (Seq: 1)] - [Unit Mix (Seq: 31)] Num Units - Both]&gt;</t>
        </r>
      </text>
    </comment>
    <comment ref="G1024" authorId="0" shapeId="0" xr:uid="{FF3350FF-A02D-4544-A891-36A6105C8EA8}">
      <text>
        <r>
          <rPr>
            <b/>
            <sz val="9"/>
            <color indexed="81"/>
            <rFont val="Tahoma"/>
            <family val="2"/>
          </rPr>
          <t>&lt;[[TCDeals] - [TC Property Current Stage (Seq: 1)] - [Unit Mix (Seq: 31)] Monthly Rent Per Unit - Both]&gt;</t>
        </r>
      </text>
    </comment>
    <comment ref="C1025" authorId="1" shapeId="0" xr:uid="{BD9B9727-1DB2-4669-9B83-CD9240CF12E9}">
      <text>
        <r>
          <rPr>
            <b/>
            <sz val="9"/>
            <color indexed="81"/>
            <rFont val="Tahoma"/>
            <family val="2"/>
          </rPr>
          <t>&lt;[[TCDeals] - [TC Property Current Stage (Seq: 1)] - [Unit Mix (Seq: 32)] Income Target - Both]&gt;</t>
        </r>
      </text>
    </comment>
    <comment ref="D1025" authorId="0" shapeId="0" xr:uid="{83C68F34-99A0-4813-913C-D0B4175656C8}">
      <text>
        <r>
          <rPr>
            <b/>
            <sz val="9"/>
            <color indexed="81"/>
            <rFont val="Tahoma"/>
            <family val="2"/>
          </rPr>
          <t>&lt;[[TCDeals] - [TC Property Current Stage (Seq: 1)] - [Unit Mix (Seq: 32)] TC Unit Mix Type - Both]&gt;</t>
        </r>
      </text>
    </comment>
    <comment ref="E1025" authorId="0" shapeId="0" xr:uid="{E6162881-789B-4A09-8204-B6CAFA88F904}">
      <text>
        <r>
          <rPr>
            <b/>
            <sz val="9"/>
            <color indexed="81"/>
            <rFont val="Tahoma"/>
            <family val="2"/>
          </rPr>
          <t>&lt;[[TCDeals] - [TC Property Current Stage (Seq: 1)] - [Unit Mix (Seq: 32)] Net Rentable Sq Ft - Both]&gt;</t>
        </r>
      </text>
    </comment>
    <comment ref="F1025" authorId="0" shapeId="0" xr:uid="{E0BBFCCE-79CB-4B4E-A18A-A553F5D37318}">
      <text>
        <r>
          <rPr>
            <b/>
            <sz val="9"/>
            <color indexed="81"/>
            <rFont val="Tahoma"/>
            <family val="2"/>
          </rPr>
          <t>&lt;[[TCDeals] - [TC Property Current Stage (Seq: 1)] - [Unit Mix (Seq: 32)] Num Units - Both]&gt;</t>
        </r>
      </text>
    </comment>
    <comment ref="G1025" authorId="0" shapeId="0" xr:uid="{87ACC915-BB87-4D5E-8DD2-0AE7D2FBAB64}">
      <text>
        <r>
          <rPr>
            <b/>
            <sz val="9"/>
            <color indexed="81"/>
            <rFont val="Tahoma"/>
            <family val="2"/>
          </rPr>
          <t>&lt;[[TCDeals] - [TC Property Current Stage (Seq: 1)] - [Unit Mix (Seq: 32)] Monthly Rent Per Unit - Both]&gt;</t>
        </r>
      </text>
    </comment>
    <comment ref="C1026" authorId="1" shapeId="0" xr:uid="{D138EE93-1806-4FD1-B524-0916BF9CC4D9}">
      <text>
        <r>
          <rPr>
            <b/>
            <sz val="9"/>
            <color indexed="81"/>
            <rFont val="Tahoma"/>
            <family val="2"/>
          </rPr>
          <t>&lt;[[TCDeals] - [TC Property Current Stage (Seq: 1)] - [Unit Mix (Seq: 33)] Income Target - Both]&gt;</t>
        </r>
      </text>
    </comment>
    <comment ref="D1026" authorId="0" shapeId="0" xr:uid="{8B8FE8E9-B101-4729-B9E5-C47FE46E0A21}">
      <text>
        <r>
          <rPr>
            <b/>
            <sz val="9"/>
            <color indexed="81"/>
            <rFont val="Tahoma"/>
            <family val="2"/>
          </rPr>
          <t>&lt;[[TCDeals] - [TC Property Current Stage (Seq: 1)] - [Unit Mix (Seq: 33)] TC Unit Mix Type - Both]&gt;</t>
        </r>
      </text>
    </comment>
    <comment ref="E1026" authorId="0" shapeId="0" xr:uid="{E7E310B8-0A47-4954-BCE6-D0C31F4CC047}">
      <text>
        <r>
          <rPr>
            <b/>
            <sz val="9"/>
            <color indexed="81"/>
            <rFont val="Tahoma"/>
            <family val="2"/>
          </rPr>
          <t>&lt;[[TCDeals] - [TC Property Current Stage (Seq: 1)] - [Unit Mix (Seq: 33)] Net Rentable Sq Ft - Both]&gt;</t>
        </r>
      </text>
    </comment>
    <comment ref="F1026" authorId="0" shapeId="0" xr:uid="{5609631D-3FDA-4B4C-9CCE-4821B570B502}">
      <text>
        <r>
          <rPr>
            <b/>
            <sz val="9"/>
            <color indexed="81"/>
            <rFont val="Tahoma"/>
            <family val="2"/>
          </rPr>
          <t>&lt;[[TCDeals] - [TC Property Current Stage (Seq: 1)] - [Unit Mix (Seq: 33)] Num Units - Both]&gt;</t>
        </r>
      </text>
    </comment>
    <comment ref="G1026" authorId="0" shapeId="0" xr:uid="{71069168-26CB-4F92-9F19-B8878F97951F}">
      <text>
        <r>
          <rPr>
            <b/>
            <sz val="9"/>
            <color indexed="81"/>
            <rFont val="Tahoma"/>
            <family val="2"/>
          </rPr>
          <t>&lt;[[TCDeals] - [TC Property Current Stage (Seq: 1)] - [Unit Mix (Seq: 33)] Monthly Rent Per Unit - Both]&gt;</t>
        </r>
      </text>
    </comment>
    <comment ref="C1027" authorId="1" shapeId="0" xr:uid="{C54F859D-D02F-44CF-8312-C3AFF01A0334}">
      <text>
        <r>
          <rPr>
            <b/>
            <sz val="9"/>
            <color indexed="81"/>
            <rFont val="Tahoma"/>
            <family val="2"/>
          </rPr>
          <t>&lt;[[TCDeals] - [TC Property Current Stage (Seq: 1)] - [Unit Mix (Seq: 34)] Income Target - Both]&gt;</t>
        </r>
      </text>
    </comment>
    <comment ref="D1027" authorId="0" shapeId="0" xr:uid="{10F92BF7-8AB2-42BA-B5BE-2F246BE4D089}">
      <text>
        <r>
          <rPr>
            <b/>
            <sz val="9"/>
            <color indexed="81"/>
            <rFont val="Tahoma"/>
            <family val="2"/>
          </rPr>
          <t>&lt;[[TCDeals] - [TC Property Current Stage (Seq: 1)] - [Unit Mix (Seq: 34)] TC Unit Mix Type - Both]&gt;</t>
        </r>
      </text>
    </comment>
    <comment ref="E1027" authorId="0" shapeId="0" xr:uid="{F9C92992-9082-45E6-9E5B-6DD227ABC5C2}">
      <text>
        <r>
          <rPr>
            <b/>
            <sz val="9"/>
            <color indexed="81"/>
            <rFont val="Tahoma"/>
            <family val="2"/>
          </rPr>
          <t>&lt;[[TCDeals] - [TC Property Current Stage (Seq: 1)] - [Unit Mix (Seq: 34)] Net Rentable Sq Ft - Both]&gt;</t>
        </r>
      </text>
    </comment>
    <comment ref="F1027" authorId="0" shapeId="0" xr:uid="{C4A3AC05-A78B-4F05-BD29-B3CF5ACBF47A}">
      <text>
        <r>
          <rPr>
            <b/>
            <sz val="9"/>
            <color indexed="81"/>
            <rFont val="Tahoma"/>
            <family val="2"/>
          </rPr>
          <t>&lt;[[TCDeals] - [TC Property Current Stage (Seq: 1)] - [Unit Mix (Seq: 34)] Num Units - Both]&gt;</t>
        </r>
      </text>
    </comment>
    <comment ref="G1027" authorId="0" shapeId="0" xr:uid="{0B386845-34CB-4D72-9FF7-4B6414358F23}">
      <text>
        <r>
          <rPr>
            <b/>
            <sz val="9"/>
            <color indexed="81"/>
            <rFont val="Tahoma"/>
            <family val="2"/>
          </rPr>
          <t>&lt;[[TCDeals] - [TC Property Current Stage (Seq: 1)] - [Unit Mix (Seq: 34)] Monthly Rent Per Unit - Both]&gt;</t>
        </r>
      </text>
    </comment>
    <comment ref="C1028" authorId="1" shapeId="0" xr:uid="{93CB0B9D-9C39-4766-B687-6647EAB818E9}">
      <text>
        <r>
          <rPr>
            <b/>
            <sz val="9"/>
            <color indexed="81"/>
            <rFont val="Tahoma"/>
            <family val="2"/>
          </rPr>
          <t>&lt;[[TCDeals] - [TC Property Current Stage (Seq: 1)] - [Unit Mix (Seq: 35)] Income Target - Both]&gt;</t>
        </r>
      </text>
    </comment>
    <comment ref="D1028" authorId="0" shapeId="0" xr:uid="{91BE9B95-6AE3-4758-989C-A0B3CA403BD3}">
      <text>
        <r>
          <rPr>
            <b/>
            <sz val="9"/>
            <color indexed="81"/>
            <rFont val="Tahoma"/>
            <family val="2"/>
          </rPr>
          <t>&lt;[[TCDeals] - [TC Property Current Stage (Seq: 1)] - [Unit Mix (Seq: 35)] TC Unit Mix Type - Both]&gt;</t>
        </r>
      </text>
    </comment>
    <comment ref="E1028" authorId="0" shapeId="0" xr:uid="{A6892CCD-C245-4630-A1F5-33028CC5C8E3}">
      <text>
        <r>
          <rPr>
            <b/>
            <sz val="9"/>
            <color indexed="81"/>
            <rFont val="Tahoma"/>
            <family val="2"/>
          </rPr>
          <t>&lt;[[TCDeals] - [TC Property Current Stage (Seq: 1)] - [Unit Mix (Seq: 35)] Net Rentable Sq Ft - Both]&gt;</t>
        </r>
      </text>
    </comment>
    <comment ref="F1028" authorId="0" shapeId="0" xr:uid="{1F940ECE-3D61-4B7A-842A-11330BDA5220}">
      <text>
        <r>
          <rPr>
            <b/>
            <sz val="9"/>
            <color indexed="81"/>
            <rFont val="Tahoma"/>
            <family val="2"/>
          </rPr>
          <t>&lt;[[TCDeals] - [TC Property Current Stage (Seq: 1)] - [Unit Mix (Seq: 35)] Num Units - Both]&gt;</t>
        </r>
      </text>
    </comment>
    <comment ref="G1028" authorId="0" shapeId="0" xr:uid="{8B8A9478-5DD2-400C-8919-5B4137079BE0}">
      <text>
        <r>
          <rPr>
            <b/>
            <sz val="9"/>
            <color indexed="81"/>
            <rFont val="Tahoma"/>
            <family val="2"/>
          </rPr>
          <t>&lt;[[TCDeals] - [TC Property Current Stage (Seq: 1)] - [Unit Mix (Seq: 35)] Monthly Rent Per Unit - Both]&gt;</t>
        </r>
      </text>
    </comment>
    <comment ref="C1029" authorId="1" shapeId="0" xr:uid="{9D40D1FB-4011-4D0F-9EAB-5532C661D96A}">
      <text>
        <r>
          <rPr>
            <b/>
            <sz val="9"/>
            <color indexed="81"/>
            <rFont val="Tahoma"/>
            <family val="2"/>
          </rPr>
          <t>&lt;[[TCDeals] - [TC Property Current Stage (Seq: 1)] - [Unit Mix (Seq: 36)] Income Target - Both]&gt;</t>
        </r>
      </text>
    </comment>
    <comment ref="D1029" authorId="0" shapeId="0" xr:uid="{8361417F-74DD-49D8-A48E-866C39F55F50}">
      <text>
        <r>
          <rPr>
            <b/>
            <sz val="9"/>
            <color indexed="81"/>
            <rFont val="Tahoma"/>
            <family val="2"/>
          </rPr>
          <t>&lt;[[TCDeals] - [TC Property Current Stage (Seq: 1)] - [Unit Mix (Seq: 36)] TC Unit Mix Type - Both]&gt;</t>
        </r>
      </text>
    </comment>
    <comment ref="E1029" authorId="0" shapeId="0" xr:uid="{17048A7C-2016-46C5-BCEA-FF05B3F36977}">
      <text>
        <r>
          <rPr>
            <b/>
            <sz val="9"/>
            <color indexed="81"/>
            <rFont val="Tahoma"/>
            <family val="2"/>
          </rPr>
          <t>&lt;[[TCDeals] - [TC Property Current Stage (Seq: 1)] - [Unit Mix (Seq: 36)] Net Rentable Sq Ft - Both]&gt;</t>
        </r>
      </text>
    </comment>
    <comment ref="F1029" authorId="0" shapeId="0" xr:uid="{94011A03-12E6-4077-9B2C-CA987AAE8E85}">
      <text>
        <r>
          <rPr>
            <b/>
            <sz val="9"/>
            <color indexed="81"/>
            <rFont val="Tahoma"/>
            <family val="2"/>
          </rPr>
          <t>&lt;[[TCDeals] - [TC Property Current Stage (Seq: 1)] - [Unit Mix (Seq: 36)] Num Units - Both]&gt;</t>
        </r>
      </text>
    </comment>
    <comment ref="G1029" authorId="0" shapeId="0" xr:uid="{68F84953-CEB4-4C29-8E77-B8EF431CDB45}">
      <text>
        <r>
          <rPr>
            <b/>
            <sz val="9"/>
            <color indexed="81"/>
            <rFont val="Tahoma"/>
            <family val="2"/>
          </rPr>
          <t>&lt;[[TCDeals] - [TC Property Current Stage (Seq: 1)] - [Unit Mix (Seq: 36)] Monthly Rent Per Unit - Both]&gt;</t>
        </r>
      </text>
    </comment>
    <comment ref="C1030" authorId="1" shapeId="0" xr:uid="{3AAB8785-8CEB-4E4D-92BB-79428536C509}">
      <text>
        <r>
          <rPr>
            <b/>
            <sz val="9"/>
            <color indexed="81"/>
            <rFont val="Tahoma"/>
            <family val="2"/>
          </rPr>
          <t>&lt;[[TCDeals] - [TC Property Current Stage (Seq: 1)] - [Unit Mix (Seq: 37)] Income Target - Both]&gt;</t>
        </r>
      </text>
    </comment>
    <comment ref="D1030" authorId="0" shapeId="0" xr:uid="{4C84DEB7-4438-4ED7-8DE7-3A08DD268C09}">
      <text>
        <r>
          <rPr>
            <b/>
            <sz val="9"/>
            <color indexed="81"/>
            <rFont val="Tahoma"/>
            <family val="2"/>
          </rPr>
          <t>&lt;[[TCDeals] - [TC Property Current Stage (Seq: 1)] - [Unit Mix (Seq: 37)] TC Unit Mix Type - Both]&gt;</t>
        </r>
      </text>
    </comment>
    <comment ref="E1030" authorId="0" shapeId="0" xr:uid="{18F3131D-3C95-42D1-893C-7DEF769A721B}">
      <text>
        <r>
          <rPr>
            <b/>
            <sz val="9"/>
            <color indexed="81"/>
            <rFont val="Tahoma"/>
            <family val="2"/>
          </rPr>
          <t>&lt;[[TCDeals] - [TC Property Current Stage (Seq: 1)] - [Unit Mix (Seq: 37)] Net Rentable Sq Ft - Both]&gt;</t>
        </r>
      </text>
    </comment>
    <comment ref="F1030" authorId="0" shapeId="0" xr:uid="{4AA31C38-70C2-400C-AB9D-159FD70057A9}">
      <text>
        <r>
          <rPr>
            <b/>
            <sz val="9"/>
            <color indexed="81"/>
            <rFont val="Tahoma"/>
            <family val="2"/>
          </rPr>
          <t>&lt;[[TCDeals] - [TC Property Current Stage (Seq: 1)] - [Unit Mix (Seq: 37)] Num Units - Both]&gt;</t>
        </r>
      </text>
    </comment>
    <comment ref="G1030" authorId="0" shapeId="0" xr:uid="{CA7044FE-47A9-4A39-BAA5-FEF2DBAB87F8}">
      <text>
        <r>
          <rPr>
            <b/>
            <sz val="9"/>
            <color indexed="81"/>
            <rFont val="Tahoma"/>
            <family val="2"/>
          </rPr>
          <t>&lt;[[TCDeals] - [TC Property Current Stage (Seq: 1)] - [Unit Mix (Seq: 37)] Monthly Rent Per Unit - Both]&gt;</t>
        </r>
      </text>
    </comment>
    <comment ref="C1031" authorId="1" shapeId="0" xr:uid="{530DAD3D-CE86-4E57-A369-9BD6B7012041}">
      <text>
        <r>
          <rPr>
            <b/>
            <sz val="9"/>
            <color indexed="81"/>
            <rFont val="Tahoma"/>
            <family val="2"/>
          </rPr>
          <t>&lt;[[TCDeals] - [TC Property Current Stage (Seq: 1)] - [Unit Mix (Seq: 38)] Income Target - Both]&gt;</t>
        </r>
      </text>
    </comment>
    <comment ref="D1031" authorId="0" shapeId="0" xr:uid="{E8738C8E-C15F-41D5-9DED-77F4080EA678}">
      <text>
        <r>
          <rPr>
            <b/>
            <sz val="9"/>
            <color indexed="81"/>
            <rFont val="Tahoma"/>
            <family val="2"/>
          </rPr>
          <t>&lt;[[TCDeals] - [TC Property Current Stage (Seq: 1)] - [Unit Mix (Seq: 38)] TC Unit Mix Type - Both]&gt;</t>
        </r>
      </text>
    </comment>
    <comment ref="E1031" authorId="0" shapeId="0" xr:uid="{B0AE58BC-E27D-4619-A086-413109060862}">
      <text>
        <r>
          <rPr>
            <b/>
            <sz val="9"/>
            <color indexed="81"/>
            <rFont val="Tahoma"/>
            <family val="2"/>
          </rPr>
          <t>&lt;[[TCDeals] - [TC Property Current Stage (Seq: 1)] - [Unit Mix (Seq: 38)] Net Rentable Sq Ft - Both]&gt;</t>
        </r>
      </text>
    </comment>
    <comment ref="F1031" authorId="0" shapeId="0" xr:uid="{9B26E713-CEBB-468B-AF56-F198CDD71FF6}">
      <text>
        <r>
          <rPr>
            <b/>
            <sz val="9"/>
            <color indexed="81"/>
            <rFont val="Tahoma"/>
            <family val="2"/>
          </rPr>
          <t>&lt;[[TCDeals] - [TC Property Current Stage (Seq: 1)] - [Unit Mix (Seq: 38)] Num Units - Both]&gt;</t>
        </r>
      </text>
    </comment>
    <comment ref="G1031" authorId="0" shapeId="0" xr:uid="{480ACC55-55B3-4322-9816-F01BC1DE2295}">
      <text>
        <r>
          <rPr>
            <b/>
            <sz val="9"/>
            <color indexed="81"/>
            <rFont val="Tahoma"/>
            <family val="2"/>
          </rPr>
          <t>&lt;[[TCDeals] - [TC Property Current Stage (Seq: 1)] - [Unit Mix (Seq: 38)] Monthly Rent Per Unit - Both]&gt;</t>
        </r>
      </text>
    </comment>
    <comment ref="C1032" authorId="1" shapeId="0" xr:uid="{E4C14A76-AE88-415A-BCCF-FEE0233D2B25}">
      <text>
        <r>
          <rPr>
            <b/>
            <sz val="9"/>
            <color indexed="81"/>
            <rFont val="Tahoma"/>
            <family val="2"/>
          </rPr>
          <t>&lt;[[TCDeals] - [TC Property Current Stage (Seq: 1)] - [Unit Mix (Seq: 39)] Income Target - Both]&gt;</t>
        </r>
      </text>
    </comment>
    <comment ref="D1032" authorId="0" shapeId="0" xr:uid="{5A85B05C-F7C0-45FD-AEAB-DE25BD415F95}">
      <text>
        <r>
          <rPr>
            <b/>
            <sz val="9"/>
            <color indexed="81"/>
            <rFont val="Tahoma"/>
            <family val="2"/>
          </rPr>
          <t>&lt;[[TCDeals] - [TC Property Current Stage (Seq: 1)] - [Unit Mix (Seq: 39)] TC Unit Mix Type - Both]&gt;</t>
        </r>
      </text>
    </comment>
    <comment ref="E1032" authorId="0" shapeId="0" xr:uid="{4B671770-B9BE-4D89-BFCC-869AA6ADB55A}">
      <text>
        <r>
          <rPr>
            <b/>
            <sz val="9"/>
            <color indexed="81"/>
            <rFont val="Tahoma"/>
            <family val="2"/>
          </rPr>
          <t>&lt;[[TCDeals] - [TC Property Current Stage (Seq: 1)] - [Unit Mix (Seq: 39)] Net Rentable Sq Ft - Both]&gt;</t>
        </r>
      </text>
    </comment>
    <comment ref="F1032" authorId="0" shapeId="0" xr:uid="{DEF3B011-8D8C-4D6A-88A1-0F991D423784}">
      <text>
        <r>
          <rPr>
            <b/>
            <sz val="9"/>
            <color indexed="81"/>
            <rFont val="Tahoma"/>
            <family val="2"/>
          </rPr>
          <t>&lt;[[TCDeals] - [TC Property Current Stage (Seq: 1)] - [Unit Mix (Seq: 39)] Num Units - Both]&gt;</t>
        </r>
      </text>
    </comment>
    <comment ref="G1032" authorId="0" shapeId="0" xr:uid="{455A1769-69DA-4C78-B782-C1DAA2130B7A}">
      <text>
        <r>
          <rPr>
            <b/>
            <sz val="9"/>
            <color indexed="81"/>
            <rFont val="Tahoma"/>
            <family val="2"/>
          </rPr>
          <t>&lt;[[TCDeals] - [TC Property Current Stage (Seq: 1)] - [Unit Mix (Seq: 39)] Monthly Rent Per Unit - Both]&gt;</t>
        </r>
      </text>
    </comment>
    <comment ref="C1033" authorId="1" shapeId="0" xr:uid="{FE8F182D-E1A1-4988-8A6C-2C48FF48D9D7}">
      <text>
        <r>
          <rPr>
            <b/>
            <sz val="9"/>
            <color indexed="81"/>
            <rFont val="Tahoma"/>
            <family val="2"/>
          </rPr>
          <t>&lt;[[TCDeals] - [TC Property Current Stage (Seq: 1)] - [Unit Mix (Seq: 40)] Income Target - Both]&gt;</t>
        </r>
      </text>
    </comment>
    <comment ref="D1033" authorId="0" shapeId="0" xr:uid="{AE0E3E1F-882C-41BB-BF37-14BBEB3679B7}">
      <text>
        <r>
          <rPr>
            <b/>
            <sz val="9"/>
            <color indexed="81"/>
            <rFont val="Tahoma"/>
            <family val="2"/>
          </rPr>
          <t>&lt;[[TCDeals] - [TC Property Current Stage (Seq: 1)] - [Unit Mix (Seq: 40)] TC Unit Mix Type - Both]&gt;</t>
        </r>
      </text>
    </comment>
    <comment ref="E1033" authorId="0" shapeId="0" xr:uid="{5B7D2646-5307-4DC7-8035-B8F349A46D9B}">
      <text>
        <r>
          <rPr>
            <b/>
            <sz val="9"/>
            <color indexed="81"/>
            <rFont val="Tahoma"/>
            <family val="2"/>
          </rPr>
          <t>&lt;[[TCDeals] - [TC Property Current Stage (Seq: 1)] - [Unit Mix (Seq: 40)] Net Rentable Sq Ft - Both]&gt;</t>
        </r>
      </text>
    </comment>
    <comment ref="F1033" authorId="0" shapeId="0" xr:uid="{1502399C-2DE2-43A2-9EC4-78579BF349FD}">
      <text>
        <r>
          <rPr>
            <b/>
            <sz val="9"/>
            <color indexed="81"/>
            <rFont val="Tahoma"/>
            <family val="2"/>
          </rPr>
          <t>&lt;[[TCDeals] - [TC Property Current Stage (Seq: 1)] - [Unit Mix (Seq: 40)] Num Units - Both]&gt;</t>
        </r>
      </text>
    </comment>
    <comment ref="G1033" authorId="0" shapeId="0" xr:uid="{53BFEFF4-1ABE-46D2-A5CC-2CAB5D4B17AF}">
      <text>
        <r>
          <rPr>
            <b/>
            <sz val="9"/>
            <color indexed="81"/>
            <rFont val="Tahoma"/>
            <family val="2"/>
          </rPr>
          <t>&lt;[[TCDeals] - [TC Property Current Stage (Seq: 1)] - [Unit Mix (Seq: 40)] Monthly Rent Per Unit - Both]&gt;</t>
        </r>
      </text>
    </comment>
    <comment ref="C1034" authorId="1" shapeId="0" xr:uid="{2040BD15-B3D8-46B8-958A-EBCDD8020559}">
      <text>
        <r>
          <rPr>
            <b/>
            <sz val="9"/>
            <color indexed="81"/>
            <rFont val="Tahoma"/>
            <family val="2"/>
          </rPr>
          <t>&lt;[[TCDeals] - [TC Property Current Stage (Seq: 1)] - [Unit Mix (Seq: 41)] Income Target - Both]&gt;</t>
        </r>
      </text>
    </comment>
    <comment ref="D1034" authorId="0" shapeId="0" xr:uid="{FC8B6585-8FEF-4A3F-8DAF-C1FD40186898}">
      <text>
        <r>
          <rPr>
            <b/>
            <sz val="9"/>
            <color indexed="81"/>
            <rFont val="Tahoma"/>
            <family val="2"/>
          </rPr>
          <t>&lt;[[TCDeals] - [TC Property Current Stage (Seq: 1)] - [Unit Mix (Seq: 41)] TC Unit Mix Type - Both]&gt;</t>
        </r>
      </text>
    </comment>
    <comment ref="E1034" authorId="0" shapeId="0" xr:uid="{55F850B5-6BCF-4A59-AC92-55884C99105B}">
      <text>
        <r>
          <rPr>
            <b/>
            <sz val="9"/>
            <color indexed="81"/>
            <rFont val="Tahoma"/>
            <family val="2"/>
          </rPr>
          <t>&lt;[[TCDeals] - [TC Property Current Stage (Seq: 1)] - [Unit Mix (Seq: 41)] Net Rentable Sq Ft - Both]&gt;</t>
        </r>
      </text>
    </comment>
    <comment ref="F1034" authorId="0" shapeId="0" xr:uid="{DD45D4A3-150F-4D73-922F-232596F754DB}">
      <text>
        <r>
          <rPr>
            <b/>
            <sz val="9"/>
            <color indexed="81"/>
            <rFont val="Tahoma"/>
            <family val="2"/>
          </rPr>
          <t>&lt;[[TCDeals] - [TC Property Current Stage (Seq: 1)] - [Unit Mix (Seq: 41)] Num Units - Both]&gt;</t>
        </r>
      </text>
    </comment>
    <comment ref="G1034" authorId="0" shapeId="0" xr:uid="{590DC624-26CB-49AC-AA76-8483B31367DE}">
      <text>
        <r>
          <rPr>
            <b/>
            <sz val="9"/>
            <color indexed="81"/>
            <rFont val="Tahoma"/>
            <family val="2"/>
          </rPr>
          <t>&lt;[[TCDeals] - [TC Property Current Stage (Seq: 1)] - [Unit Mix (Seq: 41)] Monthly Rent Per Unit - Both]&gt;</t>
        </r>
      </text>
    </comment>
    <comment ref="C1035" authorId="1" shapeId="0" xr:uid="{54E698D8-C762-42FE-B30F-3B15DC0D656A}">
      <text>
        <r>
          <rPr>
            <b/>
            <sz val="9"/>
            <color indexed="81"/>
            <rFont val="Tahoma"/>
            <family val="2"/>
          </rPr>
          <t>&lt;[[TCDeals] - [TC Property Current Stage (Seq: 1)] - [Unit Mix (Seq: 42)] Income Target - Both]&gt;</t>
        </r>
      </text>
    </comment>
    <comment ref="D1035" authorId="0" shapeId="0" xr:uid="{16DC1B16-A5A9-4650-9AF2-A396E1BF15E1}">
      <text>
        <r>
          <rPr>
            <b/>
            <sz val="9"/>
            <color indexed="81"/>
            <rFont val="Tahoma"/>
            <family val="2"/>
          </rPr>
          <t>&lt;[[TCDeals] - [TC Property Current Stage (Seq: 1)] - [Unit Mix (Seq: 42)] TC Unit Mix Type - Both]&gt;</t>
        </r>
      </text>
    </comment>
    <comment ref="E1035" authorId="0" shapeId="0" xr:uid="{A853EB76-7D3F-480A-80A7-C2D5F648624F}">
      <text>
        <r>
          <rPr>
            <b/>
            <sz val="9"/>
            <color indexed="81"/>
            <rFont val="Tahoma"/>
            <family val="2"/>
          </rPr>
          <t>&lt;[[TCDeals] - [TC Property Current Stage (Seq: 1)] - [Unit Mix (Seq: 42)] Net Rentable Sq Ft - Both]&gt;</t>
        </r>
      </text>
    </comment>
    <comment ref="F1035" authorId="0" shapeId="0" xr:uid="{BD8E5EFD-4AE2-45D2-8620-B4F9B0B9F1F6}">
      <text>
        <r>
          <rPr>
            <b/>
            <sz val="9"/>
            <color indexed="81"/>
            <rFont val="Tahoma"/>
            <family val="2"/>
          </rPr>
          <t>&lt;[[TCDeals] - [TC Property Current Stage (Seq: 1)] - [Unit Mix (Seq: 42)] Num Units - Both]&gt;</t>
        </r>
      </text>
    </comment>
    <comment ref="G1035" authorId="0" shapeId="0" xr:uid="{CA80652C-5BBA-40F2-90DE-8B13217CDB1E}">
      <text>
        <r>
          <rPr>
            <b/>
            <sz val="9"/>
            <color indexed="81"/>
            <rFont val="Tahoma"/>
            <family val="2"/>
          </rPr>
          <t>&lt;[[TCDeals] - [TC Property Current Stage (Seq: 1)] - [Unit Mix (Seq: 42)] Monthly Rent Per Unit - Both]&gt;</t>
        </r>
      </text>
    </comment>
    <comment ref="C1036" authorId="1" shapeId="0" xr:uid="{DE25F9F2-4C1C-4564-96A9-AA297789A045}">
      <text>
        <r>
          <rPr>
            <b/>
            <sz val="9"/>
            <color indexed="81"/>
            <rFont val="Tahoma"/>
            <family val="2"/>
          </rPr>
          <t>&lt;[[TCDeals] - [TC Property Current Stage (Seq: 1)] - [Unit Mix (Seq: 43)] Income Target - Both]&gt;</t>
        </r>
      </text>
    </comment>
    <comment ref="D1036" authorId="0" shapeId="0" xr:uid="{BA68D5C9-3C74-4BF0-96C2-3E34A92E34AF}">
      <text>
        <r>
          <rPr>
            <b/>
            <sz val="9"/>
            <color indexed="81"/>
            <rFont val="Tahoma"/>
            <family val="2"/>
          </rPr>
          <t>&lt;[[TCDeals] - [TC Property Current Stage (Seq: 1)] - [Unit Mix (Seq: 43)] TC Unit Mix Type - Both]&gt;</t>
        </r>
      </text>
    </comment>
    <comment ref="E1036" authorId="0" shapeId="0" xr:uid="{64397E18-5428-4995-AE6F-C0D1FF69E373}">
      <text>
        <r>
          <rPr>
            <b/>
            <sz val="9"/>
            <color indexed="81"/>
            <rFont val="Tahoma"/>
            <family val="2"/>
          </rPr>
          <t>&lt;[[TCDeals] - [TC Property Current Stage (Seq: 1)] - [Unit Mix (Seq: 43)] Net Rentable Sq Ft - Both]&gt;</t>
        </r>
      </text>
    </comment>
    <comment ref="F1036" authorId="0" shapeId="0" xr:uid="{E716E4CE-CB18-40C1-B933-FD86D2E78CFC}">
      <text>
        <r>
          <rPr>
            <b/>
            <sz val="9"/>
            <color indexed="81"/>
            <rFont val="Tahoma"/>
            <family val="2"/>
          </rPr>
          <t>&lt;[[TCDeals] - [TC Property Current Stage (Seq: 1)] - [Unit Mix (Seq: 43)] Num Units - Both]&gt;</t>
        </r>
      </text>
    </comment>
    <comment ref="G1036" authorId="0" shapeId="0" xr:uid="{0922EF0A-2006-49F1-ABDA-0145D64548C3}">
      <text>
        <r>
          <rPr>
            <b/>
            <sz val="9"/>
            <color indexed="81"/>
            <rFont val="Tahoma"/>
            <family val="2"/>
          </rPr>
          <t>&lt;[[TCDeals] - [TC Property Current Stage (Seq: 1)] - [Unit Mix (Seq: 43)] Monthly Rent Per Unit - Both]&gt;</t>
        </r>
      </text>
    </comment>
    <comment ref="C1037" authorId="1" shapeId="0" xr:uid="{EEF7E6D0-A29C-46E6-ABE3-C97518B995B6}">
      <text>
        <r>
          <rPr>
            <b/>
            <sz val="9"/>
            <color indexed="81"/>
            <rFont val="Tahoma"/>
            <family val="2"/>
          </rPr>
          <t>&lt;[[TCDeals] - [TC Property Current Stage (Seq: 1)] - [Unit Mix (Seq: 44)] Income Target - Both]&gt;</t>
        </r>
      </text>
    </comment>
    <comment ref="D1037" authorId="0" shapeId="0" xr:uid="{2E5E6B63-89C1-4112-BA67-8C6E8E67ECDA}">
      <text>
        <r>
          <rPr>
            <b/>
            <sz val="9"/>
            <color indexed="81"/>
            <rFont val="Tahoma"/>
            <family val="2"/>
          </rPr>
          <t>&lt;[[TCDeals] - [TC Property Current Stage (Seq: 1)] - [Unit Mix (Seq: 44)] TC Unit Mix Type - Both]&gt;</t>
        </r>
      </text>
    </comment>
    <comment ref="E1037" authorId="0" shapeId="0" xr:uid="{EC5AF364-34F0-437B-B876-4C31E98435CC}">
      <text>
        <r>
          <rPr>
            <b/>
            <sz val="9"/>
            <color indexed="81"/>
            <rFont val="Tahoma"/>
            <family val="2"/>
          </rPr>
          <t>&lt;[[TCDeals] - [TC Property Current Stage (Seq: 1)] - [Unit Mix (Seq: 44)] Net Rentable Sq Ft - Both]&gt;</t>
        </r>
      </text>
    </comment>
    <comment ref="F1037" authorId="0" shapeId="0" xr:uid="{174C8D17-9445-4F90-B576-498CDDC52B63}">
      <text>
        <r>
          <rPr>
            <b/>
            <sz val="9"/>
            <color indexed="81"/>
            <rFont val="Tahoma"/>
            <family val="2"/>
          </rPr>
          <t>&lt;[[TCDeals] - [TC Property Current Stage (Seq: 1)] - [Unit Mix (Seq: 44)] Num Units - Both]&gt;</t>
        </r>
      </text>
    </comment>
    <comment ref="G1037" authorId="0" shapeId="0" xr:uid="{FFA33F83-1F73-47C4-B465-A13E3CE4CA43}">
      <text>
        <r>
          <rPr>
            <b/>
            <sz val="9"/>
            <color indexed="81"/>
            <rFont val="Tahoma"/>
            <family val="2"/>
          </rPr>
          <t>&lt;[[TCDeals] - [TC Property Current Stage (Seq: 1)] - [Unit Mix (Seq: 44)] Monthly Rent Per Unit - Both]&gt;</t>
        </r>
      </text>
    </comment>
    <comment ref="C1038" authorId="1" shapeId="0" xr:uid="{BEA6E9F4-6786-4355-BD1A-2B2733A9CF2D}">
      <text>
        <r>
          <rPr>
            <b/>
            <sz val="9"/>
            <color indexed="81"/>
            <rFont val="Tahoma"/>
            <family val="2"/>
          </rPr>
          <t>&lt;[[TCDeals] - [TC Property Current Stage (Seq: 1)] - [Unit Mix (Seq: 45)] Income Target - Both]&gt;</t>
        </r>
      </text>
    </comment>
    <comment ref="D1038" authorId="0" shapeId="0" xr:uid="{AE64A970-8666-4B95-A0CE-36CEFCABBA5D}">
      <text>
        <r>
          <rPr>
            <b/>
            <sz val="9"/>
            <color indexed="81"/>
            <rFont val="Tahoma"/>
            <family val="2"/>
          </rPr>
          <t>&lt;[[TCDeals] - [TC Property Current Stage (Seq: 1)] - [Unit Mix (Seq: 45)] TC Unit Mix Type - Both]&gt;</t>
        </r>
      </text>
    </comment>
    <comment ref="E1038" authorId="0" shapeId="0" xr:uid="{C29D35FD-013D-41CB-B757-A50AB36667AF}">
      <text>
        <r>
          <rPr>
            <b/>
            <sz val="9"/>
            <color indexed="81"/>
            <rFont val="Tahoma"/>
            <family val="2"/>
          </rPr>
          <t>&lt;[[TCDeals] - [TC Property Current Stage (Seq: 1)] - [Unit Mix (Seq: 45)] Net Rentable Sq Ft - Both]&gt;</t>
        </r>
      </text>
    </comment>
    <comment ref="F1038" authorId="0" shapeId="0" xr:uid="{7756877F-20F0-4F4F-A020-DE0699DF4278}">
      <text>
        <r>
          <rPr>
            <b/>
            <sz val="9"/>
            <color indexed="81"/>
            <rFont val="Tahoma"/>
            <family val="2"/>
          </rPr>
          <t>&lt;[[TCDeals] - [TC Property Current Stage (Seq: 1)] - [Unit Mix (Seq: 45)] Num Units - Both]&gt;</t>
        </r>
      </text>
    </comment>
    <comment ref="G1038" authorId="0" shapeId="0" xr:uid="{8A570CDC-5FD1-400B-9588-ECCA47E67C1E}">
      <text>
        <r>
          <rPr>
            <b/>
            <sz val="9"/>
            <color indexed="81"/>
            <rFont val="Tahoma"/>
            <family val="2"/>
          </rPr>
          <t>&lt;[[TCDeals] - [TC Property Current Stage (Seq: 1)] - [Unit Mix (Seq: 45)] Monthly Rent Per Unit - Both]&gt;</t>
        </r>
      </text>
    </comment>
    <comment ref="C1039" authorId="1" shapeId="0" xr:uid="{C818524F-B7AA-4C37-BF8D-945DFD506FB7}">
      <text>
        <r>
          <rPr>
            <b/>
            <sz val="9"/>
            <color indexed="81"/>
            <rFont val="Tahoma"/>
            <family val="2"/>
          </rPr>
          <t>&lt;[[TCDeals] - [TC Property Current Stage (Seq: 1)] - [Unit Mix (Seq: 46)] Income Target - Both]&gt;</t>
        </r>
      </text>
    </comment>
    <comment ref="D1039" authorId="0" shapeId="0" xr:uid="{FD2D2F51-CE8E-4191-BDBA-B4D515707F8E}">
      <text>
        <r>
          <rPr>
            <b/>
            <sz val="9"/>
            <color indexed="81"/>
            <rFont val="Tahoma"/>
            <family val="2"/>
          </rPr>
          <t>&lt;[[TCDeals] - [TC Property Current Stage (Seq: 1)] - [Unit Mix (Seq: 46)] TC Unit Mix Type - Both]&gt;</t>
        </r>
      </text>
    </comment>
    <comment ref="E1039" authorId="0" shapeId="0" xr:uid="{91ACD112-B4E8-4514-8556-C12B9F6CFE93}">
      <text>
        <r>
          <rPr>
            <b/>
            <sz val="9"/>
            <color indexed="81"/>
            <rFont val="Tahoma"/>
            <family val="2"/>
          </rPr>
          <t>&lt;[[TCDeals] - [TC Property Current Stage (Seq: 1)] - [Unit Mix (Seq: 46)] Net Rentable Sq Ft - Both]&gt;</t>
        </r>
      </text>
    </comment>
    <comment ref="F1039" authorId="0" shapeId="0" xr:uid="{66D028B6-096C-41E6-B886-A1638A09293D}">
      <text>
        <r>
          <rPr>
            <b/>
            <sz val="9"/>
            <color indexed="81"/>
            <rFont val="Tahoma"/>
            <family val="2"/>
          </rPr>
          <t>&lt;[[TCDeals] - [TC Property Current Stage (Seq: 1)] - [Unit Mix (Seq: 46)] Num Units - Both]&gt;</t>
        </r>
      </text>
    </comment>
    <comment ref="G1039" authorId="0" shapeId="0" xr:uid="{C40D0204-A565-4232-A4F4-ADC972D4ADA4}">
      <text>
        <r>
          <rPr>
            <b/>
            <sz val="9"/>
            <color indexed="81"/>
            <rFont val="Tahoma"/>
            <family val="2"/>
          </rPr>
          <t>&lt;[[TCDeals] - [TC Property Current Stage (Seq: 1)] - [Unit Mix (Seq: 46)] Monthly Rent Per Unit - Both]&gt;</t>
        </r>
      </text>
    </comment>
    <comment ref="C1040" authorId="1" shapeId="0" xr:uid="{6AF78F65-D354-4B83-8426-D2292007D4F6}">
      <text>
        <r>
          <rPr>
            <b/>
            <sz val="9"/>
            <color indexed="81"/>
            <rFont val="Tahoma"/>
            <family val="2"/>
          </rPr>
          <t>&lt;[[TCDeals] - [TC Property Current Stage (Seq: 1)] - [Unit Mix (Seq: 47)] Income Target - Both]&gt;</t>
        </r>
      </text>
    </comment>
    <comment ref="D1040" authorId="0" shapeId="0" xr:uid="{E46E4F9F-DB28-47F3-952F-36566ED30121}">
      <text>
        <r>
          <rPr>
            <b/>
            <sz val="9"/>
            <color indexed="81"/>
            <rFont val="Tahoma"/>
            <family val="2"/>
          </rPr>
          <t>&lt;[[TCDeals] - [TC Property Current Stage (Seq: 1)] - [Unit Mix (Seq: 47)] TC Unit Mix Type - Both]&gt;</t>
        </r>
      </text>
    </comment>
    <comment ref="E1040" authorId="0" shapeId="0" xr:uid="{88FDF696-AFCA-4C91-9B66-5C6AD76761AE}">
      <text>
        <r>
          <rPr>
            <b/>
            <sz val="9"/>
            <color indexed="81"/>
            <rFont val="Tahoma"/>
            <family val="2"/>
          </rPr>
          <t>&lt;[[TCDeals] - [TC Property Current Stage (Seq: 1)] - [Unit Mix (Seq: 47)] Net Rentable Sq Ft - Both]&gt;</t>
        </r>
      </text>
    </comment>
    <comment ref="F1040" authorId="0" shapeId="0" xr:uid="{3A00D06B-FCD3-4415-9CF0-FF3DEF5D915B}">
      <text>
        <r>
          <rPr>
            <b/>
            <sz val="9"/>
            <color indexed="81"/>
            <rFont val="Tahoma"/>
            <family val="2"/>
          </rPr>
          <t>&lt;[[TCDeals] - [TC Property Current Stage (Seq: 1)] - [Unit Mix (Seq: 47)] Num Units - Both]&gt;</t>
        </r>
      </text>
    </comment>
    <comment ref="G1040" authorId="0" shapeId="0" xr:uid="{BF53E05A-907A-4218-B335-1CCC7DBF8BFC}">
      <text>
        <r>
          <rPr>
            <b/>
            <sz val="9"/>
            <color indexed="81"/>
            <rFont val="Tahoma"/>
            <family val="2"/>
          </rPr>
          <t>&lt;[[TCDeals] - [TC Property Current Stage (Seq: 1)] - [Unit Mix (Seq: 47)] Monthly Rent Per Unit - Both]&gt;</t>
        </r>
      </text>
    </comment>
    <comment ref="C1041" authorId="1" shapeId="0" xr:uid="{026E315F-C60B-4718-B607-E415B9626B35}">
      <text>
        <r>
          <rPr>
            <b/>
            <sz val="9"/>
            <color indexed="81"/>
            <rFont val="Tahoma"/>
            <family val="2"/>
          </rPr>
          <t>&lt;[[TCDeals] - [TC Property Current Stage (Seq: 1)] - [Unit Mix (Seq: 48)] Income Target - Both]&gt;</t>
        </r>
      </text>
    </comment>
    <comment ref="D1041" authorId="0" shapeId="0" xr:uid="{8DD4CCD5-6401-4608-84CC-E3FEA260CDC1}">
      <text>
        <r>
          <rPr>
            <b/>
            <sz val="9"/>
            <color indexed="81"/>
            <rFont val="Tahoma"/>
            <family val="2"/>
          </rPr>
          <t>&lt;[[TCDeals] - [TC Property Current Stage (Seq: 1)] - [Unit Mix (Seq: 48)] TC Unit Mix Type - Both]&gt;</t>
        </r>
      </text>
    </comment>
    <comment ref="E1041" authorId="0" shapeId="0" xr:uid="{EEBA00B3-D7A4-4874-8880-9B8A5476BCE4}">
      <text>
        <r>
          <rPr>
            <b/>
            <sz val="9"/>
            <color indexed="81"/>
            <rFont val="Tahoma"/>
            <family val="2"/>
          </rPr>
          <t>&lt;[[TCDeals] - [TC Property Current Stage (Seq: 1)] - [Unit Mix (Seq: 48)] Net Rentable Sq Ft - Both]&gt;</t>
        </r>
      </text>
    </comment>
    <comment ref="F1041" authorId="0" shapeId="0" xr:uid="{5BDFF209-EA19-4208-8042-90754A506B9C}">
      <text>
        <r>
          <rPr>
            <b/>
            <sz val="9"/>
            <color indexed="81"/>
            <rFont val="Tahoma"/>
            <family val="2"/>
          </rPr>
          <t>&lt;[[TCDeals] - [TC Property Current Stage (Seq: 1)] - [Unit Mix (Seq: 48)] Num Units - Both]&gt;</t>
        </r>
      </text>
    </comment>
    <comment ref="G1041" authorId="0" shapeId="0" xr:uid="{4BA11899-6AAE-49F5-B8E2-84C3822BD7E1}">
      <text>
        <r>
          <rPr>
            <b/>
            <sz val="9"/>
            <color indexed="81"/>
            <rFont val="Tahoma"/>
            <family val="2"/>
          </rPr>
          <t>&lt;[[TCDeals] - [TC Property Current Stage (Seq: 1)] - [Unit Mix (Seq: 48)] Monthly Rent Per Unit - Both]&gt;</t>
        </r>
      </text>
    </comment>
    <comment ref="C1042" authorId="1" shapeId="0" xr:uid="{E5144B3B-FFD7-4E30-8723-2E0F4304BCA1}">
      <text>
        <r>
          <rPr>
            <b/>
            <sz val="9"/>
            <color indexed="81"/>
            <rFont val="Tahoma"/>
            <family val="2"/>
          </rPr>
          <t>&lt;[[TCDeals] - [TC Property Current Stage (Seq: 1)] - [Unit Mix (Seq: 49)] Income Target - Both]&gt;</t>
        </r>
      </text>
    </comment>
    <comment ref="D1042" authorId="0" shapeId="0" xr:uid="{EC409312-C8E9-4A10-A68C-0B69F4857DD3}">
      <text>
        <r>
          <rPr>
            <b/>
            <sz val="9"/>
            <color indexed="81"/>
            <rFont val="Tahoma"/>
            <family val="2"/>
          </rPr>
          <t>&lt;[[TCDeals] - [TC Property Current Stage (Seq: 1)] - [Unit Mix (Seq: 49)] TC Unit Mix Type - Both]&gt;</t>
        </r>
      </text>
    </comment>
    <comment ref="E1042" authorId="0" shapeId="0" xr:uid="{06BCF75A-41CF-44DE-8E41-19725E829E32}">
      <text>
        <r>
          <rPr>
            <b/>
            <sz val="9"/>
            <color indexed="81"/>
            <rFont val="Tahoma"/>
            <family val="2"/>
          </rPr>
          <t>&lt;[[TCDeals] - [TC Property Current Stage (Seq: 1)] - [Unit Mix (Seq: 49)] Net Rentable Sq Ft - Both]&gt;</t>
        </r>
      </text>
    </comment>
    <comment ref="F1042" authorId="0" shapeId="0" xr:uid="{99763373-7F67-45F7-9A5D-7CF7F4D1F8A8}">
      <text>
        <r>
          <rPr>
            <b/>
            <sz val="9"/>
            <color indexed="81"/>
            <rFont val="Tahoma"/>
            <family val="2"/>
          </rPr>
          <t>&lt;[[TCDeals] - [TC Property Current Stage (Seq: 1)] - [Unit Mix (Seq: 49)] Num Units - Both]&gt;</t>
        </r>
      </text>
    </comment>
    <comment ref="G1042" authorId="0" shapeId="0" xr:uid="{4C9CC6F6-43F8-40D0-8E6F-E0F3AC35DE03}">
      <text>
        <r>
          <rPr>
            <b/>
            <sz val="9"/>
            <color indexed="81"/>
            <rFont val="Tahoma"/>
            <family val="2"/>
          </rPr>
          <t>&lt;[[TCDeals] - [TC Property Current Stage (Seq: 1)] - [Unit Mix (Seq: 49)] Monthly Rent Per Unit - Both]&gt;</t>
        </r>
      </text>
    </comment>
    <comment ref="C1043" authorId="1" shapeId="0" xr:uid="{5132E47B-905D-402B-B7A2-5E9A355BB851}">
      <text>
        <r>
          <rPr>
            <b/>
            <sz val="9"/>
            <color indexed="81"/>
            <rFont val="Tahoma"/>
            <family val="2"/>
          </rPr>
          <t>&lt;[[TCDeals] - [TC Property Current Stage (Seq: 1)] - [Unit Mix (Seq: 50)] Income Target - Both]&gt;</t>
        </r>
      </text>
    </comment>
    <comment ref="D1043" authorId="0" shapeId="0" xr:uid="{BD271E80-09B5-4F05-AE4F-7ED8D05A5D14}">
      <text>
        <r>
          <rPr>
            <b/>
            <sz val="9"/>
            <color indexed="81"/>
            <rFont val="Tahoma"/>
            <family val="2"/>
          </rPr>
          <t>&lt;[[TCDeals] - [TC Property Current Stage (Seq: 1)] - [Unit Mix (Seq: 50)] TC Unit Mix Type - Both]&gt;</t>
        </r>
      </text>
    </comment>
    <comment ref="E1043" authorId="0" shapeId="0" xr:uid="{B13C2132-C60D-4F9C-B400-03816D0FA13C}">
      <text>
        <r>
          <rPr>
            <b/>
            <sz val="9"/>
            <color indexed="81"/>
            <rFont val="Tahoma"/>
            <family val="2"/>
          </rPr>
          <t>&lt;[[TCDeals] - [TC Property Current Stage (Seq: 1)] - [Unit Mix (Seq: 50)] Net Rentable Sq Ft - Both]&gt;</t>
        </r>
      </text>
    </comment>
    <comment ref="F1043" authorId="0" shapeId="0" xr:uid="{49F4756F-DD0C-4879-80A1-EC9B76AD4ADD}">
      <text>
        <r>
          <rPr>
            <b/>
            <sz val="9"/>
            <color indexed="81"/>
            <rFont val="Tahoma"/>
            <family val="2"/>
          </rPr>
          <t>&lt;[[TCDeals] - [TC Property Current Stage (Seq: 1)] - [Unit Mix (Seq: 50)] Num Units - Both]&gt;</t>
        </r>
      </text>
    </comment>
    <comment ref="G1043" authorId="0" shapeId="0" xr:uid="{E07B0E88-9F8C-4837-831E-3A114E54536A}">
      <text>
        <r>
          <rPr>
            <b/>
            <sz val="9"/>
            <color indexed="81"/>
            <rFont val="Tahoma"/>
            <family val="2"/>
          </rPr>
          <t>&lt;[[TCDeals] - [TC Property Current Stage (Seq: 1)] - [Unit Mix (Seq: 50)] Monthly Rent Per Unit - Both]&gt;</t>
        </r>
      </text>
    </comment>
    <comment ref="C1044" authorId="1" shapeId="0" xr:uid="{D838C3EF-DCD0-4E54-81FA-4DC8FC766DEB}">
      <text>
        <r>
          <rPr>
            <b/>
            <sz val="9"/>
            <color indexed="81"/>
            <rFont val="Tahoma"/>
            <family val="2"/>
          </rPr>
          <t>&lt;[[TCDeals] - [TC Property Current Stage (Seq: 1)] - [Unit Mix (Seq: 51)] Income Target - Both]&gt;</t>
        </r>
      </text>
    </comment>
    <comment ref="D1044" authorId="0" shapeId="0" xr:uid="{EDF7BC4D-FB29-46A8-9011-6B7EE1761FA9}">
      <text>
        <r>
          <rPr>
            <b/>
            <sz val="9"/>
            <color indexed="81"/>
            <rFont val="Tahoma"/>
            <family val="2"/>
          </rPr>
          <t>&lt;[[TCDeals] - [TC Property Current Stage (Seq: 1)] - [Unit Mix (Seq: 51)] TC Unit Mix Type - Both]&gt;</t>
        </r>
      </text>
    </comment>
    <comment ref="E1044" authorId="0" shapeId="0" xr:uid="{B19A544E-AC90-47C0-9796-941C0552E5F6}">
      <text>
        <r>
          <rPr>
            <b/>
            <sz val="9"/>
            <color indexed="81"/>
            <rFont val="Tahoma"/>
            <family val="2"/>
          </rPr>
          <t>&lt;[[TCDeals] - [TC Property Current Stage (Seq: 1)] - [Unit Mix (Seq: 51)] Net Rentable Sq Ft - Both]&gt;</t>
        </r>
      </text>
    </comment>
    <comment ref="F1044" authorId="0" shapeId="0" xr:uid="{30AF4BBF-85A1-4B61-8836-20484DCEF797}">
      <text>
        <r>
          <rPr>
            <b/>
            <sz val="9"/>
            <color indexed="81"/>
            <rFont val="Tahoma"/>
            <family val="2"/>
          </rPr>
          <t>&lt;[[TCDeals] - [TC Property Current Stage (Seq: 1)] - [Unit Mix (Seq: 51)] Num Units - Both]&gt;</t>
        </r>
      </text>
    </comment>
    <comment ref="G1044" authorId="0" shapeId="0" xr:uid="{B979C7EF-A29B-48D4-B61E-398A66745CBB}">
      <text>
        <r>
          <rPr>
            <b/>
            <sz val="9"/>
            <color indexed="81"/>
            <rFont val="Tahoma"/>
            <family val="2"/>
          </rPr>
          <t>&lt;[[TCDeals] - [TC Property Current Stage (Seq: 1)] - [Unit Mix (Seq: 51)] Monthly Rent Per Unit - Both]&gt;</t>
        </r>
      </text>
    </comment>
    <comment ref="C1045" authorId="1" shapeId="0" xr:uid="{E4BF9CEB-FB6C-48CF-BE1D-3409DB7ADBC6}">
      <text>
        <r>
          <rPr>
            <b/>
            <sz val="9"/>
            <color indexed="81"/>
            <rFont val="Tahoma"/>
            <family val="2"/>
          </rPr>
          <t>&lt;[[TCDeals] - [TC Property Current Stage (Seq: 1)] - [Unit Mix (Seq: 52)] Income Target - Both]&gt;</t>
        </r>
      </text>
    </comment>
    <comment ref="D1045" authorId="0" shapeId="0" xr:uid="{F27E4CC0-882C-4003-9FE7-001E4703A8F5}">
      <text>
        <r>
          <rPr>
            <b/>
            <sz val="9"/>
            <color indexed="81"/>
            <rFont val="Tahoma"/>
            <family val="2"/>
          </rPr>
          <t>&lt;[[TCDeals] - [TC Property Current Stage (Seq: 1)] - [Unit Mix (Seq: 52)] TC Unit Mix Type - Both]&gt;</t>
        </r>
      </text>
    </comment>
    <comment ref="E1045" authorId="0" shapeId="0" xr:uid="{0F85C81B-A4B8-4F67-8B30-B7CCB363EFDA}">
      <text>
        <r>
          <rPr>
            <b/>
            <sz val="9"/>
            <color indexed="81"/>
            <rFont val="Tahoma"/>
            <family val="2"/>
          </rPr>
          <t>&lt;[[TCDeals] - [TC Property Current Stage (Seq: 1)] - [Unit Mix (Seq: 52)] Net Rentable Sq Ft - Both]&gt;</t>
        </r>
      </text>
    </comment>
    <comment ref="F1045" authorId="0" shapeId="0" xr:uid="{2B38F60B-2FB4-429F-9E8D-C6202C9B57AC}">
      <text>
        <r>
          <rPr>
            <b/>
            <sz val="9"/>
            <color indexed="81"/>
            <rFont val="Tahoma"/>
            <family val="2"/>
          </rPr>
          <t>&lt;[[TCDeals] - [TC Property Current Stage (Seq: 1)] - [Unit Mix (Seq: 52)] Num Units - Both]&gt;</t>
        </r>
      </text>
    </comment>
    <comment ref="G1045" authorId="0" shapeId="0" xr:uid="{F52841E1-20FE-4DD2-B013-56A9E69ACE58}">
      <text>
        <r>
          <rPr>
            <b/>
            <sz val="9"/>
            <color indexed="81"/>
            <rFont val="Tahoma"/>
            <family val="2"/>
          </rPr>
          <t>&lt;[[TCDeals] - [TC Property Current Stage (Seq: 1)] - [Unit Mix (Seq: 52)] Monthly Rent Per Unit - Both]&gt;</t>
        </r>
      </text>
    </comment>
    <comment ref="C1046" authorId="1" shapeId="0" xr:uid="{759BAB33-09CB-461E-99DB-F147A33E01A0}">
      <text>
        <r>
          <rPr>
            <b/>
            <sz val="9"/>
            <color indexed="81"/>
            <rFont val="Tahoma"/>
            <family val="2"/>
          </rPr>
          <t>&lt;[[TCDeals] - [TC Property Current Stage (Seq: 1)] - [Unit Mix (Seq: 53)] Income Target - Both]&gt;</t>
        </r>
      </text>
    </comment>
    <comment ref="D1046" authorId="0" shapeId="0" xr:uid="{18EA2F3A-7B95-47BC-9277-B2B8BFC81454}">
      <text>
        <r>
          <rPr>
            <b/>
            <sz val="9"/>
            <color indexed="81"/>
            <rFont val="Tahoma"/>
            <family val="2"/>
          </rPr>
          <t>&lt;[[TCDeals] - [TC Property Current Stage (Seq: 1)] - [Unit Mix (Seq: 53)] TC Unit Mix Type - Both]&gt;</t>
        </r>
      </text>
    </comment>
    <comment ref="E1046" authorId="0" shapeId="0" xr:uid="{5D15E51D-9F56-4FD3-A4E7-B437CD76DA53}">
      <text>
        <r>
          <rPr>
            <b/>
            <sz val="9"/>
            <color indexed="81"/>
            <rFont val="Tahoma"/>
            <family val="2"/>
          </rPr>
          <t>&lt;[[TCDeals] - [TC Property Current Stage (Seq: 1)] - [Unit Mix (Seq: 53)] Net Rentable Sq Ft - Both]&gt;</t>
        </r>
      </text>
    </comment>
    <comment ref="F1046" authorId="0" shapeId="0" xr:uid="{D318FAD7-E054-4A0E-A122-7663ADFA1A99}">
      <text>
        <r>
          <rPr>
            <b/>
            <sz val="9"/>
            <color indexed="81"/>
            <rFont val="Tahoma"/>
            <family val="2"/>
          </rPr>
          <t>&lt;[[TCDeals] - [TC Property Current Stage (Seq: 1)] - [Unit Mix (Seq: 53)] Num Units - Both]&gt;</t>
        </r>
      </text>
    </comment>
    <comment ref="G1046" authorId="0" shapeId="0" xr:uid="{B52C066D-0984-4969-A50A-009257F9E228}">
      <text>
        <r>
          <rPr>
            <b/>
            <sz val="9"/>
            <color indexed="81"/>
            <rFont val="Tahoma"/>
            <family val="2"/>
          </rPr>
          <t>&lt;[[TCDeals] - [TC Property Current Stage (Seq: 1)] - [Unit Mix (Seq: 53)] Monthly Rent Per Unit - Both]&gt;</t>
        </r>
      </text>
    </comment>
    <comment ref="C1047" authorId="1" shapeId="0" xr:uid="{90BEEBFB-48F7-4EEB-8465-2C8D5961ECF9}">
      <text>
        <r>
          <rPr>
            <b/>
            <sz val="9"/>
            <color indexed="81"/>
            <rFont val="Tahoma"/>
            <family val="2"/>
          </rPr>
          <t>&lt;[[TCDeals] - [TC Property Current Stage (Seq: 1)] - [Unit Mix (Seq: 54)] Income Target - Both]&gt;</t>
        </r>
      </text>
    </comment>
    <comment ref="D1047" authorId="0" shapeId="0" xr:uid="{DAED0060-7218-4530-A60F-A4876B947F1D}">
      <text>
        <r>
          <rPr>
            <b/>
            <sz val="9"/>
            <color indexed="81"/>
            <rFont val="Tahoma"/>
            <family val="2"/>
          </rPr>
          <t>&lt;[[TCDeals] - [TC Property Current Stage (Seq: 1)] - [Unit Mix (Seq: 54)] TC Unit Mix Type - Both]&gt;</t>
        </r>
      </text>
    </comment>
    <comment ref="E1047" authorId="0" shapeId="0" xr:uid="{34600E30-476F-4239-8CC5-036066BBBA06}">
      <text>
        <r>
          <rPr>
            <b/>
            <sz val="9"/>
            <color indexed="81"/>
            <rFont val="Tahoma"/>
            <family val="2"/>
          </rPr>
          <t>&lt;[[TCDeals] - [TC Property Current Stage (Seq: 1)] - [Unit Mix (Seq: 54)] Net Rentable Sq Ft - Both]&gt;</t>
        </r>
      </text>
    </comment>
    <comment ref="F1047" authorId="0" shapeId="0" xr:uid="{0AA1E558-A685-4043-AFD9-18496F0CA876}">
      <text>
        <r>
          <rPr>
            <b/>
            <sz val="9"/>
            <color indexed="81"/>
            <rFont val="Tahoma"/>
            <family val="2"/>
          </rPr>
          <t>&lt;[[TCDeals] - [TC Property Current Stage (Seq: 1)] - [Unit Mix (Seq: 54)] Num Units - Both]&gt;</t>
        </r>
      </text>
    </comment>
    <comment ref="G1047" authorId="0" shapeId="0" xr:uid="{92339CF3-EB9D-4872-A1D7-9FEACF53ABE6}">
      <text>
        <r>
          <rPr>
            <b/>
            <sz val="9"/>
            <color indexed="81"/>
            <rFont val="Tahoma"/>
            <family val="2"/>
          </rPr>
          <t>&lt;[[TCDeals] - [TC Property Current Stage (Seq: 1)] - [Unit Mix (Seq: 54)] Monthly Rent Per Unit - Both]&gt;</t>
        </r>
      </text>
    </comment>
    <comment ref="C1048" authorId="1" shapeId="0" xr:uid="{B3AAC275-4CAE-43E4-B3F7-16DF5717899A}">
      <text>
        <r>
          <rPr>
            <b/>
            <sz val="9"/>
            <color indexed="81"/>
            <rFont val="Tahoma"/>
            <family val="2"/>
          </rPr>
          <t>&lt;[[TCDeals] - [TC Property Current Stage (Seq: 1)] - [Unit Mix (Seq: 55)] Income Target - Both]&gt;</t>
        </r>
      </text>
    </comment>
    <comment ref="D1048" authorId="0" shapeId="0" xr:uid="{082226A4-3007-440C-B432-DEB798B7AFE3}">
      <text>
        <r>
          <rPr>
            <b/>
            <sz val="9"/>
            <color indexed="81"/>
            <rFont val="Tahoma"/>
            <family val="2"/>
          </rPr>
          <t>&lt;[[TCDeals] - [TC Property Current Stage (Seq: 1)] - [Unit Mix (Seq: 55)] TC Unit Mix Type - Both]&gt;</t>
        </r>
      </text>
    </comment>
    <comment ref="E1048" authorId="0" shapeId="0" xr:uid="{C5F12E48-717C-4B95-9120-9F0196CD67A5}">
      <text>
        <r>
          <rPr>
            <b/>
            <sz val="9"/>
            <color indexed="81"/>
            <rFont val="Tahoma"/>
            <family val="2"/>
          </rPr>
          <t>&lt;[[TCDeals] - [TC Property Current Stage (Seq: 1)] - [Unit Mix (Seq: 55)] Net Rentable Sq Ft - Both]&gt;</t>
        </r>
      </text>
    </comment>
    <comment ref="F1048" authorId="0" shapeId="0" xr:uid="{32D53FA7-2A12-40CA-990A-7A7A780DF531}">
      <text>
        <r>
          <rPr>
            <b/>
            <sz val="9"/>
            <color indexed="81"/>
            <rFont val="Tahoma"/>
            <family val="2"/>
          </rPr>
          <t>&lt;[[TCDeals] - [TC Property Current Stage (Seq: 1)] - [Unit Mix (Seq: 55)] Num Units - Both]&gt;</t>
        </r>
      </text>
    </comment>
    <comment ref="G1048" authorId="0" shapeId="0" xr:uid="{47F58B10-3051-4B32-82A0-C6C6610233A8}">
      <text>
        <r>
          <rPr>
            <b/>
            <sz val="9"/>
            <color indexed="81"/>
            <rFont val="Tahoma"/>
            <family val="2"/>
          </rPr>
          <t>&lt;[[TCDeals] - [TC Property Current Stage (Seq: 1)] - [Unit Mix (Seq: 55)] Monthly Rent Per Unit - Both]&gt;</t>
        </r>
      </text>
    </comment>
    <comment ref="C1049" authorId="1" shapeId="0" xr:uid="{4A167F09-C6B4-436E-A831-D7AA8BC0C51F}">
      <text>
        <r>
          <rPr>
            <b/>
            <sz val="9"/>
            <color indexed="81"/>
            <rFont val="Tahoma"/>
            <family val="2"/>
          </rPr>
          <t>&lt;[[TCDeals] - [TC Property Current Stage (Seq: 1)] - [Unit Mix (Seq: 56)] Income Target - Both]&gt;</t>
        </r>
      </text>
    </comment>
    <comment ref="D1049" authorId="0" shapeId="0" xr:uid="{CE8F601E-1879-43EA-860E-F6E4ED7B2611}">
      <text>
        <r>
          <rPr>
            <b/>
            <sz val="9"/>
            <color indexed="81"/>
            <rFont val="Tahoma"/>
            <family val="2"/>
          </rPr>
          <t>&lt;[[TCDeals] - [TC Property Current Stage (Seq: 1)] - [Unit Mix (Seq: 56)] TC Unit Mix Type - Both]&gt;</t>
        </r>
      </text>
    </comment>
    <comment ref="E1049" authorId="0" shapeId="0" xr:uid="{D251B6F9-2937-4258-B8ED-294EA886BCAD}">
      <text>
        <r>
          <rPr>
            <b/>
            <sz val="9"/>
            <color indexed="81"/>
            <rFont val="Tahoma"/>
            <family val="2"/>
          </rPr>
          <t>&lt;[[TCDeals] - [TC Property Current Stage (Seq: 1)] - [Unit Mix (Seq: 56)] Net Rentable Sq Ft - Both]&gt;</t>
        </r>
      </text>
    </comment>
    <comment ref="F1049" authorId="0" shapeId="0" xr:uid="{6AF1C8D7-AA06-4026-8FA9-9C23ABC5A92A}">
      <text>
        <r>
          <rPr>
            <b/>
            <sz val="9"/>
            <color indexed="81"/>
            <rFont val="Tahoma"/>
            <family val="2"/>
          </rPr>
          <t>&lt;[[TCDeals] - [TC Property Current Stage (Seq: 1)] - [Unit Mix (Seq: 56)] Num Units - Both]&gt;</t>
        </r>
      </text>
    </comment>
    <comment ref="G1049" authorId="0" shapeId="0" xr:uid="{34EAAFF9-248F-4481-8CE2-4E482358CA9E}">
      <text>
        <r>
          <rPr>
            <b/>
            <sz val="9"/>
            <color indexed="81"/>
            <rFont val="Tahoma"/>
            <family val="2"/>
          </rPr>
          <t>&lt;[[TCDeals] - [TC Property Current Stage (Seq: 1)] - [Unit Mix (Seq: 56)] Monthly Rent Per Unit - Both]&gt;</t>
        </r>
      </text>
    </comment>
    <comment ref="C1050" authorId="1" shapeId="0" xr:uid="{42AE44C1-5A96-4B21-AEFD-2ED136811902}">
      <text>
        <r>
          <rPr>
            <b/>
            <sz val="9"/>
            <color indexed="81"/>
            <rFont val="Tahoma"/>
            <family val="2"/>
          </rPr>
          <t>&lt;[[TCDeals] - [TC Property Current Stage (Seq: 1)] - [Unit Mix (Seq: 57)] Income Target - Both]&gt;</t>
        </r>
      </text>
    </comment>
    <comment ref="D1050" authorId="0" shapeId="0" xr:uid="{45F49AEE-09A4-4FE4-B9B6-CD8D7612AE58}">
      <text>
        <r>
          <rPr>
            <b/>
            <sz val="9"/>
            <color indexed="81"/>
            <rFont val="Tahoma"/>
            <family val="2"/>
          </rPr>
          <t>&lt;[[TCDeals] - [TC Property Current Stage (Seq: 1)] - [Unit Mix (Seq: 57)] TC Unit Mix Type - Both]&gt;</t>
        </r>
      </text>
    </comment>
    <comment ref="E1050" authorId="0" shapeId="0" xr:uid="{12A176E7-C55C-4555-A83C-73B3967F3F56}">
      <text>
        <r>
          <rPr>
            <b/>
            <sz val="9"/>
            <color indexed="81"/>
            <rFont val="Tahoma"/>
            <family val="2"/>
          </rPr>
          <t>&lt;[[TCDeals] - [TC Property Current Stage (Seq: 1)] - [Unit Mix (Seq: 57)] Net Rentable Sq Ft - Both]&gt;</t>
        </r>
      </text>
    </comment>
    <comment ref="F1050" authorId="0" shapeId="0" xr:uid="{E7FC99B0-3F8C-483D-97F3-54244E2D8B83}">
      <text>
        <r>
          <rPr>
            <b/>
            <sz val="9"/>
            <color indexed="81"/>
            <rFont val="Tahoma"/>
            <family val="2"/>
          </rPr>
          <t>&lt;[[TCDeals] - [TC Property Current Stage (Seq: 1)] - [Unit Mix (Seq: 57)] Num Units - Both]&gt;</t>
        </r>
      </text>
    </comment>
    <comment ref="G1050" authorId="0" shapeId="0" xr:uid="{EA77C23B-FED4-4A17-AF67-0078A83359CB}">
      <text>
        <r>
          <rPr>
            <b/>
            <sz val="9"/>
            <color indexed="81"/>
            <rFont val="Tahoma"/>
            <family val="2"/>
          </rPr>
          <t>&lt;[[TCDeals] - [TC Property Current Stage (Seq: 1)] - [Unit Mix (Seq: 57)] Monthly Rent Per Unit - Both]&gt;</t>
        </r>
      </text>
    </comment>
    <comment ref="C1051" authorId="1" shapeId="0" xr:uid="{A52FD5BC-342A-4062-8D6B-1D8BA2673925}">
      <text>
        <r>
          <rPr>
            <b/>
            <sz val="9"/>
            <color indexed="81"/>
            <rFont val="Tahoma"/>
            <family val="2"/>
          </rPr>
          <t>&lt;[[TCDeals] - [TC Property Current Stage (Seq: 1)] - [Unit Mix (Seq: 58)] Income Target - Both]&gt;</t>
        </r>
      </text>
    </comment>
    <comment ref="D1051" authorId="0" shapeId="0" xr:uid="{10DD97DD-1217-42C1-B93F-D0E13C238D5E}">
      <text>
        <r>
          <rPr>
            <b/>
            <sz val="9"/>
            <color indexed="81"/>
            <rFont val="Tahoma"/>
            <family val="2"/>
          </rPr>
          <t>&lt;[[TCDeals] - [TC Property Current Stage (Seq: 1)] - [Unit Mix (Seq: 58)] TC Unit Mix Type - Both]&gt;</t>
        </r>
      </text>
    </comment>
    <comment ref="E1051" authorId="0" shapeId="0" xr:uid="{5AFA0D08-77AC-4F1A-B8F9-0F02877CBBBA}">
      <text>
        <r>
          <rPr>
            <b/>
            <sz val="9"/>
            <color indexed="81"/>
            <rFont val="Tahoma"/>
            <family val="2"/>
          </rPr>
          <t>&lt;[[TCDeals] - [TC Property Current Stage (Seq: 1)] - [Unit Mix (Seq: 58)] Net Rentable Sq Ft - Both]&gt;</t>
        </r>
      </text>
    </comment>
    <comment ref="F1051" authorId="0" shapeId="0" xr:uid="{F57F8EBF-2FEF-4A8F-8961-F789A88F1233}">
      <text>
        <r>
          <rPr>
            <b/>
            <sz val="9"/>
            <color indexed="81"/>
            <rFont val="Tahoma"/>
            <family val="2"/>
          </rPr>
          <t>&lt;[[TCDeals] - [TC Property Current Stage (Seq: 1)] - [Unit Mix (Seq: 58)] Num Units - Both]&gt;</t>
        </r>
      </text>
    </comment>
    <comment ref="G1051" authorId="0" shapeId="0" xr:uid="{BFC4CC68-E3D1-44FB-B7C4-7F0ED5B96E97}">
      <text>
        <r>
          <rPr>
            <b/>
            <sz val="9"/>
            <color indexed="81"/>
            <rFont val="Tahoma"/>
            <family val="2"/>
          </rPr>
          <t>&lt;[[TCDeals] - [TC Property Current Stage (Seq: 1)] - [Unit Mix (Seq: 58)] Monthly Rent Per Unit - Both]&gt;</t>
        </r>
      </text>
    </comment>
    <comment ref="C1052" authorId="1" shapeId="0" xr:uid="{0AAF414E-386D-40C6-8DCD-55F94B032CF4}">
      <text>
        <r>
          <rPr>
            <b/>
            <sz val="9"/>
            <color indexed="81"/>
            <rFont val="Tahoma"/>
            <family val="2"/>
          </rPr>
          <t>&lt;[[TCDeals] - [TC Property Current Stage (Seq: 1)] - [Unit Mix (Seq: 59)] Income Target - Both]&gt;</t>
        </r>
      </text>
    </comment>
    <comment ref="D1052" authorId="0" shapeId="0" xr:uid="{91CB176E-14DF-4BDB-BC42-D118B955DD32}">
      <text>
        <r>
          <rPr>
            <b/>
            <sz val="9"/>
            <color indexed="81"/>
            <rFont val="Tahoma"/>
            <family val="2"/>
          </rPr>
          <t>&lt;[[TCDeals] - [TC Property Current Stage (Seq: 1)] - [Unit Mix (Seq: 59)] TC Unit Mix Type - Both]&gt;</t>
        </r>
      </text>
    </comment>
    <comment ref="E1052" authorId="0" shapeId="0" xr:uid="{AD22E638-5CB7-4129-9E1E-609194869C74}">
      <text>
        <r>
          <rPr>
            <b/>
            <sz val="9"/>
            <color indexed="81"/>
            <rFont val="Tahoma"/>
            <family val="2"/>
          </rPr>
          <t>&lt;[[TCDeals] - [TC Property Current Stage (Seq: 1)] - [Unit Mix (Seq: 59)] Net Rentable Sq Ft - Both]&gt;</t>
        </r>
      </text>
    </comment>
    <comment ref="F1052" authorId="0" shapeId="0" xr:uid="{C37BAC54-74E5-4AA1-BD96-B8083A0F9A3F}">
      <text>
        <r>
          <rPr>
            <b/>
            <sz val="9"/>
            <color indexed="81"/>
            <rFont val="Tahoma"/>
            <family val="2"/>
          </rPr>
          <t>&lt;[[TCDeals] - [TC Property Current Stage (Seq: 1)] - [Unit Mix (Seq: 59)] Num Units - Both]&gt;</t>
        </r>
      </text>
    </comment>
    <comment ref="G1052" authorId="0" shapeId="0" xr:uid="{AB9277B5-F119-44A4-9CDE-C4A356A20674}">
      <text>
        <r>
          <rPr>
            <b/>
            <sz val="9"/>
            <color indexed="81"/>
            <rFont val="Tahoma"/>
            <family val="2"/>
          </rPr>
          <t>&lt;[[TCDeals] - [TC Property Current Stage (Seq: 1)] - [Unit Mix (Seq: 59)] Monthly Rent Per Unit - Both]&gt;</t>
        </r>
      </text>
    </comment>
    <comment ref="C1053" authorId="1" shapeId="0" xr:uid="{737D1D9B-2495-49C2-B770-1F0E3856CC7C}">
      <text>
        <r>
          <rPr>
            <b/>
            <sz val="9"/>
            <color indexed="81"/>
            <rFont val="Tahoma"/>
            <family val="2"/>
          </rPr>
          <t>&lt;[[TCDeals] - [TC Property Current Stage (Seq: 1)] - [Unit Mix (Seq: 60)] Income Target - Both]&gt;</t>
        </r>
      </text>
    </comment>
    <comment ref="D1053" authorId="0" shapeId="0" xr:uid="{7C0B11EC-68BF-4747-9954-177A0B51D8C1}">
      <text>
        <r>
          <rPr>
            <b/>
            <sz val="9"/>
            <color indexed="81"/>
            <rFont val="Tahoma"/>
            <family val="2"/>
          </rPr>
          <t>&lt;[[TCDeals] - [TC Property Current Stage (Seq: 1)] - [Unit Mix (Seq: 60)] TC Unit Mix Type - Both]&gt;</t>
        </r>
      </text>
    </comment>
    <comment ref="E1053" authorId="0" shapeId="0" xr:uid="{47FEC84C-F754-4E2F-99C2-3A18B2A506AD}">
      <text>
        <r>
          <rPr>
            <b/>
            <sz val="9"/>
            <color indexed="81"/>
            <rFont val="Tahoma"/>
            <family val="2"/>
          </rPr>
          <t>&lt;[[TCDeals] - [TC Property Current Stage (Seq: 1)] - [Unit Mix (Seq: 60)] Net Rentable Sq Ft - Both]&gt;</t>
        </r>
      </text>
    </comment>
    <comment ref="F1053" authorId="0" shapeId="0" xr:uid="{4B39FDF3-9DED-436D-BA40-2690D3FBC41D}">
      <text>
        <r>
          <rPr>
            <b/>
            <sz val="9"/>
            <color indexed="81"/>
            <rFont val="Tahoma"/>
            <family val="2"/>
          </rPr>
          <t>&lt;[[TCDeals] - [TC Property Current Stage (Seq: 1)] - [Unit Mix (Seq: 60)] Num Units - Both]&gt;</t>
        </r>
      </text>
    </comment>
    <comment ref="G1053" authorId="0" shapeId="0" xr:uid="{642EE297-95C4-4937-AA5A-270493568F60}">
      <text>
        <r>
          <rPr>
            <b/>
            <sz val="9"/>
            <color indexed="81"/>
            <rFont val="Tahoma"/>
            <family val="2"/>
          </rPr>
          <t>&lt;[[TCDeals] - [TC Property Current Stage (Seq: 1)] - [Unit Mix (Seq: 60)] Monthly Rent Per Unit - Both]&gt;</t>
        </r>
      </text>
    </comment>
    <comment ref="C1067" authorId="0" shapeId="0" xr:uid="{4BC6A7CB-2BB7-48D4-86A1-BD35D0B39B72}">
      <text>
        <r>
          <rPr>
            <b/>
            <sz val="9"/>
            <color indexed="81"/>
            <rFont val="Tahoma"/>
            <family val="2"/>
          </rPr>
          <t>&lt;[[TCDeals] - [TC Property Current Stage (Seq: 1)] - [Property Points (Seq: 1)] Annual Credit Amount - Both]&gt;</t>
        </r>
      </text>
    </comment>
    <comment ref="C1068" authorId="0" shapeId="0" xr:uid="{6E68F27F-3906-4CD3-BF42-949CAEA49CCA}">
      <text>
        <r>
          <rPr>
            <b/>
            <sz val="9"/>
            <color indexed="81"/>
            <rFont val="Tahoma"/>
            <family val="2"/>
          </rPr>
          <t>&lt;[[TCDeals] - [TC Property Current Stage (Seq: 1)] - [Property Points (Seq: 1)] New Con/Rehab Annual Credit Amount - Both]&gt;</t>
        </r>
      </text>
    </comment>
    <comment ref="C1069" authorId="0" shapeId="0" xr:uid="{B4095901-4B3F-4BE7-AD8E-F6997B851ADD}">
      <text>
        <r>
          <rPr>
            <b/>
            <sz val="9"/>
            <color indexed="81"/>
            <rFont val="Tahoma"/>
            <family val="2"/>
          </rPr>
          <t>&lt;[[TCDeals] - [TC Property Current Stage (Seq: 1)] - [Property Points (Seq: 1)] Acq Total Quaified Basis - Both]&gt;</t>
        </r>
      </text>
    </comment>
    <comment ref="C1070" authorId="0" shapeId="0" xr:uid="{2D22D473-E3B6-497E-A966-FAE23D6182AF}">
      <text>
        <r>
          <rPr>
            <b/>
            <sz val="9"/>
            <color indexed="81"/>
            <rFont val="Tahoma"/>
            <family val="2"/>
          </rPr>
          <t>&lt;[[TCDeals] - [TC Property Current Stage (Seq: 1)] - [Property Points (Seq: 1)] Acq Annual Credit Amount - Both]&gt;</t>
        </r>
      </text>
    </comment>
    <comment ref="C1071" authorId="0" shapeId="0" xr:uid="{CA130773-B16B-462D-966D-57230BB7C714}">
      <text>
        <r>
          <rPr>
            <b/>
            <sz val="9"/>
            <color indexed="81"/>
            <rFont val="Tahoma"/>
            <family val="2"/>
          </rPr>
          <t>&lt;[[TCDeals] - [TC Property Current Stage (Seq: 1)] - [Property Points (Seq: 1)] Optional Field 465 - Both]&gt;</t>
        </r>
      </text>
    </comment>
    <comment ref="C1072" authorId="0" shapeId="0" xr:uid="{1D47A742-B723-4B20-9554-D19F2C9321F3}">
      <text>
        <r>
          <rPr>
            <b/>
            <sz val="9"/>
            <color indexed="81"/>
            <rFont val="Tahoma"/>
            <family val="2"/>
          </rPr>
          <t>&lt;[[TCDeals] - [TC Property Current Stage (Seq: 1)] - [Property Points (Seq: 1)] Optional Field 466 - Both]&gt;</t>
        </r>
      </text>
    </comment>
    <comment ref="C1073" authorId="0" shapeId="0" xr:uid="{E2B6C553-E527-4236-9A88-3FE565B98A65}">
      <text>
        <r>
          <rPr>
            <b/>
            <sz val="9"/>
            <color indexed="81"/>
            <rFont val="Tahoma"/>
            <family val="2"/>
          </rPr>
          <t>&lt;[[TCDeals] - [TC Property Current Stage (Seq: 1)] - [Property Points (Seq: 1)] Optional Field 467 - Both]&gt;</t>
        </r>
      </text>
    </comment>
    <comment ref="C1182" authorId="0" shapeId="0" xr:uid="{53289E36-F342-48CD-B36D-760B292F6EB3}">
      <text>
        <r>
          <rPr>
            <b/>
            <sz val="9"/>
            <color indexed="81"/>
            <rFont val="Tahoma"/>
            <family val="2"/>
          </rPr>
          <t>&lt;[[TCDeals] - [TC Property Current Stage (Seq: 1)] - [Buildings (Seq: 1)] BIN - Both]&gt;</t>
        </r>
      </text>
    </comment>
    <comment ref="D1182" authorId="0" shapeId="0" xr:uid="{2ABA462A-4F96-4D43-A0E6-E8913857BF92}">
      <text>
        <r>
          <rPr>
            <b/>
            <sz val="9"/>
            <color indexed="81"/>
            <rFont val="Tahoma"/>
            <family val="2"/>
          </rPr>
          <t>&lt;[[TCDeals] - [TC Property Current Stage (Seq: 1)] - [Buildings (Seq: 1)] Address 1 - Both]&gt;</t>
        </r>
      </text>
    </comment>
    <comment ref="E1182" authorId="0" shapeId="0" xr:uid="{477F3BD8-0A47-43DF-9E55-F62BAF8796DA}">
      <text>
        <r>
          <rPr>
            <b/>
            <sz val="9"/>
            <color indexed="81"/>
            <rFont val="Tahoma"/>
            <family val="2"/>
          </rPr>
          <t>&lt;[[TCDeals] - [TC Property Current Stage (Seq: 1)] - [Buildings (Seq: 1)] Num TC Units - Both]&gt;</t>
        </r>
      </text>
    </comment>
    <comment ref="F1182" authorId="0" shapeId="0" xr:uid="{3E09065A-C97A-451E-B079-F7C6CE760D6A}">
      <text>
        <r>
          <rPr>
            <b/>
            <sz val="9"/>
            <color indexed="81"/>
            <rFont val="Tahoma"/>
            <family val="2"/>
          </rPr>
          <t>&lt;[[TCDeals] - [TC Property Current Stage (Seq: 1)] - [Buildings (Seq: 1)] PVC PIS Date - Both]&gt;</t>
        </r>
      </text>
    </comment>
    <comment ref="G1182" authorId="0" shapeId="0" xr:uid="{B2BD0B74-EC78-4A96-8302-C1DB3F4819B6}">
      <text>
        <r>
          <rPr>
            <b/>
            <sz val="9"/>
            <color indexed="81"/>
            <rFont val="Tahoma"/>
            <family val="2"/>
          </rPr>
          <t>&lt;[[TCDeals] - [TC Property Current Stage (Seq: 1)] - [Buildings (Seq: 1)] PVC Applicable Percentage - Both]&gt;</t>
        </r>
      </text>
    </comment>
    <comment ref="H1182" authorId="0" shapeId="0" xr:uid="{E1D2EBF5-D7E6-4647-B93B-82E13435972D}">
      <text>
        <r>
          <rPr>
            <b/>
            <sz val="9"/>
            <color indexed="81"/>
            <rFont val="Tahoma"/>
            <family val="2"/>
          </rPr>
          <t>&lt;[[TCDeals] - [TC Property Current Stage (Seq: 1)] - [Buildings (Seq: 1)] PVC Est Qual Basis - Both]&gt;</t>
        </r>
      </text>
    </comment>
    <comment ref="I1182" authorId="0" shapeId="0" xr:uid="{3EA4C465-3D03-4242-926C-FC183700A1F5}">
      <text>
        <r>
          <rPr>
            <b/>
            <sz val="9"/>
            <color indexed="81"/>
            <rFont val="Tahoma"/>
            <family val="2"/>
          </rPr>
          <t>&lt;[[TCDeals] - [TC Property Current Stage (Seq: 1)] - [Buildings (Seq: 1)] PVC8609 Basis - Both]&gt;</t>
        </r>
      </text>
    </comment>
    <comment ref="J1182" authorId="0" shapeId="0" xr:uid="{8E36187E-0840-459E-945F-3F8864AFE9B7}">
      <text>
        <r>
          <rPr>
            <b/>
            <sz val="9"/>
            <color indexed="81"/>
            <rFont val="Tahoma"/>
            <family val="2"/>
          </rPr>
          <t>&lt;[[TCDeals] - [TC Property Current Stage (Seq: 1)] - [Buildings (Seq: 1)] PVC8609 Credit - Both]&gt;</t>
        </r>
      </text>
    </comment>
    <comment ref="K1182" authorId="0" shapeId="0" xr:uid="{BEA942B5-16B2-45B4-A00F-AEE43E7FF9CC}">
      <text>
        <r>
          <rPr>
            <b/>
            <sz val="9"/>
            <color indexed="81"/>
            <rFont val="Tahoma"/>
            <family val="2"/>
          </rPr>
          <t>&lt;[[TCDeals] - [TC Property Current Stage (Seq: 1)] - [Buildings (Seq: 1)] Constr PIS Date - Both]&gt;</t>
        </r>
      </text>
    </comment>
    <comment ref="L1182" authorId="0" shapeId="0" xr:uid="{BE949012-B418-4F9F-B249-6D7942C969E7}">
      <text>
        <r>
          <rPr>
            <b/>
            <sz val="9"/>
            <color indexed="81"/>
            <rFont val="Tahoma"/>
            <family val="2"/>
          </rPr>
          <t>&lt;[[TCDeals] - [TC Property Current Stage (Seq: 1)] - [Buildings (Seq: 1)] Constr Applicable Percentage - Both]&gt;</t>
        </r>
      </text>
    </comment>
    <comment ref="M1182" authorId="0" shapeId="0" xr:uid="{B3474222-DB58-4670-87AE-AB9AA4987E91}">
      <text>
        <r>
          <rPr>
            <b/>
            <sz val="9"/>
            <color indexed="81"/>
            <rFont val="Tahoma"/>
            <family val="2"/>
          </rPr>
          <t>&lt;[[TCDeals] - [TC Property Current Stage (Seq: 1)] - [Buildings (Seq: 1)] Constr Est Qual Basis - Both]&gt;</t>
        </r>
      </text>
    </comment>
    <comment ref="N1182" authorId="0" shapeId="0" xr:uid="{07CBC026-DB5B-400C-BE38-0D4F05C99043}">
      <text>
        <r>
          <rPr>
            <b/>
            <sz val="9"/>
            <color indexed="81"/>
            <rFont val="Tahoma"/>
            <family val="2"/>
          </rPr>
          <t>&lt;[[TCDeals] - [TC Property Current Stage (Seq: 1)] - [Buildings (Seq: 1)] Constr 8609 Basis - Both]&gt;</t>
        </r>
      </text>
    </comment>
    <comment ref="O1182" authorId="0" shapeId="0" xr:uid="{FBA3B975-DADA-4BC0-8C6A-DB491147ED27}">
      <text>
        <r>
          <rPr>
            <b/>
            <sz val="9"/>
            <color indexed="81"/>
            <rFont val="Tahoma"/>
            <family val="2"/>
          </rPr>
          <t>&lt;[[TCDeals] - [TC Property Current Stage (Seq: 1)] - [Buildings (Seq: 1)] Constr 8609 Credit - Both]&gt;</t>
        </r>
      </text>
    </comment>
    <comment ref="P1182" authorId="0" shapeId="0" xr:uid="{B30FE97E-CA4B-44BF-808B-0EED71247865}">
      <text>
        <r>
          <rPr>
            <b/>
            <sz val="9"/>
            <color indexed="81"/>
            <rFont val="Tahoma"/>
            <family val="2"/>
          </rPr>
          <t>&lt;[[TCDeals] - [TC Property Current Stage (Seq: 1)] - [Buildings (Seq: 1)] Acq PIS Date - Both]&gt;</t>
        </r>
      </text>
    </comment>
    <comment ref="Q1182" authorId="0" shapeId="0" xr:uid="{372DFFF9-B8DB-4874-987C-23C94BDCC1A2}">
      <text>
        <r>
          <rPr>
            <b/>
            <sz val="9"/>
            <color indexed="81"/>
            <rFont val="Tahoma"/>
            <family val="2"/>
          </rPr>
          <t>&lt;[[TCDeals] - [TC Property Current Stage (Seq: 1)] - [Buildings (Seq: 1)] Acq Applicable Percentage - Both]&gt;</t>
        </r>
      </text>
    </comment>
    <comment ref="R1182" authorId="0" shapeId="0" xr:uid="{5908EB88-8769-40C4-AE35-14AB91ACE05D}">
      <text>
        <r>
          <rPr>
            <b/>
            <sz val="9"/>
            <color indexed="81"/>
            <rFont val="Tahoma"/>
            <family val="2"/>
          </rPr>
          <t>&lt;[[TCDeals] - [TC Property Current Stage (Seq: 1)] - [Buildings (Seq: 1)] Acq Est Qual Basis - Both]&gt;</t>
        </r>
      </text>
    </comment>
    <comment ref="S1182" authorId="0" shapeId="0" xr:uid="{6677448A-A386-4F5A-9E80-A1FC8B6955D1}">
      <text>
        <r>
          <rPr>
            <b/>
            <sz val="9"/>
            <color indexed="81"/>
            <rFont val="Tahoma"/>
            <family val="2"/>
          </rPr>
          <t>&lt;[[TCDeals] - [TC Property Current Stage (Seq: 1)] - [Buildings (Seq: 1)] Acq 8609 Basis - Both]&gt;</t>
        </r>
      </text>
    </comment>
    <comment ref="T1182" authorId="0" shapeId="0" xr:uid="{5D73C502-56DD-4A3A-86AF-A37569836366}">
      <text>
        <r>
          <rPr>
            <b/>
            <sz val="9"/>
            <color indexed="81"/>
            <rFont val="Tahoma"/>
            <family val="2"/>
          </rPr>
          <t>&lt;[[TCDeals] - [TC Property Current Stage (Seq: 1)] - [Buildings (Seq: 1)] Acq 8609 Credit - Both]&gt;</t>
        </r>
      </text>
    </comment>
    <comment ref="C1183" authorId="0" shapeId="0" xr:uid="{09FD0FD7-B26C-47E5-B123-5EBD2C8AE7DB}">
      <text>
        <r>
          <rPr>
            <b/>
            <sz val="9"/>
            <color indexed="81"/>
            <rFont val="Tahoma"/>
            <family val="2"/>
          </rPr>
          <t>&lt;[[TCDeals] - [TC Property Current Stage (Seq: 1)] - [Buildings (Seq: 2)] BIN - Both]&gt;</t>
        </r>
      </text>
    </comment>
    <comment ref="D1183" authorId="0" shapeId="0" xr:uid="{A355DCEE-0E51-43FF-B140-604230962701}">
      <text>
        <r>
          <rPr>
            <b/>
            <sz val="9"/>
            <color indexed="81"/>
            <rFont val="Tahoma"/>
            <family val="2"/>
          </rPr>
          <t>&lt;[[TCDeals] - [TC Property Current Stage (Seq: 1)] - [Buildings (Seq: 2)] Address 1 - Both]&gt;</t>
        </r>
      </text>
    </comment>
    <comment ref="E1183" authorId="0" shapeId="0" xr:uid="{2719AD26-B466-4F7D-BC70-DDDBE6BF85DD}">
      <text>
        <r>
          <rPr>
            <b/>
            <sz val="9"/>
            <color indexed="81"/>
            <rFont val="Tahoma"/>
            <family val="2"/>
          </rPr>
          <t>&lt;[[TCDeals] - [TC Property Current Stage (Seq: 1)] - [Buildings (Seq: 2)] Num TC Units - Both]&gt;</t>
        </r>
      </text>
    </comment>
    <comment ref="F1183" authorId="0" shapeId="0" xr:uid="{A232AB4A-E530-4683-9C29-9ED286559A0A}">
      <text>
        <r>
          <rPr>
            <b/>
            <sz val="9"/>
            <color indexed="81"/>
            <rFont val="Tahoma"/>
            <family val="2"/>
          </rPr>
          <t>&lt;[[TCDeals] - [TC Property Current Stage (Seq: 1)] - [Buildings (Seq: 2)] PVC PIS Date - Both]&gt;</t>
        </r>
      </text>
    </comment>
    <comment ref="G1183" authorId="0" shapeId="0" xr:uid="{9E250857-173F-4E6D-9B7A-94E8A28D66F3}">
      <text>
        <r>
          <rPr>
            <b/>
            <sz val="9"/>
            <color indexed="81"/>
            <rFont val="Tahoma"/>
            <family val="2"/>
          </rPr>
          <t>&lt;[[TCDeals] - [TC Property Current Stage (Seq: 1)] - [Buildings (Seq: 2)] PVC Applicable Percentage - Both]&gt;</t>
        </r>
      </text>
    </comment>
    <comment ref="H1183" authorId="0" shapeId="0" xr:uid="{267AD542-214A-45B6-9CC1-79E843E24EEA}">
      <text>
        <r>
          <rPr>
            <b/>
            <sz val="9"/>
            <color indexed="81"/>
            <rFont val="Tahoma"/>
            <family val="2"/>
          </rPr>
          <t>&lt;[[TCDeals] - [TC Property Current Stage (Seq: 1)] - [Buildings (Seq: 2)] PVC Est Qual Basis - Both]&gt;</t>
        </r>
      </text>
    </comment>
    <comment ref="I1183" authorId="0" shapeId="0" xr:uid="{65786346-7B0B-4394-8B86-ECC72F244D4A}">
      <text>
        <r>
          <rPr>
            <b/>
            <sz val="9"/>
            <color indexed="81"/>
            <rFont val="Tahoma"/>
            <family val="2"/>
          </rPr>
          <t>&lt;[[TCDeals] - [TC Property Current Stage (Seq: 1)] - [Buildings (Seq: 2)] PVC8609 Basis - Both]&gt;</t>
        </r>
      </text>
    </comment>
    <comment ref="J1183" authorId="0" shapeId="0" xr:uid="{9A9E7028-1500-4BC8-8F23-2F1232C77C41}">
      <text>
        <r>
          <rPr>
            <b/>
            <sz val="9"/>
            <color indexed="81"/>
            <rFont val="Tahoma"/>
            <family val="2"/>
          </rPr>
          <t>&lt;[[TCDeals] - [TC Property Current Stage (Seq: 1)] - [Buildings (Seq: 2)] PVC8609 Credit - Both]&gt;</t>
        </r>
      </text>
    </comment>
    <comment ref="K1183" authorId="0" shapeId="0" xr:uid="{92795CD9-8832-4424-9442-E54C4791B432}">
      <text>
        <r>
          <rPr>
            <b/>
            <sz val="9"/>
            <color indexed="81"/>
            <rFont val="Tahoma"/>
            <family val="2"/>
          </rPr>
          <t>&lt;[[TCDeals] - [TC Property Current Stage (Seq: 1)] - [Buildings (Seq: 2)] Constr PIS Date - Both]&gt;</t>
        </r>
      </text>
    </comment>
    <comment ref="L1183" authorId="0" shapeId="0" xr:uid="{4810D24C-6C43-4D36-ABDA-D8A9B39F21F8}">
      <text>
        <r>
          <rPr>
            <b/>
            <sz val="9"/>
            <color indexed="81"/>
            <rFont val="Tahoma"/>
            <family val="2"/>
          </rPr>
          <t>&lt;[[TCDeals] - [TC Property Current Stage (Seq: 1)] - [Buildings (Seq: 2)] Constr Applicable Percentage - Both]&gt;</t>
        </r>
      </text>
    </comment>
    <comment ref="M1183" authorId="0" shapeId="0" xr:uid="{DEA1BACD-DDF9-4B00-AC91-358625F76DA0}">
      <text>
        <r>
          <rPr>
            <b/>
            <sz val="9"/>
            <color indexed="81"/>
            <rFont val="Tahoma"/>
            <family val="2"/>
          </rPr>
          <t>&lt;[[TCDeals] - [TC Property Current Stage (Seq: 1)] - [Buildings (Seq: 2)] Constr Est Qual Basis - Both]&gt;</t>
        </r>
      </text>
    </comment>
    <comment ref="N1183" authorId="0" shapeId="0" xr:uid="{98575030-15F1-44C5-9197-890486DB4E42}">
      <text>
        <r>
          <rPr>
            <b/>
            <sz val="9"/>
            <color indexed="81"/>
            <rFont val="Tahoma"/>
            <family val="2"/>
          </rPr>
          <t>&lt;[[TCDeals] - [TC Property Current Stage (Seq: 1)] - [Buildings (Seq: 2)] Constr 8609 Basis - Both]&gt;</t>
        </r>
      </text>
    </comment>
    <comment ref="O1183" authorId="0" shapeId="0" xr:uid="{38AC0BF7-0EB5-4BA1-9D96-3FD69A2FC861}">
      <text>
        <r>
          <rPr>
            <b/>
            <sz val="9"/>
            <color indexed="81"/>
            <rFont val="Tahoma"/>
            <family val="2"/>
          </rPr>
          <t>&lt;[[TCDeals] - [TC Property Current Stage (Seq: 1)] - [Buildings (Seq: 2)] Constr 8609 Credit - Both]&gt;</t>
        </r>
      </text>
    </comment>
    <comment ref="P1183" authorId="0" shapeId="0" xr:uid="{15B44BF4-BD30-4F4B-93DC-EB0B6A60D8F2}">
      <text>
        <r>
          <rPr>
            <b/>
            <sz val="9"/>
            <color indexed="81"/>
            <rFont val="Tahoma"/>
            <family val="2"/>
          </rPr>
          <t>&lt;[[TCDeals] - [TC Property Current Stage (Seq: 1)] - [Buildings (Seq: 2)] Acq PIS Date - Both]&gt;</t>
        </r>
      </text>
    </comment>
    <comment ref="Q1183" authorId="0" shapeId="0" xr:uid="{CB2EC0A4-74E1-411A-9DCE-F690716D3D77}">
      <text>
        <r>
          <rPr>
            <b/>
            <sz val="9"/>
            <color indexed="81"/>
            <rFont val="Tahoma"/>
            <family val="2"/>
          </rPr>
          <t>&lt;[[TCDeals] - [TC Property Current Stage (Seq: 1)] - [Buildings (Seq: 2)] Acq Applicable Percentage - Both]&gt;</t>
        </r>
      </text>
    </comment>
    <comment ref="R1183" authorId="0" shapeId="0" xr:uid="{5AAF9471-D4EC-4587-B16F-FD1705456433}">
      <text>
        <r>
          <rPr>
            <b/>
            <sz val="9"/>
            <color indexed="81"/>
            <rFont val="Tahoma"/>
            <family val="2"/>
          </rPr>
          <t>&lt;[[TCDeals] - [TC Property Current Stage (Seq: 1)] - [Buildings (Seq: 2)] Acq Est Qual Basis - Both]&gt;</t>
        </r>
      </text>
    </comment>
    <comment ref="S1183" authorId="0" shapeId="0" xr:uid="{6E80B972-E36D-4BD1-BCAB-0561EE7D2B63}">
      <text>
        <r>
          <rPr>
            <b/>
            <sz val="9"/>
            <color indexed="81"/>
            <rFont val="Tahoma"/>
            <family val="2"/>
          </rPr>
          <t>&lt;[[TCDeals] - [TC Property Current Stage (Seq: 1)] - [Buildings (Seq: 2)] Acq 8609 Basis - Both]&gt;</t>
        </r>
      </text>
    </comment>
    <comment ref="T1183" authorId="0" shapeId="0" xr:uid="{1F4DA537-9272-4B28-9DD9-0F361934BFBA}">
      <text>
        <r>
          <rPr>
            <b/>
            <sz val="9"/>
            <color indexed="81"/>
            <rFont val="Tahoma"/>
            <family val="2"/>
          </rPr>
          <t>&lt;[[TCDeals] - [TC Property Current Stage (Seq: 1)] - [Buildings (Seq: 2)] Acq 8609 Credit - Both]&gt;</t>
        </r>
      </text>
    </comment>
    <comment ref="C1184" authorId="0" shapeId="0" xr:uid="{FFD558EB-E036-4EFD-AAC4-3BB182B46D17}">
      <text>
        <r>
          <rPr>
            <b/>
            <sz val="9"/>
            <color indexed="81"/>
            <rFont val="Tahoma"/>
            <family val="2"/>
          </rPr>
          <t>&lt;[[TCDeals] - [TC Property Current Stage (Seq: 1)] - [Buildings (Seq: 3)] BIN - Both]&gt;</t>
        </r>
      </text>
    </comment>
    <comment ref="D1184" authorId="0" shapeId="0" xr:uid="{E78CDB1B-A25C-40DF-ACAA-93EE1708AEF9}">
      <text>
        <r>
          <rPr>
            <b/>
            <sz val="9"/>
            <color indexed="81"/>
            <rFont val="Tahoma"/>
            <family val="2"/>
          </rPr>
          <t>&lt;[[TCDeals] - [TC Property Current Stage (Seq: 1)] - [Buildings (Seq: 3)] Address 1 - Both]&gt;</t>
        </r>
      </text>
    </comment>
    <comment ref="E1184" authorId="0" shapeId="0" xr:uid="{17831272-0002-44E8-9A64-6152A889BB92}">
      <text>
        <r>
          <rPr>
            <b/>
            <sz val="9"/>
            <color indexed="81"/>
            <rFont val="Tahoma"/>
            <family val="2"/>
          </rPr>
          <t>&lt;[[TCDeals] - [TC Property Current Stage (Seq: 1)] - [Buildings (Seq: 3)] Num TC Units - Both]&gt;</t>
        </r>
      </text>
    </comment>
    <comment ref="F1184" authorId="0" shapeId="0" xr:uid="{747EA259-7CAE-4162-A2FA-7FB1B7AC7809}">
      <text>
        <r>
          <rPr>
            <b/>
            <sz val="9"/>
            <color indexed="81"/>
            <rFont val="Tahoma"/>
            <family val="2"/>
          </rPr>
          <t>&lt;[[TCDeals] - [TC Property Current Stage (Seq: 1)] - [Buildings (Seq: 3)] PVC PIS Date - Both]&gt;</t>
        </r>
      </text>
    </comment>
    <comment ref="G1184" authorId="0" shapeId="0" xr:uid="{74A7CC02-21D7-4DAB-85B0-DE9CD0D9328E}">
      <text>
        <r>
          <rPr>
            <b/>
            <sz val="9"/>
            <color indexed="81"/>
            <rFont val="Tahoma"/>
            <family val="2"/>
          </rPr>
          <t>&lt;[[TCDeals] - [TC Property Current Stage (Seq: 1)] - [Buildings (Seq: 3)] PVC Applicable Percentage - Both]&gt;</t>
        </r>
      </text>
    </comment>
    <comment ref="H1184" authorId="0" shapeId="0" xr:uid="{576A767C-0B09-4D38-AF90-BAE8D9C7F5BC}">
      <text>
        <r>
          <rPr>
            <b/>
            <sz val="9"/>
            <color indexed="81"/>
            <rFont val="Tahoma"/>
            <family val="2"/>
          </rPr>
          <t>&lt;[[TCDeals] - [TC Property Current Stage (Seq: 1)] - [Buildings (Seq: 3)] PVC Est Qual Basis - Both]&gt;</t>
        </r>
      </text>
    </comment>
    <comment ref="I1184" authorId="0" shapeId="0" xr:uid="{16F8E7FB-A79C-402B-A753-436C100110EF}">
      <text>
        <r>
          <rPr>
            <b/>
            <sz val="9"/>
            <color indexed="81"/>
            <rFont val="Tahoma"/>
            <family val="2"/>
          </rPr>
          <t>&lt;[[TCDeals] - [TC Property Current Stage (Seq: 1)] - [Buildings (Seq: 3)] PVC8609 Basis - Both]&gt;</t>
        </r>
      </text>
    </comment>
    <comment ref="J1184" authorId="0" shapeId="0" xr:uid="{CC227F69-B4F1-4F08-9B43-F92DA6C5EE6E}">
      <text>
        <r>
          <rPr>
            <b/>
            <sz val="9"/>
            <color indexed="81"/>
            <rFont val="Tahoma"/>
            <family val="2"/>
          </rPr>
          <t>&lt;[[TCDeals] - [TC Property Current Stage (Seq: 1)] - [Buildings (Seq: 3)] PVC8609 Credit - Both]&gt;</t>
        </r>
      </text>
    </comment>
    <comment ref="K1184" authorId="0" shapeId="0" xr:uid="{63D771B3-CF4F-49DB-8E73-F1772B5222EA}">
      <text>
        <r>
          <rPr>
            <b/>
            <sz val="9"/>
            <color indexed="81"/>
            <rFont val="Tahoma"/>
            <family val="2"/>
          </rPr>
          <t>&lt;[[TCDeals] - [TC Property Current Stage (Seq: 1)] - [Buildings (Seq: 3)] Constr PIS Date - Both]&gt;</t>
        </r>
      </text>
    </comment>
    <comment ref="L1184" authorId="0" shapeId="0" xr:uid="{4E8EF88B-3280-4941-8969-4618FA8F821F}">
      <text>
        <r>
          <rPr>
            <b/>
            <sz val="9"/>
            <color indexed="81"/>
            <rFont val="Tahoma"/>
            <family val="2"/>
          </rPr>
          <t>&lt;[[TCDeals] - [TC Property Current Stage (Seq: 1)] - [Buildings (Seq: 3)] Constr Applicable Percentage - Both]&gt;</t>
        </r>
      </text>
    </comment>
    <comment ref="M1184" authorId="0" shapeId="0" xr:uid="{1526D467-0778-4520-8870-4453FA1DE1DA}">
      <text>
        <r>
          <rPr>
            <b/>
            <sz val="9"/>
            <color indexed="81"/>
            <rFont val="Tahoma"/>
            <family val="2"/>
          </rPr>
          <t>&lt;[[TCDeals] - [TC Property Current Stage (Seq: 1)] - [Buildings (Seq: 3)] Constr Est Qual Basis - Both]&gt;</t>
        </r>
      </text>
    </comment>
    <comment ref="N1184" authorId="0" shapeId="0" xr:uid="{C2DA466C-D8B5-4F77-9C8B-FF1DA84875FC}">
      <text>
        <r>
          <rPr>
            <b/>
            <sz val="9"/>
            <color indexed="81"/>
            <rFont val="Tahoma"/>
            <family val="2"/>
          </rPr>
          <t>&lt;[[TCDeals] - [TC Property Current Stage (Seq: 1)] - [Buildings (Seq: 3)] Constr 8609 Basis - Both]&gt;</t>
        </r>
      </text>
    </comment>
    <comment ref="O1184" authorId="0" shapeId="0" xr:uid="{BA629FCD-EC97-47D0-A192-35D44803BB04}">
      <text>
        <r>
          <rPr>
            <b/>
            <sz val="9"/>
            <color indexed="81"/>
            <rFont val="Tahoma"/>
            <family val="2"/>
          </rPr>
          <t>&lt;[[TCDeals] - [TC Property Current Stage (Seq: 1)] - [Buildings (Seq: 3)] Constr 8609 Credit - Both]&gt;</t>
        </r>
      </text>
    </comment>
    <comment ref="P1184" authorId="0" shapeId="0" xr:uid="{334159AB-DC09-4D19-B81C-E7FC65BB02CF}">
      <text>
        <r>
          <rPr>
            <b/>
            <sz val="9"/>
            <color indexed="81"/>
            <rFont val="Tahoma"/>
            <family val="2"/>
          </rPr>
          <t>&lt;[[TCDeals] - [TC Property Current Stage (Seq: 1)] - [Buildings (Seq: 3)] Acq PIS Date - Both]&gt;</t>
        </r>
      </text>
    </comment>
    <comment ref="Q1184" authorId="0" shapeId="0" xr:uid="{D13414FD-96DA-46B3-909C-667774A37926}">
      <text>
        <r>
          <rPr>
            <b/>
            <sz val="9"/>
            <color indexed="81"/>
            <rFont val="Tahoma"/>
            <family val="2"/>
          </rPr>
          <t>&lt;[[TCDeals] - [TC Property Current Stage (Seq: 1)] - [Buildings (Seq: 3)] Acq Applicable Percentage - Both]&gt;</t>
        </r>
      </text>
    </comment>
    <comment ref="R1184" authorId="0" shapeId="0" xr:uid="{29C519C5-6FC3-41EF-95CE-BA8D2DF8CCAB}">
      <text>
        <r>
          <rPr>
            <b/>
            <sz val="9"/>
            <color indexed="81"/>
            <rFont val="Tahoma"/>
            <family val="2"/>
          </rPr>
          <t>&lt;[[TCDeals] - [TC Property Current Stage (Seq: 1)] - [Buildings (Seq: 3)] Acq Est Qual Basis - Both]&gt;</t>
        </r>
      </text>
    </comment>
    <comment ref="S1184" authorId="0" shapeId="0" xr:uid="{DA6A0D33-C79C-4E1C-A6A6-90ABB27192C0}">
      <text>
        <r>
          <rPr>
            <b/>
            <sz val="9"/>
            <color indexed="81"/>
            <rFont val="Tahoma"/>
            <family val="2"/>
          </rPr>
          <t>&lt;[[TCDeals] - [TC Property Current Stage (Seq: 1)] - [Buildings (Seq: 3)] Acq 8609 Basis - Both]&gt;</t>
        </r>
      </text>
    </comment>
    <comment ref="T1184" authorId="0" shapeId="0" xr:uid="{ED062226-9683-4913-AEC8-3CEA1024E536}">
      <text>
        <r>
          <rPr>
            <b/>
            <sz val="9"/>
            <color indexed="81"/>
            <rFont val="Tahoma"/>
            <family val="2"/>
          </rPr>
          <t>&lt;[[TCDeals] - [TC Property Current Stage (Seq: 1)] - [Buildings (Seq: 3)] Acq 8609 Credit - Both]&gt;</t>
        </r>
      </text>
    </comment>
    <comment ref="C1185" authorId="0" shapeId="0" xr:uid="{DC703961-C898-48E9-8781-0DCA22AEADF1}">
      <text>
        <r>
          <rPr>
            <b/>
            <sz val="9"/>
            <color indexed="81"/>
            <rFont val="Tahoma"/>
            <family val="2"/>
          </rPr>
          <t>&lt;[[TCDeals] - [TC Property Current Stage (Seq: 1)] - [Buildings (Seq: 4)] BIN - Both]&gt;</t>
        </r>
      </text>
    </comment>
    <comment ref="D1185" authorId="0" shapeId="0" xr:uid="{664CB0DE-359F-40D6-9604-57D06D08F4EA}">
      <text>
        <r>
          <rPr>
            <b/>
            <sz val="9"/>
            <color indexed="81"/>
            <rFont val="Tahoma"/>
            <family val="2"/>
          </rPr>
          <t>&lt;[[TCDeals] - [TC Property Current Stage (Seq: 1)] - [Buildings (Seq: 4)] Address 1 - Both]&gt;</t>
        </r>
      </text>
    </comment>
    <comment ref="E1185" authorId="0" shapeId="0" xr:uid="{219C0786-7880-429C-B0DE-AF5D4BA82CFB}">
      <text>
        <r>
          <rPr>
            <b/>
            <sz val="9"/>
            <color indexed="81"/>
            <rFont val="Tahoma"/>
            <family val="2"/>
          </rPr>
          <t>&lt;[[TCDeals] - [TC Property Current Stage (Seq: 1)] - [Buildings (Seq: 4)] Num TC Units - Both]&gt;</t>
        </r>
      </text>
    </comment>
    <comment ref="F1185" authorId="0" shapeId="0" xr:uid="{03814A8C-18E6-4DAC-BA4A-FE35C7A05B8E}">
      <text>
        <r>
          <rPr>
            <b/>
            <sz val="9"/>
            <color indexed="81"/>
            <rFont val="Tahoma"/>
            <family val="2"/>
          </rPr>
          <t>&lt;[[TCDeals] - [TC Property Current Stage (Seq: 1)] - [Buildings (Seq: 4)] PVC PIS Date - Both]&gt;</t>
        </r>
      </text>
    </comment>
    <comment ref="G1185" authorId="0" shapeId="0" xr:uid="{9BA1189B-4AA2-4EB4-9E84-3AED6A2EDBFF}">
      <text>
        <r>
          <rPr>
            <b/>
            <sz val="9"/>
            <color indexed="81"/>
            <rFont val="Tahoma"/>
            <family val="2"/>
          </rPr>
          <t>&lt;[[TCDeals] - [TC Property Current Stage (Seq: 1)] - [Buildings (Seq: 4)] PVC Applicable Percentage - Both]&gt;</t>
        </r>
      </text>
    </comment>
    <comment ref="H1185" authorId="0" shapeId="0" xr:uid="{4BBEFCD0-F4B8-4B05-A8A9-0C077D3AAA02}">
      <text>
        <r>
          <rPr>
            <b/>
            <sz val="9"/>
            <color indexed="81"/>
            <rFont val="Tahoma"/>
            <family val="2"/>
          </rPr>
          <t>&lt;[[TCDeals] - [TC Property Current Stage (Seq: 1)] - [Buildings (Seq: 4)] PVC Est Qual Basis - Both]&gt;</t>
        </r>
      </text>
    </comment>
    <comment ref="I1185" authorId="0" shapeId="0" xr:uid="{0794DCD5-173F-4E73-AE0C-484581AD74F5}">
      <text>
        <r>
          <rPr>
            <b/>
            <sz val="9"/>
            <color indexed="81"/>
            <rFont val="Tahoma"/>
            <family val="2"/>
          </rPr>
          <t>&lt;[[TCDeals] - [TC Property Current Stage (Seq: 1)] - [Buildings (Seq: 4)] PVC8609 Basis - Both]&gt;</t>
        </r>
      </text>
    </comment>
    <comment ref="J1185" authorId="0" shapeId="0" xr:uid="{0C2F6957-2FA1-40F0-B573-CEA2AE993885}">
      <text>
        <r>
          <rPr>
            <b/>
            <sz val="9"/>
            <color indexed="81"/>
            <rFont val="Tahoma"/>
            <family val="2"/>
          </rPr>
          <t>&lt;[[TCDeals] - [TC Property Current Stage (Seq: 1)] - [Buildings (Seq: 4)] PVC8609 Credit - Both]&gt;</t>
        </r>
      </text>
    </comment>
    <comment ref="K1185" authorId="0" shapeId="0" xr:uid="{F158CA07-497F-46B9-8A44-A733F5B6E308}">
      <text>
        <r>
          <rPr>
            <b/>
            <sz val="9"/>
            <color indexed="81"/>
            <rFont val="Tahoma"/>
            <family val="2"/>
          </rPr>
          <t>&lt;[[TCDeals] - [TC Property Current Stage (Seq: 1)] - [Buildings (Seq: 4)] Constr PIS Date - Both]&gt;</t>
        </r>
      </text>
    </comment>
    <comment ref="L1185" authorId="0" shapeId="0" xr:uid="{3EF6FCB0-E786-4D59-9B9E-FB1966FBAD88}">
      <text>
        <r>
          <rPr>
            <b/>
            <sz val="9"/>
            <color indexed="81"/>
            <rFont val="Tahoma"/>
            <family val="2"/>
          </rPr>
          <t>&lt;[[TCDeals] - [TC Property Current Stage (Seq: 1)] - [Buildings (Seq: 4)] Constr Applicable Percentage - Both]&gt;</t>
        </r>
      </text>
    </comment>
    <comment ref="M1185" authorId="0" shapeId="0" xr:uid="{1EC7AF51-107F-4F72-89A8-49496AD2B260}">
      <text>
        <r>
          <rPr>
            <b/>
            <sz val="9"/>
            <color indexed="81"/>
            <rFont val="Tahoma"/>
            <family val="2"/>
          </rPr>
          <t>&lt;[[TCDeals] - [TC Property Current Stage (Seq: 1)] - [Buildings (Seq: 4)] Constr Est Qual Basis - Both]&gt;</t>
        </r>
      </text>
    </comment>
    <comment ref="N1185" authorId="0" shapeId="0" xr:uid="{ED983F6C-F324-41C0-8894-F6C478550D76}">
      <text>
        <r>
          <rPr>
            <b/>
            <sz val="9"/>
            <color indexed="81"/>
            <rFont val="Tahoma"/>
            <family val="2"/>
          </rPr>
          <t>&lt;[[TCDeals] - [TC Property Current Stage (Seq: 1)] - [Buildings (Seq: 4)] Constr 8609 Basis - Both]&gt;</t>
        </r>
      </text>
    </comment>
    <comment ref="O1185" authorId="0" shapeId="0" xr:uid="{2742D035-8504-43F2-B972-80A44D363529}">
      <text>
        <r>
          <rPr>
            <b/>
            <sz val="9"/>
            <color indexed="81"/>
            <rFont val="Tahoma"/>
            <family val="2"/>
          </rPr>
          <t>&lt;[[TCDeals] - [TC Property Current Stage (Seq: 1)] - [Buildings (Seq: 4)] Constr 8609 Credit - Both]&gt;</t>
        </r>
      </text>
    </comment>
    <comment ref="P1185" authorId="0" shapeId="0" xr:uid="{0B1E47E1-9FD1-4A7B-9ADF-C29F52BDAA2B}">
      <text>
        <r>
          <rPr>
            <b/>
            <sz val="9"/>
            <color indexed="81"/>
            <rFont val="Tahoma"/>
            <family val="2"/>
          </rPr>
          <t>&lt;[[TCDeals] - [TC Property Current Stage (Seq: 1)] - [Buildings (Seq: 4)] Acq PIS Date - Both]&gt;</t>
        </r>
      </text>
    </comment>
    <comment ref="Q1185" authorId="0" shapeId="0" xr:uid="{7227F310-DDD9-47E2-A2A4-2C5546E52981}">
      <text>
        <r>
          <rPr>
            <b/>
            <sz val="9"/>
            <color indexed="81"/>
            <rFont val="Tahoma"/>
            <family val="2"/>
          </rPr>
          <t>&lt;[[TCDeals] - [TC Property Current Stage (Seq: 1)] - [Buildings (Seq: 4)] Acq Applicable Percentage - Both]&gt;</t>
        </r>
      </text>
    </comment>
    <comment ref="R1185" authorId="0" shapeId="0" xr:uid="{FD83E607-C883-453C-9C91-6325F3DDD6C6}">
      <text>
        <r>
          <rPr>
            <b/>
            <sz val="9"/>
            <color indexed="81"/>
            <rFont val="Tahoma"/>
            <family val="2"/>
          </rPr>
          <t>&lt;[[TCDeals] - [TC Property Current Stage (Seq: 1)] - [Buildings (Seq: 4)] Acq Est Qual Basis - Both]&gt;</t>
        </r>
      </text>
    </comment>
    <comment ref="S1185" authorId="0" shapeId="0" xr:uid="{06BB1361-F566-4A2F-A385-EDD39512BB03}">
      <text>
        <r>
          <rPr>
            <b/>
            <sz val="9"/>
            <color indexed="81"/>
            <rFont val="Tahoma"/>
            <family val="2"/>
          </rPr>
          <t>&lt;[[TCDeals] - [TC Property Current Stage (Seq: 1)] - [Buildings (Seq: 4)] Acq 8609 Basis - Both]&gt;</t>
        </r>
      </text>
    </comment>
    <comment ref="T1185" authorId="0" shapeId="0" xr:uid="{13565E48-F449-440C-841C-7054E1278D46}">
      <text>
        <r>
          <rPr>
            <b/>
            <sz val="9"/>
            <color indexed="81"/>
            <rFont val="Tahoma"/>
            <family val="2"/>
          </rPr>
          <t>&lt;[[TCDeals] - [TC Property Current Stage (Seq: 1)] - [Buildings (Seq: 4)] Acq 8609 Credit - Both]&gt;</t>
        </r>
      </text>
    </comment>
    <comment ref="C1186" authorId="0" shapeId="0" xr:uid="{69170862-2791-4196-91CA-01E14F12FA92}">
      <text>
        <r>
          <rPr>
            <b/>
            <sz val="9"/>
            <color indexed="81"/>
            <rFont val="Tahoma"/>
            <family val="2"/>
          </rPr>
          <t>&lt;[[TCDeals] - [TC Property Current Stage (Seq: 1)] - [Buildings (Seq: 5)] BIN - Both]&gt;</t>
        </r>
      </text>
    </comment>
    <comment ref="D1186" authorId="0" shapeId="0" xr:uid="{5CA233C3-C20D-4C97-BC88-5B37F14DDA92}">
      <text>
        <r>
          <rPr>
            <b/>
            <sz val="9"/>
            <color indexed="81"/>
            <rFont val="Tahoma"/>
            <family val="2"/>
          </rPr>
          <t>&lt;[[TCDeals] - [TC Property Current Stage (Seq: 1)] - [Buildings (Seq: 5)] Address 1 - Both]&gt;</t>
        </r>
      </text>
    </comment>
    <comment ref="E1186" authorId="0" shapeId="0" xr:uid="{D8F57DD9-66B4-4816-8637-5581DF3FDBF6}">
      <text>
        <r>
          <rPr>
            <b/>
            <sz val="9"/>
            <color indexed="81"/>
            <rFont val="Tahoma"/>
            <family val="2"/>
          </rPr>
          <t>&lt;[[TCDeals] - [TC Property Current Stage (Seq: 1)] - [Buildings (Seq: 5)] Num TC Units - Both]&gt;</t>
        </r>
      </text>
    </comment>
    <comment ref="F1186" authorId="0" shapeId="0" xr:uid="{72BFE7BB-0EC3-4C43-BFAD-B11C61EB3E2E}">
      <text>
        <r>
          <rPr>
            <b/>
            <sz val="9"/>
            <color indexed="81"/>
            <rFont val="Tahoma"/>
            <family val="2"/>
          </rPr>
          <t>&lt;[[TCDeals] - [TC Property Current Stage (Seq: 1)] - [Buildings (Seq: 5)] PVC PIS Date - Both]&gt;</t>
        </r>
      </text>
    </comment>
    <comment ref="G1186" authorId="0" shapeId="0" xr:uid="{534609FF-B71C-4A5B-99A6-8DAA6078CA02}">
      <text>
        <r>
          <rPr>
            <b/>
            <sz val="9"/>
            <color indexed="81"/>
            <rFont val="Tahoma"/>
            <family val="2"/>
          </rPr>
          <t>&lt;[[TCDeals] - [TC Property Current Stage (Seq: 1)] - [Buildings (Seq: 5)] PVC Applicable Percentage - Both]&gt;</t>
        </r>
      </text>
    </comment>
    <comment ref="H1186" authorId="0" shapeId="0" xr:uid="{A519A491-658C-43AD-B993-7CF863A94CFE}">
      <text>
        <r>
          <rPr>
            <b/>
            <sz val="9"/>
            <color indexed="81"/>
            <rFont val="Tahoma"/>
            <family val="2"/>
          </rPr>
          <t>&lt;[[TCDeals] - [TC Property Current Stage (Seq: 1)] - [Buildings (Seq: 5)] PVC Est Qual Basis - Both]&gt;</t>
        </r>
      </text>
    </comment>
    <comment ref="I1186" authorId="0" shapeId="0" xr:uid="{F1824F8F-D45F-452D-857D-2076F169243F}">
      <text>
        <r>
          <rPr>
            <b/>
            <sz val="9"/>
            <color indexed="81"/>
            <rFont val="Tahoma"/>
            <family val="2"/>
          </rPr>
          <t>&lt;[[TCDeals] - [TC Property Current Stage (Seq: 1)] - [Buildings (Seq: 5)] PVC8609 Basis - Both]&gt;</t>
        </r>
      </text>
    </comment>
    <comment ref="J1186" authorId="0" shapeId="0" xr:uid="{FA9E40A6-F857-4867-B5D4-FA7C8A692B03}">
      <text>
        <r>
          <rPr>
            <b/>
            <sz val="9"/>
            <color indexed="81"/>
            <rFont val="Tahoma"/>
            <family val="2"/>
          </rPr>
          <t>&lt;[[TCDeals] - [TC Property Current Stage (Seq: 1)] - [Buildings (Seq: 5)] PVC8609 Credit - Both]&gt;</t>
        </r>
      </text>
    </comment>
    <comment ref="K1186" authorId="0" shapeId="0" xr:uid="{4F1D9D6F-956C-4209-852C-42FF5CB992E8}">
      <text>
        <r>
          <rPr>
            <b/>
            <sz val="9"/>
            <color indexed="81"/>
            <rFont val="Tahoma"/>
            <family val="2"/>
          </rPr>
          <t>&lt;[[TCDeals] - [TC Property Current Stage (Seq: 1)] - [Buildings (Seq: 5)] Constr PIS Date - Both]&gt;</t>
        </r>
      </text>
    </comment>
    <comment ref="L1186" authorId="0" shapeId="0" xr:uid="{C3696C2C-3739-4CDC-A892-5CA3AFB9C109}">
      <text>
        <r>
          <rPr>
            <b/>
            <sz val="9"/>
            <color indexed="81"/>
            <rFont val="Tahoma"/>
            <family val="2"/>
          </rPr>
          <t>&lt;[[TCDeals] - [TC Property Current Stage (Seq: 1)] - [Buildings (Seq: 5)] Constr Applicable Percentage - Both]&gt;</t>
        </r>
      </text>
    </comment>
    <comment ref="M1186" authorId="0" shapeId="0" xr:uid="{AC9EBBEA-8226-4EC0-BF10-F7BC3E9624BB}">
      <text>
        <r>
          <rPr>
            <b/>
            <sz val="9"/>
            <color indexed="81"/>
            <rFont val="Tahoma"/>
            <family val="2"/>
          </rPr>
          <t>&lt;[[TCDeals] - [TC Property Current Stage (Seq: 1)] - [Buildings (Seq: 5)] Constr Est Qual Basis - Both]&gt;</t>
        </r>
      </text>
    </comment>
    <comment ref="N1186" authorId="0" shapeId="0" xr:uid="{4AD338B3-7832-4803-B535-A5F43EC04F33}">
      <text>
        <r>
          <rPr>
            <b/>
            <sz val="9"/>
            <color indexed="81"/>
            <rFont val="Tahoma"/>
            <family val="2"/>
          </rPr>
          <t>&lt;[[TCDeals] - [TC Property Current Stage (Seq: 1)] - [Buildings (Seq: 5)] Constr 8609 Basis - Both]&gt;</t>
        </r>
      </text>
    </comment>
    <comment ref="O1186" authorId="0" shapeId="0" xr:uid="{2BB50D12-86A0-47C6-8421-1F72A27D978C}">
      <text>
        <r>
          <rPr>
            <b/>
            <sz val="9"/>
            <color indexed="81"/>
            <rFont val="Tahoma"/>
            <family val="2"/>
          </rPr>
          <t>&lt;[[TCDeals] - [TC Property Current Stage (Seq: 1)] - [Buildings (Seq: 5)] Constr 8609 Credit - Both]&gt;</t>
        </r>
      </text>
    </comment>
    <comment ref="P1186" authorId="0" shapeId="0" xr:uid="{4FA301C9-F84D-4D45-BBB9-07F74D120E95}">
      <text>
        <r>
          <rPr>
            <b/>
            <sz val="9"/>
            <color indexed="81"/>
            <rFont val="Tahoma"/>
            <family val="2"/>
          </rPr>
          <t>&lt;[[TCDeals] - [TC Property Current Stage (Seq: 1)] - [Buildings (Seq: 5)] Acq PIS Date - Both]&gt;</t>
        </r>
      </text>
    </comment>
    <comment ref="Q1186" authorId="0" shapeId="0" xr:uid="{14BDF2EA-B934-4D3C-A904-E48EA877FFAD}">
      <text>
        <r>
          <rPr>
            <b/>
            <sz val="9"/>
            <color indexed="81"/>
            <rFont val="Tahoma"/>
            <family val="2"/>
          </rPr>
          <t>&lt;[[TCDeals] - [TC Property Current Stage (Seq: 1)] - [Buildings (Seq: 5)] Acq Applicable Percentage - Both]&gt;</t>
        </r>
      </text>
    </comment>
    <comment ref="R1186" authorId="0" shapeId="0" xr:uid="{D3EC7560-FC41-4849-AD2D-ECBCD4E276C5}">
      <text>
        <r>
          <rPr>
            <b/>
            <sz val="9"/>
            <color indexed="81"/>
            <rFont val="Tahoma"/>
            <family val="2"/>
          </rPr>
          <t>&lt;[[TCDeals] - [TC Property Current Stage (Seq: 1)] - [Buildings (Seq: 5)] Acq Est Qual Basis - Both]&gt;</t>
        </r>
      </text>
    </comment>
    <comment ref="S1186" authorId="0" shapeId="0" xr:uid="{424C4A7B-1AD0-4094-942A-78B98B3901D4}">
      <text>
        <r>
          <rPr>
            <b/>
            <sz val="9"/>
            <color indexed="81"/>
            <rFont val="Tahoma"/>
            <family val="2"/>
          </rPr>
          <t>&lt;[[TCDeals] - [TC Property Current Stage (Seq: 1)] - [Buildings (Seq: 5)] Acq 8609 Basis - Both]&gt;</t>
        </r>
      </text>
    </comment>
    <comment ref="T1186" authorId="0" shapeId="0" xr:uid="{527DFE4F-5AE1-4DE9-8EBA-A7C4FE1F09D5}">
      <text>
        <r>
          <rPr>
            <b/>
            <sz val="9"/>
            <color indexed="81"/>
            <rFont val="Tahoma"/>
            <family val="2"/>
          </rPr>
          <t>&lt;[[TCDeals] - [TC Property Current Stage (Seq: 1)] - [Buildings (Seq: 5)] Acq 8609 Credit - Both]&gt;</t>
        </r>
      </text>
    </comment>
    <comment ref="C1187" authorId="0" shapeId="0" xr:uid="{D3167E36-2C4E-4728-B4E8-3FF41EEFC5DF}">
      <text>
        <r>
          <rPr>
            <b/>
            <sz val="9"/>
            <color indexed="81"/>
            <rFont val="Tahoma"/>
            <family val="2"/>
          </rPr>
          <t>&lt;[[TCDeals] - [TC Property Current Stage (Seq: 1)] - [Buildings (Seq: 6)] BIN - Both]&gt;</t>
        </r>
      </text>
    </comment>
    <comment ref="D1187" authorId="0" shapeId="0" xr:uid="{72F64212-DDB4-4895-A06C-D0E0DF5F8777}">
      <text>
        <r>
          <rPr>
            <b/>
            <sz val="9"/>
            <color indexed="81"/>
            <rFont val="Tahoma"/>
            <family val="2"/>
          </rPr>
          <t>&lt;[[TCDeals] - [TC Property Current Stage (Seq: 1)] - [Buildings (Seq: 6)] Address 1 - Both]&gt;</t>
        </r>
      </text>
    </comment>
    <comment ref="E1187" authorId="0" shapeId="0" xr:uid="{6B3933D1-9A3D-451C-8B8A-E6685E2FA493}">
      <text>
        <r>
          <rPr>
            <b/>
            <sz val="9"/>
            <color indexed="81"/>
            <rFont val="Tahoma"/>
            <family val="2"/>
          </rPr>
          <t>&lt;[[TCDeals] - [TC Property Current Stage (Seq: 1)] - [Buildings (Seq: 6)] Num TC Units - Both]&gt;</t>
        </r>
      </text>
    </comment>
    <comment ref="F1187" authorId="0" shapeId="0" xr:uid="{B183FFEF-F66B-4A70-8730-3A36B1EC9041}">
      <text>
        <r>
          <rPr>
            <b/>
            <sz val="9"/>
            <color indexed="81"/>
            <rFont val="Tahoma"/>
            <family val="2"/>
          </rPr>
          <t>&lt;[[TCDeals] - [TC Property Current Stage (Seq: 1)] - [Buildings (Seq: 6)] PVC PIS Date - Both]&gt;</t>
        </r>
      </text>
    </comment>
    <comment ref="G1187" authorId="0" shapeId="0" xr:uid="{4062BBA6-FC6C-4ADD-B321-97DD3DB08104}">
      <text>
        <r>
          <rPr>
            <b/>
            <sz val="9"/>
            <color indexed="81"/>
            <rFont val="Tahoma"/>
            <family val="2"/>
          </rPr>
          <t>&lt;[[TCDeals] - [TC Property Current Stage (Seq: 1)] - [Buildings (Seq: 6)] PVC Applicable Percentage - Both]&gt;</t>
        </r>
      </text>
    </comment>
    <comment ref="H1187" authorId="0" shapeId="0" xr:uid="{6726ADD5-1DFD-4FCC-A8A0-4BEBED1A8A1A}">
      <text>
        <r>
          <rPr>
            <b/>
            <sz val="9"/>
            <color indexed="81"/>
            <rFont val="Tahoma"/>
            <family val="2"/>
          </rPr>
          <t>&lt;[[TCDeals] - [TC Property Current Stage (Seq: 1)] - [Buildings (Seq: 6)] PVC Est Qual Basis - Both]&gt;</t>
        </r>
      </text>
    </comment>
    <comment ref="I1187" authorId="0" shapeId="0" xr:uid="{CB8FE619-9FE9-4DBD-BF6B-5A341B15CBD5}">
      <text>
        <r>
          <rPr>
            <b/>
            <sz val="9"/>
            <color indexed="81"/>
            <rFont val="Tahoma"/>
            <family val="2"/>
          </rPr>
          <t>&lt;[[TCDeals] - [TC Property Current Stage (Seq: 1)] - [Buildings (Seq: 6)] PVC8609 Basis - Both]&gt;</t>
        </r>
      </text>
    </comment>
    <comment ref="J1187" authorId="0" shapeId="0" xr:uid="{F9F54E76-25D7-4B4E-84E0-6FFD9946741E}">
      <text>
        <r>
          <rPr>
            <b/>
            <sz val="9"/>
            <color indexed="81"/>
            <rFont val="Tahoma"/>
            <family val="2"/>
          </rPr>
          <t>&lt;[[TCDeals] - [TC Property Current Stage (Seq: 1)] - [Buildings (Seq: 6)] PVC8609 Credit - Both]&gt;</t>
        </r>
      </text>
    </comment>
    <comment ref="K1187" authorId="0" shapeId="0" xr:uid="{2281CD75-DBDF-4B88-B9AA-9A7A1C3C0795}">
      <text>
        <r>
          <rPr>
            <b/>
            <sz val="9"/>
            <color indexed="81"/>
            <rFont val="Tahoma"/>
            <family val="2"/>
          </rPr>
          <t>&lt;[[TCDeals] - [TC Property Current Stage (Seq: 1)] - [Buildings (Seq: 6)] Constr PIS Date - Both]&gt;</t>
        </r>
      </text>
    </comment>
    <comment ref="L1187" authorId="0" shapeId="0" xr:uid="{33DD9098-BCD9-4328-86AB-80204B093FE7}">
      <text>
        <r>
          <rPr>
            <b/>
            <sz val="9"/>
            <color indexed="81"/>
            <rFont val="Tahoma"/>
            <family val="2"/>
          </rPr>
          <t>&lt;[[TCDeals] - [TC Property Current Stage (Seq: 1)] - [Buildings (Seq: 6)] Constr Applicable Percentage - Both]&gt;</t>
        </r>
      </text>
    </comment>
    <comment ref="M1187" authorId="0" shapeId="0" xr:uid="{560DA8B4-3B20-4865-AF51-B90A9FA85FB1}">
      <text>
        <r>
          <rPr>
            <b/>
            <sz val="9"/>
            <color indexed="81"/>
            <rFont val="Tahoma"/>
            <family val="2"/>
          </rPr>
          <t>&lt;[[TCDeals] - [TC Property Current Stage (Seq: 1)] - [Buildings (Seq: 6)] Constr Est Qual Basis - Both]&gt;</t>
        </r>
      </text>
    </comment>
    <comment ref="N1187" authorId="0" shapeId="0" xr:uid="{A0E6EA73-82CA-470F-8250-A5EAD45E214B}">
      <text>
        <r>
          <rPr>
            <b/>
            <sz val="9"/>
            <color indexed="81"/>
            <rFont val="Tahoma"/>
            <family val="2"/>
          </rPr>
          <t>&lt;[[TCDeals] - [TC Property Current Stage (Seq: 1)] - [Buildings (Seq: 6)] Constr 8609 Basis - Both]&gt;</t>
        </r>
      </text>
    </comment>
    <comment ref="O1187" authorId="0" shapeId="0" xr:uid="{97719F8E-A449-41A6-8883-D3E764A02AAD}">
      <text>
        <r>
          <rPr>
            <b/>
            <sz val="9"/>
            <color indexed="81"/>
            <rFont val="Tahoma"/>
            <family val="2"/>
          </rPr>
          <t>&lt;[[TCDeals] - [TC Property Current Stage (Seq: 1)] - [Buildings (Seq: 6)] Constr 8609 Credit - Both]&gt;</t>
        </r>
      </text>
    </comment>
    <comment ref="P1187" authorId="0" shapeId="0" xr:uid="{93AB1651-0054-48F3-9080-AA9CDB7C38F0}">
      <text>
        <r>
          <rPr>
            <b/>
            <sz val="9"/>
            <color indexed="81"/>
            <rFont val="Tahoma"/>
            <family val="2"/>
          </rPr>
          <t>&lt;[[TCDeals] - [TC Property Current Stage (Seq: 1)] - [Buildings (Seq: 6)] Acq PIS Date - Both]&gt;</t>
        </r>
      </text>
    </comment>
    <comment ref="Q1187" authorId="0" shapeId="0" xr:uid="{76E60BC1-E102-4F1E-A448-1E8B23022E20}">
      <text>
        <r>
          <rPr>
            <b/>
            <sz val="9"/>
            <color indexed="81"/>
            <rFont val="Tahoma"/>
            <family val="2"/>
          </rPr>
          <t>&lt;[[TCDeals] - [TC Property Current Stage (Seq: 1)] - [Buildings (Seq: 6)] Acq Applicable Percentage - Both]&gt;</t>
        </r>
      </text>
    </comment>
    <comment ref="R1187" authorId="0" shapeId="0" xr:uid="{A8BCB3B3-560C-4818-8B01-21F384C52BFF}">
      <text>
        <r>
          <rPr>
            <b/>
            <sz val="9"/>
            <color indexed="81"/>
            <rFont val="Tahoma"/>
            <family val="2"/>
          </rPr>
          <t>&lt;[[TCDeals] - [TC Property Current Stage (Seq: 1)] - [Buildings (Seq: 6)] Acq Est Qual Basis - Both]&gt;</t>
        </r>
      </text>
    </comment>
    <comment ref="S1187" authorId="0" shapeId="0" xr:uid="{F90AF18F-04DC-4782-BAEB-23021757C4FF}">
      <text>
        <r>
          <rPr>
            <b/>
            <sz val="9"/>
            <color indexed="81"/>
            <rFont val="Tahoma"/>
            <family val="2"/>
          </rPr>
          <t>&lt;[[TCDeals] - [TC Property Current Stage (Seq: 1)] - [Buildings (Seq: 6)] Acq 8609 Basis - Both]&gt;</t>
        </r>
      </text>
    </comment>
    <comment ref="T1187" authorId="0" shapeId="0" xr:uid="{2626E55B-89F6-4173-815B-DB1178310648}">
      <text>
        <r>
          <rPr>
            <b/>
            <sz val="9"/>
            <color indexed="81"/>
            <rFont val="Tahoma"/>
            <family val="2"/>
          </rPr>
          <t>&lt;[[TCDeals] - [TC Property Current Stage (Seq: 1)] - [Buildings (Seq: 6)] Acq 8609 Credit - Both]&gt;</t>
        </r>
      </text>
    </comment>
    <comment ref="C1188" authorId="0" shapeId="0" xr:uid="{656766CC-CE16-4063-B26A-2D17E7CCA84F}">
      <text>
        <r>
          <rPr>
            <b/>
            <sz val="9"/>
            <color indexed="81"/>
            <rFont val="Tahoma"/>
            <family val="2"/>
          </rPr>
          <t>&lt;[[TCDeals] - [TC Property Current Stage (Seq: 1)] - [Buildings (Seq: 7)] BIN - Both]&gt;</t>
        </r>
      </text>
    </comment>
    <comment ref="D1188" authorId="0" shapeId="0" xr:uid="{635E744E-EEAA-410B-9DC2-4C36423F732E}">
      <text>
        <r>
          <rPr>
            <b/>
            <sz val="9"/>
            <color indexed="81"/>
            <rFont val="Tahoma"/>
            <family val="2"/>
          </rPr>
          <t>&lt;[[TCDeals] - [TC Property Current Stage (Seq: 1)] - [Buildings (Seq: 7)] Address 1 - Both]&gt;</t>
        </r>
      </text>
    </comment>
    <comment ref="E1188" authorId="0" shapeId="0" xr:uid="{13E9476B-AB05-41F4-B58B-3F92A9E6F6EA}">
      <text>
        <r>
          <rPr>
            <b/>
            <sz val="9"/>
            <color indexed="81"/>
            <rFont val="Tahoma"/>
            <family val="2"/>
          </rPr>
          <t>&lt;[[TCDeals] - [TC Property Current Stage (Seq: 1)] - [Buildings (Seq: 7)] Num TC Units - Both]&gt;</t>
        </r>
      </text>
    </comment>
    <comment ref="F1188" authorId="0" shapeId="0" xr:uid="{77C8C4D2-BCF5-4902-95F1-A429FE29F3B3}">
      <text>
        <r>
          <rPr>
            <b/>
            <sz val="9"/>
            <color indexed="81"/>
            <rFont val="Tahoma"/>
            <family val="2"/>
          </rPr>
          <t>&lt;[[TCDeals] - [TC Property Current Stage (Seq: 1)] - [Buildings (Seq: 7)] PVC PIS Date - Both]&gt;</t>
        </r>
      </text>
    </comment>
    <comment ref="G1188" authorId="0" shapeId="0" xr:uid="{BB4DF8CF-71BA-4B60-848D-1A5AB40D2B8C}">
      <text>
        <r>
          <rPr>
            <b/>
            <sz val="9"/>
            <color indexed="81"/>
            <rFont val="Tahoma"/>
            <family val="2"/>
          </rPr>
          <t>&lt;[[TCDeals] - [TC Property Current Stage (Seq: 1)] - [Buildings (Seq: 7)] PVC Applicable Percentage - Both]&gt;</t>
        </r>
      </text>
    </comment>
    <comment ref="H1188" authorId="0" shapeId="0" xr:uid="{6746D2D0-1FC5-43E3-936B-0A785B6FF6FE}">
      <text>
        <r>
          <rPr>
            <b/>
            <sz val="9"/>
            <color indexed="81"/>
            <rFont val="Tahoma"/>
            <family val="2"/>
          </rPr>
          <t>&lt;[[TCDeals] - [TC Property Current Stage (Seq: 1)] - [Buildings (Seq: 7)] PVC Est Qual Basis - Both]&gt;</t>
        </r>
      </text>
    </comment>
    <comment ref="I1188" authorId="0" shapeId="0" xr:uid="{4D70E70B-5DA5-48A5-80C1-E8397B885F06}">
      <text>
        <r>
          <rPr>
            <b/>
            <sz val="9"/>
            <color indexed="81"/>
            <rFont val="Tahoma"/>
            <family val="2"/>
          </rPr>
          <t>&lt;[[TCDeals] - [TC Property Current Stage (Seq: 1)] - [Buildings (Seq: 7)] PVC8609 Basis - Both]&gt;</t>
        </r>
      </text>
    </comment>
    <comment ref="J1188" authorId="0" shapeId="0" xr:uid="{87151BB0-1815-4719-8C73-75C5823069FD}">
      <text>
        <r>
          <rPr>
            <b/>
            <sz val="9"/>
            <color indexed="81"/>
            <rFont val="Tahoma"/>
            <family val="2"/>
          </rPr>
          <t>&lt;[[TCDeals] - [TC Property Current Stage (Seq: 1)] - [Buildings (Seq: 7)] PVC8609 Credit - Both]&gt;</t>
        </r>
      </text>
    </comment>
    <comment ref="K1188" authorId="0" shapeId="0" xr:uid="{574BCFDF-5B2D-486A-8418-D86693D10024}">
      <text>
        <r>
          <rPr>
            <b/>
            <sz val="9"/>
            <color indexed="81"/>
            <rFont val="Tahoma"/>
            <family val="2"/>
          </rPr>
          <t>&lt;[[TCDeals] - [TC Property Current Stage (Seq: 1)] - [Buildings (Seq: 7)] Constr PIS Date - Both]&gt;</t>
        </r>
      </text>
    </comment>
    <comment ref="L1188" authorId="0" shapeId="0" xr:uid="{8C34A4D1-96A3-436A-B3AA-3CA768EF1A94}">
      <text>
        <r>
          <rPr>
            <b/>
            <sz val="9"/>
            <color indexed="81"/>
            <rFont val="Tahoma"/>
            <family val="2"/>
          </rPr>
          <t>&lt;[[TCDeals] - [TC Property Current Stage (Seq: 1)] - [Buildings (Seq: 7)] Constr Applicable Percentage - Both]&gt;</t>
        </r>
      </text>
    </comment>
    <comment ref="M1188" authorId="0" shapeId="0" xr:uid="{2C60F76D-2D39-47F3-B42D-26DFE20F0E1C}">
      <text>
        <r>
          <rPr>
            <b/>
            <sz val="9"/>
            <color indexed="81"/>
            <rFont val="Tahoma"/>
            <family val="2"/>
          </rPr>
          <t>&lt;[[TCDeals] - [TC Property Current Stage (Seq: 1)] - [Buildings (Seq: 7)] Constr Est Qual Basis - Both]&gt;</t>
        </r>
      </text>
    </comment>
    <comment ref="N1188" authorId="0" shapeId="0" xr:uid="{BBE5B009-0ABF-49E4-B998-FE202D82CB23}">
      <text>
        <r>
          <rPr>
            <b/>
            <sz val="9"/>
            <color indexed="81"/>
            <rFont val="Tahoma"/>
            <family val="2"/>
          </rPr>
          <t>&lt;[[TCDeals] - [TC Property Current Stage (Seq: 1)] - [Buildings (Seq: 7)] Constr 8609 Basis - Both]&gt;</t>
        </r>
      </text>
    </comment>
    <comment ref="O1188" authorId="0" shapeId="0" xr:uid="{13530C51-C8F8-41D2-8AE1-69A05EB755AA}">
      <text>
        <r>
          <rPr>
            <b/>
            <sz val="9"/>
            <color indexed="81"/>
            <rFont val="Tahoma"/>
            <family val="2"/>
          </rPr>
          <t>&lt;[[TCDeals] - [TC Property Current Stage (Seq: 1)] - [Buildings (Seq: 7)] Constr 8609 Credit - Both]&gt;</t>
        </r>
      </text>
    </comment>
    <comment ref="P1188" authorId="0" shapeId="0" xr:uid="{EDD74E67-C2D2-499C-BB33-6FE072041D93}">
      <text>
        <r>
          <rPr>
            <b/>
            <sz val="9"/>
            <color indexed="81"/>
            <rFont val="Tahoma"/>
            <family val="2"/>
          </rPr>
          <t>&lt;[[TCDeals] - [TC Property Current Stage (Seq: 1)] - [Buildings (Seq: 7)] Acq PIS Date - Both]&gt;</t>
        </r>
      </text>
    </comment>
    <comment ref="Q1188" authorId="0" shapeId="0" xr:uid="{AADA07F1-A493-42D5-8CA2-E0EE8B19D010}">
      <text>
        <r>
          <rPr>
            <b/>
            <sz val="9"/>
            <color indexed="81"/>
            <rFont val="Tahoma"/>
            <family val="2"/>
          </rPr>
          <t>&lt;[[TCDeals] - [TC Property Current Stage (Seq: 1)] - [Buildings (Seq: 7)] Acq Applicable Percentage - Both]&gt;</t>
        </r>
      </text>
    </comment>
    <comment ref="R1188" authorId="0" shapeId="0" xr:uid="{A391E432-48B4-4C3C-8FC6-46F188B97A99}">
      <text>
        <r>
          <rPr>
            <b/>
            <sz val="9"/>
            <color indexed="81"/>
            <rFont val="Tahoma"/>
            <family val="2"/>
          </rPr>
          <t>&lt;[[TCDeals] - [TC Property Current Stage (Seq: 1)] - [Buildings (Seq: 7)] Acq Est Qual Basis - Both]&gt;</t>
        </r>
      </text>
    </comment>
    <comment ref="S1188" authorId="0" shapeId="0" xr:uid="{ACF66553-E4B9-458C-A098-7EEF963C590D}">
      <text>
        <r>
          <rPr>
            <b/>
            <sz val="9"/>
            <color indexed="81"/>
            <rFont val="Tahoma"/>
            <family val="2"/>
          </rPr>
          <t>&lt;[[TCDeals] - [TC Property Current Stage (Seq: 1)] - [Buildings (Seq: 7)] Acq 8609 Basis - Both]&gt;</t>
        </r>
      </text>
    </comment>
    <comment ref="T1188" authorId="0" shapeId="0" xr:uid="{ED8D1C79-2727-4F64-8FDA-03BD5E881CD5}">
      <text>
        <r>
          <rPr>
            <b/>
            <sz val="9"/>
            <color indexed="81"/>
            <rFont val="Tahoma"/>
            <family val="2"/>
          </rPr>
          <t>&lt;[[TCDeals] - [TC Property Current Stage (Seq: 1)] - [Buildings (Seq: 7)] Acq 8609 Credit - Both]&gt;</t>
        </r>
      </text>
    </comment>
    <comment ref="C1189" authorId="0" shapeId="0" xr:uid="{508CC9CA-A422-42FF-A18E-808A92DAC369}">
      <text>
        <r>
          <rPr>
            <b/>
            <sz val="9"/>
            <color indexed="81"/>
            <rFont val="Tahoma"/>
            <family val="2"/>
          </rPr>
          <t>&lt;[[TCDeals] - [TC Property Current Stage (Seq: 1)] - [Buildings (Seq: 8)] BIN - Both]&gt;</t>
        </r>
      </text>
    </comment>
    <comment ref="D1189" authorId="0" shapeId="0" xr:uid="{7B17671A-DB1E-4FC2-995E-922B0D7BBBCF}">
      <text>
        <r>
          <rPr>
            <b/>
            <sz val="9"/>
            <color indexed="81"/>
            <rFont val="Tahoma"/>
            <family val="2"/>
          </rPr>
          <t>&lt;[[TCDeals] - [TC Property Current Stage (Seq: 1)] - [Buildings (Seq: 8)] Address 1 - Both]&gt;</t>
        </r>
      </text>
    </comment>
    <comment ref="E1189" authorId="0" shapeId="0" xr:uid="{04B3CB87-C1DF-4F35-BF5A-C082FDA6915D}">
      <text>
        <r>
          <rPr>
            <b/>
            <sz val="9"/>
            <color indexed="81"/>
            <rFont val="Tahoma"/>
            <family val="2"/>
          </rPr>
          <t>&lt;[[TCDeals] - [TC Property Current Stage (Seq: 1)] - [Buildings (Seq: 8)] Num TC Units - Both]&gt;</t>
        </r>
      </text>
    </comment>
    <comment ref="F1189" authorId="0" shapeId="0" xr:uid="{917C5E77-51D8-4EF3-9D1B-EC64830D7479}">
      <text>
        <r>
          <rPr>
            <b/>
            <sz val="9"/>
            <color indexed="81"/>
            <rFont val="Tahoma"/>
            <family val="2"/>
          </rPr>
          <t>&lt;[[TCDeals] - [TC Property Current Stage (Seq: 1)] - [Buildings (Seq: 8)] PVC PIS Date - Both]&gt;</t>
        </r>
      </text>
    </comment>
    <comment ref="G1189" authorId="0" shapeId="0" xr:uid="{BD8FE622-CF58-4458-9B4B-822898DE2ED0}">
      <text>
        <r>
          <rPr>
            <b/>
            <sz val="9"/>
            <color indexed="81"/>
            <rFont val="Tahoma"/>
            <family val="2"/>
          </rPr>
          <t>&lt;[[TCDeals] - [TC Property Current Stage (Seq: 1)] - [Buildings (Seq: 8)] PVC Applicable Percentage - Both]&gt;</t>
        </r>
      </text>
    </comment>
    <comment ref="H1189" authorId="0" shapeId="0" xr:uid="{4AEC3BCE-AB2B-406A-AB76-B822933F70AD}">
      <text>
        <r>
          <rPr>
            <b/>
            <sz val="9"/>
            <color indexed="81"/>
            <rFont val="Tahoma"/>
            <family val="2"/>
          </rPr>
          <t>&lt;[[TCDeals] - [TC Property Current Stage (Seq: 1)] - [Buildings (Seq: 8)] PVC Est Qual Basis - Both]&gt;</t>
        </r>
      </text>
    </comment>
    <comment ref="I1189" authorId="0" shapeId="0" xr:uid="{06185061-E774-487E-9177-ACCCCFEAEFE0}">
      <text>
        <r>
          <rPr>
            <b/>
            <sz val="9"/>
            <color indexed="81"/>
            <rFont val="Tahoma"/>
            <family val="2"/>
          </rPr>
          <t>&lt;[[TCDeals] - [TC Property Current Stage (Seq: 1)] - [Buildings (Seq: 8)] PVC8609 Basis - Both]&gt;</t>
        </r>
      </text>
    </comment>
    <comment ref="J1189" authorId="0" shapeId="0" xr:uid="{E0990803-3B3E-4031-9B54-957CC2CDCC80}">
      <text>
        <r>
          <rPr>
            <b/>
            <sz val="9"/>
            <color indexed="81"/>
            <rFont val="Tahoma"/>
            <family val="2"/>
          </rPr>
          <t>&lt;[[TCDeals] - [TC Property Current Stage (Seq: 1)] - [Buildings (Seq: 8)] PVC8609 Credit - Both]&gt;</t>
        </r>
      </text>
    </comment>
    <comment ref="K1189" authorId="0" shapeId="0" xr:uid="{A30DFE00-A6C1-4194-A27C-165535F285FA}">
      <text>
        <r>
          <rPr>
            <b/>
            <sz val="9"/>
            <color indexed="81"/>
            <rFont val="Tahoma"/>
            <family val="2"/>
          </rPr>
          <t>&lt;[[TCDeals] - [TC Property Current Stage (Seq: 1)] - [Buildings (Seq: 8)] Constr PIS Date - Both]&gt;</t>
        </r>
      </text>
    </comment>
    <comment ref="L1189" authorId="0" shapeId="0" xr:uid="{26A21F17-D61E-4F09-8F5B-AAB462377546}">
      <text>
        <r>
          <rPr>
            <b/>
            <sz val="9"/>
            <color indexed="81"/>
            <rFont val="Tahoma"/>
            <family val="2"/>
          </rPr>
          <t>&lt;[[TCDeals] - [TC Property Current Stage (Seq: 1)] - [Buildings (Seq: 8)] Constr Applicable Percentage - Both]&gt;</t>
        </r>
      </text>
    </comment>
    <comment ref="M1189" authorId="0" shapeId="0" xr:uid="{39D6272A-26EC-49E1-BE15-010FCEA4DB0B}">
      <text>
        <r>
          <rPr>
            <b/>
            <sz val="9"/>
            <color indexed="81"/>
            <rFont val="Tahoma"/>
            <family val="2"/>
          </rPr>
          <t>&lt;[[TCDeals] - [TC Property Current Stage (Seq: 1)] - [Buildings (Seq: 8)] Constr Est Qual Basis - Both]&gt;</t>
        </r>
      </text>
    </comment>
    <comment ref="N1189" authorId="0" shapeId="0" xr:uid="{AF30C9D4-BCAF-41C5-88DE-09C658FAC203}">
      <text>
        <r>
          <rPr>
            <b/>
            <sz val="9"/>
            <color indexed="81"/>
            <rFont val="Tahoma"/>
            <family val="2"/>
          </rPr>
          <t>&lt;[[TCDeals] - [TC Property Current Stage (Seq: 1)] - [Buildings (Seq: 8)] Constr 8609 Basis - Both]&gt;</t>
        </r>
      </text>
    </comment>
    <comment ref="O1189" authorId="0" shapeId="0" xr:uid="{E2B3CA15-EA45-4632-990E-649640390B94}">
      <text>
        <r>
          <rPr>
            <b/>
            <sz val="9"/>
            <color indexed="81"/>
            <rFont val="Tahoma"/>
            <family val="2"/>
          </rPr>
          <t>&lt;[[TCDeals] - [TC Property Current Stage (Seq: 1)] - [Buildings (Seq: 8)] Constr 8609 Credit - Both]&gt;</t>
        </r>
      </text>
    </comment>
    <comment ref="P1189" authorId="0" shapeId="0" xr:uid="{46E8B28F-6A64-4E7E-93C5-731926CD0ED8}">
      <text>
        <r>
          <rPr>
            <b/>
            <sz val="9"/>
            <color indexed="81"/>
            <rFont val="Tahoma"/>
            <family val="2"/>
          </rPr>
          <t>&lt;[[TCDeals] - [TC Property Current Stage (Seq: 1)] - [Buildings (Seq: 8)] Acq PIS Date - Both]&gt;</t>
        </r>
      </text>
    </comment>
    <comment ref="Q1189" authorId="0" shapeId="0" xr:uid="{6F551EF9-6B06-44E6-8DE5-D0D94E3589BB}">
      <text>
        <r>
          <rPr>
            <b/>
            <sz val="9"/>
            <color indexed="81"/>
            <rFont val="Tahoma"/>
            <family val="2"/>
          </rPr>
          <t>&lt;[[TCDeals] - [TC Property Current Stage (Seq: 1)] - [Buildings (Seq: 8)] Acq Applicable Percentage - Both]&gt;</t>
        </r>
      </text>
    </comment>
    <comment ref="R1189" authorId="0" shapeId="0" xr:uid="{73F87960-6864-4EFA-A141-58DDA1A5AE9F}">
      <text>
        <r>
          <rPr>
            <b/>
            <sz val="9"/>
            <color indexed="81"/>
            <rFont val="Tahoma"/>
            <family val="2"/>
          </rPr>
          <t>&lt;[[TCDeals] - [TC Property Current Stage (Seq: 1)] - [Buildings (Seq: 8)] Acq Est Qual Basis - Both]&gt;</t>
        </r>
      </text>
    </comment>
    <comment ref="S1189" authorId="0" shapeId="0" xr:uid="{FAFFDE90-6701-428C-B52B-4BCB0CCBC2E0}">
      <text>
        <r>
          <rPr>
            <b/>
            <sz val="9"/>
            <color indexed="81"/>
            <rFont val="Tahoma"/>
            <family val="2"/>
          </rPr>
          <t>&lt;[[TCDeals] - [TC Property Current Stage (Seq: 1)] - [Buildings (Seq: 8)] Acq 8609 Basis - Both]&gt;</t>
        </r>
      </text>
    </comment>
    <comment ref="T1189" authorId="0" shapeId="0" xr:uid="{C714D061-892B-449C-844C-887CE6FABB7D}">
      <text>
        <r>
          <rPr>
            <b/>
            <sz val="9"/>
            <color indexed="81"/>
            <rFont val="Tahoma"/>
            <family val="2"/>
          </rPr>
          <t>&lt;[[TCDeals] - [TC Property Current Stage (Seq: 1)] - [Buildings (Seq: 8)] Acq 8609 Credit - Both]&gt;</t>
        </r>
      </text>
    </comment>
    <comment ref="C1190" authorId="0" shapeId="0" xr:uid="{3FF44471-DCA3-4E6F-8869-2AD5C8FB7DDB}">
      <text>
        <r>
          <rPr>
            <b/>
            <sz val="9"/>
            <color indexed="81"/>
            <rFont val="Tahoma"/>
            <family val="2"/>
          </rPr>
          <t>&lt;[[TCDeals] - [TC Property Current Stage (Seq: 1)] - [Buildings (Seq: 9)] BIN - Both]&gt;</t>
        </r>
      </text>
    </comment>
    <comment ref="D1190" authorId="0" shapeId="0" xr:uid="{56EB0A83-25F8-4472-96F5-D4F3C63BA1C5}">
      <text>
        <r>
          <rPr>
            <b/>
            <sz val="9"/>
            <color indexed="81"/>
            <rFont val="Tahoma"/>
            <family val="2"/>
          </rPr>
          <t>&lt;[[TCDeals] - [TC Property Current Stage (Seq: 1)] - [Buildings (Seq: 9)] Address 1 - Both]&gt;</t>
        </r>
      </text>
    </comment>
    <comment ref="E1190" authorId="0" shapeId="0" xr:uid="{331D4CC2-AA9F-4865-87E1-F3FCD4DEB244}">
      <text>
        <r>
          <rPr>
            <b/>
            <sz val="9"/>
            <color indexed="81"/>
            <rFont val="Tahoma"/>
            <family val="2"/>
          </rPr>
          <t>&lt;[[TCDeals] - [TC Property Current Stage (Seq: 1)] - [Buildings (Seq: 9)] Num TC Units - Both]&gt;</t>
        </r>
      </text>
    </comment>
    <comment ref="F1190" authorId="0" shapeId="0" xr:uid="{C905EC8B-EF2D-4725-B237-9D13A2D61884}">
      <text>
        <r>
          <rPr>
            <b/>
            <sz val="9"/>
            <color indexed="81"/>
            <rFont val="Tahoma"/>
            <family val="2"/>
          </rPr>
          <t>&lt;[[TCDeals] - [TC Property Current Stage (Seq: 1)] - [Buildings (Seq: 9)] PVC PIS Date - Both]&gt;</t>
        </r>
      </text>
    </comment>
    <comment ref="G1190" authorId="0" shapeId="0" xr:uid="{E4E99941-E566-4DBC-BCE8-EFA688CD7161}">
      <text>
        <r>
          <rPr>
            <b/>
            <sz val="9"/>
            <color indexed="81"/>
            <rFont val="Tahoma"/>
            <family val="2"/>
          </rPr>
          <t>&lt;[[TCDeals] - [TC Property Current Stage (Seq: 1)] - [Buildings (Seq: 9)] PVC Applicable Percentage - Both]&gt;</t>
        </r>
      </text>
    </comment>
    <comment ref="H1190" authorId="0" shapeId="0" xr:uid="{1A6A29E4-39C0-42CD-BF94-7A70418AA43C}">
      <text>
        <r>
          <rPr>
            <b/>
            <sz val="9"/>
            <color indexed="81"/>
            <rFont val="Tahoma"/>
            <family val="2"/>
          </rPr>
          <t>&lt;[[TCDeals] - [TC Property Current Stage (Seq: 1)] - [Buildings (Seq: 9)] PVC Est Qual Basis - Both]&gt;</t>
        </r>
      </text>
    </comment>
    <comment ref="I1190" authorId="0" shapeId="0" xr:uid="{6D621F31-B615-4F46-B2E4-4DC2AB16CDD4}">
      <text>
        <r>
          <rPr>
            <b/>
            <sz val="9"/>
            <color indexed="81"/>
            <rFont val="Tahoma"/>
            <family val="2"/>
          </rPr>
          <t>&lt;[[TCDeals] - [TC Property Current Stage (Seq: 1)] - [Buildings (Seq: 9)] PVC8609 Basis - Both]&gt;</t>
        </r>
      </text>
    </comment>
    <comment ref="J1190" authorId="0" shapeId="0" xr:uid="{50DC5B6D-D6D9-4B63-B76A-624803334A41}">
      <text>
        <r>
          <rPr>
            <b/>
            <sz val="9"/>
            <color indexed="81"/>
            <rFont val="Tahoma"/>
            <family val="2"/>
          </rPr>
          <t>&lt;[[TCDeals] - [TC Property Current Stage (Seq: 1)] - [Buildings (Seq: 9)] PVC8609 Credit - Both]&gt;</t>
        </r>
      </text>
    </comment>
    <comment ref="K1190" authorId="0" shapeId="0" xr:uid="{552FB3C8-AAC8-4266-A141-5DF3E00B84D1}">
      <text>
        <r>
          <rPr>
            <b/>
            <sz val="9"/>
            <color indexed="81"/>
            <rFont val="Tahoma"/>
            <family val="2"/>
          </rPr>
          <t>&lt;[[TCDeals] - [TC Property Current Stage (Seq: 1)] - [Buildings (Seq: 9)] Constr PIS Date - Both]&gt;</t>
        </r>
      </text>
    </comment>
    <comment ref="L1190" authorId="0" shapeId="0" xr:uid="{AC0881D7-3544-4378-AB5F-4BF9C3F02A18}">
      <text>
        <r>
          <rPr>
            <b/>
            <sz val="9"/>
            <color indexed="81"/>
            <rFont val="Tahoma"/>
            <family val="2"/>
          </rPr>
          <t>&lt;[[TCDeals] - [TC Property Current Stage (Seq: 1)] - [Buildings (Seq: 9)] Constr Applicable Percentage - Both]&gt;</t>
        </r>
      </text>
    </comment>
    <comment ref="M1190" authorId="0" shapeId="0" xr:uid="{D03CF4EE-FD58-4BB4-96CD-118930BF01BD}">
      <text>
        <r>
          <rPr>
            <b/>
            <sz val="9"/>
            <color indexed="81"/>
            <rFont val="Tahoma"/>
            <family val="2"/>
          </rPr>
          <t>&lt;[[TCDeals] - [TC Property Current Stage (Seq: 1)] - [Buildings (Seq: 9)] Constr Est Qual Basis - Both]&gt;</t>
        </r>
      </text>
    </comment>
    <comment ref="N1190" authorId="0" shapeId="0" xr:uid="{BEFC760C-8960-4958-A5AC-9E915B7EC78E}">
      <text>
        <r>
          <rPr>
            <b/>
            <sz val="9"/>
            <color indexed="81"/>
            <rFont val="Tahoma"/>
            <family val="2"/>
          </rPr>
          <t>&lt;[[TCDeals] - [TC Property Current Stage (Seq: 1)] - [Buildings (Seq: 9)] Constr 8609 Basis - Both]&gt;</t>
        </r>
      </text>
    </comment>
    <comment ref="O1190" authorId="0" shapeId="0" xr:uid="{554783A3-A25E-479E-9480-D62665B6EE44}">
      <text>
        <r>
          <rPr>
            <b/>
            <sz val="9"/>
            <color indexed="81"/>
            <rFont val="Tahoma"/>
            <family val="2"/>
          </rPr>
          <t>&lt;[[TCDeals] - [TC Property Current Stage (Seq: 1)] - [Buildings (Seq: 9)] Constr 8609 Credit - Both]&gt;</t>
        </r>
      </text>
    </comment>
    <comment ref="P1190" authorId="0" shapeId="0" xr:uid="{7523679E-DD57-4350-A2A9-1875141317EE}">
      <text>
        <r>
          <rPr>
            <b/>
            <sz val="9"/>
            <color indexed="81"/>
            <rFont val="Tahoma"/>
            <family val="2"/>
          </rPr>
          <t>&lt;[[TCDeals] - [TC Property Current Stage (Seq: 1)] - [Buildings (Seq: 9)] Acq PIS Date - Both]&gt;</t>
        </r>
      </text>
    </comment>
    <comment ref="Q1190" authorId="0" shapeId="0" xr:uid="{A557C262-AF27-4734-9D58-F52BFF90C8C3}">
      <text>
        <r>
          <rPr>
            <b/>
            <sz val="9"/>
            <color indexed="81"/>
            <rFont val="Tahoma"/>
            <family val="2"/>
          </rPr>
          <t>&lt;[[TCDeals] - [TC Property Current Stage (Seq: 1)] - [Buildings (Seq: 9)] Acq Applicable Percentage - Both]&gt;</t>
        </r>
      </text>
    </comment>
    <comment ref="R1190" authorId="0" shapeId="0" xr:uid="{D0CFF4D3-7F78-47FD-92F4-37F68F0F7042}">
      <text>
        <r>
          <rPr>
            <b/>
            <sz val="9"/>
            <color indexed="81"/>
            <rFont val="Tahoma"/>
            <family val="2"/>
          </rPr>
          <t>&lt;[[TCDeals] - [TC Property Current Stage (Seq: 1)] - [Buildings (Seq: 9)] Acq Est Qual Basis - Both]&gt;</t>
        </r>
      </text>
    </comment>
    <comment ref="S1190" authorId="0" shapeId="0" xr:uid="{D94967E9-82AF-4B1B-870F-E7D6EE135BDB}">
      <text>
        <r>
          <rPr>
            <b/>
            <sz val="9"/>
            <color indexed="81"/>
            <rFont val="Tahoma"/>
            <family val="2"/>
          </rPr>
          <t>&lt;[[TCDeals] - [TC Property Current Stage (Seq: 1)] - [Buildings (Seq: 9)] Acq 8609 Basis - Both]&gt;</t>
        </r>
      </text>
    </comment>
    <comment ref="T1190" authorId="0" shapeId="0" xr:uid="{7751CE01-714E-43BD-B479-18B3403A2CB5}">
      <text>
        <r>
          <rPr>
            <b/>
            <sz val="9"/>
            <color indexed="81"/>
            <rFont val="Tahoma"/>
            <family val="2"/>
          </rPr>
          <t>&lt;[[TCDeals] - [TC Property Current Stage (Seq: 1)] - [Buildings (Seq: 9)] Acq 8609 Credit - Both]&gt;</t>
        </r>
      </text>
    </comment>
    <comment ref="C1191" authorId="0" shapeId="0" xr:uid="{DB214460-7A36-4276-B58E-DD3F6F2173E9}">
      <text>
        <r>
          <rPr>
            <b/>
            <sz val="9"/>
            <color indexed="81"/>
            <rFont val="Tahoma"/>
            <family val="2"/>
          </rPr>
          <t>&lt;[[TCDeals] - [TC Property Current Stage (Seq: 1)] - [Buildings (Seq: 10)] BIN - Both]&gt;</t>
        </r>
      </text>
    </comment>
    <comment ref="D1191" authorId="0" shapeId="0" xr:uid="{88F7716A-A149-40C6-A9BE-C00B2123F699}">
      <text>
        <r>
          <rPr>
            <b/>
            <sz val="9"/>
            <color indexed="81"/>
            <rFont val="Tahoma"/>
            <family val="2"/>
          </rPr>
          <t>&lt;[[TCDeals] - [TC Property Current Stage (Seq: 1)] - [Buildings (Seq: 10)] Address 1 - Both]&gt;</t>
        </r>
      </text>
    </comment>
    <comment ref="E1191" authorId="0" shapeId="0" xr:uid="{DCECE262-FB8D-437E-9624-91E907F61303}">
      <text>
        <r>
          <rPr>
            <b/>
            <sz val="9"/>
            <color indexed="81"/>
            <rFont val="Tahoma"/>
            <family val="2"/>
          </rPr>
          <t>&lt;[[TCDeals] - [TC Property Current Stage (Seq: 1)] - [Buildings (Seq: 10)] Num TC Units - Both]&gt;</t>
        </r>
      </text>
    </comment>
    <comment ref="F1191" authorId="0" shapeId="0" xr:uid="{BD0FF092-04F8-40E5-BD7E-E282B2A552EE}">
      <text>
        <r>
          <rPr>
            <b/>
            <sz val="9"/>
            <color indexed="81"/>
            <rFont val="Tahoma"/>
            <family val="2"/>
          </rPr>
          <t>&lt;[[TCDeals] - [TC Property Current Stage (Seq: 1)] - [Buildings (Seq: 10)] PVC PIS Date - Both]&gt;</t>
        </r>
      </text>
    </comment>
    <comment ref="G1191" authorId="0" shapeId="0" xr:uid="{1BBE9AE8-72B0-4576-B1C4-E647E3F51AE1}">
      <text>
        <r>
          <rPr>
            <b/>
            <sz val="9"/>
            <color indexed="81"/>
            <rFont val="Tahoma"/>
            <family val="2"/>
          </rPr>
          <t>&lt;[[TCDeals] - [TC Property Current Stage (Seq: 1)] - [Buildings (Seq: 10)] PVC Applicable Percentage - Both]&gt;</t>
        </r>
      </text>
    </comment>
    <comment ref="H1191" authorId="0" shapeId="0" xr:uid="{4C1A3473-8208-4FB6-AEDE-65C76CBD7B1C}">
      <text>
        <r>
          <rPr>
            <b/>
            <sz val="9"/>
            <color indexed="81"/>
            <rFont val="Tahoma"/>
            <family val="2"/>
          </rPr>
          <t>&lt;[[TCDeals] - [TC Property Current Stage (Seq: 1)] - [Buildings (Seq: 10)] PVC Est Qual Basis - Both]&gt;</t>
        </r>
      </text>
    </comment>
    <comment ref="I1191" authorId="0" shapeId="0" xr:uid="{F15EA870-C3CE-4CE6-A029-42A23BE1F3ED}">
      <text>
        <r>
          <rPr>
            <b/>
            <sz val="9"/>
            <color indexed="81"/>
            <rFont val="Tahoma"/>
            <family val="2"/>
          </rPr>
          <t>&lt;[[TCDeals] - [TC Property Current Stage (Seq: 1)] - [Buildings (Seq: 10)] PVC8609 Basis - Both]&gt;</t>
        </r>
      </text>
    </comment>
    <comment ref="J1191" authorId="0" shapeId="0" xr:uid="{818DEC6B-C558-46A0-9F6F-17D0C7DC2C7F}">
      <text>
        <r>
          <rPr>
            <b/>
            <sz val="9"/>
            <color indexed="81"/>
            <rFont val="Tahoma"/>
            <family val="2"/>
          </rPr>
          <t>&lt;[[TCDeals] - [TC Property Current Stage (Seq: 1)] - [Buildings (Seq: 10)] PVC8609 Credit - Both]&gt;</t>
        </r>
      </text>
    </comment>
    <comment ref="K1191" authorId="0" shapeId="0" xr:uid="{C6C137DF-4038-4954-BB6F-0E45F26478E0}">
      <text>
        <r>
          <rPr>
            <b/>
            <sz val="9"/>
            <color indexed="81"/>
            <rFont val="Tahoma"/>
            <family val="2"/>
          </rPr>
          <t>&lt;[[TCDeals] - [TC Property Current Stage (Seq: 1)] - [Buildings (Seq: 10)] Constr PIS Date - Both]&gt;</t>
        </r>
      </text>
    </comment>
    <comment ref="L1191" authorId="0" shapeId="0" xr:uid="{EF9A03CF-F5FF-4C18-B553-3F0E42478788}">
      <text>
        <r>
          <rPr>
            <b/>
            <sz val="9"/>
            <color indexed="81"/>
            <rFont val="Tahoma"/>
            <family val="2"/>
          </rPr>
          <t>&lt;[[TCDeals] - [TC Property Current Stage (Seq: 1)] - [Buildings (Seq: 10)] Constr Applicable Percentage - Both]&gt;</t>
        </r>
      </text>
    </comment>
    <comment ref="M1191" authorId="0" shapeId="0" xr:uid="{6A9B0A43-506C-4A0C-A7D7-986120E6B361}">
      <text>
        <r>
          <rPr>
            <b/>
            <sz val="9"/>
            <color indexed="81"/>
            <rFont val="Tahoma"/>
            <family val="2"/>
          </rPr>
          <t>&lt;[[TCDeals] - [TC Property Current Stage (Seq: 1)] - [Buildings (Seq: 10)] Constr Est Qual Basis - Both]&gt;</t>
        </r>
      </text>
    </comment>
    <comment ref="N1191" authorId="0" shapeId="0" xr:uid="{BEBD4757-7608-45F9-80B6-812D223E447B}">
      <text>
        <r>
          <rPr>
            <b/>
            <sz val="9"/>
            <color indexed="81"/>
            <rFont val="Tahoma"/>
            <family val="2"/>
          </rPr>
          <t>&lt;[[TCDeals] - [TC Property Current Stage (Seq: 1)] - [Buildings (Seq: 10)] Constr 8609 Basis - Both]&gt;</t>
        </r>
      </text>
    </comment>
    <comment ref="O1191" authorId="0" shapeId="0" xr:uid="{2131BEAD-E716-42A1-8D34-758820B35C7C}">
      <text>
        <r>
          <rPr>
            <b/>
            <sz val="9"/>
            <color indexed="81"/>
            <rFont val="Tahoma"/>
            <family val="2"/>
          </rPr>
          <t>&lt;[[TCDeals] - [TC Property Current Stage (Seq: 1)] - [Buildings (Seq: 10)] Constr 8609 Credit - Both]&gt;</t>
        </r>
      </text>
    </comment>
    <comment ref="P1191" authorId="0" shapeId="0" xr:uid="{471060FC-1C83-4123-8850-7947CE4B5D40}">
      <text>
        <r>
          <rPr>
            <b/>
            <sz val="9"/>
            <color indexed="81"/>
            <rFont val="Tahoma"/>
            <family val="2"/>
          </rPr>
          <t>&lt;[[TCDeals] - [TC Property Current Stage (Seq: 1)] - [Buildings (Seq: 10)] Acq PIS Date - Both]&gt;</t>
        </r>
      </text>
    </comment>
    <comment ref="Q1191" authorId="0" shapeId="0" xr:uid="{7AAD361E-8990-48E1-B3D6-1099DA2574F7}">
      <text>
        <r>
          <rPr>
            <b/>
            <sz val="9"/>
            <color indexed="81"/>
            <rFont val="Tahoma"/>
            <family val="2"/>
          </rPr>
          <t>&lt;[[TCDeals] - [TC Property Current Stage (Seq: 1)] - [Buildings (Seq: 10)] Acq Applicable Percentage - Both]&gt;</t>
        </r>
      </text>
    </comment>
    <comment ref="R1191" authorId="0" shapeId="0" xr:uid="{05A4E07C-E0A1-4307-BA86-FEB5FDFBDF43}">
      <text>
        <r>
          <rPr>
            <b/>
            <sz val="9"/>
            <color indexed="81"/>
            <rFont val="Tahoma"/>
            <family val="2"/>
          </rPr>
          <t>&lt;[[TCDeals] - [TC Property Current Stage (Seq: 1)] - [Buildings (Seq: 10)] Acq Est Qual Basis - Both]&gt;</t>
        </r>
      </text>
    </comment>
    <comment ref="S1191" authorId="0" shapeId="0" xr:uid="{71FB4AC8-AECC-408B-8ABB-FE5662AE7B4D}">
      <text>
        <r>
          <rPr>
            <b/>
            <sz val="9"/>
            <color indexed="81"/>
            <rFont val="Tahoma"/>
            <family val="2"/>
          </rPr>
          <t>&lt;[[TCDeals] - [TC Property Current Stage (Seq: 1)] - [Buildings (Seq: 10)] Acq 8609 Basis - Both]&gt;</t>
        </r>
      </text>
    </comment>
    <comment ref="T1191" authorId="0" shapeId="0" xr:uid="{3DC5C146-D307-4098-BB6A-DDF187A23E7B}">
      <text>
        <r>
          <rPr>
            <b/>
            <sz val="9"/>
            <color indexed="81"/>
            <rFont val="Tahoma"/>
            <family val="2"/>
          </rPr>
          <t>&lt;[[TCDeals] - [TC Property Current Stage (Seq: 1)] - [Buildings (Seq: 10)] Acq 8609 Credit - Both]&gt;</t>
        </r>
      </text>
    </comment>
    <comment ref="C1192" authorId="0" shapeId="0" xr:uid="{68BC7424-3DE7-4EEE-9A25-C18F48507F49}">
      <text>
        <r>
          <rPr>
            <b/>
            <sz val="9"/>
            <color indexed="81"/>
            <rFont val="Tahoma"/>
            <family val="2"/>
          </rPr>
          <t>&lt;[[TCDeals] - [TC Property Current Stage (Seq: 1)] - [Buildings (Seq: 11)] BIN - Both]&gt;</t>
        </r>
      </text>
    </comment>
    <comment ref="D1192" authorId="0" shapeId="0" xr:uid="{4B6EDCF2-5016-4DBF-B105-BBED709527EA}">
      <text>
        <r>
          <rPr>
            <b/>
            <sz val="9"/>
            <color indexed="81"/>
            <rFont val="Tahoma"/>
            <family val="2"/>
          </rPr>
          <t>&lt;[[TCDeals] - [TC Property Current Stage (Seq: 1)] - [Buildings (Seq: 11)] Address 1 - Both]&gt;</t>
        </r>
      </text>
    </comment>
    <comment ref="E1192" authorId="0" shapeId="0" xr:uid="{7C8B9C95-4FB5-458F-A4E8-C20DB9B44AB5}">
      <text>
        <r>
          <rPr>
            <b/>
            <sz val="9"/>
            <color indexed="81"/>
            <rFont val="Tahoma"/>
            <family val="2"/>
          </rPr>
          <t>&lt;[[TCDeals] - [TC Property Current Stage (Seq: 1)] - [Buildings (Seq: 11)] Num TC Units - Both]&gt;</t>
        </r>
      </text>
    </comment>
    <comment ref="F1192" authorId="0" shapeId="0" xr:uid="{BF697214-D7EA-4B6E-AC8A-C669CE1D0000}">
      <text>
        <r>
          <rPr>
            <b/>
            <sz val="9"/>
            <color indexed="81"/>
            <rFont val="Tahoma"/>
            <family val="2"/>
          </rPr>
          <t>&lt;[[TCDeals] - [TC Property Current Stage (Seq: 1)] - [Buildings (Seq: 11)] PVC PIS Date - Both]&gt;</t>
        </r>
      </text>
    </comment>
    <comment ref="G1192" authorId="0" shapeId="0" xr:uid="{7124E6B0-E91E-4906-A775-33DE6FF89155}">
      <text>
        <r>
          <rPr>
            <b/>
            <sz val="9"/>
            <color indexed="81"/>
            <rFont val="Tahoma"/>
            <family val="2"/>
          </rPr>
          <t>&lt;[[TCDeals] - [TC Property Current Stage (Seq: 1)] - [Buildings (Seq: 11)] PVC Applicable Percentage - Both]&gt;</t>
        </r>
      </text>
    </comment>
    <comment ref="H1192" authorId="0" shapeId="0" xr:uid="{6246A3AA-3439-442E-AA78-E4C627B2DCCC}">
      <text>
        <r>
          <rPr>
            <b/>
            <sz val="9"/>
            <color indexed="81"/>
            <rFont val="Tahoma"/>
            <family val="2"/>
          </rPr>
          <t>&lt;[[TCDeals] - [TC Property Current Stage (Seq: 1)] - [Buildings (Seq: 11)] PVC Est Qual Basis - Both]&gt;</t>
        </r>
      </text>
    </comment>
    <comment ref="I1192" authorId="0" shapeId="0" xr:uid="{118A3564-E16B-4B05-B939-0ED3F24039C5}">
      <text>
        <r>
          <rPr>
            <b/>
            <sz val="9"/>
            <color indexed="81"/>
            <rFont val="Tahoma"/>
            <family val="2"/>
          </rPr>
          <t>&lt;[[TCDeals] - [TC Property Current Stage (Seq: 1)] - [Buildings (Seq: 11)] PVC8609 Basis - Both]&gt;</t>
        </r>
      </text>
    </comment>
    <comment ref="J1192" authorId="0" shapeId="0" xr:uid="{22680DA5-3A56-4E64-9FCF-DBF785C1C9C3}">
      <text>
        <r>
          <rPr>
            <b/>
            <sz val="9"/>
            <color indexed="81"/>
            <rFont val="Tahoma"/>
            <family val="2"/>
          </rPr>
          <t>&lt;[[TCDeals] - [TC Property Current Stage (Seq: 1)] - [Buildings (Seq: 11)] PVC8609 Credit - Both]&gt;</t>
        </r>
      </text>
    </comment>
    <comment ref="K1192" authorId="0" shapeId="0" xr:uid="{95EFCF8F-9D97-46B6-9513-3DBB90662C29}">
      <text>
        <r>
          <rPr>
            <b/>
            <sz val="9"/>
            <color indexed="81"/>
            <rFont val="Tahoma"/>
            <family val="2"/>
          </rPr>
          <t>&lt;[[TCDeals] - [TC Property Current Stage (Seq: 1)] - [Buildings (Seq: 11)] Constr PIS Date - Both]&gt;</t>
        </r>
      </text>
    </comment>
    <comment ref="L1192" authorId="0" shapeId="0" xr:uid="{9979EEEF-A8D3-40E7-8CD1-934FB6C8CD6C}">
      <text>
        <r>
          <rPr>
            <b/>
            <sz val="9"/>
            <color indexed="81"/>
            <rFont val="Tahoma"/>
            <family val="2"/>
          </rPr>
          <t>&lt;[[TCDeals] - [TC Property Current Stage (Seq: 1)] - [Buildings (Seq: 11)] Constr Applicable Percentage - Both]&gt;</t>
        </r>
      </text>
    </comment>
    <comment ref="M1192" authorId="0" shapeId="0" xr:uid="{18FF0F81-7BFD-4ABB-BBF7-99F673CDD1D2}">
      <text>
        <r>
          <rPr>
            <b/>
            <sz val="9"/>
            <color indexed="81"/>
            <rFont val="Tahoma"/>
            <family val="2"/>
          </rPr>
          <t>&lt;[[TCDeals] - [TC Property Current Stage (Seq: 1)] - [Buildings (Seq: 11)] Constr Est Qual Basis - Both]&gt;</t>
        </r>
      </text>
    </comment>
    <comment ref="N1192" authorId="0" shapeId="0" xr:uid="{A5C1C7CE-6711-428E-88FC-687E94C0F3AD}">
      <text>
        <r>
          <rPr>
            <b/>
            <sz val="9"/>
            <color indexed="81"/>
            <rFont val="Tahoma"/>
            <family val="2"/>
          </rPr>
          <t>&lt;[[TCDeals] - [TC Property Current Stage (Seq: 1)] - [Buildings (Seq: 11)] Constr 8609 Basis - Both]&gt;</t>
        </r>
      </text>
    </comment>
    <comment ref="O1192" authorId="0" shapeId="0" xr:uid="{7B4E3347-49D1-433D-BCAF-7F7583ECCFDA}">
      <text>
        <r>
          <rPr>
            <b/>
            <sz val="9"/>
            <color indexed="81"/>
            <rFont val="Tahoma"/>
            <family val="2"/>
          </rPr>
          <t>&lt;[[TCDeals] - [TC Property Current Stage (Seq: 1)] - [Buildings (Seq: 11)] Constr 8609 Credit - Both]&gt;</t>
        </r>
      </text>
    </comment>
    <comment ref="P1192" authorId="0" shapeId="0" xr:uid="{C6163A3D-12E7-44F2-B090-5B5AF400EFEF}">
      <text>
        <r>
          <rPr>
            <b/>
            <sz val="9"/>
            <color indexed="81"/>
            <rFont val="Tahoma"/>
            <family val="2"/>
          </rPr>
          <t>&lt;[[TCDeals] - [TC Property Current Stage (Seq: 1)] - [Buildings (Seq: 11)] Acq PIS Date - Both]&gt;</t>
        </r>
      </text>
    </comment>
    <comment ref="Q1192" authorId="0" shapeId="0" xr:uid="{0523FE2F-E73D-48FD-9FB0-7645C66A8C36}">
      <text>
        <r>
          <rPr>
            <b/>
            <sz val="9"/>
            <color indexed="81"/>
            <rFont val="Tahoma"/>
            <family val="2"/>
          </rPr>
          <t>&lt;[[TCDeals] - [TC Property Current Stage (Seq: 1)] - [Buildings (Seq: 11)] Acq Applicable Percentage - Both]&gt;</t>
        </r>
      </text>
    </comment>
    <comment ref="R1192" authorId="0" shapeId="0" xr:uid="{D86085C0-43DE-4AF1-A4E6-AAE6ED22D268}">
      <text>
        <r>
          <rPr>
            <b/>
            <sz val="9"/>
            <color indexed="81"/>
            <rFont val="Tahoma"/>
            <family val="2"/>
          </rPr>
          <t>&lt;[[TCDeals] - [TC Property Current Stage (Seq: 1)] - [Buildings (Seq: 11)] Acq Est Qual Basis - Both]&gt;</t>
        </r>
      </text>
    </comment>
    <comment ref="S1192" authorId="0" shapeId="0" xr:uid="{51DDFA48-ECE0-4792-8410-DBC478C0A77C}">
      <text>
        <r>
          <rPr>
            <b/>
            <sz val="9"/>
            <color indexed="81"/>
            <rFont val="Tahoma"/>
            <family val="2"/>
          </rPr>
          <t>&lt;[[TCDeals] - [TC Property Current Stage (Seq: 1)] - [Buildings (Seq: 11)] Acq 8609 Basis - Both]&gt;</t>
        </r>
      </text>
    </comment>
    <comment ref="T1192" authorId="0" shapeId="0" xr:uid="{FB7C67FD-1D85-4F04-8A2B-10EEA5583031}">
      <text>
        <r>
          <rPr>
            <b/>
            <sz val="9"/>
            <color indexed="81"/>
            <rFont val="Tahoma"/>
            <family val="2"/>
          </rPr>
          <t>&lt;[[TCDeals] - [TC Property Current Stage (Seq: 1)] - [Buildings (Seq: 11)] Acq 8609 Credit - Both]&gt;</t>
        </r>
      </text>
    </comment>
    <comment ref="C1193" authorId="0" shapeId="0" xr:uid="{4F06FAEB-6D8B-472D-B86B-E1718F799C30}">
      <text>
        <r>
          <rPr>
            <b/>
            <sz val="9"/>
            <color indexed="81"/>
            <rFont val="Tahoma"/>
            <family val="2"/>
          </rPr>
          <t>&lt;[[TCDeals] - [TC Property Current Stage (Seq: 1)] - [Buildings (Seq: 12)] BIN - Both]&gt;</t>
        </r>
      </text>
    </comment>
    <comment ref="D1193" authorId="0" shapeId="0" xr:uid="{858DE7B6-4007-47E8-ADA3-5D44C9810612}">
      <text>
        <r>
          <rPr>
            <b/>
            <sz val="9"/>
            <color indexed="81"/>
            <rFont val="Tahoma"/>
            <family val="2"/>
          </rPr>
          <t>&lt;[[TCDeals] - [TC Property Current Stage (Seq: 1)] - [Buildings (Seq: 12)] Address 1 - Both]&gt;</t>
        </r>
      </text>
    </comment>
    <comment ref="E1193" authorId="0" shapeId="0" xr:uid="{999B5CB1-E9BB-4C73-ADE8-94558D893FBC}">
      <text>
        <r>
          <rPr>
            <b/>
            <sz val="9"/>
            <color indexed="81"/>
            <rFont val="Tahoma"/>
            <family val="2"/>
          </rPr>
          <t>&lt;[[TCDeals] - [TC Property Current Stage (Seq: 1)] - [Buildings (Seq: 12)] Num TC Units - Both]&gt;</t>
        </r>
      </text>
    </comment>
    <comment ref="F1193" authorId="0" shapeId="0" xr:uid="{CB5AE3C8-ED5E-410D-89C5-E53BBC12E612}">
      <text>
        <r>
          <rPr>
            <b/>
            <sz val="9"/>
            <color indexed="81"/>
            <rFont val="Tahoma"/>
            <family val="2"/>
          </rPr>
          <t>&lt;[[TCDeals] - [TC Property Current Stage (Seq: 1)] - [Buildings (Seq: 12)] PVC PIS Date - Both]&gt;</t>
        </r>
      </text>
    </comment>
    <comment ref="G1193" authorId="0" shapeId="0" xr:uid="{77C9FB99-D919-4123-B9A5-1C693B79EE3E}">
      <text>
        <r>
          <rPr>
            <b/>
            <sz val="9"/>
            <color indexed="81"/>
            <rFont val="Tahoma"/>
            <family val="2"/>
          </rPr>
          <t>&lt;[[TCDeals] - [TC Property Current Stage (Seq: 1)] - [Buildings (Seq: 12)] PVC Applicable Percentage - Both]&gt;</t>
        </r>
      </text>
    </comment>
    <comment ref="H1193" authorId="0" shapeId="0" xr:uid="{C5A7C4CC-EEA4-4026-8789-E62528A8DC2A}">
      <text>
        <r>
          <rPr>
            <b/>
            <sz val="9"/>
            <color indexed="81"/>
            <rFont val="Tahoma"/>
            <family val="2"/>
          </rPr>
          <t>&lt;[[TCDeals] - [TC Property Current Stage (Seq: 1)] - [Buildings (Seq: 12)] PVC Est Qual Basis - Both]&gt;</t>
        </r>
      </text>
    </comment>
    <comment ref="I1193" authorId="0" shapeId="0" xr:uid="{0646E4E8-2394-4A48-880A-2D42BD758264}">
      <text>
        <r>
          <rPr>
            <b/>
            <sz val="9"/>
            <color indexed="81"/>
            <rFont val="Tahoma"/>
            <family val="2"/>
          </rPr>
          <t>&lt;[[TCDeals] - [TC Property Current Stage (Seq: 1)] - [Buildings (Seq: 12)] PVC8609 Basis - Both]&gt;</t>
        </r>
      </text>
    </comment>
    <comment ref="J1193" authorId="0" shapeId="0" xr:uid="{69688260-8ED4-4335-97B4-21B7146698AF}">
      <text>
        <r>
          <rPr>
            <b/>
            <sz val="9"/>
            <color indexed="81"/>
            <rFont val="Tahoma"/>
            <family val="2"/>
          </rPr>
          <t>&lt;[[TCDeals] - [TC Property Current Stage (Seq: 1)] - [Buildings (Seq: 12)] PVC8609 Credit - Both]&gt;</t>
        </r>
      </text>
    </comment>
    <comment ref="K1193" authorId="0" shapeId="0" xr:uid="{37B431FB-4181-4574-8FE0-8E15BAF8503B}">
      <text>
        <r>
          <rPr>
            <b/>
            <sz val="9"/>
            <color indexed="81"/>
            <rFont val="Tahoma"/>
            <family val="2"/>
          </rPr>
          <t>&lt;[[TCDeals] - [TC Property Current Stage (Seq: 1)] - [Buildings (Seq: 12)] Constr PIS Date - Both]&gt;</t>
        </r>
      </text>
    </comment>
    <comment ref="L1193" authorId="0" shapeId="0" xr:uid="{7FAC0038-0A18-4F49-8B9E-27ACF2023173}">
      <text>
        <r>
          <rPr>
            <b/>
            <sz val="9"/>
            <color indexed="81"/>
            <rFont val="Tahoma"/>
            <family val="2"/>
          </rPr>
          <t>&lt;[[TCDeals] - [TC Property Current Stage (Seq: 1)] - [Buildings (Seq: 12)] Constr Applicable Percentage - Both]&gt;</t>
        </r>
      </text>
    </comment>
    <comment ref="M1193" authorId="0" shapeId="0" xr:uid="{B0643279-2BE4-48C7-9205-3623A36D81B8}">
      <text>
        <r>
          <rPr>
            <b/>
            <sz val="9"/>
            <color indexed="81"/>
            <rFont val="Tahoma"/>
            <family val="2"/>
          </rPr>
          <t>&lt;[[TCDeals] - [TC Property Current Stage (Seq: 1)] - [Buildings (Seq: 12)] Constr Est Qual Basis - Both]&gt;</t>
        </r>
      </text>
    </comment>
    <comment ref="N1193" authorId="0" shapeId="0" xr:uid="{6CFFF073-44A7-470A-A1F8-055DD34CD14E}">
      <text>
        <r>
          <rPr>
            <b/>
            <sz val="9"/>
            <color indexed="81"/>
            <rFont val="Tahoma"/>
            <family val="2"/>
          </rPr>
          <t>&lt;[[TCDeals] - [TC Property Current Stage (Seq: 1)] - [Buildings (Seq: 12)] Constr 8609 Basis - Both]&gt;</t>
        </r>
      </text>
    </comment>
    <comment ref="O1193" authorId="0" shapeId="0" xr:uid="{2674BE2C-9FCA-40EA-AFA9-4C558BF7388B}">
      <text>
        <r>
          <rPr>
            <b/>
            <sz val="9"/>
            <color indexed="81"/>
            <rFont val="Tahoma"/>
            <family val="2"/>
          </rPr>
          <t>&lt;[[TCDeals] - [TC Property Current Stage (Seq: 1)] - [Buildings (Seq: 12)] Constr 8609 Credit - Both]&gt;</t>
        </r>
      </text>
    </comment>
    <comment ref="P1193" authorId="0" shapeId="0" xr:uid="{B381CB9D-8C80-4251-8F4C-661F32B6A287}">
      <text>
        <r>
          <rPr>
            <b/>
            <sz val="9"/>
            <color indexed="81"/>
            <rFont val="Tahoma"/>
            <family val="2"/>
          </rPr>
          <t>&lt;[[TCDeals] - [TC Property Current Stage (Seq: 1)] - [Buildings (Seq: 12)] Acq PIS Date - Both]&gt;</t>
        </r>
      </text>
    </comment>
    <comment ref="Q1193" authorId="0" shapeId="0" xr:uid="{247EABB1-1C51-40D4-B04C-635097FE20A4}">
      <text>
        <r>
          <rPr>
            <b/>
            <sz val="9"/>
            <color indexed="81"/>
            <rFont val="Tahoma"/>
            <family val="2"/>
          </rPr>
          <t>&lt;[[TCDeals] - [TC Property Current Stage (Seq: 1)] - [Buildings (Seq: 12)] Acq Applicable Percentage - Both]&gt;</t>
        </r>
      </text>
    </comment>
    <comment ref="R1193" authorId="0" shapeId="0" xr:uid="{04FF9C13-B613-432E-807E-81208E25243A}">
      <text>
        <r>
          <rPr>
            <b/>
            <sz val="9"/>
            <color indexed="81"/>
            <rFont val="Tahoma"/>
            <family val="2"/>
          </rPr>
          <t>&lt;[[TCDeals] - [TC Property Current Stage (Seq: 1)] - [Buildings (Seq: 12)] Acq Est Qual Basis - Both]&gt;</t>
        </r>
      </text>
    </comment>
    <comment ref="S1193" authorId="0" shapeId="0" xr:uid="{31D3A893-DFDA-4A9E-947B-AC3407EDFF5E}">
      <text>
        <r>
          <rPr>
            <b/>
            <sz val="9"/>
            <color indexed="81"/>
            <rFont val="Tahoma"/>
            <family val="2"/>
          </rPr>
          <t>&lt;[[TCDeals] - [TC Property Current Stage (Seq: 1)] - [Buildings (Seq: 12)] Acq 8609 Basis - Both]&gt;</t>
        </r>
      </text>
    </comment>
    <comment ref="T1193" authorId="0" shapeId="0" xr:uid="{BD0252F8-F848-48E5-8EF9-5DEFC7DB14B5}">
      <text>
        <r>
          <rPr>
            <b/>
            <sz val="9"/>
            <color indexed="81"/>
            <rFont val="Tahoma"/>
            <family val="2"/>
          </rPr>
          <t>&lt;[[TCDeals] - [TC Property Current Stage (Seq: 1)] - [Buildings (Seq: 12)] Acq 8609 Credit - Both]&gt;</t>
        </r>
      </text>
    </comment>
    <comment ref="C1194" authorId="0" shapeId="0" xr:uid="{3DE51D9C-916E-472B-9107-42F59FBCD510}">
      <text>
        <r>
          <rPr>
            <b/>
            <sz val="9"/>
            <color indexed="81"/>
            <rFont val="Tahoma"/>
            <family val="2"/>
          </rPr>
          <t>&lt;[[TCDeals] - [TC Property Current Stage (Seq: 1)] - [Buildings (Seq: 13)] BIN - Both]&gt;</t>
        </r>
      </text>
    </comment>
    <comment ref="D1194" authorId="0" shapeId="0" xr:uid="{DDF34D53-93E2-4567-B161-A3E5EA85B24C}">
      <text>
        <r>
          <rPr>
            <b/>
            <sz val="9"/>
            <color indexed="81"/>
            <rFont val="Tahoma"/>
            <family val="2"/>
          </rPr>
          <t>&lt;[[TCDeals] - [TC Property Current Stage (Seq: 1)] - [Buildings (Seq: 13)] Address 1 - Both]&gt;</t>
        </r>
      </text>
    </comment>
    <comment ref="E1194" authorId="0" shapeId="0" xr:uid="{113ED461-5D71-4274-BE7F-DAA821250FEC}">
      <text>
        <r>
          <rPr>
            <b/>
            <sz val="9"/>
            <color indexed="81"/>
            <rFont val="Tahoma"/>
            <family val="2"/>
          </rPr>
          <t>&lt;[[TCDeals] - [TC Property Current Stage (Seq: 1)] - [Buildings (Seq: 13)] Num TC Units - Both]&gt;</t>
        </r>
      </text>
    </comment>
    <comment ref="F1194" authorId="0" shapeId="0" xr:uid="{DA354789-ADFD-46DE-BDD6-9A7EDA216433}">
      <text>
        <r>
          <rPr>
            <b/>
            <sz val="9"/>
            <color indexed="81"/>
            <rFont val="Tahoma"/>
            <family val="2"/>
          </rPr>
          <t>&lt;[[TCDeals] - [TC Property Current Stage (Seq: 1)] - [Buildings (Seq: 13)] PVC PIS Date - Both]&gt;</t>
        </r>
      </text>
    </comment>
    <comment ref="G1194" authorId="0" shapeId="0" xr:uid="{52D460F2-8D99-44F3-82AD-497BFE93FBDC}">
      <text>
        <r>
          <rPr>
            <b/>
            <sz val="9"/>
            <color indexed="81"/>
            <rFont val="Tahoma"/>
            <family val="2"/>
          </rPr>
          <t>&lt;[[TCDeals] - [TC Property Current Stage (Seq: 1)] - [Buildings (Seq: 13)] PVC Applicable Percentage - Both]&gt;</t>
        </r>
      </text>
    </comment>
    <comment ref="H1194" authorId="0" shapeId="0" xr:uid="{54F3C6B5-0AFC-497C-A2DA-A410F9A92B56}">
      <text>
        <r>
          <rPr>
            <b/>
            <sz val="9"/>
            <color indexed="81"/>
            <rFont val="Tahoma"/>
            <family val="2"/>
          </rPr>
          <t>&lt;[[TCDeals] - [TC Property Current Stage (Seq: 1)] - [Buildings (Seq: 13)] PVC Est Qual Basis - Both]&gt;</t>
        </r>
      </text>
    </comment>
    <comment ref="I1194" authorId="0" shapeId="0" xr:uid="{D24E621C-D62E-4CAD-8E79-34582ADFD02E}">
      <text>
        <r>
          <rPr>
            <b/>
            <sz val="9"/>
            <color indexed="81"/>
            <rFont val="Tahoma"/>
            <family val="2"/>
          </rPr>
          <t>&lt;[[TCDeals] - [TC Property Current Stage (Seq: 1)] - [Buildings (Seq: 13)] PVC8609 Basis - Both]&gt;</t>
        </r>
      </text>
    </comment>
    <comment ref="J1194" authorId="0" shapeId="0" xr:uid="{6AB4326B-B68C-4346-B0FA-88B27EEB334E}">
      <text>
        <r>
          <rPr>
            <b/>
            <sz val="9"/>
            <color indexed="81"/>
            <rFont val="Tahoma"/>
            <family val="2"/>
          </rPr>
          <t>&lt;[[TCDeals] - [TC Property Current Stage (Seq: 1)] - [Buildings (Seq: 13)] PVC8609 Credit - Both]&gt;</t>
        </r>
      </text>
    </comment>
    <comment ref="K1194" authorId="0" shapeId="0" xr:uid="{8E26056B-8355-442B-B343-B24F78D242A7}">
      <text>
        <r>
          <rPr>
            <b/>
            <sz val="9"/>
            <color indexed="81"/>
            <rFont val="Tahoma"/>
            <family val="2"/>
          </rPr>
          <t>&lt;[[TCDeals] - [TC Property Current Stage (Seq: 1)] - [Buildings (Seq: 13)] Constr PIS Date - Both]&gt;</t>
        </r>
      </text>
    </comment>
    <comment ref="L1194" authorId="0" shapeId="0" xr:uid="{8C93D1B9-B6BB-4481-9DA8-EE1D4F1F0A52}">
      <text>
        <r>
          <rPr>
            <b/>
            <sz val="9"/>
            <color indexed="81"/>
            <rFont val="Tahoma"/>
            <family val="2"/>
          </rPr>
          <t>&lt;[[TCDeals] - [TC Property Current Stage (Seq: 1)] - [Buildings (Seq: 13)] Constr Applicable Percentage - Both]&gt;</t>
        </r>
      </text>
    </comment>
    <comment ref="M1194" authorId="0" shapeId="0" xr:uid="{6718022C-A9B1-4280-B51F-D44885D5D164}">
      <text>
        <r>
          <rPr>
            <b/>
            <sz val="9"/>
            <color indexed="81"/>
            <rFont val="Tahoma"/>
            <family val="2"/>
          </rPr>
          <t>&lt;[[TCDeals] - [TC Property Current Stage (Seq: 1)] - [Buildings (Seq: 13)] Constr Est Qual Basis - Both]&gt;</t>
        </r>
      </text>
    </comment>
    <comment ref="N1194" authorId="0" shapeId="0" xr:uid="{7A1DDA1E-0EFD-4AE8-BD19-ED0A181B4540}">
      <text>
        <r>
          <rPr>
            <b/>
            <sz val="9"/>
            <color indexed="81"/>
            <rFont val="Tahoma"/>
            <family val="2"/>
          </rPr>
          <t>&lt;[[TCDeals] - [TC Property Current Stage (Seq: 1)] - [Buildings (Seq: 13)] Constr 8609 Basis - Both]&gt;</t>
        </r>
      </text>
    </comment>
    <comment ref="O1194" authorId="0" shapeId="0" xr:uid="{8E4F5638-9BBA-47D1-844E-9E8C93103E55}">
      <text>
        <r>
          <rPr>
            <b/>
            <sz val="9"/>
            <color indexed="81"/>
            <rFont val="Tahoma"/>
            <family val="2"/>
          </rPr>
          <t>&lt;[[TCDeals] - [TC Property Current Stage (Seq: 1)] - [Buildings (Seq: 13)] Constr 8609 Credit - Both]&gt;</t>
        </r>
      </text>
    </comment>
    <comment ref="P1194" authorId="0" shapeId="0" xr:uid="{7EDE41D9-22D7-4BA6-8B3A-DAEEEE65E76B}">
      <text>
        <r>
          <rPr>
            <b/>
            <sz val="9"/>
            <color indexed="81"/>
            <rFont val="Tahoma"/>
            <family val="2"/>
          </rPr>
          <t>&lt;[[TCDeals] - [TC Property Current Stage (Seq: 1)] - [Buildings (Seq: 13)] Acq PIS Date - Both]&gt;</t>
        </r>
      </text>
    </comment>
    <comment ref="Q1194" authorId="0" shapeId="0" xr:uid="{1F8E73B5-3AEB-44C8-BD39-B1877FE2F90B}">
      <text>
        <r>
          <rPr>
            <b/>
            <sz val="9"/>
            <color indexed="81"/>
            <rFont val="Tahoma"/>
            <family val="2"/>
          </rPr>
          <t>&lt;[[TCDeals] - [TC Property Current Stage (Seq: 1)] - [Buildings (Seq: 13)] Acq Applicable Percentage - Both]&gt;</t>
        </r>
      </text>
    </comment>
    <comment ref="R1194" authorId="0" shapeId="0" xr:uid="{D807821A-404E-4C0E-9E10-848560F5CE7E}">
      <text>
        <r>
          <rPr>
            <b/>
            <sz val="9"/>
            <color indexed="81"/>
            <rFont val="Tahoma"/>
            <family val="2"/>
          </rPr>
          <t>&lt;[[TCDeals] - [TC Property Current Stage (Seq: 1)] - [Buildings (Seq: 13)] Acq Est Qual Basis - Both]&gt;</t>
        </r>
      </text>
    </comment>
    <comment ref="S1194" authorId="0" shapeId="0" xr:uid="{3782C175-9638-4F31-9484-FBC3E1CF050B}">
      <text>
        <r>
          <rPr>
            <b/>
            <sz val="9"/>
            <color indexed="81"/>
            <rFont val="Tahoma"/>
            <family val="2"/>
          </rPr>
          <t>&lt;[[TCDeals] - [TC Property Current Stage (Seq: 1)] - [Buildings (Seq: 13)] Acq 8609 Basis - Both]&gt;</t>
        </r>
      </text>
    </comment>
    <comment ref="T1194" authorId="0" shapeId="0" xr:uid="{CFD2DE13-B1D1-470B-A6CA-8DD632D9BCEE}">
      <text>
        <r>
          <rPr>
            <b/>
            <sz val="9"/>
            <color indexed="81"/>
            <rFont val="Tahoma"/>
            <family val="2"/>
          </rPr>
          <t>&lt;[[TCDeals] - [TC Property Current Stage (Seq: 1)] - [Buildings (Seq: 13)] Acq 8609 Credit - Both]&gt;</t>
        </r>
      </text>
    </comment>
    <comment ref="C1195" authorId="0" shapeId="0" xr:uid="{B1DDC460-30F4-4CDC-BE8F-AC8E90547A4E}">
      <text>
        <r>
          <rPr>
            <b/>
            <sz val="9"/>
            <color indexed="81"/>
            <rFont val="Tahoma"/>
            <family val="2"/>
          </rPr>
          <t>&lt;[[TCDeals] - [TC Property Current Stage (Seq: 1)] - [Buildings (Seq: 14)] BIN - Both]&gt;</t>
        </r>
      </text>
    </comment>
    <comment ref="D1195" authorId="0" shapeId="0" xr:uid="{A1301EBE-5240-48A6-843B-58971BC4DA0B}">
      <text>
        <r>
          <rPr>
            <b/>
            <sz val="9"/>
            <color indexed="81"/>
            <rFont val="Tahoma"/>
            <family val="2"/>
          </rPr>
          <t>&lt;[[TCDeals] - [TC Property Current Stage (Seq: 1)] - [Buildings (Seq: 14)] Address 1 - Both]&gt;</t>
        </r>
      </text>
    </comment>
    <comment ref="E1195" authorId="0" shapeId="0" xr:uid="{0DEE9679-D179-4B9D-BD9A-EDA9401F0E9F}">
      <text>
        <r>
          <rPr>
            <b/>
            <sz val="9"/>
            <color indexed="81"/>
            <rFont val="Tahoma"/>
            <family val="2"/>
          </rPr>
          <t>&lt;[[TCDeals] - [TC Property Current Stage (Seq: 1)] - [Buildings (Seq: 14)] Num TC Units - Both]&gt;</t>
        </r>
      </text>
    </comment>
    <comment ref="F1195" authorId="0" shapeId="0" xr:uid="{C45D8A9C-891A-4B36-AAD1-3F65456676C7}">
      <text>
        <r>
          <rPr>
            <b/>
            <sz val="9"/>
            <color indexed="81"/>
            <rFont val="Tahoma"/>
            <family val="2"/>
          </rPr>
          <t>&lt;[[TCDeals] - [TC Property Current Stage (Seq: 1)] - [Buildings (Seq: 14)] PVC PIS Date - Both]&gt;</t>
        </r>
      </text>
    </comment>
    <comment ref="G1195" authorId="0" shapeId="0" xr:uid="{12B80ED7-8C05-4237-9090-8D764E857A13}">
      <text>
        <r>
          <rPr>
            <b/>
            <sz val="9"/>
            <color indexed="81"/>
            <rFont val="Tahoma"/>
            <family val="2"/>
          </rPr>
          <t>&lt;[[TCDeals] - [TC Property Current Stage (Seq: 1)] - [Buildings (Seq: 14)] PVC Applicable Percentage - Both]&gt;</t>
        </r>
      </text>
    </comment>
    <comment ref="H1195" authorId="0" shapeId="0" xr:uid="{4FDD183C-00DF-49F1-B19A-766AC938742A}">
      <text>
        <r>
          <rPr>
            <b/>
            <sz val="9"/>
            <color indexed="81"/>
            <rFont val="Tahoma"/>
            <family val="2"/>
          </rPr>
          <t>&lt;[[TCDeals] - [TC Property Current Stage (Seq: 1)] - [Buildings (Seq: 14)] PVC Est Qual Basis - Both]&gt;</t>
        </r>
      </text>
    </comment>
    <comment ref="I1195" authorId="0" shapeId="0" xr:uid="{5E71CC3D-9F7C-41C9-A818-DC24A0B0084B}">
      <text>
        <r>
          <rPr>
            <b/>
            <sz val="9"/>
            <color indexed="81"/>
            <rFont val="Tahoma"/>
            <family val="2"/>
          </rPr>
          <t>&lt;[[TCDeals] - [TC Property Current Stage (Seq: 1)] - [Buildings (Seq: 14)] PVC8609 Basis - Both]&gt;</t>
        </r>
      </text>
    </comment>
    <comment ref="J1195" authorId="0" shapeId="0" xr:uid="{4FBDE14E-2F85-4EAF-A112-3C5A0A552421}">
      <text>
        <r>
          <rPr>
            <b/>
            <sz val="9"/>
            <color indexed="81"/>
            <rFont val="Tahoma"/>
            <family val="2"/>
          </rPr>
          <t>&lt;[[TCDeals] - [TC Property Current Stage (Seq: 1)] - [Buildings (Seq: 14)] PVC8609 Credit - Both]&gt;</t>
        </r>
      </text>
    </comment>
    <comment ref="K1195" authorId="0" shapeId="0" xr:uid="{21B31DE0-1811-44AA-ACAD-2B06307BC1B1}">
      <text>
        <r>
          <rPr>
            <b/>
            <sz val="9"/>
            <color indexed="81"/>
            <rFont val="Tahoma"/>
            <family val="2"/>
          </rPr>
          <t>&lt;[[TCDeals] - [TC Property Current Stage (Seq: 1)] - [Buildings (Seq: 14)] Constr PIS Date - Both]&gt;</t>
        </r>
      </text>
    </comment>
    <comment ref="L1195" authorId="0" shapeId="0" xr:uid="{E4F48B46-E138-471D-BE2D-B185A9416A04}">
      <text>
        <r>
          <rPr>
            <b/>
            <sz val="9"/>
            <color indexed="81"/>
            <rFont val="Tahoma"/>
            <family val="2"/>
          </rPr>
          <t>&lt;[[TCDeals] - [TC Property Current Stage (Seq: 1)] - [Buildings (Seq: 14)] Constr Applicable Percentage - Both]&gt;</t>
        </r>
      </text>
    </comment>
    <comment ref="M1195" authorId="0" shapeId="0" xr:uid="{897DCEF5-4B25-443D-BC8C-99BA20F7A40A}">
      <text>
        <r>
          <rPr>
            <b/>
            <sz val="9"/>
            <color indexed="81"/>
            <rFont val="Tahoma"/>
            <family val="2"/>
          </rPr>
          <t>&lt;[[TCDeals] - [TC Property Current Stage (Seq: 1)] - [Buildings (Seq: 14)] Constr Est Qual Basis - Both]&gt;</t>
        </r>
      </text>
    </comment>
    <comment ref="N1195" authorId="0" shapeId="0" xr:uid="{ECED3CDF-B8A0-4E44-B4FF-47BD0D55E89C}">
      <text>
        <r>
          <rPr>
            <b/>
            <sz val="9"/>
            <color indexed="81"/>
            <rFont val="Tahoma"/>
            <family val="2"/>
          </rPr>
          <t>&lt;[[TCDeals] - [TC Property Current Stage (Seq: 1)] - [Buildings (Seq: 14)] Constr 8609 Basis - Both]&gt;</t>
        </r>
      </text>
    </comment>
    <comment ref="O1195" authorId="0" shapeId="0" xr:uid="{E5F32D00-451C-49F1-8208-D0EFD5F02046}">
      <text>
        <r>
          <rPr>
            <b/>
            <sz val="9"/>
            <color indexed="81"/>
            <rFont val="Tahoma"/>
            <family val="2"/>
          </rPr>
          <t>&lt;[[TCDeals] - [TC Property Current Stage (Seq: 1)] - [Buildings (Seq: 14)] Constr 8609 Credit - Both]&gt;</t>
        </r>
      </text>
    </comment>
    <comment ref="P1195" authorId="0" shapeId="0" xr:uid="{85A6A408-97F2-4E15-9473-B465901D92EE}">
      <text>
        <r>
          <rPr>
            <b/>
            <sz val="9"/>
            <color indexed="81"/>
            <rFont val="Tahoma"/>
            <family val="2"/>
          </rPr>
          <t>&lt;[[TCDeals] - [TC Property Current Stage (Seq: 1)] - [Buildings (Seq: 14)] Acq PIS Date - Both]&gt;</t>
        </r>
      </text>
    </comment>
    <comment ref="Q1195" authorId="0" shapeId="0" xr:uid="{1FCDA022-1364-4F5F-BE92-D75A3AA773D1}">
      <text>
        <r>
          <rPr>
            <b/>
            <sz val="9"/>
            <color indexed="81"/>
            <rFont val="Tahoma"/>
            <family val="2"/>
          </rPr>
          <t>&lt;[[TCDeals] - [TC Property Current Stage (Seq: 1)] - [Buildings (Seq: 14)] Acq Applicable Percentage - Both]&gt;</t>
        </r>
      </text>
    </comment>
    <comment ref="R1195" authorId="0" shapeId="0" xr:uid="{94A8AE3A-6B87-4015-9ED7-B0379772718C}">
      <text>
        <r>
          <rPr>
            <b/>
            <sz val="9"/>
            <color indexed="81"/>
            <rFont val="Tahoma"/>
            <family val="2"/>
          </rPr>
          <t>&lt;[[TCDeals] - [TC Property Current Stage (Seq: 1)] - [Buildings (Seq: 14)] Acq Est Qual Basis - Both]&gt;</t>
        </r>
      </text>
    </comment>
    <comment ref="S1195" authorId="0" shapeId="0" xr:uid="{9F7D76E8-1DFF-43F5-9C57-96534D249306}">
      <text>
        <r>
          <rPr>
            <b/>
            <sz val="9"/>
            <color indexed="81"/>
            <rFont val="Tahoma"/>
            <family val="2"/>
          </rPr>
          <t>&lt;[[TCDeals] - [TC Property Current Stage (Seq: 1)] - [Buildings (Seq: 14)] Acq 8609 Basis - Both]&gt;</t>
        </r>
      </text>
    </comment>
    <comment ref="T1195" authorId="0" shapeId="0" xr:uid="{CB87CB14-662B-4B81-AA0E-529E384803B1}">
      <text>
        <r>
          <rPr>
            <b/>
            <sz val="9"/>
            <color indexed="81"/>
            <rFont val="Tahoma"/>
            <family val="2"/>
          </rPr>
          <t>&lt;[[TCDeals] - [TC Property Current Stage (Seq: 1)] - [Buildings (Seq: 14)] Acq 8609 Credit - Both]&gt;</t>
        </r>
      </text>
    </comment>
    <comment ref="C1196" authorId="0" shapeId="0" xr:uid="{A2DBD4F8-FF04-4BF7-873F-1013060CD682}">
      <text>
        <r>
          <rPr>
            <b/>
            <sz val="9"/>
            <color indexed="81"/>
            <rFont val="Tahoma"/>
            <family val="2"/>
          </rPr>
          <t>&lt;[[TCDeals] - [TC Property Current Stage (Seq: 1)] - [Buildings (Seq: 15)] BIN - Both]&gt;</t>
        </r>
      </text>
    </comment>
    <comment ref="D1196" authorId="0" shapeId="0" xr:uid="{4D2F41E3-B547-4374-8091-ABE13C4AAF4B}">
      <text>
        <r>
          <rPr>
            <b/>
            <sz val="9"/>
            <color indexed="81"/>
            <rFont val="Tahoma"/>
            <family val="2"/>
          </rPr>
          <t>&lt;[[TCDeals] - [TC Property Current Stage (Seq: 1)] - [Buildings (Seq: 15)] Address 1 - Both]&gt;</t>
        </r>
      </text>
    </comment>
    <comment ref="E1196" authorId="0" shapeId="0" xr:uid="{F1951D41-5450-466B-8C85-81C52579A775}">
      <text>
        <r>
          <rPr>
            <b/>
            <sz val="9"/>
            <color indexed="81"/>
            <rFont val="Tahoma"/>
            <family val="2"/>
          </rPr>
          <t>&lt;[[TCDeals] - [TC Property Current Stage (Seq: 1)] - [Buildings (Seq: 15)] Num TC Units - Both]&gt;</t>
        </r>
      </text>
    </comment>
    <comment ref="F1196" authorId="0" shapeId="0" xr:uid="{2E01E973-9E95-4A61-9E87-BC64657772B9}">
      <text>
        <r>
          <rPr>
            <b/>
            <sz val="9"/>
            <color indexed="81"/>
            <rFont val="Tahoma"/>
            <family val="2"/>
          </rPr>
          <t>&lt;[[TCDeals] - [TC Property Current Stage (Seq: 1)] - [Buildings (Seq: 15)] PVC PIS Date - Both]&gt;</t>
        </r>
      </text>
    </comment>
    <comment ref="G1196" authorId="0" shapeId="0" xr:uid="{FA381E3E-ABE1-428D-B815-7D6E220ECFD4}">
      <text>
        <r>
          <rPr>
            <b/>
            <sz val="9"/>
            <color indexed="81"/>
            <rFont val="Tahoma"/>
            <family val="2"/>
          </rPr>
          <t>&lt;[[TCDeals] - [TC Property Current Stage (Seq: 1)] - [Buildings (Seq: 15)] PVC Applicable Percentage - Both]&gt;</t>
        </r>
      </text>
    </comment>
    <comment ref="H1196" authorId="0" shapeId="0" xr:uid="{544D0780-2EE0-47BF-904F-ADCD0C8B8D02}">
      <text>
        <r>
          <rPr>
            <b/>
            <sz val="9"/>
            <color indexed="81"/>
            <rFont val="Tahoma"/>
            <family val="2"/>
          </rPr>
          <t>&lt;[[TCDeals] - [TC Property Current Stage (Seq: 1)] - [Buildings (Seq: 15)] PVC Est Qual Basis - Both]&gt;</t>
        </r>
      </text>
    </comment>
    <comment ref="I1196" authorId="0" shapeId="0" xr:uid="{7A9281D3-B893-43AD-A4C2-ADAFE93F09DF}">
      <text>
        <r>
          <rPr>
            <b/>
            <sz val="9"/>
            <color indexed="81"/>
            <rFont val="Tahoma"/>
            <family val="2"/>
          </rPr>
          <t>&lt;[[TCDeals] - [TC Property Current Stage (Seq: 1)] - [Buildings (Seq: 15)] PVC8609 Basis - Both]&gt;</t>
        </r>
      </text>
    </comment>
    <comment ref="J1196" authorId="0" shapeId="0" xr:uid="{6A5EC8C9-3C2B-494B-A6C3-B77DC08A884F}">
      <text>
        <r>
          <rPr>
            <b/>
            <sz val="9"/>
            <color indexed="81"/>
            <rFont val="Tahoma"/>
            <family val="2"/>
          </rPr>
          <t>&lt;[[TCDeals] - [TC Property Current Stage (Seq: 1)] - [Buildings (Seq: 15)] PVC8609 Credit - Both]&gt;</t>
        </r>
      </text>
    </comment>
    <comment ref="K1196" authorId="0" shapeId="0" xr:uid="{2825FC95-D7B7-45FD-B5CF-BC65E14ACE19}">
      <text>
        <r>
          <rPr>
            <b/>
            <sz val="9"/>
            <color indexed="81"/>
            <rFont val="Tahoma"/>
            <family val="2"/>
          </rPr>
          <t>&lt;[[TCDeals] - [TC Property Current Stage (Seq: 1)] - [Buildings (Seq: 15)] Constr PIS Date - Both]&gt;</t>
        </r>
      </text>
    </comment>
    <comment ref="L1196" authorId="0" shapeId="0" xr:uid="{7241B414-6C1D-4221-A2FC-530812BEE1DF}">
      <text>
        <r>
          <rPr>
            <b/>
            <sz val="9"/>
            <color indexed="81"/>
            <rFont val="Tahoma"/>
            <family val="2"/>
          </rPr>
          <t>&lt;[[TCDeals] - [TC Property Current Stage (Seq: 1)] - [Buildings (Seq: 15)] Constr Applicable Percentage - Both]&gt;</t>
        </r>
      </text>
    </comment>
    <comment ref="M1196" authorId="0" shapeId="0" xr:uid="{84E30A46-28C4-45FC-BD02-9540244ABF45}">
      <text>
        <r>
          <rPr>
            <b/>
            <sz val="9"/>
            <color indexed="81"/>
            <rFont val="Tahoma"/>
            <family val="2"/>
          </rPr>
          <t>&lt;[[TCDeals] - [TC Property Current Stage (Seq: 1)] - [Buildings (Seq: 15)] Constr Est Qual Basis - Both]&gt;</t>
        </r>
      </text>
    </comment>
    <comment ref="N1196" authorId="0" shapeId="0" xr:uid="{C64935F8-56CA-40E2-B292-15C4B3FD9661}">
      <text>
        <r>
          <rPr>
            <b/>
            <sz val="9"/>
            <color indexed="81"/>
            <rFont val="Tahoma"/>
            <family val="2"/>
          </rPr>
          <t>&lt;[[TCDeals] - [TC Property Current Stage (Seq: 1)] - [Buildings (Seq: 15)] Constr 8609 Basis - Both]&gt;</t>
        </r>
      </text>
    </comment>
    <comment ref="O1196" authorId="0" shapeId="0" xr:uid="{444DF75B-ACE7-4182-B6B9-F310D8F9FE34}">
      <text>
        <r>
          <rPr>
            <b/>
            <sz val="9"/>
            <color indexed="81"/>
            <rFont val="Tahoma"/>
            <family val="2"/>
          </rPr>
          <t>&lt;[[TCDeals] - [TC Property Current Stage (Seq: 1)] - [Buildings (Seq: 15)] Constr 8609 Credit - Both]&gt;</t>
        </r>
      </text>
    </comment>
    <comment ref="P1196" authorId="0" shapeId="0" xr:uid="{7C43B788-91C3-4D58-85CC-9F050EE0783F}">
      <text>
        <r>
          <rPr>
            <b/>
            <sz val="9"/>
            <color indexed="81"/>
            <rFont val="Tahoma"/>
            <family val="2"/>
          </rPr>
          <t>&lt;[[TCDeals] - [TC Property Current Stage (Seq: 1)] - [Buildings (Seq: 15)] Acq PIS Date - Both]&gt;</t>
        </r>
      </text>
    </comment>
    <comment ref="Q1196" authorId="0" shapeId="0" xr:uid="{75943B4E-690F-458D-BE37-2917570887FF}">
      <text>
        <r>
          <rPr>
            <b/>
            <sz val="9"/>
            <color indexed="81"/>
            <rFont val="Tahoma"/>
            <family val="2"/>
          </rPr>
          <t>&lt;[[TCDeals] - [TC Property Current Stage (Seq: 1)] - [Buildings (Seq: 15)] Acq Applicable Percentage - Both]&gt;</t>
        </r>
      </text>
    </comment>
    <comment ref="R1196" authorId="0" shapeId="0" xr:uid="{718420DE-A131-4A61-AEDE-ABC4214EBFDB}">
      <text>
        <r>
          <rPr>
            <b/>
            <sz val="9"/>
            <color indexed="81"/>
            <rFont val="Tahoma"/>
            <family val="2"/>
          </rPr>
          <t>&lt;[[TCDeals] - [TC Property Current Stage (Seq: 1)] - [Buildings (Seq: 15)] Acq Est Qual Basis - Both]&gt;</t>
        </r>
      </text>
    </comment>
    <comment ref="S1196" authorId="0" shapeId="0" xr:uid="{3317E937-95CA-416A-A0AD-BD46DA147697}">
      <text>
        <r>
          <rPr>
            <b/>
            <sz val="9"/>
            <color indexed="81"/>
            <rFont val="Tahoma"/>
            <family val="2"/>
          </rPr>
          <t>&lt;[[TCDeals] - [TC Property Current Stage (Seq: 1)] - [Buildings (Seq: 15)] Acq 8609 Basis - Both]&gt;</t>
        </r>
      </text>
    </comment>
    <comment ref="T1196" authorId="0" shapeId="0" xr:uid="{22681F11-1E92-4446-AF82-EF8614B9A15F}">
      <text>
        <r>
          <rPr>
            <b/>
            <sz val="9"/>
            <color indexed="81"/>
            <rFont val="Tahoma"/>
            <family val="2"/>
          </rPr>
          <t>&lt;[[TCDeals] - [TC Property Current Stage (Seq: 1)] - [Buildings (Seq: 15)] Acq 8609 Credit - Both]&gt;</t>
        </r>
      </text>
    </comment>
    <comment ref="C1197" authorId="0" shapeId="0" xr:uid="{D419FB4C-E5F5-47F1-BC6D-F0D160B1BF2D}">
      <text>
        <r>
          <rPr>
            <b/>
            <sz val="9"/>
            <color indexed="81"/>
            <rFont val="Tahoma"/>
            <family val="2"/>
          </rPr>
          <t>&lt;[[TCDeals] - [TC Property Current Stage (Seq: 1)] - [Buildings (Seq: 16)] BIN - Both]&gt;</t>
        </r>
      </text>
    </comment>
    <comment ref="D1197" authorId="0" shapeId="0" xr:uid="{67F04123-E16B-4A06-BAD0-44063BC9509B}">
      <text>
        <r>
          <rPr>
            <b/>
            <sz val="9"/>
            <color indexed="81"/>
            <rFont val="Tahoma"/>
            <family val="2"/>
          </rPr>
          <t>&lt;[[TCDeals] - [TC Property Current Stage (Seq: 1)] - [Buildings (Seq: 16)] Address 1 - Both]&gt;</t>
        </r>
      </text>
    </comment>
    <comment ref="E1197" authorId="0" shapeId="0" xr:uid="{60939E44-D376-4EAA-A8AD-ED8895A1A8F4}">
      <text>
        <r>
          <rPr>
            <b/>
            <sz val="9"/>
            <color indexed="81"/>
            <rFont val="Tahoma"/>
            <family val="2"/>
          </rPr>
          <t>&lt;[[TCDeals] - [TC Property Current Stage (Seq: 1)] - [Buildings (Seq: 16)] Num TC Units - Both]&gt;</t>
        </r>
      </text>
    </comment>
    <comment ref="F1197" authorId="0" shapeId="0" xr:uid="{D57B2639-BBFA-4EAD-BC82-0491C18BD87A}">
      <text>
        <r>
          <rPr>
            <b/>
            <sz val="9"/>
            <color indexed="81"/>
            <rFont val="Tahoma"/>
            <family val="2"/>
          </rPr>
          <t>&lt;[[TCDeals] - [TC Property Current Stage (Seq: 1)] - [Buildings (Seq: 16)] PVC PIS Date - Both]&gt;</t>
        </r>
      </text>
    </comment>
    <comment ref="G1197" authorId="0" shapeId="0" xr:uid="{57998295-7DED-4BDF-A3EA-5B53BB1C32F5}">
      <text>
        <r>
          <rPr>
            <b/>
            <sz val="9"/>
            <color indexed="81"/>
            <rFont val="Tahoma"/>
            <family val="2"/>
          </rPr>
          <t>&lt;[[TCDeals] - [TC Property Current Stage (Seq: 1)] - [Buildings (Seq: 16)] PVC Applicable Percentage - Both]&gt;</t>
        </r>
      </text>
    </comment>
    <comment ref="H1197" authorId="0" shapeId="0" xr:uid="{2C8174D8-FD07-447E-B30C-F20D53CC47B9}">
      <text>
        <r>
          <rPr>
            <b/>
            <sz val="9"/>
            <color indexed="81"/>
            <rFont val="Tahoma"/>
            <family val="2"/>
          </rPr>
          <t>&lt;[[TCDeals] - [TC Property Current Stage (Seq: 1)] - [Buildings (Seq: 16)] PVC Est Qual Basis - Both]&gt;</t>
        </r>
      </text>
    </comment>
    <comment ref="I1197" authorId="0" shapeId="0" xr:uid="{3EC8AA3A-361D-437B-908E-B8B8FAC5A713}">
      <text>
        <r>
          <rPr>
            <b/>
            <sz val="9"/>
            <color indexed="81"/>
            <rFont val="Tahoma"/>
            <family val="2"/>
          </rPr>
          <t>&lt;[[TCDeals] - [TC Property Current Stage (Seq: 1)] - [Buildings (Seq: 16)] PVC8609 Basis - Both]&gt;</t>
        </r>
      </text>
    </comment>
    <comment ref="J1197" authorId="0" shapeId="0" xr:uid="{9082F3EA-5461-46A7-9D45-C88D8374BD8E}">
      <text>
        <r>
          <rPr>
            <b/>
            <sz val="9"/>
            <color indexed="81"/>
            <rFont val="Tahoma"/>
            <family val="2"/>
          </rPr>
          <t>&lt;[[TCDeals] - [TC Property Current Stage (Seq: 1)] - [Buildings (Seq: 16)] PVC8609 Credit - Both]&gt;</t>
        </r>
      </text>
    </comment>
    <comment ref="K1197" authorId="0" shapeId="0" xr:uid="{92AE7BE7-C7B0-4032-9F28-A37705730696}">
      <text>
        <r>
          <rPr>
            <b/>
            <sz val="9"/>
            <color indexed="81"/>
            <rFont val="Tahoma"/>
            <family val="2"/>
          </rPr>
          <t>&lt;[[TCDeals] - [TC Property Current Stage (Seq: 1)] - [Buildings (Seq: 16)] Constr PIS Date - Both]&gt;</t>
        </r>
      </text>
    </comment>
    <comment ref="L1197" authorId="0" shapeId="0" xr:uid="{33CFEE4C-9B6C-4D51-A58D-4D6C5691A371}">
      <text>
        <r>
          <rPr>
            <b/>
            <sz val="9"/>
            <color indexed="81"/>
            <rFont val="Tahoma"/>
            <family val="2"/>
          </rPr>
          <t>&lt;[[TCDeals] - [TC Property Current Stage (Seq: 1)] - [Buildings (Seq: 16)] Constr Applicable Percentage - Both]&gt;</t>
        </r>
      </text>
    </comment>
    <comment ref="M1197" authorId="0" shapeId="0" xr:uid="{7676240E-0D20-41F6-A082-1DBB790D60C7}">
      <text>
        <r>
          <rPr>
            <b/>
            <sz val="9"/>
            <color indexed="81"/>
            <rFont val="Tahoma"/>
            <family val="2"/>
          </rPr>
          <t>&lt;[[TCDeals] - [TC Property Current Stage (Seq: 1)] - [Buildings (Seq: 16)] Constr Est Qual Basis - Both]&gt;</t>
        </r>
      </text>
    </comment>
    <comment ref="N1197" authorId="0" shapeId="0" xr:uid="{F3E2C3A3-80DF-4F3C-883D-407B54049259}">
      <text>
        <r>
          <rPr>
            <b/>
            <sz val="9"/>
            <color indexed="81"/>
            <rFont val="Tahoma"/>
            <family val="2"/>
          </rPr>
          <t>&lt;[[TCDeals] - [TC Property Current Stage (Seq: 1)] - [Buildings (Seq: 16)] Constr 8609 Basis - Both]&gt;</t>
        </r>
      </text>
    </comment>
    <comment ref="O1197" authorId="0" shapeId="0" xr:uid="{B68A4BD6-D3DF-462E-9EAA-5A9922BFD1E0}">
      <text>
        <r>
          <rPr>
            <b/>
            <sz val="9"/>
            <color indexed="81"/>
            <rFont val="Tahoma"/>
            <family val="2"/>
          </rPr>
          <t>&lt;[[TCDeals] - [TC Property Current Stage (Seq: 1)] - [Buildings (Seq: 16)] Constr 8609 Credit - Both]&gt;</t>
        </r>
      </text>
    </comment>
    <comment ref="P1197" authorId="0" shapeId="0" xr:uid="{77A41928-3809-4F76-9491-22C59A0F26CE}">
      <text>
        <r>
          <rPr>
            <b/>
            <sz val="9"/>
            <color indexed="81"/>
            <rFont val="Tahoma"/>
            <family val="2"/>
          </rPr>
          <t>&lt;[[TCDeals] - [TC Property Current Stage (Seq: 1)] - [Buildings (Seq: 16)] Acq PIS Date - Both]&gt;</t>
        </r>
      </text>
    </comment>
    <comment ref="Q1197" authorId="0" shapeId="0" xr:uid="{A2E68235-C726-4207-B275-70F54BA808DE}">
      <text>
        <r>
          <rPr>
            <b/>
            <sz val="9"/>
            <color indexed="81"/>
            <rFont val="Tahoma"/>
            <family val="2"/>
          </rPr>
          <t>&lt;[[TCDeals] - [TC Property Current Stage (Seq: 1)] - [Buildings (Seq: 16)] Acq Applicable Percentage - Both]&gt;</t>
        </r>
      </text>
    </comment>
    <comment ref="R1197" authorId="0" shapeId="0" xr:uid="{3F9EF32A-F7EF-443A-8C8C-82896227D7AB}">
      <text>
        <r>
          <rPr>
            <b/>
            <sz val="9"/>
            <color indexed="81"/>
            <rFont val="Tahoma"/>
            <family val="2"/>
          </rPr>
          <t>&lt;[[TCDeals] - [TC Property Current Stage (Seq: 1)] - [Buildings (Seq: 16)] Acq Est Qual Basis - Both]&gt;</t>
        </r>
      </text>
    </comment>
    <comment ref="S1197" authorId="0" shapeId="0" xr:uid="{843ED705-C253-4682-9F22-DE054F3F6F28}">
      <text>
        <r>
          <rPr>
            <b/>
            <sz val="9"/>
            <color indexed="81"/>
            <rFont val="Tahoma"/>
            <family val="2"/>
          </rPr>
          <t>&lt;[[TCDeals] - [TC Property Current Stage (Seq: 1)] - [Buildings (Seq: 16)] Acq 8609 Basis - Both]&gt;</t>
        </r>
      </text>
    </comment>
    <comment ref="T1197" authorId="0" shapeId="0" xr:uid="{E91C55B1-99B9-43B3-995B-92E3A62E014C}">
      <text>
        <r>
          <rPr>
            <b/>
            <sz val="9"/>
            <color indexed="81"/>
            <rFont val="Tahoma"/>
            <family val="2"/>
          </rPr>
          <t>&lt;[[TCDeals] - [TC Property Current Stage (Seq: 1)] - [Buildings (Seq: 16)] Acq 8609 Credit - Both]&gt;</t>
        </r>
      </text>
    </comment>
    <comment ref="C1198" authorId="0" shapeId="0" xr:uid="{F7B92729-11B3-43B4-8370-98558EC08E44}">
      <text>
        <r>
          <rPr>
            <b/>
            <sz val="9"/>
            <color indexed="81"/>
            <rFont val="Tahoma"/>
            <family val="2"/>
          </rPr>
          <t>&lt;[[TCDeals] - [TC Property Current Stage (Seq: 1)] - [Buildings (Seq: 17)] BIN - Both]&gt;</t>
        </r>
      </text>
    </comment>
    <comment ref="D1198" authorId="0" shapeId="0" xr:uid="{8F497E26-7E6E-4FF6-ACAC-91BCE6951E39}">
      <text>
        <r>
          <rPr>
            <b/>
            <sz val="9"/>
            <color indexed="81"/>
            <rFont val="Tahoma"/>
            <family val="2"/>
          </rPr>
          <t>&lt;[[TCDeals] - [TC Property Current Stage (Seq: 1)] - [Buildings (Seq: 17)] Address 1 - Both]&gt;</t>
        </r>
      </text>
    </comment>
    <comment ref="E1198" authorId="0" shapeId="0" xr:uid="{1C4578B8-399D-42D1-93F4-CDE3FAF673AA}">
      <text>
        <r>
          <rPr>
            <b/>
            <sz val="9"/>
            <color indexed="81"/>
            <rFont val="Tahoma"/>
            <family val="2"/>
          </rPr>
          <t>&lt;[[TCDeals] - [TC Property Current Stage (Seq: 1)] - [Buildings (Seq: 17)] Num TC Units - Both]&gt;</t>
        </r>
      </text>
    </comment>
    <comment ref="F1198" authorId="0" shapeId="0" xr:uid="{B15546AB-EDB6-4A6B-B02C-4DA04E7370E2}">
      <text>
        <r>
          <rPr>
            <b/>
            <sz val="9"/>
            <color indexed="81"/>
            <rFont val="Tahoma"/>
            <family val="2"/>
          </rPr>
          <t>&lt;[[TCDeals] - [TC Property Current Stage (Seq: 1)] - [Buildings (Seq: 17)] PVC PIS Date - Both]&gt;</t>
        </r>
      </text>
    </comment>
    <comment ref="G1198" authorId="0" shapeId="0" xr:uid="{24AF5139-5204-43E8-A530-A48EF1C59F12}">
      <text>
        <r>
          <rPr>
            <b/>
            <sz val="9"/>
            <color indexed="81"/>
            <rFont val="Tahoma"/>
            <family val="2"/>
          </rPr>
          <t>&lt;[[TCDeals] - [TC Property Current Stage (Seq: 1)] - [Buildings (Seq: 17)] PVC Applicable Percentage - Both]&gt;</t>
        </r>
      </text>
    </comment>
    <comment ref="H1198" authorId="0" shapeId="0" xr:uid="{1C07A33A-37FA-4AE4-BF8D-40B4492FEADE}">
      <text>
        <r>
          <rPr>
            <b/>
            <sz val="9"/>
            <color indexed="81"/>
            <rFont val="Tahoma"/>
            <family val="2"/>
          </rPr>
          <t>&lt;[[TCDeals] - [TC Property Current Stage (Seq: 1)] - [Buildings (Seq: 17)] PVC Est Qual Basis - Both]&gt;</t>
        </r>
      </text>
    </comment>
    <comment ref="I1198" authorId="0" shapeId="0" xr:uid="{DDF7D4D4-C069-4A5F-BF1B-C693A6611508}">
      <text>
        <r>
          <rPr>
            <b/>
            <sz val="9"/>
            <color indexed="81"/>
            <rFont val="Tahoma"/>
            <family val="2"/>
          </rPr>
          <t>&lt;[[TCDeals] - [TC Property Current Stage (Seq: 1)] - [Buildings (Seq: 17)] PVC8609 Basis - Both]&gt;</t>
        </r>
      </text>
    </comment>
    <comment ref="J1198" authorId="0" shapeId="0" xr:uid="{E717971A-BB6C-46FF-A873-C7E0217249DF}">
      <text>
        <r>
          <rPr>
            <b/>
            <sz val="9"/>
            <color indexed="81"/>
            <rFont val="Tahoma"/>
            <family val="2"/>
          </rPr>
          <t>&lt;[[TCDeals] - [TC Property Current Stage (Seq: 1)] - [Buildings (Seq: 17)] PVC8609 Credit - Both]&gt;</t>
        </r>
      </text>
    </comment>
    <comment ref="K1198" authorId="0" shapeId="0" xr:uid="{F83CBA75-1BEC-4476-B4EE-7AFE1539F89F}">
      <text>
        <r>
          <rPr>
            <b/>
            <sz val="9"/>
            <color indexed="81"/>
            <rFont val="Tahoma"/>
            <family val="2"/>
          </rPr>
          <t>&lt;[[TCDeals] - [TC Property Current Stage (Seq: 1)] - [Buildings (Seq: 17)] Constr PIS Date - Both]&gt;</t>
        </r>
      </text>
    </comment>
    <comment ref="L1198" authorId="0" shapeId="0" xr:uid="{E5789003-1B27-4D49-BA00-4F53597EABE3}">
      <text>
        <r>
          <rPr>
            <b/>
            <sz val="9"/>
            <color indexed="81"/>
            <rFont val="Tahoma"/>
            <family val="2"/>
          </rPr>
          <t>&lt;[[TCDeals] - [TC Property Current Stage (Seq: 1)] - [Buildings (Seq: 17)] Constr Applicable Percentage - Both]&gt;</t>
        </r>
      </text>
    </comment>
    <comment ref="M1198" authorId="0" shapeId="0" xr:uid="{6B8BE040-4CF9-42CF-8EE3-FA6807CD9511}">
      <text>
        <r>
          <rPr>
            <b/>
            <sz val="9"/>
            <color indexed="81"/>
            <rFont val="Tahoma"/>
            <family val="2"/>
          </rPr>
          <t>&lt;[[TCDeals] - [TC Property Current Stage (Seq: 1)] - [Buildings (Seq: 17)] Constr Est Qual Basis - Both]&gt;</t>
        </r>
      </text>
    </comment>
    <comment ref="N1198" authorId="0" shapeId="0" xr:uid="{E506B459-5D5D-445E-B68A-6C8A83CEBFDD}">
      <text>
        <r>
          <rPr>
            <b/>
            <sz val="9"/>
            <color indexed="81"/>
            <rFont val="Tahoma"/>
            <family val="2"/>
          </rPr>
          <t>&lt;[[TCDeals] - [TC Property Current Stage (Seq: 1)] - [Buildings (Seq: 17)] Constr 8609 Basis - Both]&gt;</t>
        </r>
      </text>
    </comment>
    <comment ref="O1198" authorId="0" shapeId="0" xr:uid="{8C791AFC-BE37-4739-909E-5B70F4FBE59E}">
      <text>
        <r>
          <rPr>
            <b/>
            <sz val="9"/>
            <color indexed="81"/>
            <rFont val="Tahoma"/>
            <family val="2"/>
          </rPr>
          <t>&lt;[[TCDeals] - [TC Property Current Stage (Seq: 1)] - [Buildings (Seq: 17)] Constr 8609 Credit - Both]&gt;</t>
        </r>
      </text>
    </comment>
    <comment ref="P1198" authorId="0" shapeId="0" xr:uid="{142272FE-61AF-4360-9C6C-42DE455BE0FF}">
      <text>
        <r>
          <rPr>
            <b/>
            <sz val="9"/>
            <color indexed="81"/>
            <rFont val="Tahoma"/>
            <family val="2"/>
          </rPr>
          <t>&lt;[[TCDeals] - [TC Property Current Stage (Seq: 1)] - [Buildings (Seq: 17)] Acq PIS Date - Both]&gt;</t>
        </r>
      </text>
    </comment>
    <comment ref="Q1198" authorId="0" shapeId="0" xr:uid="{5E465A5C-7C13-4A97-8054-288BCC058009}">
      <text>
        <r>
          <rPr>
            <b/>
            <sz val="9"/>
            <color indexed="81"/>
            <rFont val="Tahoma"/>
            <family val="2"/>
          </rPr>
          <t>&lt;[[TCDeals] - [TC Property Current Stage (Seq: 1)] - [Buildings (Seq: 17)] Acq Applicable Percentage - Both]&gt;</t>
        </r>
      </text>
    </comment>
    <comment ref="R1198" authorId="0" shapeId="0" xr:uid="{53751AB2-CBE7-4BCE-A45C-9D529DBCE6F6}">
      <text>
        <r>
          <rPr>
            <b/>
            <sz val="9"/>
            <color indexed="81"/>
            <rFont val="Tahoma"/>
            <family val="2"/>
          </rPr>
          <t>&lt;[[TCDeals] - [TC Property Current Stage (Seq: 1)] - [Buildings (Seq: 17)] Acq Est Qual Basis - Both]&gt;</t>
        </r>
      </text>
    </comment>
    <comment ref="S1198" authorId="0" shapeId="0" xr:uid="{0979456E-67F2-4D53-A819-F6D414F1AA11}">
      <text>
        <r>
          <rPr>
            <b/>
            <sz val="9"/>
            <color indexed="81"/>
            <rFont val="Tahoma"/>
            <family val="2"/>
          </rPr>
          <t>&lt;[[TCDeals] - [TC Property Current Stage (Seq: 1)] - [Buildings (Seq: 17)] Acq 8609 Basis - Both]&gt;</t>
        </r>
      </text>
    </comment>
    <comment ref="T1198" authorId="0" shapeId="0" xr:uid="{CFF5D841-98BE-4BBB-885A-FA88483B7CDD}">
      <text>
        <r>
          <rPr>
            <b/>
            <sz val="9"/>
            <color indexed="81"/>
            <rFont val="Tahoma"/>
            <family val="2"/>
          </rPr>
          <t>&lt;[[TCDeals] - [TC Property Current Stage (Seq: 1)] - [Buildings (Seq: 17)] Acq 8609 Credit - Both]&gt;</t>
        </r>
      </text>
    </comment>
    <comment ref="C1199" authorId="0" shapeId="0" xr:uid="{8F5621CC-0A3B-4647-A7C0-7BD994AC3EC4}">
      <text>
        <r>
          <rPr>
            <b/>
            <sz val="9"/>
            <color indexed="81"/>
            <rFont val="Tahoma"/>
            <family val="2"/>
          </rPr>
          <t>&lt;[[TCDeals] - [TC Property Current Stage (Seq: 1)] - [Buildings (Seq: 18)] BIN - Both]&gt;</t>
        </r>
      </text>
    </comment>
    <comment ref="D1199" authorId="0" shapeId="0" xr:uid="{F62C6615-8873-4E93-93D6-103DFE0361D0}">
      <text>
        <r>
          <rPr>
            <b/>
            <sz val="9"/>
            <color indexed="81"/>
            <rFont val="Tahoma"/>
            <family val="2"/>
          </rPr>
          <t>&lt;[[TCDeals] - [TC Property Current Stage (Seq: 1)] - [Buildings (Seq: 18)] Address 1 - Both]&gt;</t>
        </r>
      </text>
    </comment>
    <comment ref="E1199" authorId="0" shapeId="0" xr:uid="{3BBF3FC2-3FF9-4CEF-A922-76DC0C27A245}">
      <text>
        <r>
          <rPr>
            <b/>
            <sz val="9"/>
            <color indexed="81"/>
            <rFont val="Tahoma"/>
            <family val="2"/>
          </rPr>
          <t>&lt;[[TCDeals] - [TC Property Current Stage (Seq: 1)] - [Buildings (Seq: 18)] Num TC Units - Both]&gt;</t>
        </r>
      </text>
    </comment>
    <comment ref="F1199" authorId="0" shapeId="0" xr:uid="{84468786-7374-4BB9-9493-0C1D8D710CDC}">
      <text>
        <r>
          <rPr>
            <b/>
            <sz val="9"/>
            <color indexed="81"/>
            <rFont val="Tahoma"/>
            <family val="2"/>
          </rPr>
          <t>&lt;[[TCDeals] - [TC Property Current Stage (Seq: 1)] - [Buildings (Seq: 18)] PVC PIS Date - Both]&gt;</t>
        </r>
      </text>
    </comment>
    <comment ref="G1199" authorId="0" shapeId="0" xr:uid="{7C6668E6-7E90-4DF3-AC84-72C0406DEC79}">
      <text>
        <r>
          <rPr>
            <b/>
            <sz val="9"/>
            <color indexed="81"/>
            <rFont val="Tahoma"/>
            <family val="2"/>
          </rPr>
          <t>&lt;[[TCDeals] - [TC Property Current Stage (Seq: 1)] - [Buildings (Seq: 18)] PVC Applicable Percentage - Both]&gt;</t>
        </r>
      </text>
    </comment>
    <comment ref="H1199" authorId="0" shapeId="0" xr:uid="{071F5058-185C-4E8D-83B1-ABAB512DF7E6}">
      <text>
        <r>
          <rPr>
            <b/>
            <sz val="9"/>
            <color indexed="81"/>
            <rFont val="Tahoma"/>
            <family val="2"/>
          </rPr>
          <t>&lt;[[TCDeals] - [TC Property Current Stage (Seq: 1)] - [Buildings (Seq: 18)] PVC Est Qual Basis - Both]&gt;</t>
        </r>
      </text>
    </comment>
    <comment ref="I1199" authorId="0" shapeId="0" xr:uid="{8E05C1EB-8FAA-4EB3-8D19-2058BC678C68}">
      <text>
        <r>
          <rPr>
            <b/>
            <sz val="9"/>
            <color indexed="81"/>
            <rFont val="Tahoma"/>
            <family val="2"/>
          </rPr>
          <t>&lt;[[TCDeals] - [TC Property Current Stage (Seq: 1)] - [Buildings (Seq: 18)] PVC8609 Basis - Both]&gt;</t>
        </r>
      </text>
    </comment>
    <comment ref="J1199" authorId="0" shapeId="0" xr:uid="{9B604017-7B12-48C3-B3F8-104FE858D10C}">
      <text>
        <r>
          <rPr>
            <b/>
            <sz val="9"/>
            <color indexed="81"/>
            <rFont val="Tahoma"/>
            <family val="2"/>
          </rPr>
          <t>&lt;[[TCDeals] - [TC Property Current Stage (Seq: 1)] - [Buildings (Seq: 18)] PVC8609 Credit - Both]&gt;</t>
        </r>
      </text>
    </comment>
    <comment ref="K1199" authorId="0" shapeId="0" xr:uid="{35DD53DA-A7DF-4DBA-AC29-E190924CD1D6}">
      <text>
        <r>
          <rPr>
            <b/>
            <sz val="9"/>
            <color indexed="81"/>
            <rFont val="Tahoma"/>
            <family val="2"/>
          </rPr>
          <t>&lt;[[TCDeals] - [TC Property Current Stage (Seq: 1)] - [Buildings (Seq: 18)] Constr PIS Date - Both]&gt;</t>
        </r>
      </text>
    </comment>
    <comment ref="L1199" authorId="0" shapeId="0" xr:uid="{4426C07C-BF19-4733-AE9E-C25BAC166896}">
      <text>
        <r>
          <rPr>
            <b/>
            <sz val="9"/>
            <color indexed="81"/>
            <rFont val="Tahoma"/>
            <family val="2"/>
          </rPr>
          <t>&lt;[[TCDeals] - [TC Property Current Stage (Seq: 1)] - [Buildings (Seq: 18)] Constr Applicable Percentage - Both]&gt;</t>
        </r>
      </text>
    </comment>
    <comment ref="M1199" authorId="0" shapeId="0" xr:uid="{54CD16C0-1686-430D-AB23-2D3BB49E1F00}">
      <text>
        <r>
          <rPr>
            <b/>
            <sz val="9"/>
            <color indexed="81"/>
            <rFont val="Tahoma"/>
            <family val="2"/>
          </rPr>
          <t>&lt;[[TCDeals] - [TC Property Current Stage (Seq: 1)] - [Buildings (Seq: 18)] Constr Est Qual Basis - Both]&gt;</t>
        </r>
      </text>
    </comment>
    <comment ref="N1199" authorId="0" shapeId="0" xr:uid="{8DBFC5AD-9217-4D31-BE38-A994BF223B3D}">
      <text>
        <r>
          <rPr>
            <b/>
            <sz val="9"/>
            <color indexed="81"/>
            <rFont val="Tahoma"/>
            <family val="2"/>
          </rPr>
          <t>&lt;[[TCDeals] - [TC Property Current Stage (Seq: 1)] - [Buildings (Seq: 18)] Constr 8609 Basis - Both]&gt;</t>
        </r>
      </text>
    </comment>
    <comment ref="O1199" authorId="0" shapeId="0" xr:uid="{C9D44859-9AF9-488A-8558-8A801D118B40}">
      <text>
        <r>
          <rPr>
            <b/>
            <sz val="9"/>
            <color indexed="81"/>
            <rFont val="Tahoma"/>
            <family val="2"/>
          </rPr>
          <t>&lt;[[TCDeals] - [TC Property Current Stage (Seq: 1)] - [Buildings (Seq: 18)] Constr 8609 Credit - Both]&gt;</t>
        </r>
      </text>
    </comment>
    <comment ref="P1199" authorId="0" shapeId="0" xr:uid="{5C79744A-3AFB-4CCE-B3FF-9BAB96C014B3}">
      <text>
        <r>
          <rPr>
            <b/>
            <sz val="9"/>
            <color indexed="81"/>
            <rFont val="Tahoma"/>
            <family val="2"/>
          </rPr>
          <t>&lt;[[TCDeals] - [TC Property Current Stage (Seq: 1)] - [Buildings (Seq: 18)] Acq PIS Date - Both]&gt;</t>
        </r>
      </text>
    </comment>
    <comment ref="Q1199" authorId="0" shapeId="0" xr:uid="{E7D36CE0-CCC0-44C0-B431-A4FD0E36199A}">
      <text>
        <r>
          <rPr>
            <b/>
            <sz val="9"/>
            <color indexed="81"/>
            <rFont val="Tahoma"/>
            <family val="2"/>
          </rPr>
          <t>&lt;[[TCDeals] - [TC Property Current Stage (Seq: 1)] - [Buildings (Seq: 18)] Acq Applicable Percentage - Both]&gt;</t>
        </r>
      </text>
    </comment>
    <comment ref="R1199" authorId="0" shapeId="0" xr:uid="{01FDCBDE-F598-4332-A63D-7B7C4E1560AD}">
      <text>
        <r>
          <rPr>
            <b/>
            <sz val="9"/>
            <color indexed="81"/>
            <rFont val="Tahoma"/>
            <family val="2"/>
          </rPr>
          <t>&lt;[[TCDeals] - [TC Property Current Stage (Seq: 1)] - [Buildings (Seq: 18)] Acq Est Qual Basis - Both]&gt;</t>
        </r>
      </text>
    </comment>
    <comment ref="S1199" authorId="0" shapeId="0" xr:uid="{F5BA2FA0-EB94-415D-BDB5-5697B18FDD95}">
      <text>
        <r>
          <rPr>
            <b/>
            <sz val="9"/>
            <color indexed="81"/>
            <rFont val="Tahoma"/>
            <family val="2"/>
          </rPr>
          <t>&lt;[[TCDeals] - [TC Property Current Stage (Seq: 1)] - [Buildings (Seq: 18)] Acq 8609 Basis - Both]&gt;</t>
        </r>
      </text>
    </comment>
    <comment ref="T1199" authorId="0" shapeId="0" xr:uid="{467435C7-3C9A-4590-AB47-CBAD0DBF5F2F}">
      <text>
        <r>
          <rPr>
            <b/>
            <sz val="9"/>
            <color indexed="81"/>
            <rFont val="Tahoma"/>
            <family val="2"/>
          </rPr>
          <t>&lt;[[TCDeals] - [TC Property Current Stage (Seq: 1)] - [Buildings (Seq: 18)] Acq 8609 Credit - Both]&gt;</t>
        </r>
      </text>
    </comment>
    <comment ref="C1200" authorId="0" shapeId="0" xr:uid="{30DFF0BC-F70D-4FB6-B6B2-7C8ED793E27B}">
      <text>
        <r>
          <rPr>
            <b/>
            <sz val="9"/>
            <color indexed="81"/>
            <rFont val="Tahoma"/>
            <family val="2"/>
          </rPr>
          <t>&lt;[[TCDeals] - [TC Property Current Stage (Seq: 1)] - [Buildings (Seq: 19)] BIN - Both]&gt;</t>
        </r>
      </text>
    </comment>
    <comment ref="D1200" authorId="0" shapeId="0" xr:uid="{3D0A3420-8DCD-4883-9708-FF877DA56E5B}">
      <text>
        <r>
          <rPr>
            <b/>
            <sz val="9"/>
            <color indexed="81"/>
            <rFont val="Tahoma"/>
            <family val="2"/>
          </rPr>
          <t>&lt;[[TCDeals] - [TC Property Current Stage (Seq: 1)] - [Buildings (Seq: 19)] Address 1 - Both]&gt;</t>
        </r>
      </text>
    </comment>
    <comment ref="E1200" authorId="0" shapeId="0" xr:uid="{69E9889B-6D88-4B83-BA6B-2E483AA97354}">
      <text>
        <r>
          <rPr>
            <b/>
            <sz val="9"/>
            <color indexed="81"/>
            <rFont val="Tahoma"/>
            <family val="2"/>
          </rPr>
          <t>&lt;[[TCDeals] - [TC Property Current Stage (Seq: 1)] - [Buildings (Seq: 19)] Num TC Units - Both]&gt;</t>
        </r>
      </text>
    </comment>
    <comment ref="F1200" authorId="0" shapeId="0" xr:uid="{B2219148-E577-4401-BA10-2041E9D4296E}">
      <text>
        <r>
          <rPr>
            <b/>
            <sz val="9"/>
            <color indexed="81"/>
            <rFont val="Tahoma"/>
            <family val="2"/>
          </rPr>
          <t>&lt;[[TCDeals] - [TC Property Current Stage (Seq: 1)] - [Buildings (Seq: 19)] PVC PIS Date - Both]&gt;</t>
        </r>
      </text>
    </comment>
    <comment ref="G1200" authorId="0" shapeId="0" xr:uid="{F2E95770-0D8D-417A-9DD5-89FC52ED6738}">
      <text>
        <r>
          <rPr>
            <b/>
            <sz val="9"/>
            <color indexed="81"/>
            <rFont val="Tahoma"/>
            <family val="2"/>
          </rPr>
          <t>&lt;[[TCDeals] - [TC Property Current Stage (Seq: 1)] - [Buildings (Seq: 19)] PVC Applicable Percentage - Both]&gt;</t>
        </r>
      </text>
    </comment>
    <comment ref="H1200" authorId="0" shapeId="0" xr:uid="{EAA67453-9B7D-490E-B2F1-C98EC5440BA3}">
      <text>
        <r>
          <rPr>
            <b/>
            <sz val="9"/>
            <color indexed="81"/>
            <rFont val="Tahoma"/>
            <family val="2"/>
          </rPr>
          <t>&lt;[[TCDeals] - [TC Property Current Stage (Seq: 1)] - [Buildings (Seq: 19)] PVC Est Qual Basis - Both]&gt;</t>
        </r>
      </text>
    </comment>
    <comment ref="I1200" authorId="0" shapeId="0" xr:uid="{8F1DD4BE-000B-4000-AC08-7DB1F6AE7300}">
      <text>
        <r>
          <rPr>
            <b/>
            <sz val="9"/>
            <color indexed="81"/>
            <rFont val="Tahoma"/>
            <family val="2"/>
          </rPr>
          <t>&lt;[[TCDeals] - [TC Property Current Stage (Seq: 1)] - [Buildings (Seq: 19)] PVC8609 Basis - Both]&gt;</t>
        </r>
      </text>
    </comment>
    <comment ref="J1200" authorId="0" shapeId="0" xr:uid="{DE340CBB-1299-4593-AC5E-0BD980A7CCF2}">
      <text>
        <r>
          <rPr>
            <b/>
            <sz val="9"/>
            <color indexed="81"/>
            <rFont val="Tahoma"/>
            <family val="2"/>
          </rPr>
          <t>&lt;[[TCDeals] - [TC Property Current Stage (Seq: 1)] - [Buildings (Seq: 19)] PVC8609 Credit - Both]&gt;</t>
        </r>
      </text>
    </comment>
    <comment ref="K1200" authorId="0" shapeId="0" xr:uid="{2F9D3917-72E0-4ECB-8BC4-1CA1A8C3D3E5}">
      <text>
        <r>
          <rPr>
            <b/>
            <sz val="9"/>
            <color indexed="81"/>
            <rFont val="Tahoma"/>
            <family val="2"/>
          </rPr>
          <t>&lt;[[TCDeals] - [TC Property Current Stage (Seq: 1)] - [Buildings (Seq: 19)] Constr PIS Date - Both]&gt;</t>
        </r>
      </text>
    </comment>
    <comment ref="L1200" authorId="0" shapeId="0" xr:uid="{1E9D2B36-DFBE-422C-816E-F3326A47AD02}">
      <text>
        <r>
          <rPr>
            <b/>
            <sz val="9"/>
            <color indexed="81"/>
            <rFont val="Tahoma"/>
            <family val="2"/>
          </rPr>
          <t>&lt;[[TCDeals] - [TC Property Current Stage (Seq: 1)] - [Buildings (Seq: 19)] Constr Applicable Percentage - Both]&gt;</t>
        </r>
      </text>
    </comment>
    <comment ref="M1200" authorId="0" shapeId="0" xr:uid="{2C872BCA-0F19-41C6-BA27-69AE477332B5}">
      <text>
        <r>
          <rPr>
            <b/>
            <sz val="9"/>
            <color indexed="81"/>
            <rFont val="Tahoma"/>
            <family val="2"/>
          </rPr>
          <t>&lt;[[TCDeals] - [TC Property Current Stage (Seq: 1)] - [Buildings (Seq: 19)] Constr Est Qual Basis - Both]&gt;</t>
        </r>
      </text>
    </comment>
    <comment ref="N1200" authorId="0" shapeId="0" xr:uid="{C3EC179D-FEBE-4483-9454-4136A72B8EB6}">
      <text>
        <r>
          <rPr>
            <b/>
            <sz val="9"/>
            <color indexed="81"/>
            <rFont val="Tahoma"/>
            <family val="2"/>
          </rPr>
          <t>&lt;[[TCDeals] - [TC Property Current Stage (Seq: 1)] - [Buildings (Seq: 19)] Constr 8609 Basis - Both]&gt;</t>
        </r>
      </text>
    </comment>
    <comment ref="O1200" authorId="0" shapeId="0" xr:uid="{A9657B8B-47BD-4480-B52F-17DD4C2C5424}">
      <text>
        <r>
          <rPr>
            <b/>
            <sz val="9"/>
            <color indexed="81"/>
            <rFont val="Tahoma"/>
            <family val="2"/>
          </rPr>
          <t>&lt;[[TCDeals] - [TC Property Current Stage (Seq: 1)] - [Buildings (Seq: 19)] Constr 8609 Credit - Both]&gt;</t>
        </r>
      </text>
    </comment>
    <comment ref="P1200" authorId="0" shapeId="0" xr:uid="{A65AE2B4-84E3-4DF7-94B1-E513CF853A73}">
      <text>
        <r>
          <rPr>
            <b/>
            <sz val="9"/>
            <color indexed="81"/>
            <rFont val="Tahoma"/>
            <family val="2"/>
          </rPr>
          <t>&lt;[[TCDeals] - [TC Property Current Stage (Seq: 1)] - [Buildings (Seq: 19)] Acq PIS Date - Both]&gt;</t>
        </r>
      </text>
    </comment>
    <comment ref="Q1200" authorId="0" shapeId="0" xr:uid="{17844514-8261-4531-98AC-5CC4C8CF2ABB}">
      <text>
        <r>
          <rPr>
            <b/>
            <sz val="9"/>
            <color indexed="81"/>
            <rFont val="Tahoma"/>
            <family val="2"/>
          </rPr>
          <t>&lt;[[TCDeals] - [TC Property Current Stage (Seq: 1)] - [Buildings (Seq: 19)] Acq Applicable Percentage - Both]&gt;</t>
        </r>
      </text>
    </comment>
    <comment ref="R1200" authorId="0" shapeId="0" xr:uid="{8EDF4CBA-C1A3-48E4-9054-168AD06145E4}">
      <text>
        <r>
          <rPr>
            <b/>
            <sz val="9"/>
            <color indexed="81"/>
            <rFont val="Tahoma"/>
            <family val="2"/>
          </rPr>
          <t>&lt;[[TCDeals] - [TC Property Current Stage (Seq: 1)] - [Buildings (Seq: 19)] Acq Est Qual Basis - Both]&gt;</t>
        </r>
      </text>
    </comment>
    <comment ref="S1200" authorId="0" shapeId="0" xr:uid="{B0C3E93D-1F92-4D9F-A70C-92362D9579CF}">
      <text>
        <r>
          <rPr>
            <b/>
            <sz val="9"/>
            <color indexed="81"/>
            <rFont val="Tahoma"/>
            <family val="2"/>
          </rPr>
          <t>&lt;[[TCDeals] - [TC Property Current Stage (Seq: 1)] - [Buildings (Seq: 19)] Acq 8609 Basis - Both]&gt;</t>
        </r>
      </text>
    </comment>
    <comment ref="T1200" authorId="0" shapeId="0" xr:uid="{BDEFF3AE-8EEA-4979-B8F5-369C8662E694}">
      <text>
        <r>
          <rPr>
            <b/>
            <sz val="9"/>
            <color indexed="81"/>
            <rFont val="Tahoma"/>
            <family val="2"/>
          </rPr>
          <t>&lt;[[TCDeals] - [TC Property Current Stage (Seq: 1)] - [Buildings (Seq: 19)] Acq 8609 Credit - Both]&gt;</t>
        </r>
      </text>
    </comment>
    <comment ref="C1201" authorId="0" shapeId="0" xr:uid="{053925AD-FE01-45AD-9A09-6BB47742F688}">
      <text>
        <r>
          <rPr>
            <b/>
            <sz val="9"/>
            <color indexed="81"/>
            <rFont val="Tahoma"/>
            <family val="2"/>
          </rPr>
          <t>&lt;[[TCDeals] - [TC Property Current Stage (Seq: 1)] - [Buildings (Seq: 20)] BIN - Both]&gt;</t>
        </r>
      </text>
    </comment>
    <comment ref="D1201" authorId="0" shapeId="0" xr:uid="{7817E94F-8D9B-4DCC-B153-AE480159DDE8}">
      <text>
        <r>
          <rPr>
            <b/>
            <sz val="9"/>
            <color indexed="81"/>
            <rFont val="Tahoma"/>
            <family val="2"/>
          </rPr>
          <t>&lt;[[TCDeals] - [TC Property Current Stage (Seq: 1)] - [Buildings (Seq: 20)] Address 1 - Both]&gt;</t>
        </r>
      </text>
    </comment>
    <comment ref="E1201" authorId="0" shapeId="0" xr:uid="{736ABBA2-C84B-4F41-BB95-CF509699E607}">
      <text>
        <r>
          <rPr>
            <b/>
            <sz val="9"/>
            <color indexed="81"/>
            <rFont val="Tahoma"/>
            <family val="2"/>
          </rPr>
          <t>&lt;[[TCDeals] - [TC Property Current Stage (Seq: 1)] - [Buildings (Seq: 20)] Num TC Units - Both]&gt;</t>
        </r>
      </text>
    </comment>
    <comment ref="F1201" authorId="0" shapeId="0" xr:uid="{89A9DE1F-A298-499B-956A-B34523A91C4A}">
      <text>
        <r>
          <rPr>
            <b/>
            <sz val="9"/>
            <color indexed="81"/>
            <rFont val="Tahoma"/>
            <family val="2"/>
          </rPr>
          <t>&lt;[[TCDeals] - [TC Property Current Stage (Seq: 1)] - [Buildings (Seq: 20)] PVC PIS Date - Both]&gt;</t>
        </r>
      </text>
    </comment>
    <comment ref="G1201" authorId="0" shapeId="0" xr:uid="{6FEE5B5C-4574-41B5-9CDA-C427CFFAC924}">
      <text>
        <r>
          <rPr>
            <b/>
            <sz val="9"/>
            <color indexed="81"/>
            <rFont val="Tahoma"/>
            <family val="2"/>
          </rPr>
          <t>&lt;[[TCDeals] - [TC Property Current Stage (Seq: 1)] - [Buildings (Seq: 20)] PVC Applicable Percentage - Both]&gt;</t>
        </r>
      </text>
    </comment>
    <comment ref="H1201" authorId="0" shapeId="0" xr:uid="{E62D8255-916C-429C-9C67-0988A28E61DD}">
      <text>
        <r>
          <rPr>
            <b/>
            <sz val="9"/>
            <color indexed="81"/>
            <rFont val="Tahoma"/>
            <family val="2"/>
          </rPr>
          <t>&lt;[[TCDeals] - [TC Property Current Stage (Seq: 1)] - [Buildings (Seq: 20)] PVC Est Qual Basis - Both]&gt;</t>
        </r>
      </text>
    </comment>
    <comment ref="I1201" authorId="0" shapeId="0" xr:uid="{15879BBE-A53B-4F6D-BD93-9A7A4E9BF3BA}">
      <text>
        <r>
          <rPr>
            <b/>
            <sz val="9"/>
            <color indexed="81"/>
            <rFont val="Tahoma"/>
            <family val="2"/>
          </rPr>
          <t>&lt;[[TCDeals] - [TC Property Current Stage (Seq: 1)] - [Buildings (Seq: 20)] PVC8609 Basis - Both]&gt;</t>
        </r>
      </text>
    </comment>
    <comment ref="J1201" authorId="0" shapeId="0" xr:uid="{AE555FFA-71EE-4E7F-A3C1-FB20BAD55137}">
      <text>
        <r>
          <rPr>
            <b/>
            <sz val="9"/>
            <color indexed="81"/>
            <rFont val="Tahoma"/>
            <family val="2"/>
          </rPr>
          <t>&lt;[[TCDeals] - [TC Property Current Stage (Seq: 1)] - [Buildings (Seq: 20)] PVC8609 Credit - Both]&gt;</t>
        </r>
      </text>
    </comment>
    <comment ref="K1201" authorId="0" shapeId="0" xr:uid="{8825122C-093C-464D-A367-F04493CBDC0E}">
      <text>
        <r>
          <rPr>
            <b/>
            <sz val="9"/>
            <color indexed="81"/>
            <rFont val="Tahoma"/>
            <family val="2"/>
          </rPr>
          <t>&lt;[[TCDeals] - [TC Property Current Stage (Seq: 1)] - [Buildings (Seq: 20)] Constr PIS Date - Both]&gt;</t>
        </r>
      </text>
    </comment>
    <comment ref="L1201" authorId="0" shapeId="0" xr:uid="{02EA8627-AD82-4931-83FE-3B8847571AD9}">
      <text>
        <r>
          <rPr>
            <b/>
            <sz val="9"/>
            <color indexed="81"/>
            <rFont val="Tahoma"/>
            <family val="2"/>
          </rPr>
          <t>&lt;[[TCDeals] - [TC Property Current Stage (Seq: 1)] - [Buildings (Seq: 20)] Constr Applicable Percentage - Both]&gt;</t>
        </r>
      </text>
    </comment>
    <comment ref="M1201" authorId="0" shapeId="0" xr:uid="{0606FCF6-EB1F-4FBA-B9D4-0560B3E7D54C}">
      <text>
        <r>
          <rPr>
            <b/>
            <sz val="9"/>
            <color indexed="81"/>
            <rFont val="Tahoma"/>
            <family val="2"/>
          </rPr>
          <t>&lt;[[TCDeals] - [TC Property Current Stage (Seq: 1)] - [Buildings (Seq: 20)] Constr Est Qual Basis - Both]&gt;</t>
        </r>
      </text>
    </comment>
    <comment ref="N1201" authorId="0" shapeId="0" xr:uid="{46971F48-0874-4436-8FC6-682178FD5BD4}">
      <text>
        <r>
          <rPr>
            <b/>
            <sz val="9"/>
            <color indexed="81"/>
            <rFont val="Tahoma"/>
            <family val="2"/>
          </rPr>
          <t>&lt;[[TCDeals] - [TC Property Current Stage (Seq: 1)] - [Buildings (Seq: 20)] Constr 8609 Basis - Both]&gt;</t>
        </r>
      </text>
    </comment>
    <comment ref="O1201" authorId="0" shapeId="0" xr:uid="{C2409BC2-441D-44C9-8744-3316EF645E97}">
      <text>
        <r>
          <rPr>
            <b/>
            <sz val="9"/>
            <color indexed="81"/>
            <rFont val="Tahoma"/>
            <family val="2"/>
          </rPr>
          <t>&lt;[[TCDeals] - [TC Property Current Stage (Seq: 1)] - [Buildings (Seq: 20)] Constr 8609 Credit - Both]&gt;</t>
        </r>
      </text>
    </comment>
    <comment ref="P1201" authorId="0" shapeId="0" xr:uid="{908A40A5-7AD4-4F61-80C0-7358CE82EF42}">
      <text>
        <r>
          <rPr>
            <b/>
            <sz val="9"/>
            <color indexed="81"/>
            <rFont val="Tahoma"/>
            <family val="2"/>
          </rPr>
          <t>&lt;[[TCDeals] - [TC Property Current Stage (Seq: 1)] - [Buildings (Seq: 20)] Acq PIS Date - Both]&gt;</t>
        </r>
      </text>
    </comment>
    <comment ref="Q1201" authorId="0" shapeId="0" xr:uid="{0E82A52C-C495-4DBB-A22E-EE992D2EB4D3}">
      <text>
        <r>
          <rPr>
            <b/>
            <sz val="9"/>
            <color indexed="81"/>
            <rFont val="Tahoma"/>
            <family val="2"/>
          </rPr>
          <t>&lt;[[TCDeals] - [TC Property Current Stage (Seq: 1)] - [Buildings (Seq: 20)] Acq Applicable Percentage - Both]&gt;</t>
        </r>
      </text>
    </comment>
    <comment ref="R1201" authorId="0" shapeId="0" xr:uid="{C02653AA-D047-4F93-990D-7B7A870E4DC2}">
      <text>
        <r>
          <rPr>
            <b/>
            <sz val="9"/>
            <color indexed="81"/>
            <rFont val="Tahoma"/>
            <family val="2"/>
          </rPr>
          <t>&lt;[[TCDeals] - [TC Property Current Stage (Seq: 1)] - [Buildings (Seq: 20)] Acq Est Qual Basis - Both]&gt;</t>
        </r>
      </text>
    </comment>
    <comment ref="S1201" authorId="0" shapeId="0" xr:uid="{8019D035-5BAE-40B4-B341-DE657B071243}">
      <text>
        <r>
          <rPr>
            <b/>
            <sz val="9"/>
            <color indexed="81"/>
            <rFont val="Tahoma"/>
            <family val="2"/>
          </rPr>
          <t>&lt;[[TCDeals] - [TC Property Current Stage (Seq: 1)] - [Buildings (Seq: 20)] Acq 8609 Basis - Both]&gt;</t>
        </r>
      </text>
    </comment>
    <comment ref="T1201" authorId="0" shapeId="0" xr:uid="{9F361AB0-F45C-4F39-AADB-C91264CA24F0}">
      <text>
        <r>
          <rPr>
            <b/>
            <sz val="9"/>
            <color indexed="81"/>
            <rFont val="Tahoma"/>
            <family val="2"/>
          </rPr>
          <t>&lt;[[TCDeals] - [TC Property Current Stage (Seq: 1)] - [Buildings (Seq: 20)] Acq 8609 Credit - Both]&gt;</t>
        </r>
      </text>
    </comment>
    <comment ref="C1202" authorId="0" shapeId="0" xr:uid="{C69BC22D-15A6-44BF-AE26-A328D165C9BA}">
      <text>
        <r>
          <rPr>
            <b/>
            <sz val="9"/>
            <color indexed="81"/>
            <rFont val="Tahoma"/>
            <family val="2"/>
          </rPr>
          <t>&lt;[[TCDeals] - [TC Property Current Stage (Seq: 1)] - [Buildings (Seq: 21)] BIN - Both]&gt;</t>
        </r>
      </text>
    </comment>
    <comment ref="D1202" authorId="0" shapeId="0" xr:uid="{285738B1-B8C7-4DC4-BB12-441A27626DA3}">
      <text>
        <r>
          <rPr>
            <b/>
            <sz val="9"/>
            <color indexed="81"/>
            <rFont val="Tahoma"/>
            <family val="2"/>
          </rPr>
          <t>&lt;[[TCDeals] - [TC Property Current Stage (Seq: 1)] - [Buildings (Seq: 21)] Address 1 - Both]&gt;</t>
        </r>
      </text>
    </comment>
    <comment ref="E1202" authorId="0" shapeId="0" xr:uid="{3F764FC1-5E8F-4604-82D3-BBCE3F3CC98E}">
      <text>
        <r>
          <rPr>
            <b/>
            <sz val="9"/>
            <color indexed="81"/>
            <rFont val="Tahoma"/>
            <family val="2"/>
          </rPr>
          <t>&lt;[[TCDeals] - [TC Property Current Stage (Seq: 1)] - [Buildings (Seq: 21)] Num TC Units - Both]&gt;</t>
        </r>
      </text>
    </comment>
    <comment ref="F1202" authorId="0" shapeId="0" xr:uid="{F3687C1B-2CD6-423D-96E8-74D45D04259E}">
      <text>
        <r>
          <rPr>
            <b/>
            <sz val="9"/>
            <color indexed="81"/>
            <rFont val="Tahoma"/>
            <family val="2"/>
          </rPr>
          <t>&lt;[[TCDeals] - [TC Property Current Stage (Seq: 1)] - [Buildings (Seq: 21)] PVC PIS Date - Both]&gt;</t>
        </r>
      </text>
    </comment>
    <comment ref="G1202" authorId="0" shapeId="0" xr:uid="{4E6B9073-32EA-4FF2-942C-4C65E33520D0}">
      <text>
        <r>
          <rPr>
            <b/>
            <sz val="9"/>
            <color indexed="81"/>
            <rFont val="Tahoma"/>
            <family val="2"/>
          </rPr>
          <t>&lt;[[TCDeals] - [TC Property Current Stage (Seq: 1)] - [Buildings (Seq: 21)] PVC Applicable Percentage - Both]&gt;</t>
        </r>
      </text>
    </comment>
    <comment ref="H1202" authorId="0" shapeId="0" xr:uid="{94993147-42B1-4332-8DA0-810CF9246FDC}">
      <text>
        <r>
          <rPr>
            <b/>
            <sz val="9"/>
            <color indexed="81"/>
            <rFont val="Tahoma"/>
            <family val="2"/>
          </rPr>
          <t>&lt;[[TCDeals] - [TC Property Current Stage (Seq: 1)] - [Buildings (Seq: 21)] PVC Est Qual Basis - Both]&gt;</t>
        </r>
      </text>
    </comment>
    <comment ref="I1202" authorId="0" shapeId="0" xr:uid="{46038B63-9A3B-4F98-A471-BF62E980B2C3}">
      <text>
        <r>
          <rPr>
            <b/>
            <sz val="9"/>
            <color indexed="81"/>
            <rFont val="Tahoma"/>
            <family val="2"/>
          </rPr>
          <t>&lt;[[TCDeals] - [TC Property Current Stage (Seq: 1)] - [Buildings (Seq: 21)] PVC8609 Basis - Both]&gt;</t>
        </r>
      </text>
    </comment>
    <comment ref="J1202" authorId="0" shapeId="0" xr:uid="{8DBFEDD7-5E4F-4AD3-ABD7-1C746C7F8889}">
      <text>
        <r>
          <rPr>
            <b/>
            <sz val="9"/>
            <color indexed="81"/>
            <rFont val="Tahoma"/>
            <family val="2"/>
          </rPr>
          <t>&lt;[[TCDeals] - [TC Property Current Stage (Seq: 1)] - [Buildings (Seq: 21)] PVC8609 Credit - Both]&gt;</t>
        </r>
      </text>
    </comment>
    <comment ref="K1202" authorId="0" shapeId="0" xr:uid="{054F1ECF-551B-42E3-97BF-9F38D50BD2EB}">
      <text>
        <r>
          <rPr>
            <b/>
            <sz val="9"/>
            <color indexed="81"/>
            <rFont val="Tahoma"/>
            <family val="2"/>
          </rPr>
          <t>&lt;[[TCDeals] - [TC Property Current Stage (Seq: 1)] - [Buildings (Seq: 21)] Constr PIS Date - Both]&gt;</t>
        </r>
      </text>
    </comment>
    <comment ref="L1202" authorId="0" shapeId="0" xr:uid="{973242E4-906E-400B-9491-748F4EB57B8C}">
      <text>
        <r>
          <rPr>
            <b/>
            <sz val="9"/>
            <color indexed="81"/>
            <rFont val="Tahoma"/>
            <family val="2"/>
          </rPr>
          <t>&lt;[[TCDeals] - [TC Property Current Stage (Seq: 1)] - [Buildings (Seq: 21)] Constr Applicable Percentage - Both]&gt;</t>
        </r>
      </text>
    </comment>
    <comment ref="M1202" authorId="0" shapeId="0" xr:uid="{7C0D674A-E023-4BAA-8764-F65E3514FE89}">
      <text>
        <r>
          <rPr>
            <b/>
            <sz val="9"/>
            <color indexed="81"/>
            <rFont val="Tahoma"/>
            <family val="2"/>
          </rPr>
          <t>&lt;[[TCDeals] - [TC Property Current Stage (Seq: 1)] - [Buildings (Seq: 21)] Constr Est Qual Basis - Both]&gt;</t>
        </r>
      </text>
    </comment>
    <comment ref="N1202" authorId="0" shapeId="0" xr:uid="{8C5A17CA-27AD-4602-8B69-3F870F5E8275}">
      <text>
        <r>
          <rPr>
            <b/>
            <sz val="9"/>
            <color indexed="81"/>
            <rFont val="Tahoma"/>
            <family val="2"/>
          </rPr>
          <t>&lt;[[TCDeals] - [TC Property Current Stage (Seq: 1)] - [Buildings (Seq: 21)] Constr 8609 Basis - Both]&gt;</t>
        </r>
      </text>
    </comment>
    <comment ref="O1202" authorId="0" shapeId="0" xr:uid="{70C72E4F-709D-43EE-9318-26DA1CA5F7C4}">
      <text>
        <r>
          <rPr>
            <b/>
            <sz val="9"/>
            <color indexed="81"/>
            <rFont val="Tahoma"/>
            <family val="2"/>
          </rPr>
          <t>&lt;[[TCDeals] - [TC Property Current Stage (Seq: 1)] - [Buildings (Seq: 21)] Constr 8609 Credit - Both]&gt;</t>
        </r>
      </text>
    </comment>
    <comment ref="P1202" authorId="0" shapeId="0" xr:uid="{ECA5D3B5-9138-4323-A4BF-A1FB023947EE}">
      <text>
        <r>
          <rPr>
            <b/>
            <sz val="9"/>
            <color indexed="81"/>
            <rFont val="Tahoma"/>
            <family val="2"/>
          </rPr>
          <t>&lt;[[TCDeals] - [TC Property Current Stage (Seq: 1)] - [Buildings (Seq: 21)] Acq PIS Date - Both]&gt;</t>
        </r>
      </text>
    </comment>
    <comment ref="Q1202" authorId="0" shapeId="0" xr:uid="{80A2C464-6C30-4F38-97B2-DEEFBC070074}">
      <text>
        <r>
          <rPr>
            <b/>
            <sz val="9"/>
            <color indexed="81"/>
            <rFont val="Tahoma"/>
            <family val="2"/>
          </rPr>
          <t>&lt;[[TCDeals] - [TC Property Current Stage (Seq: 1)] - [Buildings (Seq: 21)] Acq Applicable Percentage - Both]&gt;</t>
        </r>
      </text>
    </comment>
    <comment ref="R1202" authorId="0" shapeId="0" xr:uid="{3B21E77B-9E77-4305-AE03-997AD14ED731}">
      <text>
        <r>
          <rPr>
            <b/>
            <sz val="9"/>
            <color indexed="81"/>
            <rFont val="Tahoma"/>
            <family val="2"/>
          </rPr>
          <t>&lt;[[TCDeals] - [TC Property Current Stage (Seq: 1)] - [Buildings (Seq: 21)] Acq Est Qual Basis - Both]&gt;</t>
        </r>
      </text>
    </comment>
    <comment ref="S1202" authorId="0" shapeId="0" xr:uid="{0310429A-F20B-499E-AD2E-CC2F04986E7B}">
      <text>
        <r>
          <rPr>
            <b/>
            <sz val="9"/>
            <color indexed="81"/>
            <rFont val="Tahoma"/>
            <family val="2"/>
          </rPr>
          <t>&lt;[[TCDeals] - [TC Property Current Stage (Seq: 1)] - [Buildings (Seq: 21)] Acq 8609 Basis - Both]&gt;</t>
        </r>
      </text>
    </comment>
    <comment ref="T1202" authorId="0" shapeId="0" xr:uid="{87B3E418-48C1-422E-90B4-CB918288925D}">
      <text>
        <r>
          <rPr>
            <b/>
            <sz val="9"/>
            <color indexed="81"/>
            <rFont val="Tahoma"/>
            <family val="2"/>
          </rPr>
          <t>&lt;[[TCDeals] - [TC Property Current Stage (Seq: 1)] - [Buildings (Seq: 21)] Acq 8609 Credit - Both]&gt;</t>
        </r>
      </text>
    </comment>
    <comment ref="C1203" authorId="0" shapeId="0" xr:uid="{584823C9-3FF3-47DC-BE53-B5451436B499}">
      <text>
        <r>
          <rPr>
            <b/>
            <sz val="9"/>
            <color indexed="81"/>
            <rFont val="Tahoma"/>
            <family val="2"/>
          </rPr>
          <t>&lt;[[TCDeals] - [TC Property Current Stage (Seq: 1)] - [Buildings (Seq: 22)] BIN - Both]&gt;</t>
        </r>
      </text>
    </comment>
    <comment ref="D1203" authorId="0" shapeId="0" xr:uid="{BF25F2CD-78C1-428B-834A-48E79E644B9C}">
      <text>
        <r>
          <rPr>
            <b/>
            <sz val="9"/>
            <color indexed="81"/>
            <rFont val="Tahoma"/>
            <family val="2"/>
          </rPr>
          <t>&lt;[[TCDeals] - [TC Property Current Stage (Seq: 1)] - [Buildings (Seq: 22)] Address 1 - Both]&gt;</t>
        </r>
      </text>
    </comment>
    <comment ref="E1203" authorId="0" shapeId="0" xr:uid="{DD066367-A540-4E87-91C0-0EAAD3D60BEF}">
      <text>
        <r>
          <rPr>
            <b/>
            <sz val="9"/>
            <color indexed="81"/>
            <rFont val="Tahoma"/>
            <family val="2"/>
          </rPr>
          <t>&lt;[[TCDeals] - [TC Property Current Stage (Seq: 1)] - [Buildings (Seq: 22)] Num TC Units - Both]&gt;</t>
        </r>
      </text>
    </comment>
    <comment ref="F1203" authorId="0" shapeId="0" xr:uid="{0482FD81-3A70-4116-82AD-A3038A1B68B3}">
      <text>
        <r>
          <rPr>
            <b/>
            <sz val="9"/>
            <color indexed="81"/>
            <rFont val="Tahoma"/>
            <family val="2"/>
          </rPr>
          <t>&lt;[[TCDeals] - [TC Property Current Stage (Seq: 1)] - [Buildings (Seq: 22)] PVC PIS Date - Both]&gt;</t>
        </r>
      </text>
    </comment>
    <comment ref="G1203" authorId="0" shapeId="0" xr:uid="{56B19C7B-E3CE-4B00-A2BD-7E6F042A7461}">
      <text>
        <r>
          <rPr>
            <b/>
            <sz val="9"/>
            <color indexed="81"/>
            <rFont val="Tahoma"/>
            <family val="2"/>
          </rPr>
          <t>&lt;[[TCDeals] - [TC Property Current Stage (Seq: 1)] - [Buildings (Seq: 22)] PVC Applicable Percentage - Both]&gt;</t>
        </r>
      </text>
    </comment>
    <comment ref="H1203" authorId="0" shapeId="0" xr:uid="{2C19DE39-8069-4C31-A45E-FADCA7CA0CDC}">
      <text>
        <r>
          <rPr>
            <b/>
            <sz val="9"/>
            <color indexed="81"/>
            <rFont val="Tahoma"/>
            <family val="2"/>
          </rPr>
          <t>&lt;[[TCDeals] - [TC Property Current Stage (Seq: 1)] - [Buildings (Seq: 22)] PVC Est Qual Basis - Both]&gt;</t>
        </r>
      </text>
    </comment>
    <comment ref="I1203" authorId="0" shapeId="0" xr:uid="{C37B6783-E10D-4A73-810B-8D3D12C0BB4E}">
      <text>
        <r>
          <rPr>
            <b/>
            <sz val="9"/>
            <color indexed="81"/>
            <rFont val="Tahoma"/>
            <family val="2"/>
          </rPr>
          <t>&lt;[[TCDeals] - [TC Property Current Stage (Seq: 1)] - [Buildings (Seq: 22)] PVC8609 Basis - Both]&gt;</t>
        </r>
      </text>
    </comment>
    <comment ref="J1203" authorId="0" shapeId="0" xr:uid="{4FE8377E-9B5A-4C2D-BD13-BD6191BE3369}">
      <text>
        <r>
          <rPr>
            <b/>
            <sz val="9"/>
            <color indexed="81"/>
            <rFont val="Tahoma"/>
            <family val="2"/>
          </rPr>
          <t>&lt;[[TCDeals] - [TC Property Current Stage (Seq: 1)] - [Buildings (Seq: 22)] PVC8609 Credit - Both]&gt;</t>
        </r>
      </text>
    </comment>
    <comment ref="K1203" authorId="0" shapeId="0" xr:uid="{9795D73D-83B4-446A-A45E-CF54A74CD4DD}">
      <text>
        <r>
          <rPr>
            <b/>
            <sz val="9"/>
            <color indexed="81"/>
            <rFont val="Tahoma"/>
            <family val="2"/>
          </rPr>
          <t>&lt;[[TCDeals] - [TC Property Current Stage (Seq: 1)] - [Buildings (Seq: 22)] Constr PIS Date - Both]&gt;</t>
        </r>
      </text>
    </comment>
    <comment ref="L1203" authorId="0" shapeId="0" xr:uid="{49215DDD-4942-4209-AAED-49A5BA82DA29}">
      <text>
        <r>
          <rPr>
            <b/>
            <sz val="9"/>
            <color indexed="81"/>
            <rFont val="Tahoma"/>
            <family val="2"/>
          </rPr>
          <t>&lt;[[TCDeals] - [TC Property Current Stage (Seq: 1)] - [Buildings (Seq: 22)] Constr Applicable Percentage - Both]&gt;</t>
        </r>
      </text>
    </comment>
    <comment ref="M1203" authorId="0" shapeId="0" xr:uid="{19631EE7-BEF3-425C-9A54-54EC86BC98FA}">
      <text>
        <r>
          <rPr>
            <b/>
            <sz val="9"/>
            <color indexed="81"/>
            <rFont val="Tahoma"/>
            <family val="2"/>
          </rPr>
          <t>&lt;[[TCDeals] - [TC Property Current Stage (Seq: 1)] - [Buildings (Seq: 22)] Constr Est Qual Basis - Both]&gt;</t>
        </r>
      </text>
    </comment>
    <comment ref="N1203" authorId="0" shapeId="0" xr:uid="{0E78CEBE-3B80-43B1-B8C4-E42C46DE2CDD}">
      <text>
        <r>
          <rPr>
            <b/>
            <sz val="9"/>
            <color indexed="81"/>
            <rFont val="Tahoma"/>
            <family val="2"/>
          </rPr>
          <t>&lt;[[TCDeals] - [TC Property Current Stage (Seq: 1)] - [Buildings (Seq: 22)] Constr 8609 Basis - Both]&gt;</t>
        </r>
      </text>
    </comment>
    <comment ref="O1203" authorId="0" shapeId="0" xr:uid="{0F8BA966-B2D2-4E56-BA1D-990495790ED6}">
      <text>
        <r>
          <rPr>
            <b/>
            <sz val="9"/>
            <color indexed="81"/>
            <rFont val="Tahoma"/>
            <family val="2"/>
          </rPr>
          <t>&lt;[[TCDeals] - [TC Property Current Stage (Seq: 1)] - [Buildings (Seq: 22)] Constr 8609 Credit - Both]&gt;</t>
        </r>
      </text>
    </comment>
    <comment ref="P1203" authorId="0" shapeId="0" xr:uid="{002CCA15-57F4-4B5A-939A-3F157088F2ED}">
      <text>
        <r>
          <rPr>
            <b/>
            <sz val="9"/>
            <color indexed="81"/>
            <rFont val="Tahoma"/>
            <family val="2"/>
          </rPr>
          <t>&lt;[[TCDeals] - [TC Property Current Stage (Seq: 1)] - [Buildings (Seq: 22)] Acq PIS Date - Both]&gt;</t>
        </r>
      </text>
    </comment>
    <comment ref="Q1203" authorId="0" shapeId="0" xr:uid="{39769DFA-F6AB-4CFC-A92A-FA94BA3E3CB6}">
      <text>
        <r>
          <rPr>
            <b/>
            <sz val="9"/>
            <color indexed="81"/>
            <rFont val="Tahoma"/>
            <family val="2"/>
          </rPr>
          <t>&lt;[[TCDeals] - [TC Property Current Stage (Seq: 1)] - [Buildings (Seq: 22)] Acq Applicable Percentage - Both]&gt;</t>
        </r>
      </text>
    </comment>
    <comment ref="R1203" authorId="0" shapeId="0" xr:uid="{268E2464-B79F-4DF6-B763-8E90D8B303A0}">
      <text>
        <r>
          <rPr>
            <b/>
            <sz val="9"/>
            <color indexed="81"/>
            <rFont val="Tahoma"/>
            <family val="2"/>
          </rPr>
          <t>&lt;[[TCDeals] - [TC Property Current Stage (Seq: 1)] - [Buildings (Seq: 22)] Acq Est Qual Basis - Both]&gt;</t>
        </r>
      </text>
    </comment>
    <comment ref="S1203" authorId="0" shapeId="0" xr:uid="{4DA0166D-0A69-4B14-92AE-8F08EA592AF0}">
      <text>
        <r>
          <rPr>
            <b/>
            <sz val="9"/>
            <color indexed="81"/>
            <rFont val="Tahoma"/>
            <family val="2"/>
          </rPr>
          <t>&lt;[[TCDeals] - [TC Property Current Stage (Seq: 1)] - [Buildings (Seq: 22)] Acq 8609 Basis - Both]&gt;</t>
        </r>
      </text>
    </comment>
    <comment ref="T1203" authorId="0" shapeId="0" xr:uid="{E839EE2C-151C-410B-AE07-B030A85934D8}">
      <text>
        <r>
          <rPr>
            <b/>
            <sz val="9"/>
            <color indexed="81"/>
            <rFont val="Tahoma"/>
            <family val="2"/>
          </rPr>
          <t>&lt;[[TCDeals] - [TC Property Current Stage (Seq: 1)] - [Buildings (Seq: 22)] Acq 8609 Credit - Both]&gt;</t>
        </r>
      </text>
    </comment>
    <comment ref="C1204" authorId="0" shapeId="0" xr:uid="{51827814-207A-4ECB-8F8D-74F62A7E7322}">
      <text>
        <r>
          <rPr>
            <b/>
            <sz val="9"/>
            <color indexed="81"/>
            <rFont val="Tahoma"/>
            <family val="2"/>
          </rPr>
          <t>&lt;[[TCDeals] - [TC Property Current Stage (Seq: 1)] - [Buildings (Seq: 23)] BIN - Both]&gt;</t>
        </r>
      </text>
    </comment>
    <comment ref="D1204" authorId="0" shapeId="0" xr:uid="{24734940-D81B-4A63-96F7-EEEAC843B9CB}">
      <text>
        <r>
          <rPr>
            <b/>
            <sz val="9"/>
            <color indexed="81"/>
            <rFont val="Tahoma"/>
            <family val="2"/>
          </rPr>
          <t>&lt;[[TCDeals] - [TC Property Current Stage (Seq: 1)] - [Buildings (Seq: 23)] Address 1 - Both]&gt;</t>
        </r>
      </text>
    </comment>
    <comment ref="E1204" authorId="0" shapeId="0" xr:uid="{700A6E62-A1B3-4E18-BDE5-31DCAD822C30}">
      <text>
        <r>
          <rPr>
            <b/>
            <sz val="9"/>
            <color indexed="81"/>
            <rFont val="Tahoma"/>
            <family val="2"/>
          </rPr>
          <t>&lt;[[TCDeals] - [TC Property Current Stage (Seq: 1)] - [Buildings (Seq: 23)] Num TC Units - Both]&gt;</t>
        </r>
      </text>
    </comment>
    <comment ref="F1204" authorId="0" shapeId="0" xr:uid="{C5C08C95-5833-41D7-834A-674642F02B82}">
      <text>
        <r>
          <rPr>
            <b/>
            <sz val="9"/>
            <color indexed="81"/>
            <rFont val="Tahoma"/>
            <family val="2"/>
          </rPr>
          <t>&lt;[[TCDeals] - [TC Property Current Stage (Seq: 1)] - [Buildings (Seq: 23)] PVC PIS Date - Both]&gt;</t>
        </r>
      </text>
    </comment>
    <comment ref="G1204" authorId="0" shapeId="0" xr:uid="{D2A2F53F-8465-4B86-B51A-3CE6519ABF8C}">
      <text>
        <r>
          <rPr>
            <b/>
            <sz val="9"/>
            <color indexed="81"/>
            <rFont val="Tahoma"/>
            <family val="2"/>
          </rPr>
          <t>&lt;[[TCDeals] - [TC Property Current Stage (Seq: 1)] - [Buildings (Seq: 23)] PVC Applicable Percentage - Both]&gt;</t>
        </r>
      </text>
    </comment>
    <comment ref="H1204" authorId="0" shapeId="0" xr:uid="{EF4ED6C7-8E2D-4585-B06F-4D27BFA1C615}">
      <text>
        <r>
          <rPr>
            <b/>
            <sz val="9"/>
            <color indexed="81"/>
            <rFont val="Tahoma"/>
            <family val="2"/>
          </rPr>
          <t>&lt;[[TCDeals] - [TC Property Current Stage (Seq: 1)] - [Buildings (Seq: 23)] PVC Est Qual Basis - Both]&gt;</t>
        </r>
      </text>
    </comment>
    <comment ref="I1204" authorId="0" shapeId="0" xr:uid="{7D8CA096-C7FD-48E3-BDE6-2B851C845C0C}">
      <text>
        <r>
          <rPr>
            <b/>
            <sz val="9"/>
            <color indexed="81"/>
            <rFont val="Tahoma"/>
            <family val="2"/>
          </rPr>
          <t>&lt;[[TCDeals] - [TC Property Current Stage (Seq: 1)] - [Buildings (Seq: 23)] PVC8609 Basis - Both]&gt;</t>
        </r>
      </text>
    </comment>
    <comment ref="J1204" authorId="0" shapeId="0" xr:uid="{493AC330-B384-4825-8CF4-EAF87AEAA894}">
      <text>
        <r>
          <rPr>
            <b/>
            <sz val="9"/>
            <color indexed="81"/>
            <rFont val="Tahoma"/>
            <family val="2"/>
          </rPr>
          <t>&lt;[[TCDeals] - [TC Property Current Stage (Seq: 1)] - [Buildings (Seq: 23)] PVC8609 Credit - Both]&gt;</t>
        </r>
      </text>
    </comment>
    <comment ref="K1204" authorId="0" shapeId="0" xr:uid="{B783A80C-AFC0-47B0-8AB8-96A98C689DE7}">
      <text>
        <r>
          <rPr>
            <b/>
            <sz val="9"/>
            <color indexed="81"/>
            <rFont val="Tahoma"/>
            <family val="2"/>
          </rPr>
          <t>&lt;[[TCDeals] - [TC Property Current Stage (Seq: 1)] - [Buildings (Seq: 23)] Constr PIS Date - Both]&gt;</t>
        </r>
      </text>
    </comment>
    <comment ref="L1204" authorId="0" shapeId="0" xr:uid="{286480C4-B1C4-4190-BD36-50C9EF6F2D52}">
      <text>
        <r>
          <rPr>
            <b/>
            <sz val="9"/>
            <color indexed="81"/>
            <rFont val="Tahoma"/>
            <family val="2"/>
          </rPr>
          <t>&lt;[[TCDeals] - [TC Property Current Stage (Seq: 1)] - [Buildings (Seq: 23)] Constr Applicable Percentage - Both]&gt;</t>
        </r>
      </text>
    </comment>
    <comment ref="M1204" authorId="0" shapeId="0" xr:uid="{27249EB3-8CD0-4F91-96DA-C7EE5BBEC1FC}">
      <text>
        <r>
          <rPr>
            <b/>
            <sz val="9"/>
            <color indexed="81"/>
            <rFont val="Tahoma"/>
            <family val="2"/>
          </rPr>
          <t>&lt;[[TCDeals] - [TC Property Current Stage (Seq: 1)] - [Buildings (Seq: 23)] Constr Est Qual Basis - Both]&gt;</t>
        </r>
      </text>
    </comment>
    <comment ref="N1204" authorId="0" shapeId="0" xr:uid="{EAE3A0E7-BDFC-4B48-8587-EDE0A0538C00}">
      <text>
        <r>
          <rPr>
            <b/>
            <sz val="9"/>
            <color indexed="81"/>
            <rFont val="Tahoma"/>
            <family val="2"/>
          </rPr>
          <t>&lt;[[TCDeals] - [TC Property Current Stage (Seq: 1)] - [Buildings (Seq: 23)] Constr 8609 Basis - Both]&gt;</t>
        </r>
      </text>
    </comment>
    <comment ref="O1204" authorId="0" shapeId="0" xr:uid="{DD2579C2-A89E-4121-B64B-D0BA2E76F458}">
      <text>
        <r>
          <rPr>
            <b/>
            <sz val="9"/>
            <color indexed="81"/>
            <rFont val="Tahoma"/>
            <family val="2"/>
          </rPr>
          <t>&lt;[[TCDeals] - [TC Property Current Stage (Seq: 1)] - [Buildings (Seq: 23)] Constr 8609 Credit - Both]&gt;</t>
        </r>
      </text>
    </comment>
    <comment ref="P1204" authorId="0" shapeId="0" xr:uid="{6A40FD93-CA0F-4744-B42A-42E821943AD9}">
      <text>
        <r>
          <rPr>
            <b/>
            <sz val="9"/>
            <color indexed="81"/>
            <rFont val="Tahoma"/>
            <family val="2"/>
          </rPr>
          <t>&lt;[[TCDeals] - [TC Property Current Stage (Seq: 1)] - [Buildings (Seq: 23)] Acq PIS Date - Both]&gt;</t>
        </r>
      </text>
    </comment>
    <comment ref="Q1204" authorId="0" shapeId="0" xr:uid="{005987B9-BC07-4F52-8EC7-F513EF7E1BFD}">
      <text>
        <r>
          <rPr>
            <b/>
            <sz val="9"/>
            <color indexed="81"/>
            <rFont val="Tahoma"/>
            <family val="2"/>
          </rPr>
          <t>&lt;[[TCDeals] - [TC Property Current Stage (Seq: 1)] - [Buildings (Seq: 23)] Acq Applicable Percentage - Both]&gt;</t>
        </r>
      </text>
    </comment>
    <comment ref="R1204" authorId="0" shapeId="0" xr:uid="{CA8ABE18-C099-4F22-AEB0-27DE98F379B3}">
      <text>
        <r>
          <rPr>
            <b/>
            <sz val="9"/>
            <color indexed="81"/>
            <rFont val="Tahoma"/>
            <family val="2"/>
          </rPr>
          <t>&lt;[[TCDeals] - [TC Property Current Stage (Seq: 1)] - [Buildings (Seq: 23)] Acq Est Qual Basis - Both]&gt;</t>
        </r>
      </text>
    </comment>
    <comment ref="S1204" authorId="0" shapeId="0" xr:uid="{157F6E70-6EA9-4661-B22C-938CF473D471}">
      <text>
        <r>
          <rPr>
            <b/>
            <sz val="9"/>
            <color indexed="81"/>
            <rFont val="Tahoma"/>
            <family val="2"/>
          </rPr>
          <t>&lt;[[TCDeals] - [TC Property Current Stage (Seq: 1)] - [Buildings (Seq: 23)] Acq 8609 Basis - Both]&gt;</t>
        </r>
      </text>
    </comment>
    <comment ref="T1204" authorId="0" shapeId="0" xr:uid="{2C373DF5-11CA-43A0-B53D-582B6675B5FA}">
      <text>
        <r>
          <rPr>
            <b/>
            <sz val="9"/>
            <color indexed="81"/>
            <rFont val="Tahoma"/>
            <family val="2"/>
          </rPr>
          <t>&lt;[[TCDeals] - [TC Property Current Stage (Seq: 1)] - [Buildings (Seq: 23)] Acq 8609 Credit - Both]&gt;</t>
        </r>
      </text>
    </comment>
    <comment ref="C1205" authorId="0" shapeId="0" xr:uid="{E721E41E-DECF-4E31-8609-CAD2ED72707D}">
      <text>
        <r>
          <rPr>
            <b/>
            <sz val="9"/>
            <color indexed="81"/>
            <rFont val="Tahoma"/>
            <family val="2"/>
          </rPr>
          <t>&lt;[[TCDeals] - [TC Property Current Stage (Seq: 1)] - [Buildings (Seq: 24)] BIN - Both]&gt;</t>
        </r>
      </text>
    </comment>
    <comment ref="D1205" authorId="0" shapeId="0" xr:uid="{EC047C19-3F3B-4B99-88A0-74D180F20D92}">
      <text>
        <r>
          <rPr>
            <b/>
            <sz val="9"/>
            <color indexed="81"/>
            <rFont val="Tahoma"/>
            <family val="2"/>
          </rPr>
          <t>&lt;[[TCDeals] - [TC Property Current Stage (Seq: 1)] - [Buildings (Seq: 24)] Address 1 - Both]&gt;</t>
        </r>
      </text>
    </comment>
    <comment ref="E1205" authorId="0" shapeId="0" xr:uid="{A9AE6199-E549-4B3B-92A2-BEC3027A339D}">
      <text>
        <r>
          <rPr>
            <b/>
            <sz val="9"/>
            <color indexed="81"/>
            <rFont val="Tahoma"/>
            <family val="2"/>
          </rPr>
          <t>&lt;[[TCDeals] - [TC Property Current Stage (Seq: 1)] - [Buildings (Seq: 24)] Num TC Units - Both]&gt;</t>
        </r>
      </text>
    </comment>
    <comment ref="F1205" authorId="0" shapeId="0" xr:uid="{1ACAA5C9-9A26-42D8-A9A7-98769D72AFEE}">
      <text>
        <r>
          <rPr>
            <b/>
            <sz val="9"/>
            <color indexed="81"/>
            <rFont val="Tahoma"/>
            <family val="2"/>
          </rPr>
          <t>&lt;[[TCDeals] - [TC Property Current Stage (Seq: 1)] - [Buildings (Seq: 24)] PVC PIS Date - Both]&gt;</t>
        </r>
      </text>
    </comment>
    <comment ref="G1205" authorId="0" shapeId="0" xr:uid="{426F1F46-71AE-467E-B04C-4624550A2E03}">
      <text>
        <r>
          <rPr>
            <b/>
            <sz val="9"/>
            <color indexed="81"/>
            <rFont val="Tahoma"/>
            <family val="2"/>
          </rPr>
          <t>&lt;[[TCDeals] - [TC Property Current Stage (Seq: 1)] - [Buildings (Seq: 24)] PVC Applicable Percentage - Both]&gt;</t>
        </r>
      </text>
    </comment>
    <comment ref="H1205" authorId="0" shapeId="0" xr:uid="{55A51C0B-7CBE-4005-8F53-E8AAFA7EEC79}">
      <text>
        <r>
          <rPr>
            <b/>
            <sz val="9"/>
            <color indexed="81"/>
            <rFont val="Tahoma"/>
            <family val="2"/>
          </rPr>
          <t>&lt;[[TCDeals] - [TC Property Current Stage (Seq: 1)] - [Buildings (Seq: 24)] PVC Est Qual Basis - Both]&gt;</t>
        </r>
      </text>
    </comment>
    <comment ref="I1205" authorId="0" shapeId="0" xr:uid="{12E9D2AD-C79B-4C6E-B40E-B98BCF4EB0BD}">
      <text>
        <r>
          <rPr>
            <b/>
            <sz val="9"/>
            <color indexed="81"/>
            <rFont val="Tahoma"/>
            <family val="2"/>
          </rPr>
          <t>&lt;[[TCDeals] - [TC Property Current Stage (Seq: 1)] - [Buildings (Seq: 24)] PVC8609 Basis - Both]&gt;</t>
        </r>
      </text>
    </comment>
    <comment ref="J1205" authorId="0" shapeId="0" xr:uid="{B8CE54DE-2884-44BE-B987-C03849965C32}">
      <text>
        <r>
          <rPr>
            <b/>
            <sz val="9"/>
            <color indexed="81"/>
            <rFont val="Tahoma"/>
            <family val="2"/>
          </rPr>
          <t>&lt;[[TCDeals] - [TC Property Current Stage (Seq: 1)] - [Buildings (Seq: 24)] PVC8609 Credit - Both]&gt;</t>
        </r>
      </text>
    </comment>
    <comment ref="K1205" authorId="0" shapeId="0" xr:uid="{34F1E726-B0F2-459A-9F1A-D629662F5210}">
      <text>
        <r>
          <rPr>
            <b/>
            <sz val="9"/>
            <color indexed="81"/>
            <rFont val="Tahoma"/>
            <family val="2"/>
          </rPr>
          <t>&lt;[[TCDeals] - [TC Property Current Stage (Seq: 1)] - [Buildings (Seq: 24)] Constr PIS Date - Both]&gt;</t>
        </r>
      </text>
    </comment>
    <comment ref="L1205" authorId="0" shapeId="0" xr:uid="{AE5C33A4-7955-4518-A008-8581004D5EA1}">
      <text>
        <r>
          <rPr>
            <b/>
            <sz val="9"/>
            <color indexed="81"/>
            <rFont val="Tahoma"/>
            <family val="2"/>
          </rPr>
          <t>&lt;[[TCDeals] - [TC Property Current Stage (Seq: 1)] - [Buildings (Seq: 24)] Constr Applicable Percentage - Both]&gt;</t>
        </r>
      </text>
    </comment>
    <comment ref="M1205" authorId="0" shapeId="0" xr:uid="{9085ACE3-788F-4D8B-A86A-834A4FA70973}">
      <text>
        <r>
          <rPr>
            <b/>
            <sz val="9"/>
            <color indexed="81"/>
            <rFont val="Tahoma"/>
            <family val="2"/>
          </rPr>
          <t>&lt;[[TCDeals] - [TC Property Current Stage (Seq: 1)] - [Buildings (Seq: 24)] Constr Est Qual Basis - Both]&gt;</t>
        </r>
      </text>
    </comment>
    <comment ref="N1205" authorId="0" shapeId="0" xr:uid="{5383FD2E-FA2F-445D-9097-ECAA743483D7}">
      <text>
        <r>
          <rPr>
            <b/>
            <sz val="9"/>
            <color indexed="81"/>
            <rFont val="Tahoma"/>
            <family val="2"/>
          </rPr>
          <t>&lt;[[TCDeals] - [TC Property Current Stage (Seq: 1)] - [Buildings (Seq: 24)] Constr 8609 Basis - Both]&gt;</t>
        </r>
      </text>
    </comment>
    <comment ref="O1205" authorId="0" shapeId="0" xr:uid="{51BB21D3-F75C-46C5-895A-1B72383AA67C}">
      <text>
        <r>
          <rPr>
            <b/>
            <sz val="9"/>
            <color indexed="81"/>
            <rFont val="Tahoma"/>
            <family val="2"/>
          </rPr>
          <t>&lt;[[TCDeals] - [TC Property Current Stage (Seq: 1)] - [Buildings (Seq: 24)] Constr 8609 Credit - Both]&gt;</t>
        </r>
      </text>
    </comment>
    <comment ref="P1205" authorId="0" shapeId="0" xr:uid="{AC39BF0E-1412-48EF-AD53-D3A65A3DB7CF}">
      <text>
        <r>
          <rPr>
            <b/>
            <sz val="9"/>
            <color indexed="81"/>
            <rFont val="Tahoma"/>
            <family val="2"/>
          </rPr>
          <t>&lt;[[TCDeals] - [TC Property Current Stage (Seq: 1)] - [Buildings (Seq: 24)] Acq PIS Date - Both]&gt;</t>
        </r>
      </text>
    </comment>
    <comment ref="Q1205" authorId="0" shapeId="0" xr:uid="{155643E1-9E1A-42B4-A33B-198432EBA609}">
      <text>
        <r>
          <rPr>
            <b/>
            <sz val="9"/>
            <color indexed="81"/>
            <rFont val="Tahoma"/>
            <family val="2"/>
          </rPr>
          <t>&lt;[[TCDeals] - [TC Property Current Stage (Seq: 1)] - [Buildings (Seq: 24)] Acq Applicable Percentage - Both]&gt;</t>
        </r>
      </text>
    </comment>
    <comment ref="R1205" authorId="0" shapeId="0" xr:uid="{020A298E-DCE9-413C-B98A-15C376724ED4}">
      <text>
        <r>
          <rPr>
            <b/>
            <sz val="9"/>
            <color indexed="81"/>
            <rFont val="Tahoma"/>
            <family val="2"/>
          </rPr>
          <t>&lt;[[TCDeals] - [TC Property Current Stage (Seq: 1)] - [Buildings (Seq: 24)] Acq Est Qual Basis - Both]&gt;</t>
        </r>
      </text>
    </comment>
    <comment ref="S1205" authorId="0" shapeId="0" xr:uid="{635AF06F-A723-4B47-A5A9-40DA6BD48F48}">
      <text>
        <r>
          <rPr>
            <b/>
            <sz val="9"/>
            <color indexed="81"/>
            <rFont val="Tahoma"/>
            <family val="2"/>
          </rPr>
          <t>&lt;[[TCDeals] - [TC Property Current Stage (Seq: 1)] - [Buildings (Seq: 24)] Acq 8609 Basis - Both]&gt;</t>
        </r>
      </text>
    </comment>
    <comment ref="T1205" authorId="0" shapeId="0" xr:uid="{2F16CC8B-ECB1-41FC-8F37-4AC362787133}">
      <text>
        <r>
          <rPr>
            <b/>
            <sz val="9"/>
            <color indexed="81"/>
            <rFont val="Tahoma"/>
            <family val="2"/>
          </rPr>
          <t>&lt;[[TCDeals] - [TC Property Current Stage (Seq: 1)] - [Buildings (Seq: 24)] Acq 8609 Credit - Both]&gt;</t>
        </r>
      </text>
    </comment>
    <comment ref="C1206" authorId="0" shapeId="0" xr:uid="{FBE932E5-485B-4F7B-BA0F-CF63B9E74355}">
      <text>
        <r>
          <rPr>
            <b/>
            <sz val="9"/>
            <color indexed="81"/>
            <rFont val="Tahoma"/>
            <family val="2"/>
          </rPr>
          <t>&lt;[[TCDeals] - [TC Property Current Stage (Seq: 1)] - [Buildings (Seq: 25)] BIN - Both]&gt;</t>
        </r>
      </text>
    </comment>
    <comment ref="D1206" authorId="0" shapeId="0" xr:uid="{AFD57F70-0102-4D56-8B98-372562FD3803}">
      <text>
        <r>
          <rPr>
            <b/>
            <sz val="9"/>
            <color indexed="81"/>
            <rFont val="Tahoma"/>
            <family val="2"/>
          </rPr>
          <t>&lt;[[TCDeals] - [TC Property Current Stage (Seq: 1)] - [Buildings (Seq: 25)] Address 1 - Both]&gt;</t>
        </r>
      </text>
    </comment>
    <comment ref="E1206" authorId="0" shapeId="0" xr:uid="{4B1186FE-97CB-438C-8654-302233DBE062}">
      <text>
        <r>
          <rPr>
            <b/>
            <sz val="9"/>
            <color indexed="81"/>
            <rFont val="Tahoma"/>
            <family val="2"/>
          </rPr>
          <t>&lt;[[TCDeals] - [TC Property Current Stage (Seq: 1)] - [Buildings (Seq: 25)] Num TC Units - Both]&gt;</t>
        </r>
      </text>
    </comment>
    <comment ref="F1206" authorId="0" shapeId="0" xr:uid="{58600DFC-4AB4-455A-A73D-404903BC01D2}">
      <text>
        <r>
          <rPr>
            <b/>
            <sz val="9"/>
            <color indexed="81"/>
            <rFont val="Tahoma"/>
            <family val="2"/>
          </rPr>
          <t>&lt;[[TCDeals] - [TC Property Current Stage (Seq: 1)] - [Buildings (Seq: 25)] PVC PIS Date - Both]&gt;</t>
        </r>
      </text>
    </comment>
    <comment ref="G1206" authorId="0" shapeId="0" xr:uid="{025B6575-60C2-43AC-8F85-F0DA717EDFFE}">
      <text>
        <r>
          <rPr>
            <b/>
            <sz val="9"/>
            <color indexed="81"/>
            <rFont val="Tahoma"/>
            <family val="2"/>
          </rPr>
          <t>&lt;[[TCDeals] - [TC Property Current Stage (Seq: 1)] - [Buildings (Seq: 25)] PVC Applicable Percentage - Both]&gt;</t>
        </r>
      </text>
    </comment>
    <comment ref="H1206" authorId="0" shapeId="0" xr:uid="{16AC16A3-8B4E-468B-A899-794BB505C1B9}">
      <text>
        <r>
          <rPr>
            <b/>
            <sz val="9"/>
            <color indexed="81"/>
            <rFont val="Tahoma"/>
            <family val="2"/>
          </rPr>
          <t>&lt;[[TCDeals] - [TC Property Current Stage (Seq: 1)] - [Buildings (Seq: 25)] PVC Est Qual Basis - Both]&gt;</t>
        </r>
      </text>
    </comment>
    <comment ref="I1206" authorId="0" shapeId="0" xr:uid="{F6D84998-62E7-4D70-B13A-756AED829395}">
      <text>
        <r>
          <rPr>
            <b/>
            <sz val="9"/>
            <color indexed="81"/>
            <rFont val="Tahoma"/>
            <family val="2"/>
          </rPr>
          <t>&lt;[[TCDeals] - [TC Property Current Stage (Seq: 1)] - [Buildings (Seq: 25)] PVC8609 Basis - Both]&gt;</t>
        </r>
      </text>
    </comment>
    <comment ref="J1206" authorId="0" shapeId="0" xr:uid="{D83AE60C-6CBD-4ACD-B1B1-52C71A70F1FE}">
      <text>
        <r>
          <rPr>
            <b/>
            <sz val="9"/>
            <color indexed="81"/>
            <rFont val="Tahoma"/>
            <family val="2"/>
          </rPr>
          <t>&lt;[[TCDeals] - [TC Property Current Stage (Seq: 1)] - [Buildings (Seq: 25)] PVC8609 Credit - Both]&gt;</t>
        </r>
      </text>
    </comment>
    <comment ref="K1206" authorId="0" shapeId="0" xr:uid="{9C52E361-FC9C-4580-95DD-709D281D25E0}">
      <text>
        <r>
          <rPr>
            <b/>
            <sz val="9"/>
            <color indexed="81"/>
            <rFont val="Tahoma"/>
            <family val="2"/>
          </rPr>
          <t>&lt;[[TCDeals] - [TC Property Current Stage (Seq: 1)] - [Buildings (Seq: 25)] Constr PIS Date - Both]&gt;</t>
        </r>
      </text>
    </comment>
    <comment ref="L1206" authorId="0" shapeId="0" xr:uid="{221F8345-084D-4F8D-9311-E4D00662AE71}">
      <text>
        <r>
          <rPr>
            <b/>
            <sz val="9"/>
            <color indexed="81"/>
            <rFont val="Tahoma"/>
            <family val="2"/>
          </rPr>
          <t>&lt;[[TCDeals] - [TC Property Current Stage (Seq: 1)] - [Buildings (Seq: 25)] Constr Applicable Percentage - Both]&gt;</t>
        </r>
      </text>
    </comment>
    <comment ref="M1206" authorId="0" shapeId="0" xr:uid="{99CFAFC8-A3E9-479E-8E73-D8B6C26671BF}">
      <text>
        <r>
          <rPr>
            <b/>
            <sz val="9"/>
            <color indexed="81"/>
            <rFont val="Tahoma"/>
            <family val="2"/>
          </rPr>
          <t>&lt;[[TCDeals] - [TC Property Current Stage (Seq: 1)] - [Buildings (Seq: 25)] Constr Est Qual Basis - Both]&gt;</t>
        </r>
      </text>
    </comment>
    <comment ref="N1206" authorId="0" shapeId="0" xr:uid="{CF24CC29-796A-4A8A-B54A-73823B135CD5}">
      <text>
        <r>
          <rPr>
            <b/>
            <sz val="9"/>
            <color indexed="81"/>
            <rFont val="Tahoma"/>
            <family val="2"/>
          </rPr>
          <t>&lt;[[TCDeals] - [TC Property Current Stage (Seq: 1)] - [Buildings (Seq: 25)] Constr 8609 Basis - Both]&gt;</t>
        </r>
      </text>
    </comment>
    <comment ref="O1206" authorId="0" shapeId="0" xr:uid="{CCBBA728-5FF8-4A7E-B74D-3A49AC6F0B53}">
      <text>
        <r>
          <rPr>
            <b/>
            <sz val="9"/>
            <color indexed="81"/>
            <rFont val="Tahoma"/>
            <family val="2"/>
          </rPr>
          <t>&lt;[[TCDeals] - [TC Property Current Stage (Seq: 1)] - [Buildings (Seq: 25)] Constr 8609 Credit - Both]&gt;</t>
        </r>
      </text>
    </comment>
    <comment ref="P1206" authorId="0" shapeId="0" xr:uid="{76D7A8B1-A195-4F3C-AC1C-AC40442C9F35}">
      <text>
        <r>
          <rPr>
            <b/>
            <sz val="9"/>
            <color indexed="81"/>
            <rFont val="Tahoma"/>
            <family val="2"/>
          </rPr>
          <t>&lt;[[TCDeals] - [TC Property Current Stage (Seq: 1)] - [Buildings (Seq: 25)] Acq PIS Date - Both]&gt;</t>
        </r>
      </text>
    </comment>
    <comment ref="Q1206" authorId="0" shapeId="0" xr:uid="{53ADA809-99BC-4330-A4AE-684F9DDCCC42}">
      <text>
        <r>
          <rPr>
            <b/>
            <sz val="9"/>
            <color indexed="81"/>
            <rFont val="Tahoma"/>
            <family val="2"/>
          </rPr>
          <t>&lt;[[TCDeals] - [TC Property Current Stage (Seq: 1)] - [Buildings (Seq: 25)] Acq Applicable Percentage - Both]&gt;</t>
        </r>
      </text>
    </comment>
    <comment ref="R1206" authorId="0" shapeId="0" xr:uid="{9C70CDE2-5EF4-42D5-A3C4-E60249BADE49}">
      <text>
        <r>
          <rPr>
            <b/>
            <sz val="9"/>
            <color indexed="81"/>
            <rFont val="Tahoma"/>
            <family val="2"/>
          </rPr>
          <t>&lt;[[TCDeals] - [TC Property Current Stage (Seq: 1)] - [Buildings (Seq: 25)] Acq Est Qual Basis - Both]&gt;</t>
        </r>
      </text>
    </comment>
    <comment ref="S1206" authorId="0" shapeId="0" xr:uid="{8B3AC734-EA87-47A5-8C7D-DD488B8D2208}">
      <text>
        <r>
          <rPr>
            <b/>
            <sz val="9"/>
            <color indexed="81"/>
            <rFont val="Tahoma"/>
            <family val="2"/>
          </rPr>
          <t>&lt;[[TCDeals] - [TC Property Current Stage (Seq: 1)] - [Buildings (Seq: 25)] Acq 8609 Basis - Both]&gt;</t>
        </r>
      </text>
    </comment>
    <comment ref="T1206" authorId="0" shapeId="0" xr:uid="{F38EF38C-688C-41A1-9806-2163DAD80FE7}">
      <text>
        <r>
          <rPr>
            <b/>
            <sz val="9"/>
            <color indexed="81"/>
            <rFont val="Tahoma"/>
            <family val="2"/>
          </rPr>
          <t>&lt;[[TCDeals] - [TC Property Current Stage (Seq: 1)] - [Buildings (Seq: 25)] Acq 8609 Credit - Both]&gt;</t>
        </r>
      </text>
    </comment>
    <comment ref="C1207" authorId="0" shapeId="0" xr:uid="{DCF4A16E-0B4B-4BB6-8C7B-E42EDD932AE8}">
      <text>
        <r>
          <rPr>
            <b/>
            <sz val="9"/>
            <color indexed="81"/>
            <rFont val="Tahoma"/>
            <family val="2"/>
          </rPr>
          <t>&lt;[[TCDeals] - [TC Property Current Stage (Seq: 1)] - [Buildings (Seq: 26)] BIN - Both]&gt;</t>
        </r>
      </text>
    </comment>
    <comment ref="D1207" authorId="0" shapeId="0" xr:uid="{AA7F3F74-F7CE-459E-BBE4-3C5DDEB7AE5C}">
      <text>
        <r>
          <rPr>
            <b/>
            <sz val="9"/>
            <color indexed="81"/>
            <rFont val="Tahoma"/>
            <family val="2"/>
          </rPr>
          <t>&lt;[[TCDeals] - [TC Property Current Stage (Seq: 1)] - [Buildings (Seq: 26)] Address 1 - Both]&gt;</t>
        </r>
      </text>
    </comment>
    <comment ref="E1207" authorId="0" shapeId="0" xr:uid="{3BC4EF30-1CFA-455D-8E16-F0B914B39EF5}">
      <text>
        <r>
          <rPr>
            <b/>
            <sz val="9"/>
            <color indexed="81"/>
            <rFont val="Tahoma"/>
            <family val="2"/>
          </rPr>
          <t>&lt;[[TCDeals] - [TC Property Current Stage (Seq: 1)] - [Buildings (Seq: 26)] Num TC Units - Both]&gt;</t>
        </r>
      </text>
    </comment>
    <comment ref="F1207" authorId="0" shapeId="0" xr:uid="{8F72B6B9-2ABB-437D-8E41-6EEEF5B8C41F}">
      <text>
        <r>
          <rPr>
            <b/>
            <sz val="9"/>
            <color indexed="81"/>
            <rFont val="Tahoma"/>
            <family val="2"/>
          </rPr>
          <t>&lt;[[TCDeals] - [TC Property Current Stage (Seq: 1)] - [Buildings (Seq: 26)] PVC PIS Date - Both]&gt;</t>
        </r>
      </text>
    </comment>
    <comment ref="G1207" authorId="0" shapeId="0" xr:uid="{7943F217-531B-4877-8B0C-F8ACCF8F690D}">
      <text>
        <r>
          <rPr>
            <b/>
            <sz val="9"/>
            <color indexed="81"/>
            <rFont val="Tahoma"/>
            <family val="2"/>
          </rPr>
          <t>&lt;[[TCDeals] - [TC Property Current Stage (Seq: 1)] - [Buildings (Seq: 26)] PVC Applicable Percentage - Both]&gt;</t>
        </r>
      </text>
    </comment>
    <comment ref="H1207" authorId="0" shapeId="0" xr:uid="{C83AF0FF-2558-4749-9C8A-8FDF3F6E0F22}">
      <text>
        <r>
          <rPr>
            <b/>
            <sz val="9"/>
            <color indexed="81"/>
            <rFont val="Tahoma"/>
            <family val="2"/>
          </rPr>
          <t>&lt;[[TCDeals] - [TC Property Current Stage (Seq: 1)] - [Buildings (Seq: 26)] PVC Est Qual Basis - Both]&gt;</t>
        </r>
      </text>
    </comment>
    <comment ref="I1207" authorId="0" shapeId="0" xr:uid="{37ACE7A5-1ECB-4C0D-A1CC-AAEE964AB5A6}">
      <text>
        <r>
          <rPr>
            <b/>
            <sz val="9"/>
            <color indexed="81"/>
            <rFont val="Tahoma"/>
            <family val="2"/>
          </rPr>
          <t>&lt;[[TCDeals] - [TC Property Current Stage (Seq: 1)] - [Buildings (Seq: 26)] PVC8609 Basis - Both]&gt;</t>
        </r>
      </text>
    </comment>
    <comment ref="J1207" authorId="0" shapeId="0" xr:uid="{5401E5C9-C5E9-4F23-B57C-4084E82B3841}">
      <text>
        <r>
          <rPr>
            <b/>
            <sz val="9"/>
            <color indexed="81"/>
            <rFont val="Tahoma"/>
            <family val="2"/>
          </rPr>
          <t>&lt;[[TCDeals] - [TC Property Current Stage (Seq: 1)] - [Buildings (Seq: 26)] PVC8609 Credit - Both]&gt;</t>
        </r>
      </text>
    </comment>
    <comment ref="K1207" authorId="0" shapeId="0" xr:uid="{80397FC5-100D-4528-AF57-1540C2FD7DC4}">
      <text>
        <r>
          <rPr>
            <b/>
            <sz val="9"/>
            <color indexed="81"/>
            <rFont val="Tahoma"/>
            <family val="2"/>
          </rPr>
          <t>&lt;[[TCDeals] - [TC Property Current Stage (Seq: 1)] - [Buildings (Seq: 26)] Constr PIS Date - Both]&gt;</t>
        </r>
      </text>
    </comment>
    <comment ref="L1207" authorId="0" shapeId="0" xr:uid="{9F177054-4D69-4618-A1B8-9517CC7F5C77}">
      <text>
        <r>
          <rPr>
            <b/>
            <sz val="9"/>
            <color indexed="81"/>
            <rFont val="Tahoma"/>
            <family val="2"/>
          </rPr>
          <t>&lt;[[TCDeals] - [TC Property Current Stage (Seq: 1)] - [Buildings (Seq: 26)] Constr Applicable Percentage - Both]&gt;</t>
        </r>
      </text>
    </comment>
    <comment ref="M1207" authorId="0" shapeId="0" xr:uid="{614BE76F-81B0-4499-8F32-AD82CBE867CD}">
      <text>
        <r>
          <rPr>
            <b/>
            <sz val="9"/>
            <color indexed="81"/>
            <rFont val="Tahoma"/>
            <family val="2"/>
          </rPr>
          <t>&lt;[[TCDeals] - [TC Property Current Stage (Seq: 1)] - [Buildings (Seq: 26)] Constr Est Qual Basis - Both]&gt;</t>
        </r>
      </text>
    </comment>
    <comment ref="N1207" authorId="0" shapeId="0" xr:uid="{995AF15F-9F85-4E90-A987-8E8AB6B252BA}">
      <text>
        <r>
          <rPr>
            <b/>
            <sz val="9"/>
            <color indexed="81"/>
            <rFont val="Tahoma"/>
            <family val="2"/>
          </rPr>
          <t>&lt;[[TCDeals] - [TC Property Current Stage (Seq: 1)] - [Buildings (Seq: 26)] Constr 8609 Basis - Both]&gt;</t>
        </r>
      </text>
    </comment>
    <comment ref="O1207" authorId="0" shapeId="0" xr:uid="{9DB972F0-D73D-4333-9BCF-7012635E95F5}">
      <text>
        <r>
          <rPr>
            <b/>
            <sz val="9"/>
            <color indexed="81"/>
            <rFont val="Tahoma"/>
            <family val="2"/>
          </rPr>
          <t>&lt;[[TCDeals] - [TC Property Current Stage (Seq: 1)] - [Buildings (Seq: 26)] Constr 8609 Credit - Both]&gt;</t>
        </r>
      </text>
    </comment>
    <comment ref="P1207" authorId="0" shapeId="0" xr:uid="{EFC68C4F-CB8D-4564-A216-B1ACCC0C886F}">
      <text>
        <r>
          <rPr>
            <b/>
            <sz val="9"/>
            <color indexed="81"/>
            <rFont val="Tahoma"/>
            <family val="2"/>
          </rPr>
          <t>&lt;[[TCDeals] - [TC Property Current Stage (Seq: 1)] - [Buildings (Seq: 26)] Acq PIS Date - Both]&gt;</t>
        </r>
      </text>
    </comment>
    <comment ref="Q1207" authorId="0" shapeId="0" xr:uid="{87B0FBF9-8E7C-4563-B05A-3A2E76331769}">
      <text>
        <r>
          <rPr>
            <b/>
            <sz val="9"/>
            <color indexed="81"/>
            <rFont val="Tahoma"/>
            <family val="2"/>
          </rPr>
          <t>&lt;[[TCDeals] - [TC Property Current Stage (Seq: 1)] - [Buildings (Seq: 26)] Acq Applicable Percentage - Both]&gt;</t>
        </r>
      </text>
    </comment>
    <comment ref="R1207" authorId="0" shapeId="0" xr:uid="{BE74A3A7-7963-48DF-937F-4D07857522EE}">
      <text>
        <r>
          <rPr>
            <b/>
            <sz val="9"/>
            <color indexed="81"/>
            <rFont val="Tahoma"/>
            <family val="2"/>
          </rPr>
          <t>&lt;[[TCDeals] - [TC Property Current Stage (Seq: 1)] - [Buildings (Seq: 26)] Acq Est Qual Basis - Both]&gt;</t>
        </r>
      </text>
    </comment>
    <comment ref="S1207" authorId="0" shapeId="0" xr:uid="{575D33EE-6ADF-413A-BDE7-12B0BE431EE4}">
      <text>
        <r>
          <rPr>
            <b/>
            <sz val="9"/>
            <color indexed="81"/>
            <rFont val="Tahoma"/>
            <family val="2"/>
          </rPr>
          <t>&lt;[[TCDeals] - [TC Property Current Stage (Seq: 1)] - [Buildings (Seq: 26)] Acq 8609 Basis - Both]&gt;</t>
        </r>
      </text>
    </comment>
    <comment ref="T1207" authorId="0" shapeId="0" xr:uid="{467EE3D0-1C21-4E83-994B-F309520651A1}">
      <text>
        <r>
          <rPr>
            <b/>
            <sz val="9"/>
            <color indexed="81"/>
            <rFont val="Tahoma"/>
            <family val="2"/>
          </rPr>
          <t>&lt;[[TCDeals] - [TC Property Current Stage (Seq: 1)] - [Buildings (Seq: 26)] Acq 8609 Credit - Both]&gt;</t>
        </r>
      </text>
    </comment>
    <comment ref="C1208" authorId="0" shapeId="0" xr:uid="{29255615-B667-429D-82F0-9335F40EEAC9}">
      <text>
        <r>
          <rPr>
            <b/>
            <sz val="9"/>
            <color indexed="81"/>
            <rFont val="Tahoma"/>
            <family val="2"/>
          </rPr>
          <t>&lt;[[TCDeals] - [TC Property Current Stage (Seq: 1)] - [Buildings (Seq: 27)] BIN - Both]&gt;</t>
        </r>
      </text>
    </comment>
    <comment ref="D1208" authorId="0" shapeId="0" xr:uid="{247AD15F-A780-40E3-81BB-06CBCAAB8474}">
      <text>
        <r>
          <rPr>
            <b/>
            <sz val="9"/>
            <color indexed="81"/>
            <rFont val="Tahoma"/>
            <family val="2"/>
          </rPr>
          <t>&lt;[[TCDeals] - [TC Property Current Stage (Seq: 1)] - [Buildings (Seq: 27)] Address 1 - Both]&gt;</t>
        </r>
      </text>
    </comment>
    <comment ref="E1208" authorId="0" shapeId="0" xr:uid="{6985F05E-8A9E-4B26-8C93-35B6FBE34404}">
      <text>
        <r>
          <rPr>
            <b/>
            <sz val="9"/>
            <color indexed="81"/>
            <rFont val="Tahoma"/>
            <family val="2"/>
          </rPr>
          <t>&lt;[[TCDeals] - [TC Property Current Stage (Seq: 1)] - [Buildings (Seq: 27)] Num TC Units - Both]&gt;</t>
        </r>
      </text>
    </comment>
    <comment ref="F1208" authorId="0" shapeId="0" xr:uid="{135BE223-9BE6-4888-AFA3-89009CCC5FA8}">
      <text>
        <r>
          <rPr>
            <b/>
            <sz val="9"/>
            <color indexed="81"/>
            <rFont val="Tahoma"/>
            <family val="2"/>
          </rPr>
          <t>&lt;[[TCDeals] - [TC Property Current Stage (Seq: 1)] - [Buildings (Seq: 27)] PVC PIS Date - Both]&gt;</t>
        </r>
      </text>
    </comment>
    <comment ref="G1208" authorId="0" shapeId="0" xr:uid="{B7C53DD3-478E-404D-87DC-0ABE1482C1D4}">
      <text>
        <r>
          <rPr>
            <b/>
            <sz val="9"/>
            <color indexed="81"/>
            <rFont val="Tahoma"/>
            <family val="2"/>
          </rPr>
          <t>&lt;[[TCDeals] - [TC Property Current Stage (Seq: 1)] - [Buildings (Seq: 27)] PVC Applicable Percentage - Both]&gt;</t>
        </r>
      </text>
    </comment>
    <comment ref="H1208" authorId="0" shapeId="0" xr:uid="{A5B14CE0-85C0-49D4-8B04-A8E986921541}">
      <text>
        <r>
          <rPr>
            <b/>
            <sz val="9"/>
            <color indexed="81"/>
            <rFont val="Tahoma"/>
            <family val="2"/>
          </rPr>
          <t>&lt;[[TCDeals] - [TC Property Current Stage (Seq: 1)] - [Buildings (Seq: 27)] PVC Est Qual Basis - Both]&gt;</t>
        </r>
      </text>
    </comment>
    <comment ref="I1208" authorId="0" shapeId="0" xr:uid="{5F38E653-ADBF-4079-94CF-155744095E9A}">
      <text>
        <r>
          <rPr>
            <b/>
            <sz val="9"/>
            <color indexed="81"/>
            <rFont val="Tahoma"/>
            <family val="2"/>
          </rPr>
          <t>&lt;[[TCDeals] - [TC Property Current Stage (Seq: 1)] - [Buildings (Seq: 27)] PVC8609 Basis - Both]&gt;</t>
        </r>
      </text>
    </comment>
    <comment ref="J1208" authorId="0" shapeId="0" xr:uid="{C55CB4BB-2393-45C6-A534-34CA8D76E23B}">
      <text>
        <r>
          <rPr>
            <b/>
            <sz val="9"/>
            <color indexed="81"/>
            <rFont val="Tahoma"/>
            <family val="2"/>
          </rPr>
          <t>&lt;[[TCDeals] - [TC Property Current Stage (Seq: 1)] - [Buildings (Seq: 27)] PVC8609 Credit - Both]&gt;</t>
        </r>
      </text>
    </comment>
    <comment ref="K1208" authorId="0" shapeId="0" xr:uid="{A128D726-FF50-43AD-933D-987E73D0A0B2}">
      <text>
        <r>
          <rPr>
            <b/>
            <sz val="9"/>
            <color indexed="81"/>
            <rFont val="Tahoma"/>
            <family val="2"/>
          </rPr>
          <t>&lt;[[TCDeals] - [TC Property Current Stage (Seq: 1)] - [Buildings (Seq: 27)] Constr PIS Date - Both]&gt;</t>
        </r>
      </text>
    </comment>
    <comment ref="L1208" authorId="0" shapeId="0" xr:uid="{59756330-3C56-423A-A37C-6F2A07F571AF}">
      <text>
        <r>
          <rPr>
            <b/>
            <sz val="9"/>
            <color indexed="81"/>
            <rFont val="Tahoma"/>
            <family val="2"/>
          </rPr>
          <t>&lt;[[TCDeals] - [TC Property Current Stage (Seq: 1)] - [Buildings (Seq: 27)] Constr Applicable Percentage - Both]&gt;</t>
        </r>
      </text>
    </comment>
    <comment ref="M1208" authorId="0" shapeId="0" xr:uid="{D2C85172-4C9A-4879-AE12-4E0F8C81B54D}">
      <text>
        <r>
          <rPr>
            <b/>
            <sz val="9"/>
            <color indexed="81"/>
            <rFont val="Tahoma"/>
            <family val="2"/>
          </rPr>
          <t>&lt;[[TCDeals] - [TC Property Current Stage (Seq: 1)] - [Buildings (Seq: 27)] Constr Est Qual Basis - Both]&gt;</t>
        </r>
      </text>
    </comment>
    <comment ref="N1208" authorId="0" shapeId="0" xr:uid="{73ACA50B-96CA-49DB-8871-74FB25A73D7D}">
      <text>
        <r>
          <rPr>
            <b/>
            <sz val="9"/>
            <color indexed="81"/>
            <rFont val="Tahoma"/>
            <family val="2"/>
          </rPr>
          <t>&lt;[[TCDeals] - [TC Property Current Stage (Seq: 1)] - [Buildings (Seq: 27)] Constr 8609 Basis - Both]&gt;</t>
        </r>
      </text>
    </comment>
    <comment ref="O1208" authorId="0" shapeId="0" xr:uid="{226B5870-AC7C-4769-9853-CE9AA3C955E3}">
      <text>
        <r>
          <rPr>
            <b/>
            <sz val="9"/>
            <color indexed="81"/>
            <rFont val="Tahoma"/>
            <family val="2"/>
          </rPr>
          <t>&lt;[[TCDeals] - [TC Property Current Stage (Seq: 1)] - [Buildings (Seq: 27)] Constr 8609 Credit - Both]&gt;</t>
        </r>
      </text>
    </comment>
    <comment ref="P1208" authorId="0" shapeId="0" xr:uid="{98EB77D5-9668-4464-B940-299FF38B8E35}">
      <text>
        <r>
          <rPr>
            <b/>
            <sz val="9"/>
            <color indexed="81"/>
            <rFont val="Tahoma"/>
            <family val="2"/>
          </rPr>
          <t>&lt;[[TCDeals] - [TC Property Current Stage (Seq: 1)] - [Buildings (Seq: 27)] Acq PIS Date - Both]&gt;</t>
        </r>
      </text>
    </comment>
    <comment ref="Q1208" authorId="0" shapeId="0" xr:uid="{60A1A671-FF4A-4585-A1DE-89A80E4992AF}">
      <text>
        <r>
          <rPr>
            <b/>
            <sz val="9"/>
            <color indexed="81"/>
            <rFont val="Tahoma"/>
            <family val="2"/>
          </rPr>
          <t>&lt;[[TCDeals] - [TC Property Current Stage (Seq: 1)] - [Buildings (Seq: 27)] Acq Applicable Percentage - Both]&gt;</t>
        </r>
      </text>
    </comment>
    <comment ref="R1208" authorId="0" shapeId="0" xr:uid="{132132B6-E0A5-4461-A496-A23A0BC0B84D}">
      <text>
        <r>
          <rPr>
            <b/>
            <sz val="9"/>
            <color indexed="81"/>
            <rFont val="Tahoma"/>
            <family val="2"/>
          </rPr>
          <t>&lt;[[TCDeals] - [TC Property Current Stage (Seq: 1)] - [Buildings (Seq: 27)] Acq Est Qual Basis - Both]&gt;</t>
        </r>
      </text>
    </comment>
    <comment ref="S1208" authorId="0" shapeId="0" xr:uid="{97AA4ABF-D8D6-4999-B041-D1D85FB676B4}">
      <text>
        <r>
          <rPr>
            <b/>
            <sz val="9"/>
            <color indexed="81"/>
            <rFont val="Tahoma"/>
            <family val="2"/>
          </rPr>
          <t>&lt;[[TCDeals] - [TC Property Current Stage (Seq: 1)] - [Buildings (Seq: 27)] Acq 8609 Basis - Both]&gt;</t>
        </r>
      </text>
    </comment>
    <comment ref="T1208" authorId="0" shapeId="0" xr:uid="{627C6802-7E42-48EF-9F45-4AA3F304A716}">
      <text>
        <r>
          <rPr>
            <b/>
            <sz val="9"/>
            <color indexed="81"/>
            <rFont val="Tahoma"/>
            <family val="2"/>
          </rPr>
          <t>&lt;[[TCDeals] - [TC Property Current Stage (Seq: 1)] - [Buildings (Seq: 27)] Acq 8609 Credit - Both]&gt;</t>
        </r>
      </text>
    </comment>
    <comment ref="C1209" authorId="0" shapeId="0" xr:uid="{7BA438EB-F116-4301-B2E9-DA8668821A25}">
      <text>
        <r>
          <rPr>
            <b/>
            <sz val="9"/>
            <color indexed="81"/>
            <rFont val="Tahoma"/>
            <family val="2"/>
          </rPr>
          <t>&lt;[[TCDeals] - [TC Property Current Stage (Seq: 1)] - [Buildings (Seq: 28)] BIN - Both]&gt;</t>
        </r>
      </text>
    </comment>
    <comment ref="D1209" authorId="0" shapeId="0" xr:uid="{ADC99CC4-BC2E-466F-B10E-BB1DEE2092D0}">
      <text>
        <r>
          <rPr>
            <b/>
            <sz val="9"/>
            <color indexed="81"/>
            <rFont val="Tahoma"/>
            <family val="2"/>
          </rPr>
          <t>&lt;[[TCDeals] - [TC Property Current Stage (Seq: 1)] - [Buildings (Seq: 28)] Address 1 - Both]&gt;</t>
        </r>
      </text>
    </comment>
    <comment ref="E1209" authorId="0" shapeId="0" xr:uid="{4561B1A7-109A-4830-884B-6F2BC294F665}">
      <text>
        <r>
          <rPr>
            <b/>
            <sz val="9"/>
            <color indexed="81"/>
            <rFont val="Tahoma"/>
            <family val="2"/>
          </rPr>
          <t>&lt;[[TCDeals] - [TC Property Current Stage (Seq: 1)] - [Buildings (Seq: 28)] Num TC Units - Both]&gt;</t>
        </r>
      </text>
    </comment>
    <comment ref="F1209" authorId="0" shapeId="0" xr:uid="{88E7D7EF-7BB4-48DB-85EA-78AF394D017C}">
      <text>
        <r>
          <rPr>
            <b/>
            <sz val="9"/>
            <color indexed="81"/>
            <rFont val="Tahoma"/>
            <family val="2"/>
          </rPr>
          <t>&lt;[[TCDeals] - [TC Property Current Stage (Seq: 1)] - [Buildings (Seq: 28)] PVC PIS Date - Both]&gt;</t>
        </r>
      </text>
    </comment>
    <comment ref="G1209" authorId="0" shapeId="0" xr:uid="{325C4E3F-2D7A-4C28-9A51-E4B18D02D0FF}">
      <text>
        <r>
          <rPr>
            <b/>
            <sz val="9"/>
            <color indexed="81"/>
            <rFont val="Tahoma"/>
            <family val="2"/>
          </rPr>
          <t>&lt;[[TCDeals] - [TC Property Current Stage (Seq: 1)] - [Buildings (Seq: 28)] PVC Applicable Percentage - Both]&gt;</t>
        </r>
      </text>
    </comment>
    <comment ref="H1209" authorId="0" shapeId="0" xr:uid="{B2DC1718-0804-4167-821E-2BCB9D1D5633}">
      <text>
        <r>
          <rPr>
            <b/>
            <sz val="9"/>
            <color indexed="81"/>
            <rFont val="Tahoma"/>
            <family val="2"/>
          </rPr>
          <t>&lt;[[TCDeals] - [TC Property Current Stage (Seq: 1)] - [Buildings (Seq: 28)] PVC Est Qual Basis - Both]&gt;</t>
        </r>
      </text>
    </comment>
    <comment ref="I1209" authorId="0" shapeId="0" xr:uid="{D52614B6-6166-429D-BC2D-C2E7532E068A}">
      <text>
        <r>
          <rPr>
            <b/>
            <sz val="9"/>
            <color indexed="81"/>
            <rFont val="Tahoma"/>
            <family val="2"/>
          </rPr>
          <t>&lt;[[TCDeals] - [TC Property Current Stage (Seq: 1)] - [Buildings (Seq: 28)] PVC8609 Basis - Both]&gt;</t>
        </r>
      </text>
    </comment>
    <comment ref="J1209" authorId="0" shapeId="0" xr:uid="{E2E32AC2-0EC1-4C7A-B0F0-22AF8B991CF1}">
      <text>
        <r>
          <rPr>
            <b/>
            <sz val="9"/>
            <color indexed="81"/>
            <rFont val="Tahoma"/>
            <family val="2"/>
          </rPr>
          <t>&lt;[[TCDeals] - [TC Property Current Stage (Seq: 1)] - [Buildings (Seq: 28)] PVC8609 Credit - Both]&gt;</t>
        </r>
      </text>
    </comment>
    <comment ref="K1209" authorId="0" shapeId="0" xr:uid="{E18BBB59-51E8-43DC-B751-E4C1694E1DF7}">
      <text>
        <r>
          <rPr>
            <b/>
            <sz val="9"/>
            <color indexed="81"/>
            <rFont val="Tahoma"/>
            <family val="2"/>
          </rPr>
          <t>&lt;[[TCDeals] - [TC Property Current Stage (Seq: 1)] - [Buildings (Seq: 28)] Constr PIS Date - Both]&gt;</t>
        </r>
      </text>
    </comment>
    <comment ref="L1209" authorId="0" shapeId="0" xr:uid="{6E7FA7E9-1A81-46A3-9546-1EA456E2067F}">
      <text>
        <r>
          <rPr>
            <b/>
            <sz val="9"/>
            <color indexed="81"/>
            <rFont val="Tahoma"/>
            <family val="2"/>
          </rPr>
          <t>&lt;[[TCDeals] - [TC Property Current Stage (Seq: 1)] - [Buildings (Seq: 28)] Constr Applicable Percentage - Both]&gt;</t>
        </r>
      </text>
    </comment>
    <comment ref="M1209" authorId="0" shapeId="0" xr:uid="{B866250C-EBC3-48AD-83B8-19182CA2CF7C}">
      <text>
        <r>
          <rPr>
            <b/>
            <sz val="9"/>
            <color indexed="81"/>
            <rFont val="Tahoma"/>
            <family val="2"/>
          </rPr>
          <t>&lt;[[TCDeals] - [TC Property Current Stage (Seq: 1)] - [Buildings (Seq: 28)] Constr Est Qual Basis - Both]&gt;</t>
        </r>
      </text>
    </comment>
    <comment ref="N1209" authorId="0" shapeId="0" xr:uid="{A98E4702-E678-40A5-976F-234B57692FFF}">
      <text>
        <r>
          <rPr>
            <b/>
            <sz val="9"/>
            <color indexed="81"/>
            <rFont val="Tahoma"/>
            <family val="2"/>
          </rPr>
          <t>&lt;[[TCDeals] - [TC Property Current Stage (Seq: 1)] - [Buildings (Seq: 28)] Constr 8609 Basis - Both]&gt;</t>
        </r>
      </text>
    </comment>
    <comment ref="O1209" authorId="0" shapeId="0" xr:uid="{6D1A18DE-8182-487C-982A-B1F4DDED7418}">
      <text>
        <r>
          <rPr>
            <b/>
            <sz val="9"/>
            <color indexed="81"/>
            <rFont val="Tahoma"/>
            <family val="2"/>
          </rPr>
          <t>&lt;[[TCDeals] - [TC Property Current Stage (Seq: 1)] - [Buildings (Seq: 28)] Constr 8609 Credit - Both]&gt;</t>
        </r>
      </text>
    </comment>
    <comment ref="P1209" authorId="0" shapeId="0" xr:uid="{59A99392-3199-4482-88D8-06B4519C59F3}">
      <text>
        <r>
          <rPr>
            <b/>
            <sz val="9"/>
            <color indexed="81"/>
            <rFont val="Tahoma"/>
            <family val="2"/>
          </rPr>
          <t>&lt;[[TCDeals] - [TC Property Current Stage (Seq: 1)] - [Buildings (Seq: 28)] Acq PIS Date - Both]&gt;</t>
        </r>
      </text>
    </comment>
    <comment ref="Q1209" authorId="0" shapeId="0" xr:uid="{4009AD85-D6E1-4566-B072-4CC133AF8ABF}">
      <text>
        <r>
          <rPr>
            <b/>
            <sz val="9"/>
            <color indexed="81"/>
            <rFont val="Tahoma"/>
            <family val="2"/>
          </rPr>
          <t>&lt;[[TCDeals] - [TC Property Current Stage (Seq: 1)] - [Buildings (Seq: 28)] Acq Applicable Percentage - Both]&gt;</t>
        </r>
      </text>
    </comment>
    <comment ref="R1209" authorId="0" shapeId="0" xr:uid="{4D1F7A89-5665-41EB-B268-14BC3C7C0859}">
      <text>
        <r>
          <rPr>
            <b/>
            <sz val="9"/>
            <color indexed="81"/>
            <rFont val="Tahoma"/>
            <family val="2"/>
          </rPr>
          <t>&lt;[[TCDeals] - [TC Property Current Stage (Seq: 1)] - [Buildings (Seq: 28)] Acq Est Qual Basis - Both]&gt;</t>
        </r>
      </text>
    </comment>
    <comment ref="S1209" authorId="0" shapeId="0" xr:uid="{094311A1-6572-4EE3-A882-0349C4F65971}">
      <text>
        <r>
          <rPr>
            <b/>
            <sz val="9"/>
            <color indexed="81"/>
            <rFont val="Tahoma"/>
            <family val="2"/>
          </rPr>
          <t>&lt;[[TCDeals] - [TC Property Current Stage (Seq: 1)] - [Buildings (Seq: 28)] Acq 8609 Basis - Both]&gt;</t>
        </r>
      </text>
    </comment>
    <comment ref="T1209" authorId="0" shapeId="0" xr:uid="{772BE060-6F1C-44E8-B0C4-043065116DC3}">
      <text>
        <r>
          <rPr>
            <b/>
            <sz val="9"/>
            <color indexed="81"/>
            <rFont val="Tahoma"/>
            <family val="2"/>
          </rPr>
          <t>&lt;[[TCDeals] - [TC Property Current Stage (Seq: 1)] - [Buildings (Seq: 28)] Acq 8609 Credit - Both]&gt;</t>
        </r>
      </text>
    </comment>
    <comment ref="C1210" authorId="0" shapeId="0" xr:uid="{60CE24B4-7E74-4C0E-BBB8-FD89D73584C7}">
      <text>
        <r>
          <rPr>
            <b/>
            <sz val="9"/>
            <color indexed="81"/>
            <rFont val="Tahoma"/>
            <family val="2"/>
          </rPr>
          <t>&lt;[[TCDeals] - [TC Property Current Stage (Seq: 1)] - [Buildings (Seq: 29)] BIN - Both]&gt;</t>
        </r>
      </text>
    </comment>
    <comment ref="D1210" authorId="0" shapeId="0" xr:uid="{AEA20E5B-4707-43DB-8707-8A7A75569921}">
      <text>
        <r>
          <rPr>
            <b/>
            <sz val="9"/>
            <color indexed="81"/>
            <rFont val="Tahoma"/>
            <family val="2"/>
          </rPr>
          <t>&lt;[[TCDeals] - [TC Property Current Stage (Seq: 1)] - [Buildings (Seq: 29)] Address 1 - Both]&gt;</t>
        </r>
      </text>
    </comment>
    <comment ref="E1210" authorId="0" shapeId="0" xr:uid="{3926CBFA-CB04-406D-8C22-4FCE746A5B0E}">
      <text>
        <r>
          <rPr>
            <b/>
            <sz val="9"/>
            <color indexed="81"/>
            <rFont val="Tahoma"/>
            <family val="2"/>
          </rPr>
          <t>&lt;[[TCDeals] - [TC Property Current Stage (Seq: 1)] - [Buildings (Seq: 29)] Num TC Units - Both]&gt;</t>
        </r>
      </text>
    </comment>
    <comment ref="F1210" authorId="0" shapeId="0" xr:uid="{388429ED-3330-4A36-AABE-6E0EC6865473}">
      <text>
        <r>
          <rPr>
            <b/>
            <sz val="9"/>
            <color indexed="81"/>
            <rFont val="Tahoma"/>
            <family val="2"/>
          </rPr>
          <t>&lt;[[TCDeals] - [TC Property Current Stage (Seq: 1)] - [Buildings (Seq: 29)] PVC PIS Date - Both]&gt;</t>
        </r>
      </text>
    </comment>
    <comment ref="G1210" authorId="0" shapeId="0" xr:uid="{B2EF6D77-EA66-4D91-8FE1-FD32493D83C9}">
      <text>
        <r>
          <rPr>
            <b/>
            <sz val="9"/>
            <color indexed="81"/>
            <rFont val="Tahoma"/>
            <family val="2"/>
          </rPr>
          <t>&lt;[[TCDeals] - [TC Property Current Stage (Seq: 1)] - [Buildings (Seq: 29)] PVC Applicable Percentage - Both]&gt;</t>
        </r>
      </text>
    </comment>
    <comment ref="H1210" authorId="0" shapeId="0" xr:uid="{0EFBBDC4-3C2D-4EA3-808F-002CD15AB658}">
      <text>
        <r>
          <rPr>
            <b/>
            <sz val="9"/>
            <color indexed="81"/>
            <rFont val="Tahoma"/>
            <family val="2"/>
          </rPr>
          <t>&lt;[[TCDeals] - [TC Property Current Stage (Seq: 1)] - [Buildings (Seq: 29)] PVC Est Qual Basis - Both]&gt;</t>
        </r>
      </text>
    </comment>
    <comment ref="I1210" authorId="0" shapeId="0" xr:uid="{E487366A-BE2E-4D92-8282-97713D726DDD}">
      <text>
        <r>
          <rPr>
            <b/>
            <sz val="9"/>
            <color indexed="81"/>
            <rFont val="Tahoma"/>
            <family val="2"/>
          </rPr>
          <t>&lt;[[TCDeals] - [TC Property Current Stage (Seq: 1)] - [Buildings (Seq: 29)] PVC8609 Basis - Both]&gt;</t>
        </r>
      </text>
    </comment>
    <comment ref="J1210" authorId="0" shapeId="0" xr:uid="{1532D8B9-0645-4B86-9517-4FA5F82D83A3}">
      <text>
        <r>
          <rPr>
            <b/>
            <sz val="9"/>
            <color indexed="81"/>
            <rFont val="Tahoma"/>
            <family val="2"/>
          </rPr>
          <t>&lt;[[TCDeals] - [TC Property Current Stage (Seq: 1)] - [Buildings (Seq: 29)] PVC8609 Credit - Both]&gt;</t>
        </r>
      </text>
    </comment>
    <comment ref="K1210" authorId="0" shapeId="0" xr:uid="{F6D684D0-A1CB-476B-8CC7-FA3C0CF75089}">
      <text>
        <r>
          <rPr>
            <b/>
            <sz val="9"/>
            <color indexed="81"/>
            <rFont val="Tahoma"/>
            <family val="2"/>
          </rPr>
          <t>&lt;[[TCDeals] - [TC Property Current Stage (Seq: 1)] - [Buildings (Seq: 29)] Constr PIS Date - Both]&gt;</t>
        </r>
      </text>
    </comment>
    <comment ref="L1210" authorId="0" shapeId="0" xr:uid="{9FE08E83-22DC-4643-A7C0-13E6ADA5FBE0}">
      <text>
        <r>
          <rPr>
            <b/>
            <sz val="9"/>
            <color indexed="81"/>
            <rFont val="Tahoma"/>
            <family val="2"/>
          </rPr>
          <t>&lt;[[TCDeals] - [TC Property Current Stage (Seq: 1)] - [Buildings (Seq: 29)] Constr Applicable Percentage - Both]&gt;</t>
        </r>
      </text>
    </comment>
    <comment ref="M1210" authorId="0" shapeId="0" xr:uid="{65F8D862-7AB6-4301-9DAA-779D792A584E}">
      <text>
        <r>
          <rPr>
            <b/>
            <sz val="9"/>
            <color indexed="81"/>
            <rFont val="Tahoma"/>
            <family val="2"/>
          </rPr>
          <t>&lt;[[TCDeals] - [TC Property Current Stage (Seq: 1)] - [Buildings (Seq: 29)] Constr Est Qual Basis - Both]&gt;</t>
        </r>
      </text>
    </comment>
    <comment ref="N1210" authorId="0" shapeId="0" xr:uid="{B0885CC0-EB3B-4491-B8E9-D3D82F6F7502}">
      <text>
        <r>
          <rPr>
            <b/>
            <sz val="9"/>
            <color indexed="81"/>
            <rFont val="Tahoma"/>
            <family val="2"/>
          </rPr>
          <t>&lt;[[TCDeals] - [TC Property Current Stage (Seq: 1)] - [Buildings (Seq: 29)] Constr 8609 Basis - Both]&gt;</t>
        </r>
      </text>
    </comment>
    <comment ref="O1210" authorId="0" shapeId="0" xr:uid="{AA41F164-AF39-422B-AB7F-BAC0C5F2F577}">
      <text>
        <r>
          <rPr>
            <b/>
            <sz val="9"/>
            <color indexed="81"/>
            <rFont val="Tahoma"/>
            <family val="2"/>
          </rPr>
          <t>&lt;[[TCDeals] - [TC Property Current Stage (Seq: 1)] - [Buildings (Seq: 29)] Constr 8609 Credit - Both]&gt;</t>
        </r>
      </text>
    </comment>
    <comment ref="P1210" authorId="0" shapeId="0" xr:uid="{91AADF38-1557-44A8-8354-EE3F85452BDC}">
      <text>
        <r>
          <rPr>
            <b/>
            <sz val="9"/>
            <color indexed="81"/>
            <rFont val="Tahoma"/>
            <family val="2"/>
          </rPr>
          <t>&lt;[[TCDeals] - [TC Property Current Stage (Seq: 1)] - [Buildings (Seq: 29)] Acq PIS Date - Both]&gt;</t>
        </r>
      </text>
    </comment>
    <comment ref="Q1210" authorId="0" shapeId="0" xr:uid="{83E16E97-36FF-4C4F-97A3-638CEA92689E}">
      <text>
        <r>
          <rPr>
            <b/>
            <sz val="9"/>
            <color indexed="81"/>
            <rFont val="Tahoma"/>
            <family val="2"/>
          </rPr>
          <t>&lt;[[TCDeals] - [TC Property Current Stage (Seq: 1)] - [Buildings (Seq: 29)] Acq Applicable Percentage - Both]&gt;</t>
        </r>
      </text>
    </comment>
    <comment ref="R1210" authorId="0" shapeId="0" xr:uid="{A4CEDCA5-76E9-47AA-9DE7-979D67937196}">
      <text>
        <r>
          <rPr>
            <b/>
            <sz val="9"/>
            <color indexed="81"/>
            <rFont val="Tahoma"/>
            <family val="2"/>
          </rPr>
          <t>&lt;[[TCDeals] - [TC Property Current Stage (Seq: 1)] - [Buildings (Seq: 29)] Acq Est Qual Basis - Both]&gt;</t>
        </r>
      </text>
    </comment>
    <comment ref="S1210" authorId="0" shapeId="0" xr:uid="{9672521E-B8AF-4AA4-B6DF-75BB08218E98}">
      <text>
        <r>
          <rPr>
            <b/>
            <sz val="9"/>
            <color indexed="81"/>
            <rFont val="Tahoma"/>
            <family val="2"/>
          </rPr>
          <t>&lt;[[TCDeals] - [TC Property Current Stage (Seq: 1)] - [Buildings (Seq: 29)] Acq 8609 Basis - Both]&gt;</t>
        </r>
      </text>
    </comment>
    <comment ref="T1210" authorId="0" shapeId="0" xr:uid="{2B8A30D3-77A7-475B-B0E2-6151AC7042DE}">
      <text>
        <r>
          <rPr>
            <b/>
            <sz val="9"/>
            <color indexed="81"/>
            <rFont val="Tahoma"/>
            <family val="2"/>
          </rPr>
          <t>&lt;[[TCDeals] - [TC Property Current Stage (Seq: 1)] - [Buildings (Seq: 29)] Acq 8609 Credit - Both]&gt;</t>
        </r>
      </text>
    </comment>
    <comment ref="C1211" authorId="0" shapeId="0" xr:uid="{A1C6B99B-D85A-4B32-B706-AA4764BE2B4A}">
      <text>
        <r>
          <rPr>
            <b/>
            <sz val="9"/>
            <color indexed="81"/>
            <rFont val="Tahoma"/>
            <family val="2"/>
          </rPr>
          <t>&lt;[[TCDeals] - [TC Property Current Stage (Seq: 1)] - [Buildings (Seq: 30)] BIN - Both]&gt;</t>
        </r>
      </text>
    </comment>
    <comment ref="D1211" authorId="0" shapeId="0" xr:uid="{1C69719E-A773-4D2E-8CA6-EAAFE6E7B4A2}">
      <text>
        <r>
          <rPr>
            <b/>
            <sz val="9"/>
            <color indexed="81"/>
            <rFont val="Tahoma"/>
            <family val="2"/>
          </rPr>
          <t>&lt;[[TCDeals] - [TC Property Current Stage (Seq: 1)] - [Buildings (Seq: 30)] Address 1 - Both]&gt;</t>
        </r>
      </text>
    </comment>
    <comment ref="E1211" authorId="0" shapeId="0" xr:uid="{7E6C6392-9363-4932-9DAC-28058487A113}">
      <text>
        <r>
          <rPr>
            <b/>
            <sz val="9"/>
            <color indexed="81"/>
            <rFont val="Tahoma"/>
            <family val="2"/>
          </rPr>
          <t>&lt;[[TCDeals] - [TC Property Current Stage (Seq: 1)] - [Buildings (Seq: 30)] Num TC Units - Both]&gt;</t>
        </r>
      </text>
    </comment>
    <comment ref="F1211" authorId="0" shapeId="0" xr:uid="{A80C6D7D-A92F-4DAC-BBF6-5464F2EE9FF2}">
      <text>
        <r>
          <rPr>
            <b/>
            <sz val="9"/>
            <color indexed="81"/>
            <rFont val="Tahoma"/>
            <family val="2"/>
          </rPr>
          <t>&lt;[[TCDeals] - [TC Property Current Stage (Seq: 1)] - [Buildings (Seq: 30)] PVC PIS Date - Both]&gt;</t>
        </r>
      </text>
    </comment>
    <comment ref="G1211" authorId="0" shapeId="0" xr:uid="{D9BE5E9A-F431-4DA5-B993-D18050517E5A}">
      <text>
        <r>
          <rPr>
            <b/>
            <sz val="9"/>
            <color indexed="81"/>
            <rFont val="Tahoma"/>
            <family val="2"/>
          </rPr>
          <t>&lt;[[TCDeals] - [TC Property Current Stage (Seq: 1)] - [Buildings (Seq: 30)] PVC Applicable Percentage - Both]&gt;</t>
        </r>
      </text>
    </comment>
    <comment ref="H1211" authorId="0" shapeId="0" xr:uid="{8C88693B-1FF0-4047-BD75-60513344C586}">
      <text>
        <r>
          <rPr>
            <b/>
            <sz val="9"/>
            <color indexed="81"/>
            <rFont val="Tahoma"/>
            <family val="2"/>
          </rPr>
          <t>&lt;[[TCDeals] - [TC Property Current Stage (Seq: 1)] - [Buildings (Seq: 30)] PVC Est Qual Basis - Both]&gt;</t>
        </r>
      </text>
    </comment>
    <comment ref="I1211" authorId="0" shapeId="0" xr:uid="{8A7C64CB-DB40-4645-960E-A9B02E0BFEEA}">
      <text>
        <r>
          <rPr>
            <b/>
            <sz val="9"/>
            <color indexed="81"/>
            <rFont val="Tahoma"/>
            <family val="2"/>
          </rPr>
          <t>&lt;[[TCDeals] - [TC Property Current Stage (Seq: 1)] - [Buildings (Seq: 30)] PVC8609 Basis - Both]&gt;</t>
        </r>
      </text>
    </comment>
    <comment ref="J1211" authorId="0" shapeId="0" xr:uid="{D578DC43-E0CF-4443-B665-45FB24035A64}">
      <text>
        <r>
          <rPr>
            <b/>
            <sz val="9"/>
            <color indexed="81"/>
            <rFont val="Tahoma"/>
            <family val="2"/>
          </rPr>
          <t>&lt;[[TCDeals] - [TC Property Current Stage (Seq: 1)] - [Buildings (Seq: 30)] PVC8609 Credit - Both]&gt;</t>
        </r>
      </text>
    </comment>
    <comment ref="K1211" authorId="0" shapeId="0" xr:uid="{DF9E9AAB-7D4E-4F24-ADEA-C25E49957490}">
      <text>
        <r>
          <rPr>
            <b/>
            <sz val="9"/>
            <color indexed="81"/>
            <rFont val="Tahoma"/>
            <family val="2"/>
          </rPr>
          <t>&lt;[[TCDeals] - [TC Property Current Stage (Seq: 1)] - [Buildings (Seq: 30)] Constr PIS Date - Both]&gt;</t>
        </r>
      </text>
    </comment>
    <comment ref="L1211" authorId="0" shapeId="0" xr:uid="{AC3C1B69-E2D6-498B-A216-AE9281EAB751}">
      <text>
        <r>
          <rPr>
            <b/>
            <sz val="9"/>
            <color indexed="81"/>
            <rFont val="Tahoma"/>
            <family val="2"/>
          </rPr>
          <t>&lt;[[TCDeals] - [TC Property Current Stage (Seq: 1)] - [Buildings (Seq: 30)] Constr Applicable Percentage - Both]&gt;</t>
        </r>
      </text>
    </comment>
    <comment ref="M1211" authorId="0" shapeId="0" xr:uid="{19BF94BE-586D-48EC-A1AB-853AB45B349B}">
      <text>
        <r>
          <rPr>
            <b/>
            <sz val="9"/>
            <color indexed="81"/>
            <rFont val="Tahoma"/>
            <family val="2"/>
          </rPr>
          <t>&lt;[[TCDeals] - [TC Property Current Stage (Seq: 1)] - [Buildings (Seq: 30)] Constr Est Qual Basis - Both]&gt;</t>
        </r>
      </text>
    </comment>
    <comment ref="N1211" authorId="0" shapeId="0" xr:uid="{9ABDA242-FA17-4DA2-A78D-E7E1CD680198}">
      <text>
        <r>
          <rPr>
            <b/>
            <sz val="9"/>
            <color indexed="81"/>
            <rFont val="Tahoma"/>
            <family val="2"/>
          </rPr>
          <t>&lt;[[TCDeals] - [TC Property Current Stage (Seq: 1)] - [Buildings (Seq: 30)] Constr 8609 Basis - Both]&gt;</t>
        </r>
      </text>
    </comment>
    <comment ref="O1211" authorId="0" shapeId="0" xr:uid="{AC404FDF-2812-4254-81BC-24E29F6BEA1D}">
      <text>
        <r>
          <rPr>
            <b/>
            <sz val="9"/>
            <color indexed="81"/>
            <rFont val="Tahoma"/>
            <family val="2"/>
          </rPr>
          <t>&lt;[[TCDeals] - [TC Property Current Stage (Seq: 1)] - [Buildings (Seq: 30)] Constr 8609 Credit - Both]&gt;</t>
        </r>
      </text>
    </comment>
    <comment ref="P1211" authorId="0" shapeId="0" xr:uid="{BB91889F-A6E6-40AD-9DBF-155EC8E7A098}">
      <text>
        <r>
          <rPr>
            <b/>
            <sz val="9"/>
            <color indexed="81"/>
            <rFont val="Tahoma"/>
            <family val="2"/>
          </rPr>
          <t>&lt;[[TCDeals] - [TC Property Current Stage (Seq: 1)] - [Buildings (Seq: 30)] Acq PIS Date - Both]&gt;</t>
        </r>
      </text>
    </comment>
    <comment ref="Q1211" authorId="0" shapeId="0" xr:uid="{4885A84A-E7B0-44A3-BB39-8E89055EB440}">
      <text>
        <r>
          <rPr>
            <b/>
            <sz val="9"/>
            <color indexed="81"/>
            <rFont val="Tahoma"/>
            <family val="2"/>
          </rPr>
          <t>&lt;[[TCDeals] - [TC Property Current Stage (Seq: 1)] - [Buildings (Seq: 30)] Acq Applicable Percentage - Both]&gt;</t>
        </r>
      </text>
    </comment>
    <comment ref="R1211" authorId="0" shapeId="0" xr:uid="{9F62BD81-1A4F-4113-B371-AC47CABB3314}">
      <text>
        <r>
          <rPr>
            <b/>
            <sz val="9"/>
            <color indexed="81"/>
            <rFont val="Tahoma"/>
            <family val="2"/>
          </rPr>
          <t>&lt;[[TCDeals] - [TC Property Current Stage (Seq: 1)] - [Buildings (Seq: 30)] Acq Est Qual Basis - Both]&gt;</t>
        </r>
      </text>
    </comment>
    <comment ref="S1211" authorId="0" shapeId="0" xr:uid="{C88E6734-22CD-4CC5-9D2C-643BF72697D1}">
      <text>
        <r>
          <rPr>
            <b/>
            <sz val="9"/>
            <color indexed="81"/>
            <rFont val="Tahoma"/>
            <family val="2"/>
          </rPr>
          <t>&lt;[[TCDeals] - [TC Property Current Stage (Seq: 1)] - [Buildings (Seq: 30)] Acq 8609 Basis - Both]&gt;</t>
        </r>
      </text>
    </comment>
    <comment ref="T1211" authorId="0" shapeId="0" xr:uid="{6E2E66A0-5E3F-411A-917D-D33A082602CB}">
      <text>
        <r>
          <rPr>
            <b/>
            <sz val="9"/>
            <color indexed="81"/>
            <rFont val="Tahoma"/>
            <family val="2"/>
          </rPr>
          <t>&lt;[[TCDeals] - [TC Property Current Stage (Seq: 1)] - [Buildings (Seq: 30)] Acq 8609 Credit - Both]&gt;</t>
        </r>
      </text>
    </comment>
    <comment ref="C1212" authorId="0" shapeId="0" xr:uid="{78E92F97-C580-49E5-9A6B-6281E24D06F0}">
      <text>
        <r>
          <rPr>
            <b/>
            <sz val="9"/>
            <color indexed="81"/>
            <rFont val="Tahoma"/>
            <family val="2"/>
          </rPr>
          <t>&lt;[[TCDeals] - [TC Property Current Stage (Seq: 1)] - [Buildings (Seq: 31)] BIN - Both]&gt;</t>
        </r>
      </text>
    </comment>
    <comment ref="D1212" authorId="0" shapeId="0" xr:uid="{E4DFA642-7D40-41FA-8273-251CCE196AFE}">
      <text>
        <r>
          <rPr>
            <b/>
            <sz val="9"/>
            <color indexed="81"/>
            <rFont val="Tahoma"/>
            <family val="2"/>
          </rPr>
          <t>&lt;[[TCDeals] - [TC Property Current Stage (Seq: 1)] - [Buildings (Seq: 31)] Address 1 - Both]&gt;</t>
        </r>
      </text>
    </comment>
    <comment ref="E1212" authorId="0" shapeId="0" xr:uid="{64554121-0E9E-4589-9389-13F0D70F681E}">
      <text>
        <r>
          <rPr>
            <b/>
            <sz val="9"/>
            <color indexed="81"/>
            <rFont val="Tahoma"/>
            <family val="2"/>
          </rPr>
          <t>&lt;[[TCDeals] - [TC Property Current Stage (Seq: 1)] - [Buildings (Seq: 31)] Num TC Units - Both]&gt;</t>
        </r>
      </text>
    </comment>
    <comment ref="F1212" authorId="0" shapeId="0" xr:uid="{BBEA928A-D9BB-436B-965F-00DEC001A9B1}">
      <text>
        <r>
          <rPr>
            <b/>
            <sz val="9"/>
            <color indexed="81"/>
            <rFont val="Tahoma"/>
            <family val="2"/>
          </rPr>
          <t>&lt;[[TCDeals] - [TC Property Current Stage (Seq: 1)] - [Buildings (Seq: 31)] PVC PIS Date - Both]&gt;</t>
        </r>
      </text>
    </comment>
    <comment ref="G1212" authorId="0" shapeId="0" xr:uid="{971B4B5E-931D-40B4-87AE-27AECD536B9A}">
      <text>
        <r>
          <rPr>
            <b/>
            <sz val="9"/>
            <color indexed="81"/>
            <rFont val="Tahoma"/>
            <family val="2"/>
          </rPr>
          <t>&lt;[[TCDeals] - [TC Property Current Stage (Seq: 1)] - [Buildings (Seq: 31)] PVC Applicable Percentage - Both]&gt;</t>
        </r>
      </text>
    </comment>
    <comment ref="H1212" authorId="0" shapeId="0" xr:uid="{2AE0FD5A-09B1-4D34-A709-B60730F91B3D}">
      <text>
        <r>
          <rPr>
            <b/>
            <sz val="9"/>
            <color indexed="81"/>
            <rFont val="Tahoma"/>
            <family val="2"/>
          </rPr>
          <t>&lt;[[TCDeals] - [TC Property Current Stage (Seq: 1)] - [Buildings (Seq: 31)] PVC Est Qual Basis - Both]&gt;</t>
        </r>
      </text>
    </comment>
    <comment ref="I1212" authorId="0" shapeId="0" xr:uid="{C50D9FC3-AF35-4CBC-B7C9-5E227EC714DF}">
      <text>
        <r>
          <rPr>
            <b/>
            <sz val="9"/>
            <color indexed="81"/>
            <rFont val="Tahoma"/>
            <family val="2"/>
          </rPr>
          <t>&lt;[[TCDeals] - [TC Property Current Stage (Seq: 1)] - [Buildings (Seq: 31)] PVC8609 Basis - Both]&gt;</t>
        </r>
      </text>
    </comment>
    <comment ref="J1212" authorId="0" shapeId="0" xr:uid="{5C128553-A578-4027-B498-3FC091CBDE78}">
      <text>
        <r>
          <rPr>
            <b/>
            <sz val="9"/>
            <color indexed="81"/>
            <rFont val="Tahoma"/>
            <family val="2"/>
          </rPr>
          <t>&lt;[[TCDeals] - [TC Property Current Stage (Seq: 1)] - [Buildings (Seq: 31)] PVC8609 Credit - Both]&gt;</t>
        </r>
      </text>
    </comment>
    <comment ref="K1212" authorId="0" shapeId="0" xr:uid="{53A33AAE-BF35-4011-A724-DE6B145B373F}">
      <text>
        <r>
          <rPr>
            <b/>
            <sz val="9"/>
            <color indexed="81"/>
            <rFont val="Tahoma"/>
            <family val="2"/>
          </rPr>
          <t>&lt;[[TCDeals] - [TC Property Current Stage (Seq: 1)] - [Buildings (Seq: 31)] Constr PIS Date - Both]&gt;</t>
        </r>
      </text>
    </comment>
    <comment ref="L1212" authorId="0" shapeId="0" xr:uid="{DCB6626B-C5E3-4C18-B2DA-B32F7E9C514E}">
      <text>
        <r>
          <rPr>
            <b/>
            <sz val="9"/>
            <color indexed="81"/>
            <rFont val="Tahoma"/>
            <family val="2"/>
          </rPr>
          <t>&lt;[[TCDeals] - [TC Property Current Stage (Seq: 1)] - [Buildings (Seq: 31)] Constr Applicable Percentage - Both]&gt;</t>
        </r>
      </text>
    </comment>
    <comment ref="M1212" authorId="0" shapeId="0" xr:uid="{B8981047-AA6A-427E-9EE3-275CB41F1FB9}">
      <text>
        <r>
          <rPr>
            <b/>
            <sz val="9"/>
            <color indexed="81"/>
            <rFont val="Tahoma"/>
            <family val="2"/>
          </rPr>
          <t>&lt;[[TCDeals] - [TC Property Current Stage (Seq: 1)] - [Buildings (Seq: 31)] Constr Est Qual Basis - Both]&gt;</t>
        </r>
      </text>
    </comment>
    <comment ref="N1212" authorId="0" shapeId="0" xr:uid="{A8F80CE3-AB09-4F3D-8E8D-8FD857E3B069}">
      <text>
        <r>
          <rPr>
            <b/>
            <sz val="9"/>
            <color indexed="81"/>
            <rFont val="Tahoma"/>
            <family val="2"/>
          </rPr>
          <t>&lt;[[TCDeals] - [TC Property Current Stage (Seq: 1)] - [Buildings (Seq: 31)] Constr 8609 Basis - Both]&gt;</t>
        </r>
      </text>
    </comment>
    <comment ref="O1212" authorId="0" shapeId="0" xr:uid="{BA4215E9-9036-4E2A-8882-8BF3B02773C0}">
      <text>
        <r>
          <rPr>
            <b/>
            <sz val="9"/>
            <color indexed="81"/>
            <rFont val="Tahoma"/>
            <family val="2"/>
          </rPr>
          <t>&lt;[[TCDeals] - [TC Property Current Stage (Seq: 1)] - [Buildings (Seq: 31)] Constr 8609 Credit - Both]&gt;</t>
        </r>
      </text>
    </comment>
    <comment ref="P1212" authorId="0" shapeId="0" xr:uid="{5436A69D-EFE2-44D6-802C-D85005179275}">
      <text>
        <r>
          <rPr>
            <b/>
            <sz val="9"/>
            <color indexed="81"/>
            <rFont val="Tahoma"/>
            <family val="2"/>
          </rPr>
          <t>&lt;[[TCDeals] - [TC Property Current Stage (Seq: 1)] - [Buildings (Seq: 31)] Acq PIS Date - Both]&gt;</t>
        </r>
      </text>
    </comment>
    <comment ref="Q1212" authorId="0" shapeId="0" xr:uid="{082483BC-C4BE-4D2C-9B39-19D523B2413A}">
      <text>
        <r>
          <rPr>
            <b/>
            <sz val="9"/>
            <color indexed="81"/>
            <rFont val="Tahoma"/>
            <family val="2"/>
          </rPr>
          <t>&lt;[[TCDeals] - [TC Property Current Stage (Seq: 1)] - [Buildings (Seq: 31)] Acq Applicable Percentage - Both]&gt;</t>
        </r>
      </text>
    </comment>
    <comment ref="R1212" authorId="0" shapeId="0" xr:uid="{42C8524C-4866-4B74-AF1B-8188261DDE88}">
      <text>
        <r>
          <rPr>
            <b/>
            <sz val="9"/>
            <color indexed="81"/>
            <rFont val="Tahoma"/>
            <family val="2"/>
          </rPr>
          <t>&lt;[[TCDeals] - [TC Property Current Stage (Seq: 1)] - [Buildings (Seq: 31)] Acq Est Qual Basis - Both]&gt;</t>
        </r>
      </text>
    </comment>
    <comment ref="S1212" authorId="0" shapeId="0" xr:uid="{3F469B3C-E1D0-47B5-85B1-0314FF378D05}">
      <text>
        <r>
          <rPr>
            <b/>
            <sz val="9"/>
            <color indexed="81"/>
            <rFont val="Tahoma"/>
            <family val="2"/>
          </rPr>
          <t>&lt;[[TCDeals] - [TC Property Current Stage (Seq: 1)] - [Buildings (Seq: 31)] Acq 8609 Basis - Both]&gt;</t>
        </r>
      </text>
    </comment>
    <comment ref="T1212" authorId="0" shapeId="0" xr:uid="{9A5CB431-F391-4323-B4E6-7070838CA555}">
      <text>
        <r>
          <rPr>
            <b/>
            <sz val="9"/>
            <color indexed="81"/>
            <rFont val="Tahoma"/>
            <family val="2"/>
          </rPr>
          <t>&lt;[[TCDeals] - [TC Property Current Stage (Seq: 1)] - [Buildings (Seq: 31)] Acq 8609 Credit - Both]&gt;</t>
        </r>
      </text>
    </comment>
    <comment ref="C1213" authorId="0" shapeId="0" xr:uid="{C5F8F3E8-A73F-4469-9B90-CA6A767FF47D}">
      <text>
        <r>
          <rPr>
            <b/>
            <sz val="9"/>
            <color indexed="81"/>
            <rFont val="Tahoma"/>
            <family val="2"/>
          </rPr>
          <t>&lt;[[TCDeals] - [TC Property Current Stage (Seq: 1)] - [Buildings (Seq: 32)] BIN - Both]&gt;</t>
        </r>
      </text>
    </comment>
    <comment ref="D1213" authorId="0" shapeId="0" xr:uid="{CF121747-87B7-4215-BCFB-CCDD4F1BF130}">
      <text>
        <r>
          <rPr>
            <b/>
            <sz val="9"/>
            <color indexed="81"/>
            <rFont val="Tahoma"/>
            <family val="2"/>
          </rPr>
          <t>&lt;[[TCDeals] - [TC Property Current Stage (Seq: 1)] - [Buildings (Seq: 32)] Address 1 - Both]&gt;</t>
        </r>
      </text>
    </comment>
    <comment ref="E1213" authorId="0" shapeId="0" xr:uid="{2A9F288E-75DF-470B-95AF-300737C1FE81}">
      <text>
        <r>
          <rPr>
            <b/>
            <sz val="9"/>
            <color indexed="81"/>
            <rFont val="Tahoma"/>
            <family val="2"/>
          </rPr>
          <t>&lt;[[TCDeals] - [TC Property Current Stage (Seq: 1)] - [Buildings (Seq: 32)] Num TC Units - Both]&gt;</t>
        </r>
      </text>
    </comment>
    <comment ref="F1213" authorId="0" shapeId="0" xr:uid="{83CB6F57-C5C0-4C1C-8AF0-FC5E7E7FEBF8}">
      <text>
        <r>
          <rPr>
            <b/>
            <sz val="9"/>
            <color indexed="81"/>
            <rFont val="Tahoma"/>
            <family val="2"/>
          </rPr>
          <t>&lt;[[TCDeals] - [TC Property Current Stage (Seq: 1)] - [Buildings (Seq: 32)] PVC PIS Date - Both]&gt;</t>
        </r>
      </text>
    </comment>
    <comment ref="G1213" authorId="0" shapeId="0" xr:uid="{4F4AAB75-5D41-41FD-B5C6-BFB970EA6DE7}">
      <text>
        <r>
          <rPr>
            <b/>
            <sz val="9"/>
            <color indexed="81"/>
            <rFont val="Tahoma"/>
            <family val="2"/>
          </rPr>
          <t>&lt;[[TCDeals] - [TC Property Current Stage (Seq: 1)] - [Buildings (Seq: 32)] PVC Applicable Percentage - Both]&gt;</t>
        </r>
      </text>
    </comment>
    <comment ref="H1213" authorId="0" shapeId="0" xr:uid="{879319AE-811B-454C-98A7-0DE109FA4A84}">
      <text>
        <r>
          <rPr>
            <b/>
            <sz val="9"/>
            <color indexed="81"/>
            <rFont val="Tahoma"/>
            <family val="2"/>
          </rPr>
          <t>&lt;[[TCDeals] - [TC Property Current Stage (Seq: 1)] - [Buildings (Seq: 32)] PVC Est Qual Basis - Both]&gt;</t>
        </r>
      </text>
    </comment>
    <comment ref="I1213" authorId="0" shapeId="0" xr:uid="{6F6AFA0E-1A3F-4A4B-A3AA-9BDF0E3CD3DB}">
      <text>
        <r>
          <rPr>
            <b/>
            <sz val="9"/>
            <color indexed="81"/>
            <rFont val="Tahoma"/>
            <family val="2"/>
          </rPr>
          <t>&lt;[[TCDeals] - [TC Property Current Stage (Seq: 1)] - [Buildings (Seq: 32)] PVC8609 Basis - Both]&gt;</t>
        </r>
      </text>
    </comment>
    <comment ref="J1213" authorId="0" shapeId="0" xr:uid="{2DF88235-FE4D-4E9A-A797-CDC9AC60D1F7}">
      <text>
        <r>
          <rPr>
            <b/>
            <sz val="9"/>
            <color indexed="81"/>
            <rFont val="Tahoma"/>
            <family val="2"/>
          </rPr>
          <t>&lt;[[TCDeals] - [TC Property Current Stage (Seq: 1)] - [Buildings (Seq: 32)] PVC8609 Credit - Both]&gt;</t>
        </r>
      </text>
    </comment>
    <comment ref="K1213" authorId="0" shapeId="0" xr:uid="{0277D6A3-C22E-48C9-9213-F554FC3A7179}">
      <text>
        <r>
          <rPr>
            <b/>
            <sz val="9"/>
            <color indexed="81"/>
            <rFont val="Tahoma"/>
            <family val="2"/>
          </rPr>
          <t>&lt;[[TCDeals] - [TC Property Current Stage (Seq: 1)] - [Buildings (Seq: 32)] Constr PIS Date - Both]&gt;</t>
        </r>
      </text>
    </comment>
    <comment ref="L1213" authorId="0" shapeId="0" xr:uid="{44A7F8BA-EF44-4FA8-9B47-169846536716}">
      <text>
        <r>
          <rPr>
            <b/>
            <sz val="9"/>
            <color indexed="81"/>
            <rFont val="Tahoma"/>
            <family val="2"/>
          </rPr>
          <t>&lt;[[TCDeals] - [TC Property Current Stage (Seq: 1)] - [Buildings (Seq: 32)] Constr Applicable Percentage - Both]&gt;</t>
        </r>
      </text>
    </comment>
    <comment ref="M1213" authorId="0" shapeId="0" xr:uid="{7BA87373-E832-4817-99E0-ABA0F99CC84B}">
      <text>
        <r>
          <rPr>
            <b/>
            <sz val="9"/>
            <color indexed="81"/>
            <rFont val="Tahoma"/>
            <family val="2"/>
          </rPr>
          <t>&lt;[[TCDeals] - [TC Property Current Stage (Seq: 1)] - [Buildings (Seq: 32)] Constr Est Qual Basis - Both]&gt;</t>
        </r>
      </text>
    </comment>
    <comment ref="N1213" authorId="0" shapeId="0" xr:uid="{8220EBA8-3032-4C00-8126-797C9552DD02}">
      <text>
        <r>
          <rPr>
            <b/>
            <sz val="9"/>
            <color indexed="81"/>
            <rFont val="Tahoma"/>
            <family val="2"/>
          </rPr>
          <t>&lt;[[TCDeals] - [TC Property Current Stage (Seq: 1)] - [Buildings (Seq: 32)] Constr 8609 Basis - Both]&gt;</t>
        </r>
      </text>
    </comment>
    <comment ref="O1213" authorId="0" shapeId="0" xr:uid="{D194A1E6-7311-4A08-BA17-F6D881DB0684}">
      <text>
        <r>
          <rPr>
            <b/>
            <sz val="9"/>
            <color indexed="81"/>
            <rFont val="Tahoma"/>
            <family val="2"/>
          </rPr>
          <t>&lt;[[TCDeals] - [TC Property Current Stage (Seq: 1)] - [Buildings (Seq: 32)] Constr 8609 Credit - Both]&gt;</t>
        </r>
      </text>
    </comment>
    <comment ref="P1213" authorId="0" shapeId="0" xr:uid="{596AFDAA-F389-4AF7-A7C6-04143D2A1614}">
      <text>
        <r>
          <rPr>
            <b/>
            <sz val="9"/>
            <color indexed="81"/>
            <rFont val="Tahoma"/>
            <family val="2"/>
          </rPr>
          <t>&lt;[[TCDeals] - [TC Property Current Stage (Seq: 1)] - [Buildings (Seq: 32)] Acq PIS Date - Both]&gt;</t>
        </r>
      </text>
    </comment>
    <comment ref="Q1213" authorId="0" shapeId="0" xr:uid="{FB3F6411-A567-43EC-83B9-10335907EBF1}">
      <text>
        <r>
          <rPr>
            <b/>
            <sz val="9"/>
            <color indexed="81"/>
            <rFont val="Tahoma"/>
            <family val="2"/>
          </rPr>
          <t>&lt;[[TCDeals] - [TC Property Current Stage (Seq: 1)] - [Buildings (Seq: 32)] Acq Applicable Percentage - Both]&gt;</t>
        </r>
      </text>
    </comment>
    <comment ref="R1213" authorId="0" shapeId="0" xr:uid="{F810CE88-E7BA-484F-B1AD-41BF4CE4892C}">
      <text>
        <r>
          <rPr>
            <b/>
            <sz val="9"/>
            <color indexed="81"/>
            <rFont val="Tahoma"/>
            <family val="2"/>
          </rPr>
          <t>&lt;[[TCDeals] - [TC Property Current Stage (Seq: 1)] - [Buildings (Seq: 32)] Acq Est Qual Basis - Both]&gt;</t>
        </r>
      </text>
    </comment>
    <comment ref="S1213" authorId="0" shapeId="0" xr:uid="{A8E1B5FF-BC6C-45AF-912D-914704DC5EC2}">
      <text>
        <r>
          <rPr>
            <b/>
            <sz val="9"/>
            <color indexed="81"/>
            <rFont val="Tahoma"/>
            <family val="2"/>
          </rPr>
          <t>&lt;[[TCDeals] - [TC Property Current Stage (Seq: 1)] - [Buildings (Seq: 32)] Acq 8609 Basis - Both]&gt;</t>
        </r>
      </text>
    </comment>
    <comment ref="T1213" authorId="0" shapeId="0" xr:uid="{1B07E8A2-3924-4286-A335-8C088BCD8629}">
      <text>
        <r>
          <rPr>
            <b/>
            <sz val="9"/>
            <color indexed="81"/>
            <rFont val="Tahoma"/>
            <family val="2"/>
          </rPr>
          <t>&lt;[[TCDeals] - [TC Property Current Stage (Seq: 1)] - [Buildings (Seq: 32)] Acq 8609 Credit - Both]&gt;</t>
        </r>
      </text>
    </comment>
    <comment ref="C1214" authorId="0" shapeId="0" xr:uid="{1366808E-EF9E-4082-8CF7-8917B1807686}">
      <text>
        <r>
          <rPr>
            <b/>
            <sz val="9"/>
            <color indexed="81"/>
            <rFont val="Tahoma"/>
            <family val="2"/>
          </rPr>
          <t>&lt;[[TCDeals] - [TC Property Current Stage (Seq: 1)] - [Buildings (Seq: 33)] BIN - Both]&gt;</t>
        </r>
      </text>
    </comment>
    <comment ref="D1214" authorId="0" shapeId="0" xr:uid="{497C7565-7602-41C9-A132-4D12320E1164}">
      <text>
        <r>
          <rPr>
            <b/>
            <sz val="9"/>
            <color indexed="81"/>
            <rFont val="Tahoma"/>
            <family val="2"/>
          </rPr>
          <t>&lt;[[TCDeals] - [TC Property Current Stage (Seq: 1)] - [Buildings (Seq: 33)] Address 1 - Both]&gt;</t>
        </r>
      </text>
    </comment>
    <comment ref="E1214" authorId="0" shapeId="0" xr:uid="{2BDD1CE3-0738-42AD-AC86-F73D11BE09C0}">
      <text>
        <r>
          <rPr>
            <b/>
            <sz val="9"/>
            <color indexed="81"/>
            <rFont val="Tahoma"/>
            <family val="2"/>
          </rPr>
          <t>&lt;[[TCDeals] - [TC Property Current Stage (Seq: 1)] - [Buildings (Seq: 33)] Num TC Units - Both]&gt;</t>
        </r>
      </text>
    </comment>
    <comment ref="F1214" authorId="0" shapeId="0" xr:uid="{369E658C-6E11-4559-BDBD-515505CEF1D8}">
      <text>
        <r>
          <rPr>
            <b/>
            <sz val="9"/>
            <color indexed="81"/>
            <rFont val="Tahoma"/>
            <family val="2"/>
          </rPr>
          <t>&lt;[[TCDeals] - [TC Property Current Stage (Seq: 1)] - [Buildings (Seq: 33)] PVC PIS Date - Both]&gt;</t>
        </r>
      </text>
    </comment>
    <comment ref="G1214" authorId="0" shapeId="0" xr:uid="{CBF539E3-F2F4-4A4C-9177-18D6837C3D8A}">
      <text>
        <r>
          <rPr>
            <b/>
            <sz val="9"/>
            <color indexed="81"/>
            <rFont val="Tahoma"/>
            <family val="2"/>
          </rPr>
          <t>&lt;[[TCDeals] - [TC Property Current Stage (Seq: 1)] - [Buildings (Seq: 33)] PVC Applicable Percentage - Both]&gt;</t>
        </r>
      </text>
    </comment>
    <comment ref="H1214" authorId="0" shapeId="0" xr:uid="{7E83083F-DF98-413B-85B4-AE15828668AF}">
      <text>
        <r>
          <rPr>
            <b/>
            <sz val="9"/>
            <color indexed="81"/>
            <rFont val="Tahoma"/>
            <family val="2"/>
          </rPr>
          <t>&lt;[[TCDeals] - [TC Property Current Stage (Seq: 1)] - [Buildings (Seq: 33)] PVC Est Qual Basis - Both]&gt;</t>
        </r>
      </text>
    </comment>
    <comment ref="I1214" authorId="0" shapeId="0" xr:uid="{204CA1B1-6DFE-4FDD-AF64-64552C1B3042}">
      <text>
        <r>
          <rPr>
            <b/>
            <sz val="9"/>
            <color indexed="81"/>
            <rFont val="Tahoma"/>
            <family val="2"/>
          </rPr>
          <t>&lt;[[TCDeals] - [TC Property Current Stage (Seq: 1)] - [Buildings (Seq: 33)] PVC8609 Basis - Both]&gt;</t>
        </r>
      </text>
    </comment>
    <comment ref="J1214" authorId="0" shapeId="0" xr:uid="{AE4C4725-4C20-4343-80CC-2453F99F3543}">
      <text>
        <r>
          <rPr>
            <b/>
            <sz val="9"/>
            <color indexed="81"/>
            <rFont val="Tahoma"/>
            <family val="2"/>
          </rPr>
          <t>&lt;[[TCDeals] - [TC Property Current Stage (Seq: 1)] - [Buildings (Seq: 33)] PVC8609 Credit - Both]&gt;</t>
        </r>
      </text>
    </comment>
    <comment ref="K1214" authorId="0" shapeId="0" xr:uid="{9D8A8884-D3A6-409D-BBDD-A2F77235A7EB}">
      <text>
        <r>
          <rPr>
            <b/>
            <sz val="9"/>
            <color indexed="81"/>
            <rFont val="Tahoma"/>
            <family val="2"/>
          </rPr>
          <t>&lt;[[TCDeals] - [TC Property Current Stage (Seq: 1)] - [Buildings (Seq: 33)] Constr PIS Date - Both]&gt;</t>
        </r>
      </text>
    </comment>
    <comment ref="L1214" authorId="0" shapeId="0" xr:uid="{C3DA3FEE-1957-4596-9FE0-6B8A0F6C5519}">
      <text>
        <r>
          <rPr>
            <b/>
            <sz val="9"/>
            <color indexed="81"/>
            <rFont val="Tahoma"/>
            <family val="2"/>
          </rPr>
          <t>&lt;[[TCDeals] - [TC Property Current Stage (Seq: 1)] - [Buildings (Seq: 33)] Constr Applicable Percentage - Both]&gt;</t>
        </r>
      </text>
    </comment>
    <comment ref="M1214" authorId="0" shapeId="0" xr:uid="{3F9A28AC-354C-4FB7-B7C9-A419133A2FE8}">
      <text>
        <r>
          <rPr>
            <b/>
            <sz val="9"/>
            <color indexed="81"/>
            <rFont val="Tahoma"/>
            <family val="2"/>
          </rPr>
          <t>&lt;[[TCDeals] - [TC Property Current Stage (Seq: 1)] - [Buildings (Seq: 33)] Constr Est Qual Basis - Both]&gt;</t>
        </r>
      </text>
    </comment>
    <comment ref="N1214" authorId="0" shapeId="0" xr:uid="{31E6DDD1-C25A-4351-8F3C-30812E949CA4}">
      <text>
        <r>
          <rPr>
            <b/>
            <sz val="9"/>
            <color indexed="81"/>
            <rFont val="Tahoma"/>
            <family val="2"/>
          </rPr>
          <t>&lt;[[TCDeals] - [TC Property Current Stage (Seq: 1)] - [Buildings (Seq: 33)] Constr 8609 Basis - Both]&gt;</t>
        </r>
      </text>
    </comment>
    <comment ref="O1214" authorId="0" shapeId="0" xr:uid="{9B04894E-F736-4205-9477-AC0FCE3278A7}">
      <text>
        <r>
          <rPr>
            <b/>
            <sz val="9"/>
            <color indexed="81"/>
            <rFont val="Tahoma"/>
            <family val="2"/>
          </rPr>
          <t>&lt;[[TCDeals] - [TC Property Current Stage (Seq: 1)] - [Buildings (Seq: 33)] Constr 8609 Credit - Both]&gt;</t>
        </r>
      </text>
    </comment>
    <comment ref="P1214" authorId="0" shapeId="0" xr:uid="{8CDB7E69-8523-417C-BFD9-BD98159016C8}">
      <text>
        <r>
          <rPr>
            <b/>
            <sz val="9"/>
            <color indexed="81"/>
            <rFont val="Tahoma"/>
            <family val="2"/>
          </rPr>
          <t>&lt;[[TCDeals] - [TC Property Current Stage (Seq: 1)] - [Buildings (Seq: 33)] Acq PIS Date - Both]&gt;</t>
        </r>
      </text>
    </comment>
    <comment ref="Q1214" authorId="0" shapeId="0" xr:uid="{6A4318E5-AEAB-4B9E-A4A8-350278D9D2C3}">
      <text>
        <r>
          <rPr>
            <b/>
            <sz val="9"/>
            <color indexed="81"/>
            <rFont val="Tahoma"/>
            <family val="2"/>
          </rPr>
          <t>&lt;[[TCDeals] - [TC Property Current Stage (Seq: 1)] - [Buildings (Seq: 33)] Acq Applicable Percentage - Both]&gt;</t>
        </r>
      </text>
    </comment>
    <comment ref="R1214" authorId="0" shapeId="0" xr:uid="{6698AF00-A6F0-4FCF-BC9F-8A19AD9B9190}">
      <text>
        <r>
          <rPr>
            <b/>
            <sz val="9"/>
            <color indexed="81"/>
            <rFont val="Tahoma"/>
            <family val="2"/>
          </rPr>
          <t>&lt;[[TCDeals] - [TC Property Current Stage (Seq: 1)] - [Buildings (Seq: 33)] Acq Est Qual Basis - Both]&gt;</t>
        </r>
      </text>
    </comment>
    <comment ref="S1214" authorId="0" shapeId="0" xr:uid="{3AEAD96C-8E50-4777-9505-4CF40D0EFFFE}">
      <text>
        <r>
          <rPr>
            <b/>
            <sz val="9"/>
            <color indexed="81"/>
            <rFont val="Tahoma"/>
            <family val="2"/>
          </rPr>
          <t>&lt;[[TCDeals] - [TC Property Current Stage (Seq: 1)] - [Buildings (Seq: 33)] Acq 8609 Basis - Both]&gt;</t>
        </r>
      </text>
    </comment>
    <comment ref="T1214" authorId="0" shapeId="0" xr:uid="{D6002473-ABB0-4255-B6B9-42CF1C7E10EF}">
      <text>
        <r>
          <rPr>
            <b/>
            <sz val="9"/>
            <color indexed="81"/>
            <rFont val="Tahoma"/>
            <family val="2"/>
          </rPr>
          <t>&lt;[[TCDeals] - [TC Property Current Stage (Seq: 1)] - [Buildings (Seq: 33)] Acq 8609 Credit - Both]&gt;</t>
        </r>
      </text>
    </comment>
    <comment ref="C1215" authorId="0" shapeId="0" xr:uid="{12CFBAAD-FF5D-4045-B6EF-78CD748A6354}">
      <text>
        <r>
          <rPr>
            <b/>
            <sz val="9"/>
            <color indexed="81"/>
            <rFont val="Tahoma"/>
            <family val="2"/>
          </rPr>
          <t>&lt;[[TCDeals] - [TC Property Current Stage (Seq: 1)] - [Buildings (Seq: 34)] BIN - Both]&gt;</t>
        </r>
      </text>
    </comment>
    <comment ref="D1215" authorId="0" shapeId="0" xr:uid="{C83B981B-05D7-4C27-98CA-7674B4505D6D}">
      <text>
        <r>
          <rPr>
            <b/>
            <sz val="9"/>
            <color indexed="81"/>
            <rFont val="Tahoma"/>
            <family val="2"/>
          </rPr>
          <t>&lt;[[TCDeals] - [TC Property Current Stage (Seq: 1)] - [Buildings (Seq: 34)] Address 1 - Both]&gt;</t>
        </r>
      </text>
    </comment>
    <comment ref="E1215" authorId="0" shapeId="0" xr:uid="{51403421-3FE8-43D3-915E-861F1B4639D6}">
      <text>
        <r>
          <rPr>
            <b/>
            <sz val="9"/>
            <color indexed="81"/>
            <rFont val="Tahoma"/>
            <family val="2"/>
          </rPr>
          <t>&lt;[[TCDeals] - [TC Property Current Stage (Seq: 1)] - [Buildings (Seq: 34)] Num TC Units - Both]&gt;</t>
        </r>
      </text>
    </comment>
    <comment ref="F1215" authorId="0" shapeId="0" xr:uid="{2E81F33F-3336-4610-A904-E528C4CC41D0}">
      <text>
        <r>
          <rPr>
            <b/>
            <sz val="9"/>
            <color indexed="81"/>
            <rFont val="Tahoma"/>
            <family val="2"/>
          </rPr>
          <t>&lt;[[TCDeals] - [TC Property Current Stage (Seq: 1)] - [Buildings (Seq: 34)] PVC PIS Date - Both]&gt;</t>
        </r>
      </text>
    </comment>
    <comment ref="G1215" authorId="0" shapeId="0" xr:uid="{DB81FF67-9CC4-48CC-A6AF-234C4237393E}">
      <text>
        <r>
          <rPr>
            <b/>
            <sz val="9"/>
            <color indexed="81"/>
            <rFont val="Tahoma"/>
            <family val="2"/>
          </rPr>
          <t>&lt;[[TCDeals] - [TC Property Current Stage (Seq: 1)] - [Buildings (Seq: 34)] PVC Applicable Percentage - Both]&gt;</t>
        </r>
      </text>
    </comment>
    <comment ref="H1215" authorId="0" shapeId="0" xr:uid="{FEB94866-9912-4717-8B44-DC85582810E4}">
      <text>
        <r>
          <rPr>
            <b/>
            <sz val="9"/>
            <color indexed="81"/>
            <rFont val="Tahoma"/>
            <family val="2"/>
          </rPr>
          <t>&lt;[[TCDeals] - [TC Property Current Stage (Seq: 1)] - [Buildings (Seq: 34)] PVC Est Qual Basis - Both]&gt;</t>
        </r>
      </text>
    </comment>
    <comment ref="I1215" authorId="0" shapeId="0" xr:uid="{F858CE05-5C28-4CF2-90F6-C4FFD157B1BF}">
      <text>
        <r>
          <rPr>
            <b/>
            <sz val="9"/>
            <color indexed="81"/>
            <rFont val="Tahoma"/>
            <family val="2"/>
          </rPr>
          <t>&lt;[[TCDeals] - [TC Property Current Stage (Seq: 1)] - [Buildings (Seq: 34)] PVC8609 Basis - Both]&gt;</t>
        </r>
      </text>
    </comment>
    <comment ref="J1215" authorId="0" shapeId="0" xr:uid="{E9FB88FF-36D4-4374-8D7E-CB8416D5A776}">
      <text>
        <r>
          <rPr>
            <b/>
            <sz val="9"/>
            <color indexed="81"/>
            <rFont val="Tahoma"/>
            <family val="2"/>
          </rPr>
          <t>&lt;[[TCDeals] - [TC Property Current Stage (Seq: 1)] - [Buildings (Seq: 34)] PVC8609 Credit - Both]&gt;</t>
        </r>
      </text>
    </comment>
    <comment ref="K1215" authorId="0" shapeId="0" xr:uid="{ECB9470D-B632-46E7-A9BA-0B17D50F1FE7}">
      <text>
        <r>
          <rPr>
            <b/>
            <sz val="9"/>
            <color indexed="81"/>
            <rFont val="Tahoma"/>
            <family val="2"/>
          </rPr>
          <t>&lt;[[TCDeals] - [TC Property Current Stage (Seq: 1)] - [Buildings (Seq: 34)] Constr PIS Date - Both]&gt;</t>
        </r>
      </text>
    </comment>
    <comment ref="L1215" authorId="0" shapeId="0" xr:uid="{5ED06A48-A8E8-4B19-9A5E-2AF390221FB9}">
      <text>
        <r>
          <rPr>
            <b/>
            <sz val="9"/>
            <color indexed="81"/>
            <rFont val="Tahoma"/>
            <family val="2"/>
          </rPr>
          <t>&lt;[[TCDeals] - [TC Property Current Stage (Seq: 1)] - [Buildings (Seq: 34)] Constr Applicable Percentage - Both]&gt;</t>
        </r>
      </text>
    </comment>
    <comment ref="M1215" authorId="0" shapeId="0" xr:uid="{4F036246-4D31-403A-8E30-92D02531219A}">
      <text>
        <r>
          <rPr>
            <b/>
            <sz val="9"/>
            <color indexed="81"/>
            <rFont val="Tahoma"/>
            <family val="2"/>
          </rPr>
          <t>&lt;[[TCDeals] - [TC Property Current Stage (Seq: 1)] - [Buildings (Seq: 34)] Constr Est Qual Basis - Both]&gt;</t>
        </r>
      </text>
    </comment>
    <comment ref="N1215" authorId="0" shapeId="0" xr:uid="{C9DD4A64-9BE1-451E-A556-98FB2B56DC0C}">
      <text>
        <r>
          <rPr>
            <b/>
            <sz val="9"/>
            <color indexed="81"/>
            <rFont val="Tahoma"/>
            <family val="2"/>
          </rPr>
          <t>&lt;[[TCDeals] - [TC Property Current Stage (Seq: 1)] - [Buildings (Seq: 34)] Constr 8609 Basis - Both]&gt;</t>
        </r>
      </text>
    </comment>
    <comment ref="O1215" authorId="0" shapeId="0" xr:uid="{6C6C6283-A739-4647-87C9-EE1535C56D6E}">
      <text>
        <r>
          <rPr>
            <b/>
            <sz val="9"/>
            <color indexed="81"/>
            <rFont val="Tahoma"/>
            <family val="2"/>
          </rPr>
          <t>&lt;[[TCDeals] - [TC Property Current Stage (Seq: 1)] - [Buildings (Seq: 34)] Constr 8609 Credit - Both]&gt;</t>
        </r>
      </text>
    </comment>
    <comment ref="P1215" authorId="0" shapeId="0" xr:uid="{6435C848-18C3-484A-BB92-A1076EAE3B52}">
      <text>
        <r>
          <rPr>
            <b/>
            <sz val="9"/>
            <color indexed="81"/>
            <rFont val="Tahoma"/>
            <family val="2"/>
          </rPr>
          <t>&lt;[[TCDeals] - [TC Property Current Stage (Seq: 1)] - [Buildings (Seq: 34)] Acq PIS Date - Both]&gt;</t>
        </r>
      </text>
    </comment>
    <comment ref="Q1215" authorId="0" shapeId="0" xr:uid="{3A3E291C-C693-48AD-AA8C-7635CE48A4F0}">
      <text>
        <r>
          <rPr>
            <b/>
            <sz val="9"/>
            <color indexed="81"/>
            <rFont val="Tahoma"/>
            <family val="2"/>
          </rPr>
          <t>&lt;[[TCDeals] - [TC Property Current Stage (Seq: 1)] - [Buildings (Seq: 34)] Acq Applicable Percentage - Both]&gt;</t>
        </r>
      </text>
    </comment>
    <comment ref="R1215" authorId="0" shapeId="0" xr:uid="{E3EB0F6E-6464-40A2-90E3-0733CAFB3548}">
      <text>
        <r>
          <rPr>
            <b/>
            <sz val="9"/>
            <color indexed="81"/>
            <rFont val="Tahoma"/>
            <family val="2"/>
          </rPr>
          <t>&lt;[[TCDeals] - [TC Property Current Stage (Seq: 1)] - [Buildings (Seq: 34)] Acq Est Qual Basis - Both]&gt;</t>
        </r>
      </text>
    </comment>
    <comment ref="S1215" authorId="0" shapeId="0" xr:uid="{2FBB20AB-CF9E-4BA9-A8B4-1CDD6FB07F50}">
      <text>
        <r>
          <rPr>
            <b/>
            <sz val="9"/>
            <color indexed="81"/>
            <rFont val="Tahoma"/>
            <family val="2"/>
          </rPr>
          <t>&lt;[[TCDeals] - [TC Property Current Stage (Seq: 1)] - [Buildings (Seq: 34)] Acq 8609 Basis - Both]&gt;</t>
        </r>
      </text>
    </comment>
    <comment ref="T1215" authorId="0" shapeId="0" xr:uid="{8EAE175A-2680-43CC-A9DF-40EC9D3EC5C2}">
      <text>
        <r>
          <rPr>
            <b/>
            <sz val="9"/>
            <color indexed="81"/>
            <rFont val="Tahoma"/>
            <family val="2"/>
          </rPr>
          <t>&lt;[[TCDeals] - [TC Property Current Stage (Seq: 1)] - [Buildings (Seq: 34)] Acq 8609 Credit - Both]&gt;</t>
        </r>
      </text>
    </comment>
    <comment ref="C1216" authorId="0" shapeId="0" xr:uid="{2ADE24FF-C100-4EA9-8EC5-FFC5DFE1FF3F}">
      <text>
        <r>
          <rPr>
            <b/>
            <sz val="9"/>
            <color indexed="81"/>
            <rFont val="Tahoma"/>
            <family val="2"/>
          </rPr>
          <t>&lt;[[TCDeals] - [TC Property Current Stage (Seq: 1)] - [Buildings (Seq: 35)] BIN - Both]&gt;</t>
        </r>
      </text>
    </comment>
    <comment ref="D1216" authorId="0" shapeId="0" xr:uid="{FEF92023-B73E-4B86-806E-572E8957B75B}">
      <text>
        <r>
          <rPr>
            <b/>
            <sz val="9"/>
            <color indexed="81"/>
            <rFont val="Tahoma"/>
            <family val="2"/>
          </rPr>
          <t>&lt;[[TCDeals] - [TC Property Current Stage (Seq: 1)] - [Buildings (Seq: 35)] Address 1 - Both]&gt;</t>
        </r>
      </text>
    </comment>
    <comment ref="E1216" authorId="0" shapeId="0" xr:uid="{476441A8-BD78-457A-8942-20A0239E7CF8}">
      <text>
        <r>
          <rPr>
            <b/>
            <sz val="9"/>
            <color indexed="81"/>
            <rFont val="Tahoma"/>
            <family val="2"/>
          </rPr>
          <t>&lt;[[TCDeals] - [TC Property Current Stage (Seq: 1)] - [Buildings (Seq: 35)] Num TC Units - Both]&gt;</t>
        </r>
      </text>
    </comment>
    <comment ref="F1216" authorId="0" shapeId="0" xr:uid="{F3628A97-8518-44B3-9109-C9C3B737CB9B}">
      <text>
        <r>
          <rPr>
            <b/>
            <sz val="9"/>
            <color indexed="81"/>
            <rFont val="Tahoma"/>
            <family val="2"/>
          </rPr>
          <t>&lt;[[TCDeals] - [TC Property Current Stage (Seq: 1)] - [Buildings (Seq: 35)] PVC PIS Date - Both]&gt;</t>
        </r>
      </text>
    </comment>
    <comment ref="G1216" authorId="0" shapeId="0" xr:uid="{E2A615D7-0C54-4C49-AEBA-39FA77E344C3}">
      <text>
        <r>
          <rPr>
            <b/>
            <sz val="9"/>
            <color indexed="81"/>
            <rFont val="Tahoma"/>
            <family val="2"/>
          </rPr>
          <t>&lt;[[TCDeals] - [TC Property Current Stage (Seq: 1)] - [Buildings (Seq: 35)] PVC Applicable Percentage - Both]&gt;</t>
        </r>
      </text>
    </comment>
    <comment ref="H1216" authorId="0" shapeId="0" xr:uid="{E84BC5F0-B78C-4E42-A7D0-A21897A55B35}">
      <text>
        <r>
          <rPr>
            <b/>
            <sz val="9"/>
            <color indexed="81"/>
            <rFont val="Tahoma"/>
            <family val="2"/>
          </rPr>
          <t>&lt;[[TCDeals] - [TC Property Current Stage (Seq: 1)] - [Buildings (Seq: 35)] PVC Est Qual Basis - Both]&gt;</t>
        </r>
      </text>
    </comment>
    <comment ref="I1216" authorId="0" shapeId="0" xr:uid="{B9013315-464C-48A1-95DF-3E4A2C2AD6CB}">
      <text>
        <r>
          <rPr>
            <b/>
            <sz val="9"/>
            <color indexed="81"/>
            <rFont val="Tahoma"/>
            <family val="2"/>
          </rPr>
          <t>&lt;[[TCDeals] - [TC Property Current Stage (Seq: 1)] - [Buildings (Seq: 35)] PVC8609 Basis - Both]&gt;</t>
        </r>
      </text>
    </comment>
    <comment ref="J1216" authorId="0" shapeId="0" xr:uid="{1B868BCD-AD6B-42E8-9218-562618656C35}">
      <text>
        <r>
          <rPr>
            <b/>
            <sz val="9"/>
            <color indexed="81"/>
            <rFont val="Tahoma"/>
            <family val="2"/>
          </rPr>
          <t>&lt;[[TCDeals] - [TC Property Current Stage (Seq: 1)] - [Buildings (Seq: 35)] PVC8609 Credit - Both]&gt;</t>
        </r>
      </text>
    </comment>
    <comment ref="K1216" authorId="0" shapeId="0" xr:uid="{9114B14C-AE8A-4308-B7D4-25399DF86E05}">
      <text>
        <r>
          <rPr>
            <b/>
            <sz val="9"/>
            <color indexed="81"/>
            <rFont val="Tahoma"/>
            <family val="2"/>
          </rPr>
          <t>&lt;[[TCDeals] - [TC Property Current Stage (Seq: 1)] - [Buildings (Seq: 35)] Constr PIS Date - Both]&gt;</t>
        </r>
      </text>
    </comment>
    <comment ref="L1216" authorId="0" shapeId="0" xr:uid="{79303A7D-01F4-421A-B2E1-BCA112A60CFC}">
      <text>
        <r>
          <rPr>
            <b/>
            <sz val="9"/>
            <color indexed="81"/>
            <rFont val="Tahoma"/>
            <family val="2"/>
          </rPr>
          <t>&lt;[[TCDeals] - [TC Property Current Stage (Seq: 1)] - [Buildings (Seq: 35)] Constr Applicable Percentage - Both]&gt;</t>
        </r>
      </text>
    </comment>
    <comment ref="M1216" authorId="0" shapeId="0" xr:uid="{88FAD1A9-24D5-42B4-BEF7-4994FD6CE745}">
      <text>
        <r>
          <rPr>
            <b/>
            <sz val="9"/>
            <color indexed="81"/>
            <rFont val="Tahoma"/>
            <family val="2"/>
          </rPr>
          <t>&lt;[[TCDeals] - [TC Property Current Stage (Seq: 1)] - [Buildings (Seq: 35)] Constr Est Qual Basis - Both]&gt;</t>
        </r>
      </text>
    </comment>
    <comment ref="N1216" authorId="0" shapeId="0" xr:uid="{DF0F32E8-9D82-4DE6-A15E-ABD18A7668D7}">
      <text>
        <r>
          <rPr>
            <b/>
            <sz val="9"/>
            <color indexed="81"/>
            <rFont val="Tahoma"/>
            <family val="2"/>
          </rPr>
          <t>&lt;[[TCDeals] - [TC Property Current Stage (Seq: 1)] - [Buildings (Seq: 35)] Constr 8609 Basis - Both]&gt;</t>
        </r>
      </text>
    </comment>
    <comment ref="O1216" authorId="0" shapeId="0" xr:uid="{47D5CFFA-DFB3-487B-95DA-2D2E7402E223}">
      <text>
        <r>
          <rPr>
            <b/>
            <sz val="9"/>
            <color indexed="81"/>
            <rFont val="Tahoma"/>
            <family val="2"/>
          </rPr>
          <t>&lt;[[TCDeals] - [TC Property Current Stage (Seq: 1)] - [Buildings (Seq: 35)] Constr 8609 Credit - Both]&gt;</t>
        </r>
      </text>
    </comment>
    <comment ref="P1216" authorId="0" shapeId="0" xr:uid="{50CDD90B-C2E2-42A7-90D2-D665533F9004}">
      <text>
        <r>
          <rPr>
            <b/>
            <sz val="9"/>
            <color indexed="81"/>
            <rFont val="Tahoma"/>
            <family val="2"/>
          </rPr>
          <t>&lt;[[TCDeals] - [TC Property Current Stage (Seq: 1)] - [Buildings (Seq: 35)] Acq PIS Date - Both]&gt;</t>
        </r>
      </text>
    </comment>
    <comment ref="Q1216" authorId="0" shapeId="0" xr:uid="{A850EB2B-7B21-472C-92A9-31EE982B993D}">
      <text>
        <r>
          <rPr>
            <b/>
            <sz val="9"/>
            <color indexed="81"/>
            <rFont val="Tahoma"/>
            <family val="2"/>
          </rPr>
          <t>&lt;[[TCDeals] - [TC Property Current Stage (Seq: 1)] - [Buildings (Seq: 35)] Acq Applicable Percentage - Both]&gt;</t>
        </r>
      </text>
    </comment>
    <comment ref="R1216" authorId="0" shapeId="0" xr:uid="{9642A423-EC3D-4036-B421-2ED61E48BA8E}">
      <text>
        <r>
          <rPr>
            <b/>
            <sz val="9"/>
            <color indexed="81"/>
            <rFont val="Tahoma"/>
            <family val="2"/>
          </rPr>
          <t>&lt;[[TCDeals] - [TC Property Current Stage (Seq: 1)] - [Buildings (Seq: 35)] Acq Est Qual Basis - Both]&gt;</t>
        </r>
      </text>
    </comment>
    <comment ref="S1216" authorId="0" shapeId="0" xr:uid="{71E81C5C-11E8-4DC3-AA3F-0ADC013B4790}">
      <text>
        <r>
          <rPr>
            <b/>
            <sz val="9"/>
            <color indexed="81"/>
            <rFont val="Tahoma"/>
            <family val="2"/>
          </rPr>
          <t>&lt;[[TCDeals] - [TC Property Current Stage (Seq: 1)] - [Buildings (Seq: 35)] Acq 8609 Basis - Both]&gt;</t>
        </r>
      </text>
    </comment>
    <comment ref="T1216" authorId="0" shapeId="0" xr:uid="{A299795B-AEDB-4690-A4D1-D4262BBB99A6}">
      <text>
        <r>
          <rPr>
            <b/>
            <sz val="9"/>
            <color indexed="81"/>
            <rFont val="Tahoma"/>
            <family val="2"/>
          </rPr>
          <t>&lt;[[TCDeals] - [TC Property Current Stage (Seq: 1)] - [Buildings (Seq: 35)] Acq 8609 Credit - Both]&gt;</t>
        </r>
      </text>
    </comment>
    <comment ref="C1217" authorId="0" shapeId="0" xr:uid="{57A4918E-FBE3-4E22-8ECD-066034364B4D}">
      <text>
        <r>
          <rPr>
            <b/>
            <sz val="9"/>
            <color indexed="81"/>
            <rFont val="Tahoma"/>
            <family val="2"/>
          </rPr>
          <t>&lt;[[TCDeals] - [TC Property Current Stage (Seq: 1)] - [Buildings (Seq: 36)] BIN - Both]&gt;</t>
        </r>
      </text>
    </comment>
    <comment ref="D1217" authorId="0" shapeId="0" xr:uid="{CC9EE508-9084-4B19-A049-76CD37783F7D}">
      <text>
        <r>
          <rPr>
            <b/>
            <sz val="9"/>
            <color indexed="81"/>
            <rFont val="Tahoma"/>
            <family val="2"/>
          </rPr>
          <t>&lt;[[TCDeals] - [TC Property Current Stage (Seq: 1)] - [Buildings (Seq: 36)] Address 1 - Both]&gt;</t>
        </r>
      </text>
    </comment>
    <comment ref="E1217" authorId="0" shapeId="0" xr:uid="{7CC08051-4BAE-49EE-9735-E6CA605966E0}">
      <text>
        <r>
          <rPr>
            <b/>
            <sz val="9"/>
            <color indexed="81"/>
            <rFont val="Tahoma"/>
            <family val="2"/>
          </rPr>
          <t>&lt;[[TCDeals] - [TC Property Current Stage (Seq: 1)] - [Buildings (Seq: 36)] Num TC Units - Both]&gt;</t>
        </r>
      </text>
    </comment>
    <comment ref="F1217" authorId="0" shapeId="0" xr:uid="{67F46BE8-7F51-46C0-A956-37A486BB7367}">
      <text>
        <r>
          <rPr>
            <b/>
            <sz val="9"/>
            <color indexed="81"/>
            <rFont val="Tahoma"/>
            <family val="2"/>
          </rPr>
          <t>&lt;[[TCDeals] - [TC Property Current Stage (Seq: 1)] - [Buildings (Seq: 36)] PVC PIS Date - Both]&gt;</t>
        </r>
      </text>
    </comment>
    <comment ref="G1217" authorId="0" shapeId="0" xr:uid="{9B58E698-067A-4769-87E5-65CA06F3E9D3}">
      <text>
        <r>
          <rPr>
            <b/>
            <sz val="9"/>
            <color indexed="81"/>
            <rFont val="Tahoma"/>
            <family val="2"/>
          </rPr>
          <t>&lt;[[TCDeals] - [TC Property Current Stage (Seq: 1)] - [Buildings (Seq: 36)] PVC Applicable Percentage - Both]&gt;</t>
        </r>
      </text>
    </comment>
    <comment ref="H1217" authorId="0" shapeId="0" xr:uid="{852BBBFD-D5E5-4CD9-8596-196D68BBC945}">
      <text>
        <r>
          <rPr>
            <b/>
            <sz val="9"/>
            <color indexed="81"/>
            <rFont val="Tahoma"/>
            <family val="2"/>
          </rPr>
          <t>&lt;[[TCDeals] - [TC Property Current Stage (Seq: 1)] - [Buildings (Seq: 36)] PVC Est Qual Basis - Both]&gt;</t>
        </r>
      </text>
    </comment>
    <comment ref="I1217" authorId="0" shapeId="0" xr:uid="{7C1B278A-9A1D-4311-9EFD-7B76E88BF3DF}">
      <text>
        <r>
          <rPr>
            <b/>
            <sz val="9"/>
            <color indexed="81"/>
            <rFont val="Tahoma"/>
            <family val="2"/>
          </rPr>
          <t>&lt;[[TCDeals] - [TC Property Current Stage (Seq: 1)] - [Buildings (Seq: 36)] PVC8609 Basis - Both]&gt;</t>
        </r>
      </text>
    </comment>
    <comment ref="J1217" authorId="0" shapeId="0" xr:uid="{A0E02852-4C94-49B9-805D-04BE6C46FEAA}">
      <text>
        <r>
          <rPr>
            <b/>
            <sz val="9"/>
            <color indexed="81"/>
            <rFont val="Tahoma"/>
            <family val="2"/>
          </rPr>
          <t>&lt;[[TCDeals] - [TC Property Current Stage (Seq: 1)] - [Buildings (Seq: 36)] PVC8609 Credit - Both]&gt;</t>
        </r>
      </text>
    </comment>
    <comment ref="K1217" authorId="0" shapeId="0" xr:uid="{A64A4920-C398-4E91-9B78-66FEE9824A65}">
      <text>
        <r>
          <rPr>
            <b/>
            <sz val="9"/>
            <color indexed="81"/>
            <rFont val="Tahoma"/>
            <family val="2"/>
          </rPr>
          <t>&lt;[[TCDeals] - [TC Property Current Stage (Seq: 1)] - [Buildings (Seq: 36)] Constr PIS Date - Both]&gt;</t>
        </r>
      </text>
    </comment>
    <comment ref="L1217" authorId="0" shapeId="0" xr:uid="{62F3758E-A859-44C0-8913-09B3D2A007DA}">
      <text>
        <r>
          <rPr>
            <b/>
            <sz val="9"/>
            <color indexed="81"/>
            <rFont val="Tahoma"/>
            <family val="2"/>
          </rPr>
          <t>&lt;[[TCDeals] - [TC Property Current Stage (Seq: 1)] - [Buildings (Seq: 36)] Constr Applicable Percentage - Both]&gt;</t>
        </r>
      </text>
    </comment>
    <comment ref="M1217" authorId="0" shapeId="0" xr:uid="{D59D4AC4-91D2-46C9-95CA-C5B3AE2C9A8B}">
      <text>
        <r>
          <rPr>
            <b/>
            <sz val="9"/>
            <color indexed="81"/>
            <rFont val="Tahoma"/>
            <family val="2"/>
          </rPr>
          <t>&lt;[[TCDeals] - [TC Property Current Stage (Seq: 1)] - [Buildings (Seq: 36)] Constr Est Qual Basis - Both]&gt;</t>
        </r>
      </text>
    </comment>
    <comment ref="N1217" authorId="0" shapeId="0" xr:uid="{E19CD0D7-1EBD-4DDA-9DFD-6808213B7FE6}">
      <text>
        <r>
          <rPr>
            <b/>
            <sz val="9"/>
            <color indexed="81"/>
            <rFont val="Tahoma"/>
            <family val="2"/>
          </rPr>
          <t>&lt;[[TCDeals] - [TC Property Current Stage (Seq: 1)] - [Buildings (Seq: 36)] Constr 8609 Basis - Both]&gt;</t>
        </r>
      </text>
    </comment>
    <comment ref="O1217" authorId="0" shapeId="0" xr:uid="{89B310D2-6C57-49D7-8C44-3312E90D1694}">
      <text>
        <r>
          <rPr>
            <b/>
            <sz val="9"/>
            <color indexed="81"/>
            <rFont val="Tahoma"/>
            <family val="2"/>
          </rPr>
          <t>&lt;[[TCDeals] - [TC Property Current Stage (Seq: 1)] - [Buildings (Seq: 36)] Constr 8609 Credit - Both]&gt;</t>
        </r>
      </text>
    </comment>
    <comment ref="P1217" authorId="0" shapeId="0" xr:uid="{6FF0371A-64B3-44B7-B195-A3AA6101E784}">
      <text>
        <r>
          <rPr>
            <b/>
            <sz val="9"/>
            <color indexed="81"/>
            <rFont val="Tahoma"/>
            <family val="2"/>
          </rPr>
          <t>&lt;[[TCDeals] - [TC Property Current Stage (Seq: 1)] - [Buildings (Seq: 36)] Acq PIS Date - Both]&gt;</t>
        </r>
      </text>
    </comment>
    <comment ref="Q1217" authorId="0" shapeId="0" xr:uid="{B67FE408-9DD3-4916-BF30-F698AF655F12}">
      <text>
        <r>
          <rPr>
            <b/>
            <sz val="9"/>
            <color indexed="81"/>
            <rFont val="Tahoma"/>
            <family val="2"/>
          </rPr>
          <t>&lt;[[TCDeals] - [TC Property Current Stage (Seq: 1)] - [Buildings (Seq: 36)] Acq Applicable Percentage - Both]&gt;</t>
        </r>
      </text>
    </comment>
    <comment ref="R1217" authorId="0" shapeId="0" xr:uid="{9AE39AD2-AB13-4E0B-9249-FA88B3700994}">
      <text>
        <r>
          <rPr>
            <b/>
            <sz val="9"/>
            <color indexed="81"/>
            <rFont val="Tahoma"/>
            <family val="2"/>
          </rPr>
          <t>&lt;[[TCDeals] - [TC Property Current Stage (Seq: 1)] - [Buildings (Seq: 36)] Acq Est Qual Basis - Both]&gt;</t>
        </r>
      </text>
    </comment>
    <comment ref="S1217" authorId="0" shapeId="0" xr:uid="{1220915D-5ACB-427C-A559-E9330EF72C81}">
      <text>
        <r>
          <rPr>
            <b/>
            <sz val="9"/>
            <color indexed="81"/>
            <rFont val="Tahoma"/>
            <family val="2"/>
          </rPr>
          <t>&lt;[[TCDeals] - [TC Property Current Stage (Seq: 1)] - [Buildings (Seq: 36)] Acq 8609 Basis - Both]&gt;</t>
        </r>
      </text>
    </comment>
    <comment ref="T1217" authorId="0" shapeId="0" xr:uid="{7598ED89-9021-4C44-991A-765A848D89CF}">
      <text>
        <r>
          <rPr>
            <b/>
            <sz val="9"/>
            <color indexed="81"/>
            <rFont val="Tahoma"/>
            <family val="2"/>
          </rPr>
          <t>&lt;[[TCDeals] - [TC Property Current Stage (Seq: 1)] - [Buildings (Seq: 36)] Acq 8609 Credit - Both]&gt;</t>
        </r>
      </text>
    </comment>
    <comment ref="C1218" authorId="0" shapeId="0" xr:uid="{4E867309-4F7E-4041-B5E6-5E8A5678F753}">
      <text>
        <r>
          <rPr>
            <b/>
            <sz val="9"/>
            <color indexed="81"/>
            <rFont val="Tahoma"/>
            <family val="2"/>
          </rPr>
          <t>&lt;[[TCDeals] - [TC Property Current Stage (Seq: 1)] - [Buildings (Seq: 37)] BIN - Both]&gt;</t>
        </r>
      </text>
    </comment>
    <comment ref="D1218" authorId="0" shapeId="0" xr:uid="{097A20EC-799B-499B-BE27-55E0598FA1CA}">
      <text>
        <r>
          <rPr>
            <b/>
            <sz val="9"/>
            <color indexed="81"/>
            <rFont val="Tahoma"/>
            <family val="2"/>
          </rPr>
          <t>&lt;[[TCDeals] - [TC Property Current Stage (Seq: 1)] - [Buildings (Seq: 37)] Address 1 - Both]&gt;</t>
        </r>
      </text>
    </comment>
    <comment ref="E1218" authorId="0" shapeId="0" xr:uid="{CFB4AD94-77B8-4505-AB48-B495606C1CA0}">
      <text>
        <r>
          <rPr>
            <b/>
            <sz val="9"/>
            <color indexed="81"/>
            <rFont val="Tahoma"/>
            <family val="2"/>
          </rPr>
          <t>&lt;[[TCDeals] - [TC Property Current Stage (Seq: 1)] - [Buildings (Seq: 37)] Num TC Units - Both]&gt;</t>
        </r>
      </text>
    </comment>
    <comment ref="F1218" authorId="0" shapeId="0" xr:uid="{E718781E-5BCD-404C-BA2D-8FBB7982BD13}">
      <text>
        <r>
          <rPr>
            <b/>
            <sz val="9"/>
            <color indexed="81"/>
            <rFont val="Tahoma"/>
            <family val="2"/>
          </rPr>
          <t>&lt;[[TCDeals] - [TC Property Current Stage (Seq: 1)] - [Buildings (Seq: 37)] PVC PIS Date - Both]&gt;</t>
        </r>
      </text>
    </comment>
    <comment ref="G1218" authorId="0" shapeId="0" xr:uid="{3586EB27-E7CB-4D10-97FA-F53E587895A3}">
      <text>
        <r>
          <rPr>
            <b/>
            <sz val="9"/>
            <color indexed="81"/>
            <rFont val="Tahoma"/>
            <family val="2"/>
          </rPr>
          <t>&lt;[[TCDeals] - [TC Property Current Stage (Seq: 1)] - [Buildings (Seq: 37)] PVC Applicable Percentage - Both]&gt;</t>
        </r>
      </text>
    </comment>
    <comment ref="H1218" authorId="0" shapeId="0" xr:uid="{59D94CBC-D910-4C03-8889-CF912CBD3A11}">
      <text>
        <r>
          <rPr>
            <b/>
            <sz val="9"/>
            <color indexed="81"/>
            <rFont val="Tahoma"/>
            <family val="2"/>
          </rPr>
          <t>&lt;[[TCDeals] - [TC Property Current Stage (Seq: 1)] - [Buildings (Seq: 37)] PVC Est Qual Basis - Both]&gt;</t>
        </r>
      </text>
    </comment>
    <comment ref="I1218" authorId="0" shapeId="0" xr:uid="{AA02F2CE-7BC2-4207-B52F-EF02CD731C17}">
      <text>
        <r>
          <rPr>
            <b/>
            <sz val="9"/>
            <color indexed="81"/>
            <rFont val="Tahoma"/>
            <family val="2"/>
          </rPr>
          <t>&lt;[[TCDeals] - [TC Property Current Stage (Seq: 1)] - [Buildings (Seq: 37)] PVC8609 Basis - Both]&gt;</t>
        </r>
      </text>
    </comment>
    <comment ref="J1218" authorId="0" shapeId="0" xr:uid="{A15CAB91-D96C-4CED-8FB1-FFEA3AE53351}">
      <text>
        <r>
          <rPr>
            <b/>
            <sz val="9"/>
            <color indexed="81"/>
            <rFont val="Tahoma"/>
            <family val="2"/>
          </rPr>
          <t>&lt;[[TCDeals] - [TC Property Current Stage (Seq: 1)] - [Buildings (Seq: 37)] PVC8609 Credit - Both]&gt;</t>
        </r>
      </text>
    </comment>
    <comment ref="K1218" authorId="0" shapeId="0" xr:uid="{BBE01E29-1E8C-4B01-82A7-50C0DAAB3D6F}">
      <text>
        <r>
          <rPr>
            <b/>
            <sz val="9"/>
            <color indexed="81"/>
            <rFont val="Tahoma"/>
            <family val="2"/>
          </rPr>
          <t>&lt;[[TCDeals] - [TC Property Current Stage (Seq: 1)] - [Buildings (Seq: 37)] Constr PIS Date - Both]&gt;</t>
        </r>
      </text>
    </comment>
    <comment ref="L1218" authorId="0" shapeId="0" xr:uid="{84B3EA6D-663F-46EF-8E1D-80B2C2B8ADE5}">
      <text>
        <r>
          <rPr>
            <b/>
            <sz val="9"/>
            <color indexed="81"/>
            <rFont val="Tahoma"/>
            <family val="2"/>
          </rPr>
          <t>&lt;[[TCDeals] - [TC Property Current Stage (Seq: 1)] - [Buildings (Seq: 37)] Constr Applicable Percentage - Both]&gt;</t>
        </r>
      </text>
    </comment>
    <comment ref="M1218" authorId="0" shapeId="0" xr:uid="{EE1D6B2E-5CEC-437E-BD8D-A0CC7684BBC4}">
      <text>
        <r>
          <rPr>
            <b/>
            <sz val="9"/>
            <color indexed="81"/>
            <rFont val="Tahoma"/>
            <family val="2"/>
          </rPr>
          <t>&lt;[[TCDeals] - [TC Property Current Stage (Seq: 1)] - [Buildings (Seq: 37)] Constr Est Qual Basis - Both]&gt;</t>
        </r>
      </text>
    </comment>
    <comment ref="N1218" authorId="0" shapeId="0" xr:uid="{A4D2A65A-7133-4618-A405-F7BDB6EF4702}">
      <text>
        <r>
          <rPr>
            <b/>
            <sz val="9"/>
            <color indexed="81"/>
            <rFont val="Tahoma"/>
            <family val="2"/>
          </rPr>
          <t>&lt;[[TCDeals] - [TC Property Current Stage (Seq: 1)] - [Buildings (Seq: 37)] Constr 8609 Basis - Both]&gt;</t>
        </r>
      </text>
    </comment>
    <comment ref="O1218" authorId="0" shapeId="0" xr:uid="{B68805FA-D734-4045-A43A-9A5CE8E4DC36}">
      <text>
        <r>
          <rPr>
            <b/>
            <sz val="9"/>
            <color indexed="81"/>
            <rFont val="Tahoma"/>
            <family val="2"/>
          </rPr>
          <t>&lt;[[TCDeals] - [TC Property Current Stage (Seq: 1)] - [Buildings (Seq: 37)] Constr 8609 Credit - Both]&gt;</t>
        </r>
      </text>
    </comment>
    <comment ref="P1218" authorId="0" shapeId="0" xr:uid="{1A16FD35-0BB5-461C-86E7-27B66BE16603}">
      <text>
        <r>
          <rPr>
            <b/>
            <sz val="9"/>
            <color indexed="81"/>
            <rFont val="Tahoma"/>
            <family val="2"/>
          </rPr>
          <t>&lt;[[TCDeals] - [TC Property Current Stage (Seq: 1)] - [Buildings (Seq: 37)] Acq PIS Date - Both]&gt;</t>
        </r>
      </text>
    </comment>
    <comment ref="Q1218" authorId="0" shapeId="0" xr:uid="{C2D65610-FF9C-47A1-BF56-618231999C7F}">
      <text>
        <r>
          <rPr>
            <b/>
            <sz val="9"/>
            <color indexed="81"/>
            <rFont val="Tahoma"/>
            <family val="2"/>
          </rPr>
          <t>&lt;[[TCDeals] - [TC Property Current Stage (Seq: 1)] - [Buildings (Seq: 37)] Acq Applicable Percentage - Both]&gt;</t>
        </r>
      </text>
    </comment>
    <comment ref="R1218" authorId="0" shapeId="0" xr:uid="{847DF51F-171E-4AF3-82FF-14EF1198AAEA}">
      <text>
        <r>
          <rPr>
            <b/>
            <sz val="9"/>
            <color indexed="81"/>
            <rFont val="Tahoma"/>
            <family val="2"/>
          </rPr>
          <t>&lt;[[TCDeals] - [TC Property Current Stage (Seq: 1)] - [Buildings (Seq: 37)] Acq Est Qual Basis - Both]&gt;</t>
        </r>
      </text>
    </comment>
    <comment ref="S1218" authorId="0" shapeId="0" xr:uid="{06C47240-11C7-4DB4-860B-AC9342580853}">
      <text>
        <r>
          <rPr>
            <b/>
            <sz val="9"/>
            <color indexed="81"/>
            <rFont val="Tahoma"/>
            <family val="2"/>
          </rPr>
          <t>&lt;[[TCDeals] - [TC Property Current Stage (Seq: 1)] - [Buildings (Seq: 37)] Acq 8609 Basis - Both]&gt;</t>
        </r>
      </text>
    </comment>
    <comment ref="T1218" authorId="0" shapeId="0" xr:uid="{BE02FD56-8E68-4ACF-AD4B-58E362290FBA}">
      <text>
        <r>
          <rPr>
            <b/>
            <sz val="9"/>
            <color indexed="81"/>
            <rFont val="Tahoma"/>
            <family val="2"/>
          </rPr>
          <t>&lt;[[TCDeals] - [TC Property Current Stage (Seq: 1)] - [Buildings (Seq: 37)] Acq 8609 Credit - Both]&gt;</t>
        </r>
      </text>
    </comment>
    <comment ref="C1219" authorId="0" shapeId="0" xr:uid="{B5B8F896-E174-4E95-91B1-ED8C7E38A271}">
      <text>
        <r>
          <rPr>
            <b/>
            <sz val="9"/>
            <color indexed="81"/>
            <rFont val="Tahoma"/>
            <family val="2"/>
          </rPr>
          <t>&lt;[[TCDeals] - [TC Property Current Stage (Seq: 1)] - [Buildings (Seq: 38)] BIN - Both]&gt;</t>
        </r>
      </text>
    </comment>
    <comment ref="D1219" authorId="0" shapeId="0" xr:uid="{E74C89D8-252C-47D8-A5C0-C6869E6E0DFC}">
      <text>
        <r>
          <rPr>
            <b/>
            <sz val="9"/>
            <color indexed="81"/>
            <rFont val="Tahoma"/>
            <family val="2"/>
          </rPr>
          <t>&lt;[[TCDeals] - [TC Property Current Stage (Seq: 1)] - [Buildings (Seq: 38)] Address 1 - Both]&gt;</t>
        </r>
      </text>
    </comment>
    <comment ref="E1219" authorId="0" shapeId="0" xr:uid="{D0FEBE19-0C3E-40A2-8CAE-BF947FAC8A68}">
      <text>
        <r>
          <rPr>
            <b/>
            <sz val="9"/>
            <color indexed="81"/>
            <rFont val="Tahoma"/>
            <family val="2"/>
          </rPr>
          <t>&lt;[[TCDeals] - [TC Property Current Stage (Seq: 1)] - [Buildings (Seq: 38)] Num TC Units - Both]&gt;</t>
        </r>
      </text>
    </comment>
    <comment ref="F1219" authorId="0" shapeId="0" xr:uid="{3A7A043B-38FA-4FED-A214-0674B4AAFCE3}">
      <text>
        <r>
          <rPr>
            <b/>
            <sz val="9"/>
            <color indexed="81"/>
            <rFont val="Tahoma"/>
            <family val="2"/>
          </rPr>
          <t>&lt;[[TCDeals] - [TC Property Current Stage (Seq: 1)] - [Buildings (Seq: 38)] PVC PIS Date - Both]&gt;</t>
        </r>
      </text>
    </comment>
    <comment ref="G1219" authorId="0" shapeId="0" xr:uid="{DEE225A8-3421-4619-9B40-7446DFFED8F3}">
      <text>
        <r>
          <rPr>
            <b/>
            <sz val="9"/>
            <color indexed="81"/>
            <rFont val="Tahoma"/>
            <family val="2"/>
          </rPr>
          <t>&lt;[[TCDeals] - [TC Property Current Stage (Seq: 1)] - [Buildings (Seq: 38)] PVC Applicable Percentage - Both]&gt;</t>
        </r>
      </text>
    </comment>
    <comment ref="H1219" authorId="0" shapeId="0" xr:uid="{AD9A2F6C-A20B-4B03-835F-602A4F8DFF9D}">
      <text>
        <r>
          <rPr>
            <b/>
            <sz val="9"/>
            <color indexed="81"/>
            <rFont val="Tahoma"/>
            <family val="2"/>
          </rPr>
          <t>&lt;[[TCDeals] - [TC Property Current Stage (Seq: 1)] - [Buildings (Seq: 38)] PVC Est Qual Basis - Both]&gt;</t>
        </r>
      </text>
    </comment>
    <comment ref="I1219" authorId="0" shapeId="0" xr:uid="{52AA211D-C477-43D6-8A8E-C6190C7E8E81}">
      <text>
        <r>
          <rPr>
            <b/>
            <sz val="9"/>
            <color indexed="81"/>
            <rFont val="Tahoma"/>
            <family val="2"/>
          </rPr>
          <t>&lt;[[TCDeals] - [TC Property Current Stage (Seq: 1)] - [Buildings (Seq: 38)] PVC8609 Basis - Both]&gt;</t>
        </r>
      </text>
    </comment>
    <comment ref="J1219" authorId="0" shapeId="0" xr:uid="{74B0215E-0F94-44EC-BF41-2CD017C0E08C}">
      <text>
        <r>
          <rPr>
            <b/>
            <sz val="9"/>
            <color indexed="81"/>
            <rFont val="Tahoma"/>
            <family val="2"/>
          </rPr>
          <t>&lt;[[TCDeals] - [TC Property Current Stage (Seq: 1)] - [Buildings (Seq: 38)] PVC8609 Credit - Both]&gt;</t>
        </r>
      </text>
    </comment>
    <comment ref="K1219" authorId="0" shapeId="0" xr:uid="{C4262977-8E9A-4DD2-A27C-B93B70EAB691}">
      <text>
        <r>
          <rPr>
            <b/>
            <sz val="9"/>
            <color indexed="81"/>
            <rFont val="Tahoma"/>
            <family val="2"/>
          </rPr>
          <t>&lt;[[TCDeals] - [TC Property Current Stage (Seq: 1)] - [Buildings (Seq: 38)] Constr PIS Date - Both]&gt;</t>
        </r>
      </text>
    </comment>
    <comment ref="L1219" authorId="0" shapeId="0" xr:uid="{0BD8C039-7691-4F4F-A82C-1387114FAD6E}">
      <text>
        <r>
          <rPr>
            <b/>
            <sz val="9"/>
            <color indexed="81"/>
            <rFont val="Tahoma"/>
            <family val="2"/>
          </rPr>
          <t>&lt;[[TCDeals] - [TC Property Current Stage (Seq: 1)] - [Buildings (Seq: 38)] Constr Applicable Percentage - Both]&gt;</t>
        </r>
      </text>
    </comment>
    <comment ref="M1219" authorId="0" shapeId="0" xr:uid="{77CB3E01-F90A-44D6-97DD-61895E63A1BC}">
      <text>
        <r>
          <rPr>
            <b/>
            <sz val="9"/>
            <color indexed="81"/>
            <rFont val="Tahoma"/>
            <family val="2"/>
          </rPr>
          <t>&lt;[[TCDeals] - [TC Property Current Stage (Seq: 1)] - [Buildings (Seq: 38)] Constr Est Qual Basis - Both]&gt;</t>
        </r>
      </text>
    </comment>
    <comment ref="N1219" authorId="0" shapeId="0" xr:uid="{FE44C96A-E0C7-435E-8394-44B0FCC77FF1}">
      <text>
        <r>
          <rPr>
            <b/>
            <sz val="9"/>
            <color indexed="81"/>
            <rFont val="Tahoma"/>
            <family val="2"/>
          </rPr>
          <t>&lt;[[TCDeals] - [TC Property Current Stage (Seq: 1)] - [Buildings (Seq: 38)] Constr 8609 Basis - Both]&gt;</t>
        </r>
      </text>
    </comment>
    <comment ref="O1219" authorId="0" shapeId="0" xr:uid="{9F5F7829-874F-484B-95AF-AF9A48CA7B4F}">
      <text>
        <r>
          <rPr>
            <b/>
            <sz val="9"/>
            <color indexed="81"/>
            <rFont val="Tahoma"/>
            <family val="2"/>
          </rPr>
          <t>&lt;[[TCDeals] - [TC Property Current Stage (Seq: 1)] - [Buildings (Seq: 38)] Constr 8609 Credit - Both]&gt;</t>
        </r>
      </text>
    </comment>
    <comment ref="P1219" authorId="0" shapeId="0" xr:uid="{ED1EC9B7-08F8-46F9-B213-03D980A1717F}">
      <text>
        <r>
          <rPr>
            <b/>
            <sz val="9"/>
            <color indexed="81"/>
            <rFont val="Tahoma"/>
            <family val="2"/>
          </rPr>
          <t>&lt;[[TCDeals] - [TC Property Current Stage (Seq: 1)] - [Buildings (Seq: 38)] Acq PIS Date - Both]&gt;</t>
        </r>
      </text>
    </comment>
    <comment ref="Q1219" authorId="0" shapeId="0" xr:uid="{63996A16-6255-401E-9C58-9AA168066ED2}">
      <text>
        <r>
          <rPr>
            <b/>
            <sz val="9"/>
            <color indexed="81"/>
            <rFont val="Tahoma"/>
            <family val="2"/>
          </rPr>
          <t>&lt;[[TCDeals] - [TC Property Current Stage (Seq: 1)] - [Buildings (Seq: 38)] Acq Applicable Percentage - Both]&gt;</t>
        </r>
      </text>
    </comment>
    <comment ref="R1219" authorId="0" shapeId="0" xr:uid="{8CB2E7B2-17B6-4E22-8A1A-F5B75C7DBE83}">
      <text>
        <r>
          <rPr>
            <b/>
            <sz val="9"/>
            <color indexed="81"/>
            <rFont val="Tahoma"/>
            <family val="2"/>
          </rPr>
          <t>&lt;[[TCDeals] - [TC Property Current Stage (Seq: 1)] - [Buildings (Seq: 38)] Acq Est Qual Basis - Both]&gt;</t>
        </r>
      </text>
    </comment>
    <comment ref="S1219" authorId="0" shapeId="0" xr:uid="{9D951CD3-F18C-44FB-9459-271DA3BEF582}">
      <text>
        <r>
          <rPr>
            <b/>
            <sz val="9"/>
            <color indexed="81"/>
            <rFont val="Tahoma"/>
            <family val="2"/>
          </rPr>
          <t>&lt;[[TCDeals] - [TC Property Current Stage (Seq: 1)] - [Buildings (Seq: 38)] Acq 8609 Basis - Both]&gt;</t>
        </r>
      </text>
    </comment>
    <comment ref="T1219" authorId="0" shapeId="0" xr:uid="{98AACF6F-B7B6-4B05-A2AC-7153ABA77BBD}">
      <text>
        <r>
          <rPr>
            <b/>
            <sz val="9"/>
            <color indexed="81"/>
            <rFont val="Tahoma"/>
            <family val="2"/>
          </rPr>
          <t>&lt;[[TCDeals] - [TC Property Current Stage (Seq: 1)] - [Buildings (Seq: 38)] Acq 8609 Credit - Both]&gt;</t>
        </r>
      </text>
    </comment>
    <comment ref="C1220" authorId="0" shapeId="0" xr:uid="{B148FF0E-FC27-43A5-9E6B-4D82F91CBA8B}">
      <text>
        <r>
          <rPr>
            <b/>
            <sz val="9"/>
            <color indexed="81"/>
            <rFont val="Tahoma"/>
            <family val="2"/>
          </rPr>
          <t>&lt;[[TCDeals] - [TC Property Current Stage (Seq: 1)] - [Buildings (Seq: 39)] BIN - Both]&gt;</t>
        </r>
      </text>
    </comment>
    <comment ref="D1220" authorId="0" shapeId="0" xr:uid="{C5E721CB-EF14-4F76-A7F6-34BA16C1F163}">
      <text>
        <r>
          <rPr>
            <b/>
            <sz val="9"/>
            <color indexed="81"/>
            <rFont val="Tahoma"/>
            <family val="2"/>
          </rPr>
          <t>&lt;[[TCDeals] - [TC Property Current Stage (Seq: 1)] - [Buildings (Seq: 39)] Address 1 - Both]&gt;</t>
        </r>
      </text>
    </comment>
    <comment ref="E1220" authorId="0" shapeId="0" xr:uid="{27ADE18A-FD67-48F2-8FAC-EAEA37A163A7}">
      <text>
        <r>
          <rPr>
            <b/>
            <sz val="9"/>
            <color indexed="81"/>
            <rFont val="Tahoma"/>
            <family val="2"/>
          </rPr>
          <t>&lt;[[TCDeals] - [TC Property Current Stage (Seq: 1)] - [Buildings (Seq: 39)] Num TC Units - Both]&gt;</t>
        </r>
      </text>
    </comment>
    <comment ref="F1220" authorId="0" shapeId="0" xr:uid="{3D0334A8-1564-4910-9430-00F9B06597DF}">
      <text>
        <r>
          <rPr>
            <b/>
            <sz val="9"/>
            <color indexed="81"/>
            <rFont val="Tahoma"/>
            <family val="2"/>
          </rPr>
          <t>&lt;[[TCDeals] - [TC Property Current Stage (Seq: 1)] - [Buildings (Seq: 39)] PVC PIS Date - Both]&gt;</t>
        </r>
      </text>
    </comment>
    <comment ref="G1220" authorId="0" shapeId="0" xr:uid="{FFEDC95F-9E84-4E2E-9202-1DEEB589D989}">
      <text>
        <r>
          <rPr>
            <b/>
            <sz val="9"/>
            <color indexed="81"/>
            <rFont val="Tahoma"/>
            <family val="2"/>
          </rPr>
          <t>&lt;[[TCDeals] - [TC Property Current Stage (Seq: 1)] - [Buildings (Seq: 39)] PVC Applicable Percentage - Both]&gt;</t>
        </r>
      </text>
    </comment>
    <comment ref="H1220" authorId="0" shapeId="0" xr:uid="{0F321493-355C-4882-B27E-63B02F8167FE}">
      <text>
        <r>
          <rPr>
            <b/>
            <sz val="9"/>
            <color indexed="81"/>
            <rFont val="Tahoma"/>
            <family val="2"/>
          </rPr>
          <t>&lt;[[TCDeals] - [TC Property Current Stage (Seq: 1)] - [Buildings (Seq: 39)] PVC Est Qual Basis - Both]&gt;</t>
        </r>
      </text>
    </comment>
    <comment ref="I1220" authorId="0" shapeId="0" xr:uid="{2261A7A4-6BE6-4E2F-8875-4EDBD2707E35}">
      <text>
        <r>
          <rPr>
            <b/>
            <sz val="9"/>
            <color indexed="81"/>
            <rFont val="Tahoma"/>
            <family val="2"/>
          </rPr>
          <t>&lt;[[TCDeals] - [TC Property Current Stage (Seq: 1)] - [Buildings (Seq: 39)] PVC8609 Basis - Both]&gt;</t>
        </r>
      </text>
    </comment>
    <comment ref="J1220" authorId="0" shapeId="0" xr:uid="{01390016-6805-4856-B1E6-44D64DDC9A0E}">
      <text>
        <r>
          <rPr>
            <b/>
            <sz val="9"/>
            <color indexed="81"/>
            <rFont val="Tahoma"/>
            <family val="2"/>
          </rPr>
          <t>&lt;[[TCDeals] - [TC Property Current Stage (Seq: 1)] - [Buildings (Seq: 39)] PVC8609 Credit - Both]&gt;</t>
        </r>
      </text>
    </comment>
    <comment ref="K1220" authorId="0" shapeId="0" xr:uid="{2D017336-8A3F-4968-A970-6934290DDEA3}">
      <text>
        <r>
          <rPr>
            <b/>
            <sz val="9"/>
            <color indexed="81"/>
            <rFont val="Tahoma"/>
            <family val="2"/>
          </rPr>
          <t>&lt;[[TCDeals] - [TC Property Current Stage (Seq: 1)] - [Buildings (Seq: 39)] Constr PIS Date - Both]&gt;</t>
        </r>
      </text>
    </comment>
    <comment ref="L1220" authorId="0" shapeId="0" xr:uid="{59D3659C-3772-4046-A67C-2310475A318D}">
      <text>
        <r>
          <rPr>
            <b/>
            <sz val="9"/>
            <color indexed="81"/>
            <rFont val="Tahoma"/>
            <family val="2"/>
          </rPr>
          <t>&lt;[[TCDeals] - [TC Property Current Stage (Seq: 1)] - [Buildings (Seq: 39)] Constr Applicable Percentage - Both]&gt;</t>
        </r>
      </text>
    </comment>
    <comment ref="M1220" authorId="0" shapeId="0" xr:uid="{3E648204-DCCC-4917-B0BA-3A684FF88A85}">
      <text>
        <r>
          <rPr>
            <b/>
            <sz val="9"/>
            <color indexed="81"/>
            <rFont val="Tahoma"/>
            <family val="2"/>
          </rPr>
          <t>&lt;[[TCDeals] - [TC Property Current Stage (Seq: 1)] - [Buildings (Seq: 39)] Constr Est Qual Basis - Both]&gt;</t>
        </r>
      </text>
    </comment>
    <comment ref="N1220" authorId="0" shapeId="0" xr:uid="{6ED98C68-EB79-4ABE-8A47-6EE14633235F}">
      <text>
        <r>
          <rPr>
            <b/>
            <sz val="9"/>
            <color indexed="81"/>
            <rFont val="Tahoma"/>
            <family val="2"/>
          </rPr>
          <t>&lt;[[TCDeals] - [TC Property Current Stage (Seq: 1)] - [Buildings (Seq: 39)] Constr 8609 Basis - Both]&gt;</t>
        </r>
      </text>
    </comment>
    <comment ref="O1220" authorId="0" shapeId="0" xr:uid="{2FCF0BAD-EF4C-4CDC-8F21-F78005847E3B}">
      <text>
        <r>
          <rPr>
            <b/>
            <sz val="9"/>
            <color indexed="81"/>
            <rFont val="Tahoma"/>
            <family val="2"/>
          </rPr>
          <t>&lt;[[TCDeals] - [TC Property Current Stage (Seq: 1)] - [Buildings (Seq: 39)] Constr 8609 Credit - Both]&gt;</t>
        </r>
      </text>
    </comment>
    <comment ref="P1220" authorId="0" shapeId="0" xr:uid="{538E7B46-8D47-4003-BFBF-627E488995A8}">
      <text>
        <r>
          <rPr>
            <b/>
            <sz val="9"/>
            <color indexed="81"/>
            <rFont val="Tahoma"/>
            <family val="2"/>
          </rPr>
          <t>&lt;[[TCDeals] - [TC Property Current Stage (Seq: 1)] - [Buildings (Seq: 39)] Acq PIS Date - Both]&gt;</t>
        </r>
      </text>
    </comment>
    <comment ref="Q1220" authorId="0" shapeId="0" xr:uid="{B235FAEF-49F4-4326-93B3-CDA7E7B7F3AB}">
      <text>
        <r>
          <rPr>
            <b/>
            <sz val="9"/>
            <color indexed="81"/>
            <rFont val="Tahoma"/>
            <family val="2"/>
          </rPr>
          <t>&lt;[[TCDeals] - [TC Property Current Stage (Seq: 1)] - [Buildings (Seq: 39)] Acq Applicable Percentage - Both]&gt;</t>
        </r>
      </text>
    </comment>
    <comment ref="R1220" authorId="0" shapeId="0" xr:uid="{E2ABD4CB-98C4-413E-9D45-20C4AE583CD7}">
      <text>
        <r>
          <rPr>
            <b/>
            <sz val="9"/>
            <color indexed="81"/>
            <rFont val="Tahoma"/>
            <family val="2"/>
          </rPr>
          <t>&lt;[[TCDeals] - [TC Property Current Stage (Seq: 1)] - [Buildings (Seq: 39)] Acq Est Qual Basis - Both]&gt;</t>
        </r>
      </text>
    </comment>
    <comment ref="S1220" authorId="0" shapeId="0" xr:uid="{77E931E5-F5C7-4C9D-96A1-2AD53D0AC83B}">
      <text>
        <r>
          <rPr>
            <b/>
            <sz val="9"/>
            <color indexed="81"/>
            <rFont val="Tahoma"/>
            <family val="2"/>
          </rPr>
          <t>&lt;[[TCDeals] - [TC Property Current Stage (Seq: 1)] - [Buildings (Seq: 39)] Acq 8609 Basis - Both]&gt;</t>
        </r>
      </text>
    </comment>
    <comment ref="T1220" authorId="0" shapeId="0" xr:uid="{3E50D1B1-F6C0-4E3F-9965-37A6CAECCD89}">
      <text>
        <r>
          <rPr>
            <b/>
            <sz val="9"/>
            <color indexed="81"/>
            <rFont val="Tahoma"/>
            <family val="2"/>
          </rPr>
          <t>&lt;[[TCDeals] - [TC Property Current Stage (Seq: 1)] - [Buildings (Seq: 39)] Acq 8609 Credit - Both]&gt;</t>
        </r>
      </text>
    </comment>
    <comment ref="C1221" authorId="0" shapeId="0" xr:uid="{E5E9DD24-FB13-427B-9208-20CB97D85D74}">
      <text>
        <r>
          <rPr>
            <b/>
            <sz val="9"/>
            <color indexed="81"/>
            <rFont val="Tahoma"/>
            <family val="2"/>
          </rPr>
          <t>&lt;[[TCDeals] - [TC Property Current Stage (Seq: 1)] - [Buildings (Seq: 40)] BIN - Both]&gt;</t>
        </r>
      </text>
    </comment>
    <comment ref="D1221" authorId="0" shapeId="0" xr:uid="{061895DA-844F-4231-8598-BA6DF1B0B427}">
      <text>
        <r>
          <rPr>
            <b/>
            <sz val="9"/>
            <color indexed="81"/>
            <rFont val="Tahoma"/>
            <family val="2"/>
          </rPr>
          <t>&lt;[[TCDeals] - [TC Property Current Stage (Seq: 1)] - [Buildings (Seq: 40)] Address 1 - Both]&gt;</t>
        </r>
      </text>
    </comment>
    <comment ref="E1221" authorId="0" shapeId="0" xr:uid="{681D1B6B-807E-4AFC-8DEF-2E4D640DA0EC}">
      <text>
        <r>
          <rPr>
            <b/>
            <sz val="9"/>
            <color indexed="81"/>
            <rFont val="Tahoma"/>
            <family val="2"/>
          </rPr>
          <t>&lt;[[TCDeals] - [TC Property Current Stage (Seq: 1)] - [Buildings (Seq: 40)] Num TC Units - Both]&gt;</t>
        </r>
      </text>
    </comment>
    <comment ref="F1221" authorId="0" shapeId="0" xr:uid="{0A7E3F49-00C0-428B-BD28-3238A837D7A3}">
      <text>
        <r>
          <rPr>
            <b/>
            <sz val="9"/>
            <color indexed="81"/>
            <rFont val="Tahoma"/>
            <family val="2"/>
          </rPr>
          <t>&lt;[[TCDeals] - [TC Property Current Stage (Seq: 1)] - [Buildings (Seq: 40)] PVC PIS Date - Both]&gt;</t>
        </r>
      </text>
    </comment>
    <comment ref="G1221" authorId="0" shapeId="0" xr:uid="{9E9327B7-02AE-4F13-9868-1DC6BBC59A97}">
      <text>
        <r>
          <rPr>
            <b/>
            <sz val="9"/>
            <color indexed="81"/>
            <rFont val="Tahoma"/>
            <family val="2"/>
          </rPr>
          <t>&lt;[[TCDeals] - [TC Property Current Stage (Seq: 1)] - [Buildings (Seq: 40)] PVC Applicable Percentage - Both]&gt;</t>
        </r>
      </text>
    </comment>
    <comment ref="H1221" authorId="0" shapeId="0" xr:uid="{F0DCBB23-5EDA-4D33-9369-6FDBD82277F4}">
      <text>
        <r>
          <rPr>
            <b/>
            <sz val="9"/>
            <color indexed="81"/>
            <rFont val="Tahoma"/>
            <family val="2"/>
          </rPr>
          <t>&lt;[[TCDeals] - [TC Property Current Stage (Seq: 1)] - [Buildings (Seq: 40)] PVC Est Qual Basis - Both]&gt;</t>
        </r>
      </text>
    </comment>
    <comment ref="I1221" authorId="0" shapeId="0" xr:uid="{51D9EB79-448D-475F-BC1C-F11308C7AFF9}">
      <text>
        <r>
          <rPr>
            <b/>
            <sz val="9"/>
            <color indexed="81"/>
            <rFont val="Tahoma"/>
            <family val="2"/>
          </rPr>
          <t>&lt;[[TCDeals] - [TC Property Current Stage (Seq: 1)] - [Buildings (Seq: 40)] PVC8609 Basis - Both]&gt;</t>
        </r>
      </text>
    </comment>
    <comment ref="J1221" authorId="0" shapeId="0" xr:uid="{7F5BA488-15B2-4E3B-8D72-7AEA5D371703}">
      <text>
        <r>
          <rPr>
            <b/>
            <sz val="9"/>
            <color indexed="81"/>
            <rFont val="Tahoma"/>
            <family val="2"/>
          </rPr>
          <t>&lt;[[TCDeals] - [TC Property Current Stage (Seq: 1)] - [Buildings (Seq: 40)] PVC8609 Credit - Both]&gt;</t>
        </r>
      </text>
    </comment>
    <comment ref="K1221" authorId="0" shapeId="0" xr:uid="{67E03592-4B0C-4C8B-809E-537DD03147C7}">
      <text>
        <r>
          <rPr>
            <b/>
            <sz val="9"/>
            <color indexed="81"/>
            <rFont val="Tahoma"/>
            <family val="2"/>
          </rPr>
          <t>&lt;[[TCDeals] - [TC Property Current Stage (Seq: 1)] - [Buildings (Seq: 40)] Constr PIS Date - Both]&gt;</t>
        </r>
      </text>
    </comment>
    <comment ref="L1221" authorId="0" shapeId="0" xr:uid="{22722B72-9EA3-4181-AE97-01CD9057891E}">
      <text>
        <r>
          <rPr>
            <b/>
            <sz val="9"/>
            <color indexed="81"/>
            <rFont val="Tahoma"/>
            <family val="2"/>
          </rPr>
          <t>&lt;[[TCDeals] - [TC Property Current Stage (Seq: 1)] - [Buildings (Seq: 40)] Constr Applicable Percentage - Both]&gt;</t>
        </r>
      </text>
    </comment>
    <comment ref="M1221" authorId="0" shapeId="0" xr:uid="{5CDEDB82-8B0A-4F48-9C8F-CB6E91D9425B}">
      <text>
        <r>
          <rPr>
            <b/>
            <sz val="9"/>
            <color indexed="81"/>
            <rFont val="Tahoma"/>
            <family val="2"/>
          </rPr>
          <t>&lt;[[TCDeals] - [TC Property Current Stage (Seq: 1)] - [Buildings (Seq: 40)] Constr Est Qual Basis - Both]&gt;</t>
        </r>
      </text>
    </comment>
    <comment ref="N1221" authorId="0" shapeId="0" xr:uid="{0F0A0463-46AA-42A3-8D24-D41EAD007DCF}">
      <text>
        <r>
          <rPr>
            <b/>
            <sz val="9"/>
            <color indexed="81"/>
            <rFont val="Tahoma"/>
            <family val="2"/>
          </rPr>
          <t>&lt;[[TCDeals] - [TC Property Current Stage (Seq: 1)] - [Buildings (Seq: 40)] Constr 8609 Basis - Both]&gt;</t>
        </r>
      </text>
    </comment>
    <comment ref="O1221" authorId="0" shapeId="0" xr:uid="{64A72410-FFB4-475E-AB26-AED0C252FEEA}">
      <text>
        <r>
          <rPr>
            <b/>
            <sz val="9"/>
            <color indexed="81"/>
            <rFont val="Tahoma"/>
            <family val="2"/>
          </rPr>
          <t>&lt;[[TCDeals] - [TC Property Current Stage (Seq: 1)] - [Buildings (Seq: 40)] Constr 8609 Credit - Both]&gt;</t>
        </r>
      </text>
    </comment>
    <comment ref="P1221" authorId="0" shapeId="0" xr:uid="{4BD862FB-9576-422E-A6B0-DE0D3A8BD6BA}">
      <text>
        <r>
          <rPr>
            <b/>
            <sz val="9"/>
            <color indexed="81"/>
            <rFont val="Tahoma"/>
            <family val="2"/>
          </rPr>
          <t>&lt;[[TCDeals] - [TC Property Current Stage (Seq: 1)] - [Buildings (Seq: 40)] Acq PIS Date - Both]&gt;</t>
        </r>
      </text>
    </comment>
    <comment ref="Q1221" authorId="0" shapeId="0" xr:uid="{1A7D48D4-9600-4F6C-AAA6-34826E22D4D6}">
      <text>
        <r>
          <rPr>
            <b/>
            <sz val="9"/>
            <color indexed="81"/>
            <rFont val="Tahoma"/>
            <family val="2"/>
          </rPr>
          <t>&lt;[[TCDeals] - [TC Property Current Stage (Seq: 1)] - [Buildings (Seq: 40)] Acq Applicable Percentage - Both]&gt;</t>
        </r>
      </text>
    </comment>
    <comment ref="R1221" authorId="0" shapeId="0" xr:uid="{080F2455-FE11-4B2C-AF8C-DAAE5B3F3CA1}">
      <text>
        <r>
          <rPr>
            <b/>
            <sz val="9"/>
            <color indexed="81"/>
            <rFont val="Tahoma"/>
            <family val="2"/>
          </rPr>
          <t>&lt;[[TCDeals] - [TC Property Current Stage (Seq: 1)] - [Buildings (Seq: 40)] Acq Est Qual Basis - Both]&gt;</t>
        </r>
      </text>
    </comment>
    <comment ref="S1221" authorId="0" shapeId="0" xr:uid="{4856221B-BF39-4564-8B22-63C1D953A6DF}">
      <text>
        <r>
          <rPr>
            <b/>
            <sz val="9"/>
            <color indexed="81"/>
            <rFont val="Tahoma"/>
            <family val="2"/>
          </rPr>
          <t>&lt;[[TCDeals] - [TC Property Current Stage (Seq: 1)] - [Buildings (Seq: 40)] Acq 8609 Basis - Both]&gt;</t>
        </r>
      </text>
    </comment>
    <comment ref="T1221" authorId="0" shapeId="0" xr:uid="{CD29EB53-9117-44BC-8BB7-4B3AEA2556C9}">
      <text>
        <r>
          <rPr>
            <b/>
            <sz val="9"/>
            <color indexed="81"/>
            <rFont val="Tahoma"/>
            <family val="2"/>
          </rPr>
          <t>&lt;[[TCDeals] - [TC Property Current Stage (Seq: 1)] - [Buildings (Seq: 40)] Acq 8609 Credit - Both]&gt;</t>
        </r>
      </text>
    </comment>
    <comment ref="C1222" authorId="0" shapeId="0" xr:uid="{80462628-A2CF-412E-9605-F8BF1AF6A8DB}">
      <text>
        <r>
          <rPr>
            <b/>
            <sz val="9"/>
            <color indexed="81"/>
            <rFont val="Tahoma"/>
            <family val="2"/>
          </rPr>
          <t>&lt;[[TCDeals] - [TC Property Current Stage (Seq: 1)] - [Buildings (Seq: 41)] BIN - Both]&gt;</t>
        </r>
      </text>
    </comment>
    <comment ref="D1222" authorId="0" shapeId="0" xr:uid="{D09E28D1-8806-43BE-B603-DF04E4FA8787}">
      <text>
        <r>
          <rPr>
            <b/>
            <sz val="9"/>
            <color indexed="81"/>
            <rFont val="Tahoma"/>
            <family val="2"/>
          </rPr>
          <t>&lt;[[TCDeals] - [TC Property Current Stage (Seq: 1)] - [Buildings (Seq: 41)] Address 1 - Both]&gt;</t>
        </r>
      </text>
    </comment>
    <comment ref="E1222" authorId="0" shapeId="0" xr:uid="{D7E598DD-BA08-41E6-A43D-528F065D9AD5}">
      <text>
        <r>
          <rPr>
            <b/>
            <sz val="9"/>
            <color indexed="81"/>
            <rFont val="Tahoma"/>
            <family val="2"/>
          </rPr>
          <t>&lt;[[TCDeals] - [TC Property Current Stage (Seq: 1)] - [Buildings (Seq: 41)] Num TC Units - Both]&gt;</t>
        </r>
      </text>
    </comment>
    <comment ref="F1222" authorId="0" shapeId="0" xr:uid="{F6EBF482-43A7-4C27-B5BA-FEDFD44D89AD}">
      <text>
        <r>
          <rPr>
            <b/>
            <sz val="9"/>
            <color indexed="81"/>
            <rFont val="Tahoma"/>
            <family val="2"/>
          </rPr>
          <t>&lt;[[TCDeals] - [TC Property Current Stage (Seq: 1)] - [Buildings (Seq: 41)] PVC PIS Date - Both]&gt;</t>
        </r>
      </text>
    </comment>
    <comment ref="G1222" authorId="0" shapeId="0" xr:uid="{9895F381-54A4-44E7-8A60-7A7929CBAB80}">
      <text>
        <r>
          <rPr>
            <b/>
            <sz val="9"/>
            <color indexed="81"/>
            <rFont val="Tahoma"/>
            <family val="2"/>
          </rPr>
          <t>&lt;[[TCDeals] - [TC Property Current Stage (Seq: 1)] - [Buildings (Seq: 41)] PVC Applicable Percentage - Both]&gt;</t>
        </r>
      </text>
    </comment>
    <comment ref="H1222" authorId="0" shapeId="0" xr:uid="{355FF483-81AF-44C1-8629-362FC1873E5C}">
      <text>
        <r>
          <rPr>
            <b/>
            <sz val="9"/>
            <color indexed="81"/>
            <rFont val="Tahoma"/>
            <family val="2"/>
          </rPr>
          <t>&lt;[[TCDeals] - [TC Property Current Stage (Seq: 1)] - [Buildings (Seq: 41)] PVC Est Qual Basis - Both]&gt;</t>
        </r>
      </text>
    </comment>
    <comment ref="I1222" authorId="0" shapeId="0" xr:uid="{3BCF449E-8006-42BB-8D52-42B1B71B2AC8}">
      <text>
        <r>
          <rPr>
            <b/>
            <sz val="9"/>
            <color indexed="81"/>
            <rFont val="Tahoma"/>
            <family val="2"/>
          </rPr>
          <t>&lt;[[TCDeals] - [TC Property Current Stage (Seq: 1)] - [Buildings (Seq: 41)] PVC8609 Basis - Both]&gt;</t>
        </r>
      </text>
    </comment>
    <comment ref="J1222" authorId="0" shapeId="0" xr:uid="{0F35BB67-BDD8-4A09-8339-31C4889AAB92}">
      <text>
        <r>
          <rPr>
            <b/>
            <sz val="9"/>
            <color indexed="81"/>
            <rFont val="Tahoma"/>
            <family val="2"/>
          </rPr>
          <t>&lt;[[TCDeals] - [TC Property Current Stage (Seq: 1)] - [Buildings (Seq: 41)] PVC8609 Credit - Both]&gt;</t>
        </r>
      </text>
    </comment>
    <comment ref="K1222" authorId="0" shapeId="0" xr:uid="{BFEB2C14-A965-4518-8E12-E4B5E520C949}">
      <text>
        <r>
          <rPr>
            <b/>
            <sz val="9"/>
            <color indexed="81"/>
            <rFont val="Tahoma"/>
            <family val="2"/>
          </rPr>
          <t>&lt;[[TCDeals] - [TC Property Current Stage (Seq: 1)] - [Buildings (Seq: 41)] Constr PIS Date - Both]&gt;</t>
        </r>
      </text>
    </comment>
    <comment ref="L1222" authorId="0" shapeId="0" xr:uid="{B022D722-6CB5-4BC5-A6A6-9567E9D0268E}">
      <text>
        <r>
          <rPr>
            <b/>
            <sz val="9"/>
            <color indexed="81"/>
            <rFont val="Tahoma"/>
            <family val="2"/>
          </rPr>
          <t>&lt;[[TCDeals] - [TC Property Current Stage (Seq: 1)] - [Buildings (Seq: 41)] Constr Applicable Percentage - Both]&gt;</t>
        </r>
      </text>
    </comment>
    <comment ref="M1222" authorId="0" shapeId="0" xr:uid="{1C607622-4826-4BC7-AD20-F89025E263A2}">
      <text>
        <r>
          <rPr>
            <b/>
            <sz val="9"/>
            <color indexed="81"/>
            <rFont val="Tahoma"/>
            <family val="2"/>
          </rPr>
          <t>&lt;[[TCDeals] - [TC Property Current Stage (Seq: 1)] - [Buildings (Seq: 41)] Constr Est Qual Basis - Both]&gt;</t>
        </r>
      </text>
    </comment>
    <comment ref="N1222" authorId="0" shapeId="0" xr:uid="{0264AA07-5AC6-454F-A06A-EBD83B291AC0}">
      <text>
        <r>
          <rPr>
            <b/>
            <sz val="9"/>
            <color indexed="81"/>
            <rFont val="Tahoma"/>
            <family val="2"/>
          </rPr>
          <t>&lt;[[TCDeals] - [TC Property Current Stage (Seq: 1)] - [Buildings (Seq: 41)] Constr 8609 Basis - Both]&gt;</t>
        </r>
      </text>
    </comment>
    <comment ref="O1222" authorId="0" shapeId="0" xr:uid="{BCA75BD5-EA4D-4CD7-87AE-6C59B1590217}">
      <text>
        <r>
          <rPr>
            <b/>
            <sz val="9"/>
            <color indexed="81"/>
            <rFont val="Tahoma"/>
            <family val="2"/>
          </rPr>
          <t>&lt;[[TCDeals] - [TC Property Current Stage (Seq: 1)] - [Buildings (Seq: 41)] Constr 8609 Credit - Both]&gt;</t>
        </r>
      </text>
    </comment>
    <comment ref="P1222" authorId="0" shapeId="0" xr:uid="{E3B826B0-4F91-43A5-ABF7-43FFF34681C2}">
      <text>
        <r>
          <rPr>
            <b/>
            <sz val="9"/>
            <color indexed="81"/>
            <rFont val="Tahoma"/>
            <family val="2"/>
          </rPr>
          <t>&lt;[[TCDeals] - [TC Property Current Stage (Seq: 1)] - [Buildings (Seq: 41)] Acq PIS Date - Both]&gt;</t>
        </r>
      </text>
    </comment>
    <comment ref="Q1222" authorId="0" shapeId="0" xr:uid="{CC2A3BFE-B405-4D21-88BB-CD1708F1F592}">
      <text>
        <r>
          <rPr>
            <b/>
            <sz val="9"/>
            <color indexed="81"/>
            <rFont val="Tahoma"/>
            <family val="2"/>
          </rPr>
          <t>&lt;[[TCDeals] - [TC Property Current Stage (Seq: 1)] - [Buildings (Seq: 41)] Acq Applicable Percentage - Both]&gt;</t>
        </r>
      </text>
    </comment>
    <comment ref="R1222" authorId="0" shapeId="0" xr:uid="{8AB0CEE7-F870-4A56-BE30-4AE59C3EB285}">
      <text>
        <r>
          <rPr>
            <b/>
            <sz val="9"/>
            <color indexed="81"/>
            <rFont val="Tahoma"/>
            <family val="2"/>
          </rPr>
          <t>&lt;[[TCDeals] - [TC Property Current Stage (Seq: 1)] - [Buildings (Seq: 41)] Acq Est Qual Basis - Both]&gt;</t>
        </r>
      </text>
    </comment>
    <comment ref="S1222" authorId="0" shapeId="0" xr:uid="{3A69F1F4-0273-45C6-B317-E76F9B8C089E}">
      <text>
        <r>
          <rPr>
            <b/>
            <sz val="9"/>
            <color indexed="81"/>
            <rFont val="Tahoma"/>
            <family val="2"/>
          </rPr>
          <t>&lt;[[TCDeals] - [TC Property Current Stage (Seq: 1)] - [Buildings (Seq: 41)] Acq 8609 Basis - Both]&gt;</t>
        </r>
      </text>
    </comment>
    <comment ref="T1222" authorId="0" shapeId="0" xr:uid="{4FE170A5-DC01-4F40-805F-150BB65F859A}">
      <text>
        <r>
          <rPr>
            <b/>
            <sz val="9"/>
            <color indexed="81"/>
            <rFont val="Tahoma"/>
            <family val="2"/>
          </rPr>
          <t>&lt;[[TCDeals] - [TC Property Current Stage (Seq: 1)] - [Buildings (Seq: 41)] Acq 8609 Credit - Both]&gt;</t>
        </r>
      </text>
    </comment>
    <comment ref="C1223" authorId="0" shapeId="0" xr:uid="{E3F96AF9-D38F-4A1F-97F3-F3863D2DA5CA}">
      <text>
        <r>
          <rPr>
            <b/>
            <sz val="9"/>
            <color indexed="81"/>
            <rFont val="Tahoma"/>
            <family val="2"/>
          </rPr>
          <t>&lt;[[TCDeals] - [TC Property Current Stage (Seq: 1)] - [Buildings (Seq: 42)] BIN - Both]&gt;</t>
        </r>
      </text>
    </comment>
    <comment ref="D1223" authorId="0" shapeId="0" xr:uid="{A0976F86-5417-40AD-9299-551223DB66A7}">
      <text>
        <r>
          <rPr>
            <b/>
            <sz val="9"/>
            <color indexed="81"/>
            <rFont val="Tahoma"/>
            <family val="2"/>
          </rPr>
          <t>&lt;[[TCDeals] - [TC Property Current Stage (Seq: 1)] - [Buildings (Seq: 42)] Address 1 - Both]&gt;</t>
        </r>
      </text>
    </comment>
    <comment ref="E1223" authorId="0" shapeId="0" xr:uid="{DBBAD12E-3018-4357-9AB7-C49B3DE5D097}">
      <text>
        <r>
          <rPr>
            <b/>
            <sz val="9"/>
            <color indexed="81"/>
            <rFont val="Tahoma"/>
            <family val="2"/>
          </rPr>
          <t>&lt;[[TCDeals] - [TC Property Current Stage (Seq: 1)] - [Buildings (Seq: 42)] Num TC Units - Both]&gt;</t>
        </r>
      </text>
    </comment>
    <comment ref="F1223" authorId="0" shapeId="0" xr:uid="{827EFF57-7767-4B02-B76A-4FBA34576ADD}">
      <text>
        <r>
          <rPr>
            <b/>
            <sz val="9"/>
            <color indexed="81"/>
            <rFont val="Tahoma"/>
            <family val="2"/>
          </rPr>
          <t>&lt;[[TCDeals] - [TC Property Current Stage (Seq: 1)] - [Buildings (Seq: 42)] PVC PIS Date - Both]&gt;</t>
        </r>
      </text>
    </comment>
    <comment ref="G1223" authorId="0" shapeId="0" xr:uid="{A539B405-4907-48FF-8A0E-D4601AD1C1D5}">
      <text>
        <r>
          <rPr>
            <b/>
            <sz val="9"/>
            <color indexed="81"/>
            <rFont val="Tahoma"/>
            <family val="2"/>
          </rPr>
          <t>&lt;[[TCDeals] - [TC Property Current Stage (Seq: 1)] - [Buildings (Seq: 42)] PVC Applicable Percentage - Both]&gt;</t>
        </r>
      </text>
    </comment>
    <comment ref="H1223" authorId="0" shapeId="0" xr:uid="{16B4F818-60F2-4CB8-8F2C-61292F7C6B83}">
      <text>
        <r>
          <rPr>
            <b/>
            <sz val="9"/>
            <color indexed="81"/>
            <rFont val="Tahoma"/>
            <family val="2"/>
          </rPr>
          <t>&lt;[[TCDeals] - [TC Property Current Stage (Seq: 1)] - [Buildings (Seq: 42)] PVC Est Qual Basis - Both]&gt;</t>
        </r>
      </text>
    </comment>
    <comment ref="I1223" authorId="0" shapeId="0" xr:uid="{2D643F96-D159-4BC2-9DE6-DFFBEDCBB903}">
      <text>
        <r>
          <rPr>
            <b/>
            <sz val="9"/>
            <color indexed="81"/>
            <rFont val="Tahoma"/>
            <family val="2"/>
          </rPr>
          <t>&lt;[[TCDeals] - [TC Property Current Stage (Seq: 1)] - [Buildings (Seq: 42)] PVC8609 Basis - Both]&gt;</t>
        </r>
      </text>
    </comment>
    <comment ref="J1223" authorId="0" shapeId="0" xr:uid="{28E60FC6-C8C7-47AD-8295-275BB6DB8AD4}">
      <text>
        <r>
          <rPr>
            <b/>
            <sz val="9"/>
            <color indexed="81"/>
            <rFont val="Tahoma"/>
            <family val="2"/>
          </rPr>
          <t>&lt;[[TCDeals] - [TC Property Current Stage (Seq: 1)] - [Buildings (Seq: 42)] PVC8609 Credit - Both]&gt;</t>
        </r>
      </text>
    </comment>
    <comment ref="K1223" authorId="0" shapeId="0" xr:uid="{D0E8115F-886E-4B2F-B882-B7336A81CB66}">
      <text>
        <r>
          <rPr>
            <b/>
            <sz val="9"/>
            <color indexed="81"/>
            <rFont val="Tahoma"/>
            <family val="2"/>
          </rPr>
          <t>&lt;[[TCDeals] - [TC Property Current Stage (Seq: 1)] - [Buildings (Seq: 42)] Constr PIS Date - Both]&gt;</t>
        </r>
      </text>
    </comment>
    <comment ref="L1223" authorId="0" shapeId="0" xr:uid="{4D00FFD0-2DEB-4C85-B6AB-ECEF9237E219}">
      <text>
        <r>
          <rPr>
            <b/>
            <sz val="9"/>
            <color indexed="81"/>
            <rFont val="Tahoma"/>
            <family val="2"/>
          </rPr>
          <t>&lt;[[TCDeals] - [TC Property Current Stage (Seq: 1)] - [Buildings (Seq: 42)] Constr Applicable Percentage - Both]&gt;</t>
        </r>
      </text>
    </comment>
    <comment ref="M1223" authorId="0" shapeId="0" xr:uid="{75821250-B0DF-44AB-B158-F43910B4E31C}">
      <text>
        <r>
          <rPr>
            <b/>
            <sz val="9"/>
            <color indexed="81"/>
            <rFont val="Tahoma"/>
            <family val="2"/>
          </rPr>
          <t>&lt;[[TCDeals] - [TC Property Current Stage (Seq: 1)] - [Buildings (Seq: 42)] Constr Est Qual Basis - Both]&gt;</t>
        </r>
      </text>
    </comment>
    <comment ref="N1223" authorId="0" shapeId="0" xr:uid="{51FF8AC6-0254-46DA-9128-E9FC30401324}">
      <text>
        <r>
          <rPr>
            <b/>
            <sz val="9"/>
            <color indexed="81"/>
            <rFont val="Tahoma"/>
            <family val="2"/>
          </rPr>
          <t>&lt;[[TCDeals] - [TC Property Current Stage (Seq: 1)] - [Buildings (Seq: 42)] Constr 8609 Basis - Both]&gt;</t>
        </r>
      </text>
    </comment>
    <comment ref="O1223" authorId="0" shapeId="0" xr:uid="{BEAB2BCD-6094-4FB2-8168-EF693D5F8F30}">
      <text>
        <r>
          <rPr>
            <b/>
            <sz val="9"/>
            <color indexed="81"/>
            <rFont val="Tahoma"/>
            <family val="2"/>
          </rPr>
          <t>&lt;[[TCDeals] - [TC Property Current Stage (Seq: 1)] - [Buildings (Seq: 42)] Constr 8609 Credit - Both]&gt;</t>
        </r>
      </text>
    </comment>
    <comment ref="P1223" authorId="0" shapeId="0" xr:uid="{D1934FDA-3C26-426D-AE8C-01ABEDCB7758}">
      <text>
        <r>
          <rPr>
            <b/>
            <sz val="9"/>
            <color indexed="81"/>
            <rFont val="Tahoma"/>
            <family val="2"/>
          </rPr>
          <t>&lt;[[TCDeals] - [TC Property Current Stage (Seq: 1)] - [Buildings (Seq: 42)] Acq PIS Date - Both]&gt;</t>
        </r>
      </text>
    </comment>
    <comment ref="Q1223" authorId="0" shapeId="0" xr:uid="{2575726A-60B0-4F3E-AB04-C120ACADE627}">
      <text>
        <r>
          <rPr>
            <b/>
            <sz val="9"/>
            <color indexed="81"/>
            <rFont val="Tahoma"/>
            <family val="2"/>
          </rPr>
          <t>&lt;[[TCDeals] - [TC Property Current Stage (Seq: 1)] - [Buildings (Seq: 42)] Acq Applicable Percentage - Both]&gt;</t>
        </r>
      </text>
    </comment>
    <comment ref="R1223" authorId="0" shapeId="0" xr:uid="{1005172D-E4EF-4DD6-B802-26615C23B5CC}">
      <text>
        <r>
          <rPr>
            <b/>
            <sz val="9"/>
            <color indexed="81"/>
            <rFont val="Tahoma"/>
            <family val="2"/>
          </rPr>
          <t>&lt;[[TCDeals] - [TC Property Current Stage (Seq: 1)] - [Buildings (Seq: 42)] Acq Est Qual Basis - Both]&gt;</t>
        </r>
      </text>
    </comment>
    <comment ref="S1223" authorId="0" shapeId="0" xr:uid="{EE996078-39BF-4CC1-892A-77729BFB8087}">
      <text>
        <r>
          <rPr>
            <b/>
            <sz val="9"/>
            <color indexed="81"/>
            <rFont val="Tahoma"/>
            <family val="2"/>
          </rPr>
          <t>&lt;[[TCDeals] - [TC Property Current Stage (Seq: 1)] - [Buildings (Seq: 42)] Acq 8609 Basis - Both]&gt;</t>
        </r>
      </text>
    </comment>
    <comment ref="T1223" authorId="0" shapeId="0" xr:uid="{9B3B58F5-9A98-4251-BAC9-35A3A18CD01A}">
      <text>
        <r>
          <rPr>
            <b/>
            <sz val="9"/>
            <color indexed="81"/>
            <rFont val="Tahoma"/>
            <family val="2"/>
          </rPr>
          <t>&lt;[[TCDeals] - [TC Property Current Stage (Seq: 1)] - [Buildings (Seq: 42)] Acq 8609 Credit - Both]&gt;</t>
        </r>
      </text>
    </comment>
    <comment ref="C1224" authorId="0" shapeId="0" xr:uid="{BFDCC75C-D59D-4533-A94F-35E8F5CE299F}">
      <text>
        <r>
          <rPr>
            <b/>
            <sz val="9"/>
            <color indexed="81"/>
            <rFont val="Tahoma"/>
            <family val="2"/>
          </rPr>
          <t>&lt;[[TCDeals] - [TC Property Current Stage (Seq: 1)] - [Buildings (Seq: 43)] BIN - Both]&gt;</t>
        </r>
      </text>
    </comment>
    <comment ref="D1224" authorId="0" shapeId="0" xr:uid="{F029F212-7D8A-437A-9403-DF7AC189821C}">
      <text>
        <r>
          <rPr>
            <b/>
            <sz val="9"/>
            <color indexed="81"/>
            <rFont val="Tahoma"/>
            <family val="2"/>
          </rPr>
          <t>&lt;[[TCDeals] - [TC Property Current Stage (Seq: 1)] - [Buildings (Seq: 43)] Address 1 - Both]&gt;</t>
        </r>
      </text>
    </comment>
    <comment ref="E1224" authorId="0" shapeId="0" xr:uid="{3C620273-EDF0-4AEA-B515-5EE1A2B71C7D}">
      <text>
        <r>
          <rPr>
            <b/>
            <sz val="9"/>
            <color indexed="81"/>
            <rFont val="Tahoma"/>
            <family val="2"/>
          </rPr>
          <t>&lt;[[TCDeals] - [TC Property Current Stage (Seq: 1)] - [Buildings (Seq: 43)] Num TC Units - Both]&gt;</t>
        </r>
      </text>
    </comment>
    <comment ref="F1224" authorId="0" shapeId="0" xr:uid="{629A66A6-625D-423E-99A6-9A7774E83EF9}">
      <text>
        <r>
          <rPr>
            <b/>
            <sz val="9"/>
            <color indexed="81"/>
            <rFont val="Tahoma"/>
            <family val="2"/>
          </rPr>
          <t>&lt;[[TCDeals] - [TC Property Current Stage (Seq: 1)] - [Buildings (Seq: 43)] PVC PIS Date - Both]&gt;</t>
        </r>
      </text>
    </comment>
    <comment ref="G1224" authorId="0" shapeId="0" xr:uid="{DFF0EB24-1414-4907-9FC1-389E5E0DEA0C}">
      <text>
        <r>
          <rPr>
            <b/>
            <sz val="9"/>
            <color indexed="81"/>
            <rFont val="Tahoma"/>
            <family val="2"/>
          </rPr>
          <t>&lt;[[TCDeals] - [TC Property Current Stage (Seq: 1)] - [Buildings (Seq: 43)] PVC Applicable Percentage - Both]&gt;</t>
        </r>
      </text>
    </comment>
    <comment ref="H1224" authorId="0" shapeId="0" xr:uid="{A1B1B08D-F1A6-404E-AFC7-5A50BDAE2D73}">
      <text>
        <r>
          <rPr>
            <b/>
            <sz val="9"/>
            <color indexed="81"/>
            <rFont val="Tahoma"/>
            <family val="2"/>
          </rPr>
          <t>&lt;[[TCDeals] - [TC Property Current Stage (Seq: 1)] - [Buildings (Seq: 43)] PVC Est Qual Basis - Both]&gt;</t>
        </r>
      </text>
    </comment>
    <comment ref="I1224" authorId="0" shapeId="0" xr:uid="{27560935-4C34-454E-A23F-D1B3E731C63A}">
      <text>
        <r>
          <rPr>
            <b/>
            <sz val="9"/>
            <color indexed="81"/>
            <rFont val="Tahoma"/>
            <family val="2"/>
          </rPr>
          <t>&lt;[[TCDeals] - [TC Property Current Stage (Seq: 1)] - [Buildings (Seq: 43)] PVC8609 Basis - Both]&gt;</t>
        </r>
      </text>
    </comment>
    <comment ref="J1224" authorId="0" shapeId="0" xr:uid="{DB1BD87E-C726-4907-9D92-2559C4A0792D}">
      <text>
        <r>
          <rPr>
            <b/>
            <sz val="9"/>
            <color indexed="81"/>
            <rFont val="Tahoma"/>
            <family val="2"/>
          </rPr>
          <t>&lt;[[TCDeals] - [TC Property Current Stage (Seq: 1)] - [Buildings (Seq: 43)] PVC8609 Credit - Both]&gt;</t>
        </r>
      </text>
    </comment>
    <comment ref="K1224" authorId="0" shapeId="0" xr:uid="{9643CF8C-FCA8-4A23-AC03-DB47B1C76DED}">
      <text>
        <r>
          <rPr>
            <b/>
            <sz val="9"/>
            <color indexed="81"/>
            <rFont val="Tahoma"/>
            <family val="2"/>
          </rPr>
          <t>&lt;[[TCDeals] - [TC Property Current Stage (Seq: 1)] - [Buildings (Seq: 43)] Constr PIS Date - Both]&gt;</t>
        </r>
      </text>
    </comment>
    <comment ref="L1224" authorId="0" shapeId="0" xr:uid="{08B9547B-9327-444D-A30D-D0D7C851BAE3}">
      <text>
        <r>
          <rPr>
            <b/>
            <sz val="9"/>
            <color indexed="81"/>
            <rFont val="Tahoma"/>
            <family val="2"/>
          </rPr>
          <t>&lt;[[TCDeals] - [TC Property Current Stage (Seq: 1)] - [Buildings (Seq: 43)] Constr Applicable Percentage - Both]&gt;</t>
        </r>
      </text>
    </comment>
    <comment ref="M1224" authorId="0" shapeId="0" xr:uid="{2674305E-8FE3-4AD0-9F0B-30A637A0069D}">
      <text>
        <r>
          <rPr>
            <b/>
            <sz val="9"/>
            <color indexed="81"/>
            <rFont val="Tahoma"/>
            <family val="2"/>
          </rPr>
          <t>&lt;[[TCDeals] - [TC Property Current Stage (Seq: 1)] - [Buildings (Seq: 43)] Constr Est Qual Basis - Both]&gt;</t>
        </r>
      </text>
    </comment>
    <comment ref="N1224" authorId="0" shapeId="0" xr:uid="{C49DD285-E998-42E8-A76B-307E2B109652}">
      <text>
        <r>
          <rPr>
            <b/>
            <sz val="9"/>
            <color indexed="81"/>
            <rFont val="Tahoma"/>
            <family val="2"/>
          </rPr>
          <t>&lt;[[TCDeals] - [TC Property Current Stage (Seq: 1)] - [Buildings (Seq: 43)] Constr 8609 Basis - Both]&gt;</t>
        </r>
      </text>
    </comment>
    <comment ref="O1224" authorId="0" shapeId="0" xr:uid="{A909C2A3-0C8C-4A76-91BD-03B0EC4545BF}">
      <text>
        <r>
          <rPr>
            <b/>
            <sz val="9"/>
            <color indexed="81"/>
            <rFont val="Tahoma"/>
            <family val="2"/>
          </rPr>
          <t>&lt;[[TCDeals] - [TC Property Current Stage (Seq: 1)] - [Buildings (Seq: 43)] Constr 8609 Credit - Both]&gt;</t>
        </r>
      </text>
    </comment>
    <comment ref="P1224" authorId="0" shapeId="0" xr:uid="{64D5B13A-23C5-458D-8CA5-9613F0B6F6AC}">
      <text>
        <r>
          <rPr>
            <b/>
            <sz val="9"/>
            <color indexed="81"/>
            <rFont val="Tahoma"/>
            <family val="2"/>
          </rPr>
          <t>&lt;[[TCDeals] - [TC Property Current Stage (Seq: 1)] - [Buildings (Seq: 43)] Acq PIS Date - Both]&gt;</t>
        </r>
      </text>
    </comment>
    <comment ref="Q1224" authorId="0" shapeId="0" xr:uid="{047D7BF7-3903-46D6-B0AC-4A13DEDBD589}">
      <text>
        <r>
          <rPr>
            <b/>
            <sz val="9"/>
            <color indexed="81"/>
            <rFont val="Tahoma"/>
            <family val="2"/>
          </rPr>
          <t>&lt;[[TCDeals] - [TC Property Current Stage (Seq: 1)] - [Buildings (Seq: 43)] Acq Applicable Percentage - Both]&gt;</t>
        </r>
      </text>
    </comment>
    <comment ref="R1224" authorId="0" shapeId="0" xr:uid="{C47BACF9-B24C-41A8-AA56-FECB315893D8}">
      <text>
        <r>
          <rPr>
            <b/>
            <sz val="9"/>
            <color indexed="81"/>
            <rFont val="Tahoma"/>
            <family val="2"/>
          </rPr>
          <t>&lt;[[TCDeals] - [TC Property Current Stage (Seq: 1)] - [Buildings (Seq: 43)] Acq Est Qual Basis - Both]&gt;</t>
        </r>
      </text>
    </comment>
    <comment ref="S1224" authorId="0" shapeId="0" xr:uid="{0255C84E-47F1-454F-A94C-1F2EC5F962E3}">
      <text>
        <r>
          <rPr>
            <b/>
            <sz val="9"/>
            <color indexed="81"/>
            <rFont val="Tahoma"/>
            <family val="2"/>
          </rPr>
          <t>&lt;[[TCDeals] - [TC Property Current Stage (Seq: 1)] - [Buildings (Seq: 43)] Acq 8609 Basis - Both]&gt;</t>
        </r>
      </text>
    </comment>
    <comment ref="T1224" authorId="0" shapeId="0" xr:uid="{AC68CDAB-69A7-49CF-A009-767567B4F3E2}">
      <text>
        <r>
          <rPr>
            <b/>
            <sz val="9"/>
            <color indexed="81"/>
            <rFont val="Tahoma"/>
            <family val="2"/>
          </rPr>
          <t>&lt;[[TCDeals] - [TC Property Current Stage (Seq: 1)] - [Buildings (Seq: 43)] Acq 8609 Credit - Both]&gt;</t>
        </r>
      </text>
    </comment>
    <comment ref="C1225" authorId="0" shapeId="0" xr:uid="{ECC298C2-2823-4E13-8A34-32EDB9C9C0BA}">
      <text>
        <r>
          <rPr>
            <b/>
            <sz val="9"/>
            <color indexed="81"/>
            <rFont val="Tahoma"/>
            <family val="2"/>
          </rPr>
          <t>&lt;[[TCDeals] - [TC Property Current Stage (Seq: 1)] - [Buildings (Seq: 44)] BIN - Both]&gt;</t>
        </r>
      </text>
    </comment>
    <comment ref="D1225" authorId="0" shapeId="0" xr:uid="{49DFDF50-3999-4CE2-9554-8BC5EF084824}">
      <text>
        <r>
          <rPr>
            <b/>
            <sz val="9"/>
            <color indexed="81"/>
            <rFont val="Tahoma"/>
            <family val="2"/>
          </rPr>
          <t>&lt;[[TCDeals] - [TC Property Current Stage (Seq: 1)] - [Buildings (Seq: 44)] Address 1 - Both]&gt;</t>
        </r>
      </text>
    </comment>
    <comment ref="E1225" authorId="0" shapeId="0" xr:uid="{AC5D4B0D-CBB2-41C0-85A6-5F854338AD48}">
      <text>
        <r>
          <rPr>
            <b/>
            <sz val="9"/>
            <color indexed="81"/>
            <rFont val="Tahoma"/>
            <family val="2"/>
          </rPr>
          <t>&lt;[[TCDeals] - [TC Property Current Stage (Seq: 1)] - [Buildings (Seq: 44)] Num TC Units - Both]&gt;</t>
        </r>
      </text>
    </comment>
    <comment ref="F1225" authorId="0" shapeId="0" xr:uid="{50225843-8D4F-4D66-829C-FDA4F8D5A93F}">
      <text>
        <r>
          <rPr>
            <b/>
            <sz val="9"/>
            <color indexed="81"/>
            <rFont val="Tahoma"/>
            <family val="2"/>
          </rPr>
          <t>&lt;[[TCDeals] - [TC Property Current Stage (Seq: 1)] - [Buildings (Seq: 44)] PVC PIS Date - Both]&gt;</t>
        </r>
      </text>
    </comment>
    <comment ref="G1225" authorId="0" shapeId="0" xr:uid="{32F433CA-1B9E-4441-AA3C-6260233CCDA9}">
      <text>
        <r>
          <rPr>
            <b/>
            <sz val="9"/>
            <color indexed="81"/>
            <rFont val="Tahoma"/>
            <family val="2"/>
          </rPr>
          <t>&lt;[[TCDeals] - [TC Property Current Stage (Seq: 1)] - [Buildings (Seq: 44)] PVC Applicable Percentage - Both]&gt;</t>
        </r>
      </text>
    </comment>
    <comment ref="H1225" authorId="0" shapeId="0" xr:uid="{B0F30C04-C80B-4EC0-8189-F4CA23371D79}">
      <text>
        <r>
          <rPr>
            <b/>
            <sz val="9"/>
            <color indexed="81"/>
            <rFont val="Tahoma"/>
            <family val="2"/>
          </rPr>
          <t>&lt;[[TCDeals] - [TC Property Current Stage (Seq: 1)] - [Buildings (Seq: 44)] PVC Est Qual Basis - Both]&gt;</t>
        </r>
      </text>
    </comment>
    <comment ref="I1225" authorId="0" shapeId="0" xr:uid="{CB23246A-3A7A-4BEB-84DC-810B194045CA}">
      <text>
        <r>
          <rPr>
            <b/>
            <sz val="9"/>
            <color indexed="81"/>
            <rFont val="Tahoma"/>
            <family val="2"/>
          </rPr>
          <t>&lt;[[TCDeals] - [TC Property Current Stage (Seq: 1)] - [Buildings (Seq: 44)] PVC8609 Basis - Both]&gt;</t>
        </r>
      </text>
    </comment>
    <comment ref="J1225" authorId="0" shapeId="0" xr:uid="{FA479205-C19F-48BB-B790-B93846440BC8}">
      <text>
        <r>
          <rPr>
            <b/>
            <sz val="9"/>
            <color indexed="81"/>
            <rFont val="Tahoma"/>
            <family val="2"/>
          </rPr>
          <t>&lt;[[TCDeals] - [TC Property Current Stage (Seq: 1)] - [Buildings (Seq: 44)] PVC8609 Credit - Both]&gt;</t>
        </r>
      </text>
    </comment>
    <comment ref="K1225" authorId="0" shapeId="0" xr:uid="{AD56A374-2D32-4774-B7F0-63B5AEBE4EC8}">
      <text>
        <r>
          <rPr>
            <b/>
            <sz val="9"/>
            <color indexed="81"/>
            <rFont val="Tahoma"/>
            <family val="2"/>
          </rPr>
          <t>&lt;[[TCDeals] - [TC Property Current Stage (Seq: 1)] - [Buildings (Seq: 44)] Constr PIS Date - Both]&gt;</t>
        </r>
      </text>
    </comment>
    <comment ref="L1225" authorId="0" shapeId="0" xr:uid="{6C42375C-8A6E-4EE4-9699-6A5FE8A504E6}">
      <text>
        <r>
          <rPr>
            <b/>
            <sz val="9"/>
            <color indexed="81"/>
            <rFont val="Tahoma"/>
            <family val="2"/>
          </rPr>
          <t>&lt;[[TCDeals] - [TC Property Current Stage (Seq: 1)] - [Buildings (Seq: 44)] Constr Applicable Percentage - Both]&gt;</t>
        </r>
      </text>
    </comment>
    <comment ref="M1225" authorId="0" shapeId="0" xr:uid="{641A51FF-3646-4C70-B01B-3B55A5AEEE94}">
      <text>
        <r>
          <rPr>
            <b/>
            <sz val="9"/>
            <color indexed="81"/>
            <rFont val="Tahoma"/>
            <family val="2"/>
          </rPr>
          <t>&lt;[[TCDeals] - [TC Property Current Stage (Seq: 1)] - [Buildings (Seq: 44)] Constr Est Qual Basis - Both]&gt;</t>
        </r>
      </text>
    </comment>
    <comment ref="N1225" authorId="0" shapeId="0" xr:uid="{BEE0E6EA-83C4-4E51-A114-5D02BE9C0BD6}">
      <text>
        <r>
          <rPr>
            <b/>
            <sz val="9"/>
            <color indexed="81"/>
            <rFont val="Tahoma"/>
            <family val="2"/>
          </rPr>
          <t>&lt;[[TCDeals] - [TC Property Current Stage (Seq: 1)] - [Buildings (Seq: 44)] Constr 8609 Basis - Both]&gt;</t>
        </r>
      </text>
    </comment>
    <comment ref="O1225" authorId="0" shapeId="0" xr:uid="{233F9181-E355-4328-BDB6-7BFC97E7DAD3}">
      <text>
        <r>
          <rPr>
            <b/>
            <sz val="9"/>
            <color indexed="81"/>
            <rFont val="Tahoma"/>
            <family val="2"/>
          </rPr>
          <t>&lt;[[TCDeals] - [TC Property Current Stage (Seq: 1)] - [Buildings (Seq: 44)] Constr 8609 Credit - Both]&gt;</t>
        </r>
      </text>
    </comment>
    <comment ref="P1225" authorId="0" shapeId="0" xr:uid="{30D96D56-9317-4DFE-818E-3A6DDFD67944}">
      <text>
        <r>
          <rPr>
            <b/>
            <sz val="9"/>
            <color indexed="81"/>
            <rFont val="Tahoma"/>
            <family val="2"/>
          </rPr>
          <t>&lt;[[TCDeals] - [TC Property Current Stage (Seq: 1)] - [Buildings (Seq: 44)] Acq PIS Date - Both]&gt;</t>
        </r>
      </text>
    </comment>
    <comment ref="Q1225" authorId="0" shapeId="0" xr:uid="{7192D304-2584-47A8-943E-59F3B061217C}">
      <text>
        <r>
          <rPr>
            <b/>
            <sz val="9"/>
            <color indexed="81"/>
            <rFont val="Tahoma"/>
            <family val="2"/>
          </rPr>
          <t>&lt;[[TCDeals] - [TC Property Current Stage (Seq: 1)] - [Buildings (Seq: 44)] Acq Applicable Percentage - Both]&gt;</t>
        </r>
      </text>
    </comment>
    <comment ref="R1225" authorId="0" shapeId="0" xr:uid="{CB4F514C-DF12-4BAE-BB47-688E53370373}">
      <text>
        <r>
          <rPr>
            <b/>
            <sz val="9"/>
            <color indexed="81"/>
            <rFont val="Tahoma"/>
            <family val="2"/>
          </rPr>
          <t>&lt;[[TCDeals] - [TC Property Current Stage (Seq: 1)] - [Buildings (Seq: 44)] Acq Est Qual Basis - Both]&gt;</t>
        </r>
      </text>
    </comment>
    <comment ref="S1225" authorId="0" shapeId="0" xr:uid="{56C3ACA1-FA09-474D-A18C-7466E7F5B9BE}">
      <text>
        <r>
          <rPr>
            <b/>
            <sz val="9"/>
            <color indexed="81"/>
            <rFont val="Tahoma"/>
            <family val="2"/>
          </rPr>
          <t>&lt;[[TCDeals] - [TC Property Current Stage (Seq: 1)] - [Buildings (Seq: 44)] Acq 8609 Basis - Both]&gt;</t>
        </r>
      </text>
    </comment>
    <comment ref="T1225" authorId="0" shapeId="0" xr:uid="{46BAE3E7-9338-493A-B867-796ED5412384}">
      <text>
        <r>
          <rPr>
            <b/>
            <sz val="9"/>
            <color indexed="81"/>
            <rFont val="Tahoma"/>
            <family val="2"/>
          </rPr>
          <t>&lt;[[TCDeals] - [TC Property Current Stage (Seq: 1)] - [Buildings (Seq: 44)] Acq 8609 Credit - Both]&gt;</t>
        </r>
      </text>
    </comment>
    <comment ref="C1226" authorId="0" shapeId="0" xr:uid="{3244DDE8-1E40-4F3D-BE3C-DE4263EFF599}">
      <text>
        <r>
          <rPr>
            <b/>
            <sz val="9"/>
            <color indexed="81"/>
            <rFont val="Tahoma"/>
            <family val="2"/>
          </rPr>
          <t>&lt;[[TCDeals] - [TC Property Current Stage (Seq: 1)] - [Buildings (Seq: 45)] BIN - Both]&gt;</t>
        </r>
      </text>
    </comment>
    <comment ref="D1226" authorId="0" shapeId="0" xr:uid="{227EEFD8-B055-4AD7-B1B3-4ABED12931A3}">
      <text>
        <r>
          <rPr>
            <b/>
            <sz val="9"/>
            <color indexed="81"/>
            <rFont val="Tahoma"/>
            <family val="2"/>
          </rPr>
          <t>&lt;[[TCDeals] - [TC Property Current Stage (Seq: 1)] - [Buildings (Seq: 45)] Address 1 - Both]&gt;</t>
        </r>
      </text>
    </comment>
    <comment ref="E1226" authorId="0" shapeId="0" xr:uid="{367E319A-A955-4798-8D40-5887B47558E1}">
      <text>
        <r>
          <rPr>
            <b/>
            <sz val="9"/>
            <color indexed="81"/>
            <rFont val="Tahoma"/>
            <family val="2"/>
          </rPr>
          <t>&lt;[[TCDeals] - [TC Property Current Stage (Seq: 1)] - [Buildings (Seq: 45)] Num TC Units - Both]&gt;</t>
        </r>
      </text>
    </comment>
    <comment ref="F1226" authorId="0" shapeId="0" xr:uid="{27C6BEDF-B679-4E1F-8C72-73B6751020C9}">
      <text>
        <r>
          <rPr>
            <b/>
            <sz val="9"/>
            <color indexed="81"/>
            <rFont val="Tahoma"/>
            <family val="2"/>
          </rPr>
          <t>&lt;[[TCDeals] - [TC Property Current Stage (Seq: 1)] - [Buildings (Seq: 45)] PVC PIS Date - Both]&gt;</t>
        </r>
      </text>
    </comment>
    <comment ref="G1226" authorId="0" shapeId="0" xr:uid="{AEE97241-6F33-4137-9386-C5B1445CE837}">
      <text>
        <r>
          <rPr>
            <b/>
            <sz val="9"/>
            <color indexed="81"/>
            <rFont val="Tahoma"/>
            <family val="2"/>
          </rPr>
          <t>&lt;[[TCDeals] - [TC Property Current Stage (Seq: 1)] - [Buildings (Seq: 45)] PVC Applicable Percentage - Both]&gt;</t>
        </r>
      </text>
    </comment>
    <comment ref="H1226" authorId="0" shapeId="0" xr:uid="{0C89B100-12BD-4EC2-A836-0B346BF6B810}">
      <text>
        <r>
          <rPr>
            <b/>
            <sz val="9"/>
            <color indexed="81"/>
            <rFont val="Tahoma"/>
            <family val="2"/>
          </rPr>
          <t>&lt;[[TCDeals] - [TC Property Current Stage (Seq: 1)] - [Buildings (Seq: 45)] PVC Est Qual Basis - Both]&gt;</t>
        </r>
      </text>
    </comment>
    <comment ref="I1226" authorId="0" shapeId="0" xr:uid="{48371D50-37BF-4FBC-9AD9-30F7DB8C75EC}">
      <text>
        <r>
          <rPr>
            <b/>
            <sz val="9"/>
            <color indexed="81"/>
            <rFont val="Tahoma"/>
            <family val="2"/>
          </rPr>
          <t>&lt;[[TCDeals] - [TC Property Current Stage (Seq: 1)] - [Buildings (Seq: 45)] PVC8609 Basis - Both]&gt;</t>
        </r>
      </text>
    </comment>
    <comment ref="J1226" authorId="0" shapeId="0" xr:uid="{C07C2747-3988-40E7-B804-A6025DB32D0C}">
      <text>
        <r>
          <rPr>
            <b/>
            <sz val="9"/>
            <color indexed="81"/>
            <rFont val="Tahoma"/>
            <family val="2"/>
          </rPr>
          <t>&lt;[[TCDeals] - [TC Property Current Stage (Seq: 1)] - [Buildings (Seq: 45)] PVC8609 Credit - Both]&gt;</t>
        </r>
      </text>
    </comment>
    <comment ref="K1226" authorId="0" shapeId="0" xr:uid="{F12A4F51-20C0-43F4-95E9-A90573B04230}">
      <text>
        <r>
          <rPr>
            <b/>
            <sz val="9"/>
            <color indexed="81"/>
            <rFont val="Tahoma"/>
            <family val="2"/>
          </rPr>
          <t>&lt;[[TCDeals] - [TC Property Current Stage (Seq: 1)] - [Buildings (Seq: 45)] Constr PIS Date - Both]&gt;</t>
        </r>
      </text>
    </comment>
    <comment ref="L1226" authorId="0" shapeId="0" xr:uid="{445825F0-CA34-4597-9207-C6F4CBCA2942}">
      <text>
        <r>
          <rPr>
            <b/>
            <sz val="9"/>
            <color indexed="81"/>
            <rFont val="Tahoma"/>
            <family val="2"/>
          </rPr>
          <t>&lt;[[TCDeals] - [TC Property Current Stage (Seq: 1)] - [Buildings (Seq: 45)] Constr Applicable Percentage - Both]&gt;</t>
        </r>
      </text>
    </comment>
    <comment ref="M1226" authorId="0" shapeId="0" xr:uid="{FAB196EC-6B34-43A6-A074-A960DB574116}">
      <text>
        <r>
          <rPr>
            <b/>
            <sz val="9"/>
            <color indexed="81"/>
            <rFont val="Tahoma"/>
            <family val="2"/>
          </rPr>
          <t>&lt;[[TCDeals] - [TC Property Current Stage (Seq: 1)] - [Buildings (Seq: 45)] Constr Est Qual Basis - Both]&gt;</t>
        </r>
      </text>
    </comment>
    <comment ref="N1226" authorId="0" shapeId="0" xr:uid="{2C5F316B-80F4-426E-8163-CFFF70A391BC}">
      <text>
        <r>
          <rPr>
            <b/>
            <sz val="9"/>
            <color indexed="81"/>
            <rFont val="Tahoma"/>
            <family val="2"/>
          </rPr>
          <t>&lt;[[TCDeals] - [TC Property Current Stage (Seq: 1)] - [Buildings (Seq: 45)] Constr 8609 Basis - Both]&gt;</t>
        </r>
      </text>
    </comment>
    <comment ref="O1226" authorId="0" shapeId="0" xr:uid="{DA9FF7A8-BBC6-4614-8F57-2B459A471405}">
      <text>
        <r>
          <rPr>
            <b/>
            <sz val="9"/>
            <color indexed="81"/>
            <rFont val="Tahoma"/>
            <family val="2"/>
          </rPr>
          <t>&lt;[[TCDeals] - [TC Property Current Stage (Seq: 1)] - [Buildings (Seq: 45)] Constr 8609 Credit - Both]&gt;</t>
        </r>
      </text>
    </comment>
    <comment ref="P1226" authorId="0" shapeId="0" xr:uid="{4B0420A5-F76A-48BA-ACE1-9361BACF2281}">
      <text>
        <r>
          <rPr>
            <b/>
            <sz val="9"/>
            <color indexed="81"/>
            <rFont val="Tahoma"/>
            <family val="2"/>
          </rPr>
          <t>&lt;[[TCDeals] - [TC Property Current Stage (Seq: 1)] - [Buildings (Seq: 45)] Acq PIS Date - Both]&gt;</t>
        </r>
      </text>
    </comment>
    <comment ref="Q1226" authorId="0" shapeId="0" xr:uid="{3DA18420-2E84-4B2E-A4CB-6AB0CF400BF5}">
      <text>
        <r>
          <rPr>
            <b/>
            <sz val="9"/>
            <color indexed="81"/>
            <rFont val="Tahoma"/>
            <family val="2"/>
          </rPr>
          <t>&lt;[[TCDeals] - [TC Property Current Stage (Seq: 1)] - [Buildings (Seq: 45)] Acq Applicable Percentage - Both]&gt;</t>
        </r>
      </text>
    </comment>
    <comment ref="R1226" authorId="0" shapeId="0" xr:uid="{7C0358E6-C615-4FDD-A9BC-0AE79DCB6AED}">
      <text>
        <r>
          <rPr>
            <b/>
            <sz val="9"/>
            <color indexed="81"/>
            <rFont val="Tahoma"/>
            <family val="2"/>
          </rPr>
          <t>&lt;[[TCDeals] - [TC Property Current Stage (Seq: 1)] - [Buildings (Seq: 45)] Acq Est Qual Basis - Both]&gt;</t>
        </r>
      </text>
    </comment>
    <comment ref="S1226" authorId="0" shapeId="0" xr:uid="{BA71EF58-740D-4519-89B1-B20F384080B6}">
      <text>
        <r>
          <rPr>
            <b/>
            <sz val="9"/>
            <color indexed="81"/>
            <rFont val="Tahoma"/>
            <family val="2"/>
          </rPr>
          <t>&lt;[[TCDeals] - [TC Property Current Stage (Seq: 1)] - [Buildings (Seq: 45)] Acq 8609 Basis - Both]&gt;</t>
        </r>
      </text>
    </comment>
    <comment ref="T1226" authorId="0" shapeId="0" xr:uid="{FF84004E-2370-45C9-BF30-869BE4334CE9}">
      <text>
        <r>
          <rPr>
            <b/>
            <sz val="9"/>
            <color indexed="81"/>
            <rFont val="Tahoma"/>
            <family val="2"/>
          </rPr>
          <t>&lt;[[TCDeals] - [TC Property Current Stage (Seq: 1)] - [Buildings (Seq: 45)] Acq 8609 Credit - Both]&gt;</t>
        </r>
      </text>
    </comment>
    <comment ref="C1227" authorId="0" shapeId="0" xr:uid="{BD2202C1-B0B6-434F-AA9A-1A6118120B42}">
      <text>
        <r>
          <rPr>
            <b/>
            <sz val="9"/>
            <color indexed="81"/>
            <rFont val="Tahoma"/>
            <family val="2"/>
          </rPr>
          <t>&lt;[[TCDeals] - [TC Property Current Stage (Seq: 1)] - [Buildings (Seq: 46)] BIN - Both]&gt;</t>
        </r>
      </text>
    </comment>
    <comment ref="D1227" authorId="0" shapeId="0" xr:uid="{DA85CC15-6284-45E3-ACC6-73A25BB6C6E8}">
      <text>
        <r>
          <rPr>
            <b/>
            <sz val="9"/>
            <color indexed="81"/>
            <rFont val="Tahoma"/>
            <family val="2"/>
          </rPr>
          <t>&lt;[[TCDeals] - [TC Property Current Stage (Seq: 1)] - [Buildings (Seq: 46)] Address 1 - Both]&gt;</t>
        </r>
      </text>
    </comment>
    <comment ref="E1227" authorId="0" shapeId="0" xr:uid="{C133C27A-BE60-4D05-9326-CC028798F483}">
      <text>
        <r>
          <rPr>
            <b/>
            <sz val="9"/>
            <color indexed="81"/>
            <rFont val="Tahoma"/>
            <family val="2"/>
          </rPr>
          <t>&lt;[[TCDeals] - [TC Property Current Stage (Seq: 1)] - [Buildings (Seq: 46)] Num TC Units - Both]&gt;</t>
        </r>
      </text>
    </comment>
    <comment ref="F1227" authorId="0" shapeId="0" xr:uid="{68B1FC3B-782D-44F9-BA17-0B8B009096A7}">
      <text>
        <r>
          <rPr>
            <b/>
            <sz val="9"/>
            <color indexed="81"/>
            <rFont val="Tahoma"/>
            <family val="2"/>
          </rPr>
          <t>&lt;[[TCDeals] - [TC Property Current Stage (Seq: 1)] - [Buildings (Seq: 46)] PVC PIS Date - Both]&gt;</t>
        </r>
      </text>
    </comment>
    <comment ref="G1227" authorId="0" shapeId="0" xr:uid="{B01C200C-B1D6-4DB1-8B30-03715FE576F4}">
      <text>
        <r>
          <rPr>
            <b/>
            <sz val="9"/>
            <color indexed="81"/>
            <rFont val="Tahoma"/>
            <family val="2"/>
          </rPr>
          <t>&lt;[[TCDeals] - [TC Property Current Stage (Seq: 1)] - [Buildings (Seq: 46)] PVC Applicable Percentage - Both]&gt;</t>
        </r>
      </text>
    </comment>
    <comment ref="H1227" authorId="0" shapeId="0" xr:uid="{461CA9A8-FCC4-4981-A991-CAFBD10934B3}">
      <text>
        <r>
          <rPr>
            <b/>
            <sz val="9"/>
            <color indexed="81"/>
            <rFont val="Tahoma"/>
            <family val="2"/>
          </rPr>
          <t>&lt;[[TCDeals] - [TC Property Current Stage (Seq: 1)] - [Buildings (Seq: 46)] PVC Est Qual Basis - Both]&gt;</t>
        </r>
      </text>
    </comment>
    <comment ref="I1227" authorId="0" shapeId="0" xr:uid="{A1E03269-D8B5-4E3E-9361-5D2A34A21591}">
      <text>
        <r>
          <rPr>
            <b/>
            <sz val="9"/>
            <color indexed="81"/>
            <rFont val="Tahoma"/>
            <family val="2"/>
          </rPr>
          <t>&lt;[[TCDeals] - [TC Property Current Stage (Seq: 1)] - [Buildings (Seq: 46)] PVC8609 Basis - Both]&gt;</t>
        </r>
      </text>
    </comment>
    <comment ref="J1227" authorId="0" shapeId="0" xr:uid="{3618E423-137C-4D65-B7C7-295B97266999}">
      <text>
        <r>
          <rPr>
            <b/>
            <sz val="9"/>
            <color indexed="81"/>
            <rFont val="Tahoma"/>
            <family val="2"/>
          </rPr>
          <t>&lt;[[TCDeals] - [TC Property Current Stage (Seq: 1)] - [Buildings (Seq: 46)] PVC8609 Credit - Both]&gt;</t>
        </r>
      </text>
    </comment>
    <comment ref="K1227" authorId="0" shapeId="0" xr:uid="{B5E8F123-D55F-4959-8871-974DC860D6CA}">
      <text>
        <r>
          <rPr>
            <b/>
            <sz val="9"/>
            <color indexed="81"/>
            <rFont val="Tahoma"/>
            <family val="2"/>
          </rPr>
          <t>&lt;[[TCDeals] - [TC Property Current Stage (Seq: 1)] - [Buildings (Seq: 46)] Constr PIS Date - Both]&gt;</t>
        </r>
      </text>
    </comment>
    <comment ref="L1227" authorId="0" shapeId="0" xr:uid="{F4A6870A-DB1B-4543-AEF6-428413EBCE3E}">
      <text>
        <r>
          <rPr>
            <b/>
            <sz val="9"/>
            <color indexed="81"/>
            <rFont val="Tahoma"/>
            <family val="2"/>
          </rPr>
          <t>&lt;[[TCDeals] - [TC Property Current Stage (Seq: 1)] - [Buildings (Seq: 46)] Constr Applicable Percentage - Both]&gt;</t>
        </r>
      </text>
    </comment>
    <comment ref="M1227" authorId="0" shapeId="0" xr:uid="{86BBD887-17C0-4382-A875-B52CB3357E39}">
      <text>
        <r>
          <rPr>
            <b/>
            <sz val="9"/>
            <color indexed="81"/>
            <rFont val="Tahoma"/>
            <family val="2"/>
          </rPr>
          <t>&lt;[[TCDeals] - [TC Property Current Stage (Seq: 1)] - [Buildings (Seq: 46)] Constr Est Qual Basis - Both]&gt;</t>
        </r>
      </text>
    </comment>
    <comment ref="N1227" authorId="0" shapeId="0" xr:uid="{792C7B4E-967B-4CBF-A25E-A8E5A2FDD661}">
      <text>
        <r>
          <rPr>
            <b/>
            <sz val="9"/>
            <color indexed="81"/>
            <rFont val="Tahoma"/>
            <family val="2"/>
          </rPr>
          <t>&lt;[[TCDeals] - [TC Property Current Stage (Seq: 1)] - [Buildings (Seq: 46)] Constr 8609 Basis - Both]&gt;</t>
        </r>
      </text>
    </comment>
    <comment ref="O1227" authorId="0" shapeId="0" xr:uid="{ABF1C47C-222E-4CBC-80FC-F66C7366A94E}">
      <text>
        <r>
          <rPr>
            <b/>
            <sz val="9"/>
            <color indexed="81"/>
            <rFont val="Tahoma"/>
            <family val="2"/>
          </rPr>
          <t>&lt;[[TCDeals] - [TC Property Current Stage (Seq: 1)] - [Buildings (Seq: 46)] Constr 8609 Credit - Both]&gt;</t>
        </r>
      </text>
    </comment>
    <comment ref="P1227" authorId="0" shapeId="0" xr:uid="{6DD682D2-04EA-4A1A-A3F4-C59CBE141FBA}">
      <text>
        <r>
          <rPr>
            <b/>
            <sz val="9"/>
            <color indexed="81"/>
            <rFont val="Tahoma"/>
            <family val="2"/>
          </rPr>
          <t>&lt;[[TCDeals] - [TC Property Current Stage (Seq: 1)] - [Buildings (Seq: 46)] Acq PIS Date - Both]&gt;</t>
        </r>
      </text>
    </comment>
    <comment ref="Q1227" authorId="0" shapeId="0" xr:uid="{588E0DB0-EBA0-4642-A397-CB55437FA4CE}">
      <text>
        <r>
          <rPr>
            <b/>
            <sz val="9"/>
            <color indexed="81"/>
            <rFont val="Tahoma"/>
            <family val="2"/>
          </rPr>
          <t>&lt;[[TCDeals] - [TC Property Current Stage (Seq: 1)] - [Buildings (Seq: 46)] Acq Applicable Percentage - Both]&gt;</t>
        </r>
      </text>
    </comment>
    <comment ref="R1227" authorId="0" shapeId="0" xr:uid="{2FC2B3F0-1DBE-43F7-B319-1E0EBE28A895}">
      <text>
        <r>
          <rPr>
            <b/>
            <sz val="9"/>
            <color indexed="81"/>
            <rFont val="Tahoma"/>
            <family val="2"/>
          </rPr>
          <t>&lt;[[TCDeals] - [TC Property Current Stage (Seq: 1)] - [Buildings (Seq: 46)] Acq Est Qual Basis - Both]&gt;</t>
        </r>
      </text>
    </comment>
    <comment ref="S1227" authorId="0" shapeId="0" xr:uid="{247C33BF-388C-4A12-8495-9AEFE9E5164A}">
      <text>
        <r>
          <rPr>
            <b/>
            <sz val="9"/>
            <color indexed="81"/>
            <rFont val="Tahoma"/>
            <family val="2"/>
          </rPr>
          <t>&lt;[[TCDeals] - [TC Property Current Stage (Seq: 1)] - [Buildings (Seq: 46)] Acq 8609 Basis - Both]&gt;</t>
        </r>
      </text>
    </comment>
    <comment ref="T1227" authorId="0" shapeId="0" xr:uid="{7A7933E8-D9B7-4AD6-9BFF-361EAE82C925}">
      <text>
        <r>
          <rPr>
            <b/>
            <sz val="9"/>
            <color indexed="81"/>
            <rFont val="Tahoma"/>
            <family val="2"/>
          </rPr>
          <t>&lt;[[TCDeals] - [TC Property Current Stage (Seq: 1)] - [Buildings (Seq: 46)] Acq 8609 Credit - Both]&gt;</t>
        </r>
      </text>
    </comment>
    <comment ref="C1228" authorId="0" shapeId="0" xr:uid="{CA5DBBF6-8F06-452C-8BF1-73B240022936}">
      <text>
        <r>
          <rPr>
            <b/>
            <sz val="9"/>
            <color indexed="81"/>
            <rFont val="Tahoma"/>
            <family val="2"/>
          </rPr>
          <t>&lt;[[TCDeals] - [TC Property Current Stage (Seq: 1)] - [Buildings (Seq: 47)] BIN - Both]&gt;</t>
        </r>
      </text>
    </comment>
    <comment ref="D1228" authorId="0" shapeId="0" xr:uid="{219F7B92-B01B-49E0-8D1C-B5E4A264A7FE}">
      <text>
        <r>
          <rPr>
            <b/>
            <sz val="9"/>
            <color indexed="81"/>
            <rFont val="Tahoma"/>
            <family val="2"/>
          </rPr>
          <t>&lt;[[TCDeals] - [TC Property Current Stage (Seq: 1)] - [Buildings (Seq: 47)] Address 1 - Both]&gt;</t>
        </r>
      </text>
    </comment>
    <comment ref="E1228" authorId="0" shapeId="0" xr:uid="{52F0BB65-47A0-4E3A-ABCF-C2BD4C94B317}">
      <text>
        <r>
          <rPr>
            <b/>
            <sz val="9"/>
            <color indexed="81"/>
            <rFont val="Tahoma"/>
            <family val="2"/>
          </rPr>
          <t>&lt;[[TCDeals] - [TC Property Current Stage (Seq: 1)] - [Buildings (Seq: 47)] Num TC Units - Both]&gt;</t>
        </r>
      </text>
    </comment>
    <comment ref="F1228" authorId="0" shapeId="0" xr:uid="{423B87E1-3103-41C3-AA8B-C31930CEDE5A}">
      <text>
        <r>
          <rPr>
            <b/>
            <sz val="9"/>
            <color indexed="81"/>
            <rFont val="Tahoma"/>
            <family val="2"/>
          </rPr>
          <t>&lt;[[TCDeals] - [TC Property Current Stage (Seq: 1)] - [Buildings (Seq: 47)] PVC PIS Date - Both]&gt;</t>
        </r>
      </text>
    </comment>
    <comment ref="G1228" authorId="0" shapeId="0" xr:uid="{C27AEF75-F1FC-4CD7-BDF2-A6DFA4967D7E}">
      <text>
        <r>
          <rPr>
            <b/>
            <sz val="9"/>
            <color indexed="81"/>
            <rFont val="Tahoma"/>
            <family val="2"/>
          </rPr>
          <t>&lt;[[TCDeals] - [TC Property Current Stage (Seq: 1)] - [Buildings (Seq: 47)] PVC Applicable Percentage - Both]&gt;</t>
        </r>
      </text>
    </comment>
    <comment ref="H1228" authorId="0" shapeId="0" xr:uid="{33D681E5-1F6E-42F4-83D7-01A40E74A9B6}">
      <text>
        <r>
          <rPr>
            <b/>
            <sz val="9"/>
            <color indexed="81"/>
            <rFont val="Tahoma"/>
            <family val="2"/>
          </rPr>
          <t>&lt;[[TCDeals] - [TC Property Current Stage (Seq: 1)] - [Buildings (Seq: 47)] PVC Est Qual Basis - Both]&gt;</t>
        </r>
      </text>
    </comment>
    <comment ref="I1228" authorId="0" shapeId="0" xr:uid="{E5BA322F-41C7-4EB4-9417-0FCCDF082B72}">
      <text>
        <r>
          <rPr>
            <b/>
            <sz val="9"/>
            <color indexed="81"/>
            <rFont val="Tahoma"/>
            <family val="2"/>
          </rPr>
          <t>&lt;[[TCDeals] - [TC Property Current Stage (Seq: 1)] - [Buildings (Seq: 47)] PVC8609 Basis - Both]&gt;</t>
        </r>
      </text>
    </comment>
    <comment ref="J1228" authorId="0" shapeId="0" xr:uid="{7FF9EDDB-AD08-4066-9F2E-FB6FF14F3CD4}">
      <text>
        <r>
          <rPr>
            <b/>
            <sz val="9"/>
            <color indexed="81"/>
            <rFont val="Tahoma"/>
            <family val="2"/>
          </rPr>
          <t>&lt;[[TCDeals] - [TC Property Current Stage (Seq: 1)] - [Buildings (Seq: 47)] PVC8609 Credit - Both]&gt;</t>
        </r>
      </text>
    </comment>
    <comment ref="K1228" authorId="0" shapeId="0" xr:uid="{33CA4F59-71B8-47BC-85C1-5A13CB90998B}">
      <text>
        <r>
          <rPr>
            <b/>
            <sz val="9"/>
            <color indexed="81"/>
            <rFont val="Tahoma"/>
            <family val="2"/>
          </rPr>
          <t>&lt;[[TCDeals] - [TC Property Current Stage (Seq: 1)] - [Buildings (Seq: 47)] Constr PIS Date - Both]&gt;</t>
        </r>
      </text>
    </comment>
    <comment ref="L1228" authorId="0" shapeId="0" xr:uid="{ED062EC1-D555-483E-B74A-E68A1A317CB6}">
      <text>
        <r>
          <rPr>
            <b/>
            <sz val="9"/>
            <color indexed="81"/>
            <rFont val="Tahoma"/>
            <family val="2"/>
          </rPr>
          <t>&lt;[[TCDeals] - [TC Property Current Stage (Seq: 1)] - [Buildings (Seq: 47)] Constr Applicable Percentage - Both]&gt;</t>
        </r>
      </text>
    </comment>
    <comment ref="M1228" authorId="0" shapeId="0" xr:uid="{BEFFF2E2-1033-409D-9328-E77E0CE3D4A4}">
      <text>
        <r>
          <rPr>
            <b/>
            <sz val="9"/>
            <color indexed="81"/>
            <rFont val="Tahoma"/>
            <family val="2"/>
          </rPr>
          <t>&lt;[[TCDeals] - [TC Property Current Stage (Seq: 1)] - [Buildings (Seq: 47)] Constr Est Qual Basis - Both]&gt;</t>
        </r>
      </text>
    </comment>
    <comment ref="N1228" authorId="0" shapeId="0" xr:uid="{ACE601AA-6FF7-4D06-9C67-29158C7731A2}">
      <text>
        <r>
          <rPr>
            <b/>
            <sz val="9"/>
            <color indexed="81"/>
            <rFont val="Tahoma"/>
            <family val="2"/>
          </rPr>
          <t>&lt;[[TCDeals] - [TC Property Current Stage (Seq: 1)] - [Buildings (Seq: 47)] Constr 8609 Basis - Both]&gt;</t>
        </r>
      </text>
    </comment>
    <comment ref="O1228" authorId="0" shapeId="0" xr:uid="{553F63F1-81D2-4772-8816-4C30A51F2F18}">
      <text>
        <r>
          <rPr>
            <b/>
            <sz val="9"/>
            <color indexed="81"/>
            <rFont val="Tahoma"/>
            <family val="2"/>
          </rPr>
          <t>&lt;[[TCDeals] - [TC Property Current Stage (Seq: 1)] - [Buildings (Seq: 47)] Constr 8609 Credit - Both]&gt;</t>
        </r>
      </text>
    </comment>
    <comment ref="P1228" authorId="0" shapeId="0" xr:uid="{09A8706C-5CF6-40F9-9A2C-F439E8FEA651}">
      <text>
        <r>
          <rPr>
            <b/>
            <sz val="9"/>
            <color indexed="81"/>
            <rFont val="Tahoma"/>
            <family val="2"/>
          </rPr>
          <t>&lt;[[TCDeals] - [TC Property Current Stage (Seq: 1)] - [Buildings (Seq: 47)] Acq PIS Date - Both]&gt;</t>
        </r>
      </text>
    </comment>
    <comment ref="Q1228" authorId="0" shapeId="0" xr:uid="{C22CBEA3-5CE1-40D1-8A40-27F64B7B6552}">
      <text>
        <r>
          <rPr>
            <b/>
            <sz val="9"/>
            <color indexed="81"/>
            <rFont val="Tahoma"/>
            <family val="2"/>
          </rPr>
          <t>&lt;[[TCDeals] - [TC Property Current Stage (Seq: 1)] - [Buildings (Seq: 47)] Acq Applicable Percentage - Both]&gt;</t>
        </r>
      </text>
    </comment>
    <comment ref="R1228" authorId="0" shapeId="0" xr:uid="{76B0ABC1-8651-4CD2-8380-811708F1CA2C}">
      <text>
        <r>
          <rPr>
            <b/>
            <sz val="9"/>
            <color indexed="81"/>
            <rFont val="Tahoma"/>
            <family val="2"/>
          </rPr>
          <t>&lt;[[TCDeals] - [TC Property Current Stage (Seq: 1)] - [Buildings (Seq: 47)] Acq Est Qual Basis - Both]&gt;</t>
        </r>
      </text>
    </comment>
    <comment ref="S1228" authorId="0" shapeId="0" xr:uid="{87D0E359-FF0C-46E3-89F2-DF69EEEE48C4}">
      <text>
        <r>
          <rPr>
            <b/>
            <sz val="9"/>
            <color indexed="81"/>
            <rFont val="Tahoma"/>
            <family val="2"/>
          </rPr>
          <t>&lt;[[TCDeals] - [TC Property Current Stage (Seq: 1)] - [Buildings (Seq: 47)] Acq 8609 Basis - Both]&gt;</t>
        </r>
      </text>
    </comment>
    <comment ref="T1228" authorId="0" shapeId="0" xr:uid="{D097916A-02B5-4D88-A72A-0ED9A7DB487B}">
      <text>
        <r>
          <rPr>
            <b/>
            <sz val="9"/>
            <color indexed="81"/>
            <rFont val="Tahoma"/>
            <family val="2"/>
          </rPr>
          <t>&lt;[[TCDeals] - [TC Property Current Stage (Seq: 1)] - [Buildings (Seq: 47)] Acq 8609 Credit - Both]&gt;</t>
        </r>
      </text>
    </comment>
    <comment ref="C1229" authorId="0" shapeId="0" xr:uid="{7A56C8F9-209A-47BB-85FD-07F6EBA7DDB6}">
      <text>
        <r>
          <rPr>
            <b/>
            <sz val="9"/>
            <color indexed="81"/>
            <rFont val="Tahoma"/>
            <family val="2"/>
          </rPr>
          <t>&lt;[[TCDeals] - [TC Property Current Stage (Seq: 1)] - [Buildings (Seq: 48)] BIN - Both]&gt;</t>
        </r>
      </text>
    </comment>
    <comment ref="D1229" authorId="0" shapeId="0" xr:uid="{F07E5DE6-3385-4C48-946F-252AD13BBC10}">
      <text>
        <r>
          <rPr>
            <b/>
            <sz val="9"/>
            <color indexed="81"/>
            <rFont val="Tahoma"/>
            <family val="2"/>
          </rPr>
          <t>&lt;[[TCDeals] - [TC Property Current Stage (Seq: 1)] - [Buildings (Seq: 48)] Address 1 - Both]&gt;</t>
        </r>
      </text>
    </comment>
    <comment ref="E1229" authorId="0" shapeId="0" xr:uid="{4420A2D6-ED59-4652-9627-7CFE9752E529}">
      <text>
        <r>
          <rPr>
            <b/>
            <sz val="9"/>
            <color indexed="81"/>
            <rFont val="Tahoma"/>
            <family val="2"/>
          </rPr>
          <t>&lt;[[TCDeals] - [TC Property Current Stage (Seq: 1)] - [Buildings (Seq: 48)] Num TC Units - Both]&gt;</t>
        </r>
      </text>
    </comment>
    <comment ref="F1229" authorId="0" shapeId="0" xr:uid="{F1A020E2-1D14-4FDE-9ECD-5A658E0FCC45}">
      <text>
        <r>
          <rPr>
            <b/>
            <sz val="9"/>
            <color indexed="81"/>
            <rFont val="Tahoma"/>
            <family val="2"/>
          </rPr>
          <t>&lt;[[TCDeals] - [TC Property Current Stage (Seq: 1)] - [Buildings (Seq: 48)] PVC PIS Date - Both]&gt;</t>
        </r>
      </text>
    </comment>
    <comment ref="G1229" authorId="0" shapeId="0" xr:uid="{F8833547-0704-4FDA-ABF0-831EEC054B0D}">
      <text>
        <r>
          <rPr>
            <b/>
            <sz val="9"/>
            <color indexed="81"/>
            <rFont val="Tahoma"/>
            <family val="2"/>
          </rPr>
          <t>&lt;[[TCDeals] - [TC Property Current Stage (Seq: 1)] - [Buildings (Seq: 48)] PVC Applicable Percentage - Both]&gt;</t>
        </r>
      </text>
    </comment>
    <comment ref="H1229" authorId="0" shapeId="0" xr:uid="{5B79F1BE-31D9-40C3-8E30-C2C079B18172}">
      <text>
        <r>
          <rPr>
            <b/>
            <sz val="9"/>
            <color indexed="81"/>
            <rFont val="Tahoma"/>
            <family val="2"/>
          </rPr>
          <t>&lt;[[TCDeals] - [TC Property Current Stage (Seq: 1)] - [Buildings (Seq: 48)] PVC Est Qual Basis - Both]&gt;</t>
        </r>
      </text>
    </comment>
    <comment ref="I1229" authorId="0" shapeId="0" xr:uid="{BA96DD99-3E1F-4523-BDF9-6E9046F1AFC7}">
      <text>
        <r>
          <rPr>
            <b/>
            <sz val="9"/>
            <color indexed="81"/>
            <rFont val="Tahoma"/>
            <family val="2"/>
          </rPr>
          <t>&lt;[[TCDeals] - [TC Property Current Stage (Seq: 1)] - [Buildings (Seq: 48)] PVC8609 Basis - Both]&gt;</t>
        </r>
      </text>
    </comment>
    <comment ref="J1229" authorId="0" shapeId="0" xr:uid="{4388C4DB-AFFC-4822-BE4C-DC434497FE70}">
      <text>
        <r>
          <rPr>
            <b/>
            <sz val="9"/>
            <color indexed="81"/>
            <rFont val="Tahoma"/>
            <family val="2"/>
          </rPr>
          <t>&lt;[[TCDeals] - [TC Property Current Stage (Seq: 1)] - [Buildings (Seq: 48)] PVC8609 Credit - Both]&gt;</t>
        </r>
      </text>
    </comment>
    <comment ref="K1229" authorId="0" shapeId="0" xr:uid="{AA8F2E12-0B24-422A-AD9F-FB201F3C951E}">
      <text>
        <r>
          <rPr>
            <b/>
            <sz val="9"/>
            <color indexed="81"/>
            <rFont val="Tahoma"/>
            <family val="2"/>
          </rPr>
          <t>&lt;[[TCDeals] - [TC Property Current Stage (Seq: 1)] - [Buildings (Seq: 48)] Constr PIS Date - Both]&gt;</t>
        </r>
      </text>
    </comment>
    <comment ref="L1229" authorId="0" shapeId="0" xr:uid="{DFEE3FCE-09A9-4194-9908-C50BDFEDE0E5}">
      <text>
        <r>
          <rPr>
            <b/>
            <sz val="9"/>
            <color indexed="81"/>
            <rFont val="Tahoma"/>
            <family val="2"/>
          </rPr>
          <t>&lt;[[TCDeals] - [TC Property Current Stage (Seq: 1)] - [Buildings (Seq: 48)] Constr Applicable Percentage - Both]&gt;</t>
        </r>
      </text>
    </comment>
    <comment ref="M1229" authorId="0" shapeId="0" xr:uid="{D2367D3C-EC26-4387-A798-1E397133A60B}">
      <text>
        <r>
          <rPr>
            <b/>
            <sz val="9"/>
            <color indexed="81"/>
            <rFont val="Tahoma"/>
            <family val="2"/>
          </rPr>
          <t>&lt;[[TCDeals] - [TC Property Current Stage (Seq: 1)] - [Buildings (Seq: 48)] Constr Est Qual Basis - Both]&gt;</t>
        </r>
      </text>
    </comment>
    <comment ref="N1229" authorId="0" shapeId="0" xr:uid="{78708D46-D42B-4542-BCBB-4D0BD900638F}">
      <text>
        <r>
          <rPr>
            <b/>
            <sz val="9"/>
            <color indexed="81"/>
            <rFont val="Tahoma"/>
            <family val="2"/>
          </rPr>
          <t>&lt;[[TCDeals] - [TC Property Current Stage (Seq: 1)] - [Buildings (Seq: 48)] Constr 8609 Basis - Both]&gt;</t>
        </r>
      </text>
    </comment>
    <comment ref="O1229" authorId="0" shapeId="0" xr:uid="{BCE146F3-02B4-4833-9D7B-93F03E8559F5}">
      <text>
        <r>
          <rPr>
            <b/>
            <sz val="9"/>
            <color indexed="81"/>
            <rFont val="Tahoma"/>
            <family val="2"/>
          </rPr>
          <t>&lt;[[TCDeals] - [TC Property Current Stage (Seq: 1)] - [Buildings (Seq: 48)] Constr 8609 Credit - Both]&gt;</t>
        </r>
      </text>
    </comment>
    <comment ref="P1229" authorId="0" shapeId="0" xr:uid="{CAE87EDE-AF0C-41B7-8974-081C294E6338}">
      <text>
        <r>
          <rPr>
            <b/>
            <sz val="9"/>
            <color indexed="81"/>
            <rFont val="Tahoma"/>
            <family val="2"/>
          </rPr>
          <t>&lt;[[TCDeals] - [TC Property Current Stage (Seq: 1)] - [Buildings (Seq: 48)] Acq PIS Date - Both]&gt;</t>
        </r>
      </text>
    </comment>
    <comment ref="Q1229" authorId="0" shapeId="0" xr:uid="{DBAF69AD-3DC8-476F-82F5-89D29DB3765B}">
      <text>
        <r>
          <rPr>
            <b/>
            <sz val="9"/>
            <color indexed="81"/>
            <rFont val="Tahoma"/>
            <family val="2"/>
          </rPr>
          <t>&lt;[[TCDeals] - [TC Property Current Stage (Seq: 1)] - [Buildings (Seq: 48)] Acq Applicable Percentage - Both]&gt;</t>
        </r>
      </text>
    </comment>
    <comment ref="R1229" authorId="0" shapeId="0" xr:uid="{33381C74-0E96-46CF-8B50-0E8A22B5A15D}">
      <text>
        <r>
          <rPr>
            <b/>
            <sz val="9"/>
            <color indexed="81"/>
            <rFont val="Tahoma"/>
            <family val="2"/>
          </rPr>
          <t>&lt;[[TCDeals] - [TC Property Current Stage (Seq: 1)] - [Buildings (Seq: 48)] Acq Est Qual Basis - Both]&gt;</t>
        </r>
      </text>
    </comment>
    <comment ref="S1229" authorId="0" shapeId="0" xr:uid="{61B91661-2C56-4FFB-8A3F-4AAC42A66E45}">
      <text>
        <r>
          <rPr>
            <b/>
            <sz val="9"/>
            <color indexed="81"/>
            <rFont val="Tahoma"/>
            <family val="2"/>
          </rPr>
          <t>&lt;[[TCDeals] - [TC Property Current Stage (Seq: 1)] - [Buildings (Seq: 48)] Acq 8609 Basis - Both]&gt;</t>
        </r>
      </text>
    </comment>
    <comment ref="T1229" authorId="0" shapeId="0" xr:uid="{0B591F34-5E90-4BD4-A7C6-D182CD9485D7}">
      <text>
        <r>
          <rPr>
            <b/>
            <sz val="9"/>
            <color indexed="81"/>
            <rFont val="Tahoma"/>
            <family val="2"/>
          </rPr>
          <t>&lt;[[TCDeals] - [TC Property Current Stage (Seq: 1)] - [Buildings (Seq: 48)] Acq 8609 Credit - Both]&gt;</t>
        </r>
      </text>
    </comment>
    <comment ref="C1230" authorId="0" shapeId="0" xr:uid="{DC655BDE-F417-4081-BED5-A592C8F95395}">
      <text>
        <r>
          <rPr>
            <b/>
            <sz val="9"/>
            <color indexed="81"/>
            <rFont val="Tahoma"/>
            <family val="2"/>
          </rPr>
          <t>&lt;[[TCDeals] - [TC Property Current Stage (Seq: 1)] - [Buildings (Seq: 49)] BIN - Both]&gt;</t>
        </r>
      </text>
    </comment>
    <comment ref="D1230" authorId="0" shapeId="0" xr:uid="{0601D92D-8A8D-4A57-ADBB-1879B7A96EF3}">
      <text>
        <r>
          <rPr>
            <b/>
            <sz val="9"/>
            <color indexed="81"/>
            <rFont val="Tahoma"/>
            <family val="2"/>
          </rPr>
          <t>&lt;[[TCDeals] - [TC Property Current Stage (Seq: 1)] - [Buildings (Seq: 49)] Address 1 - Both]&gt;</t>
        </r>
      </text>
    </comment>
    <comment ref="E1230" authorId="0" shapeId="0" xr:uid="{EAF9EA9A-A8CF-4A45-94DF-5DB9E6DE1069}">
      <text>
        <r>
          <rPr>
            <b/>
            <sz val="9"/>
            <color indexed="81"/>
            <rFont val="Tahoma"/>
            <family val="2"/>
          </rPr>
          <t>&lt;[[TCDeals] - [TC Property Current Stage (Seq: 1)] - [Buildings (Seq: 49)] Num TC Units - Both]&gt;</t>
        </r>
      </text>
    </comment>
    <comment ref="F1230" authorId="0" shapeId="0" xr:uid="{2C4AD11B-8A43-4889-9339-14EB3D58BB72}">
      <text>
        <r>
          <rPr>
            <b/>
            <sz val="9"/>
            <color indexed="81"/>
            <rFont val="Tahoma"/>
            <family val="2"/>
          </rPr>
          <t>&lt;[[TCDeals] - [TC Property Current Stage (Seq: 1)] - [Buildings (Seq: 49)] PVC PIS Date - Both]&gt;</t>
        </r>
      </text>
    </comment>
    <comment ref="G1230" authorId="0" shapeId="0" xr:uid="{AB592161-1FE5-44C0-A545-AC04DCDB6D4F}">
      <text>
        <r>
          <rPr>
            <b/>
            <sz val="9"/>
            <color indexed="81"/>
            <rFont val="Tahoma"/>
            <family val="2"/>
          </rPr>
          <t>&lt;[[TCDeals] - [TC Property Current Stage (Seq: 1)] - [Buildings (Seq: 49)] PVC Applicable Percentage - Both]&gt;</t>
        </r>
      </text>
    </comment>
    <comment ref="H1230" authorId="0" shapeId="0" xr:uid="{3D1BF0F5-8103-408E-9469-720DB3AD5A4D}">
      <text>
        <r>
          <rPr>
            <b/>
            <sz val="9"/>
            <color indexed="81"/>
            <rFont val="Tahoma"/>
            <family val="2"/>
          </rPr>
          <t>&lt;[[TCDeals] - [TC Property Current Stage (Seq: 1)] - [Buildings (Seq: 49)] PVC Est Qual Basis - Both]&gt;</t>
        </r>
      </text>
    </comment>
    <comment ref="I1230" authorId="0" shapeId="0" xr:uid="{D286A23A-F0CD-422A-9F38-4C5C81B89B17}">
      <text>
        <r>
          <rPr>
            <b/>
            <sz val="9"/>
            <color indexed="81"/>
            <rFont val="Tahoma"/>
            <family val="2"/>
          </rPr>
          <t>&lt;[[TCDeals] - [TC Property Current Stage (Seq: 1)] - [Buildings (Seq: 49)] PVC8609 Basis - Both]&gt;</t>
        </r>
      </text>
    </comment>
    <comment ref="J1230" authorId="0" shapeId="0" xr:uid="{D085D436-09A9-4FA7-A637-19BFE3AA9DDC}">
      <text>
        <r>
          <rPr>
            <b/>
            <sz val="9"/>
            <color indexed="81"/>
            <rFont val="Tahoma"/>
            <family val="2"/>
          </rPr>
          <t>&lt;[[TCDeals] - [TC Property Current Stage (Seq: 1)] - [Buildings (Seq: 49)] PVC8609 Credit - Both]&gt;</t>
        </r>
      </text>
    </comment>
    <comment ref="K1230" authorId="0" shapeId="0" xr:uid="{41138AD2-C43C-4DB1-9243-E4B74ACD43CE}">
      <text>
        <r>
          <rPr>
            <b/>
            <sz val="9"/>
            <color indexed="81"/>
            <rFont val="Tahoma"/>
            <family val="2"/>
          </rPr>
          <t>&lt;[[TCDeals] - [TC Property Current Stage (Seq: 1)] - [Buildings (Seq: 49)] Constr PIS Date - Both]&gt;</t>
        </r>
      </text>
    </comment>
    <comment ref="L1230" authorId="0" shapeId="0" xr:uid="{B9C449C1-C775-43E6-9A25-8813653CED92}">
      <text>
        <r>
          <rPr>
            <b/>
            <sz val="9"/>
            <color indexed="81"/>
            <rFont val="Tahoma"/>
            <family val="2"/>
          </rPr>
          <t>&lt;[[TCDeals] - [TC Property Current Stage (Seq: 1)] - [Buildings (Seq: 49)] Constr Applicable Percentage - Both]&gt;</t>
        </r>
      </text>
    </comment>
    <comment ref="M1230" authorId="0" shapeId="0" xr:uid="{A553E185-B540-44B4-A0E8-2D27A28E5473}">
      <text>
        <r>
          <rPr>
            <b/>
            <sz val="9"/>
            <color indexed="81"/>
            <rFont val="Tahoma"/>
            <family val="2"/>
          </rPr>
          <t>&lt;[[TCDeals] - [TC Property Current Stage (Seq: 1)] - [Buildings (Seq: 49)] Constr Est Qual Basis - Both]&gt;</t>
        </r>
      </text>
    </comment>
    <comment ref="N1230" authorId="0" shapeId="0" xr:uid="{D6BDCA84-D338-4CEB-BA9D-1D9D566A93E5}">
      <text>
        <r>
          <rPr>
            <b/>
            <sz val="9"/>
            <color indexed="81"/>
            <rFont val="Tahoma"/>
            <family val="2"/>
          </rPr>
          <t>&lt;[[TCDeals] - [TC Property Current Stage (Seq: 1)] - [Buildings (Seq: 49)] Constr 8609 Basis - Both]&gt;</t>
        </r>
      </text>
    </comment>
    <comment ref="O1230" authorId="0" shapeId="0" xr:uid="{12A5DADF-71A1-49CD-8E76-700807F92F65}">
      <text>
        <r>
          <rPr>
            <b/>
            <sz val="9"/>
            <color indexed="81"/>
            <rFont val="Tahoma"/>
            <family val="2"/>
          </rPr>
          <t>&lt;[[TCDeals] - [TC Property Current Stage (Seq: 1)] - [Buildings (Seq: 49)] Constr 8609 Credit - Both]&gt;</t>
        </r>
      </text>
    </comment>
    <comment ref="P1230" authorId="0" shapeId="0" xr:uid="{7E8A8FE7-8F7D-4142-A8B0-3975C6ECD07F}">
      <text>
        <r>
          <rPr>
            <b/>
            <sz val="9"/>
            <color indexed="81"/>
            <rFont val="Tahoma"/>
            <family val="2"/>
          </rPr>
          <t>&lt;[[TCDeals] - [TC Property Current Stage (Seq: 1)] - [Buildings (Seq: 49)] Acq PIS Date - Both]&gt;</t>
        </r>
      </text>
    </comment>
    <comment ref="Q1230" authorId="0" shapeId="0" xr:uid="{4B0DDEF0-E254-4519-9780-5C21EB3A57FC}">
      <text>
        <r>
          <rPr>
            <b/>
            <sz val="9"/>
            <color indexed="81"/>
            <rFont val="Tahoma"/>
            <family val="2"/>
          </rPr>
          <t>&lt;[[TCDeals] - [TC Property Current Stage (Seq: 1)] - [Buildings (Seq: 49)] Acq Applicable Percentage - Both]&gt;</t>
        </r>
      </text>
    </comment>
    <comment ref="R1230" authorId="0" shapeId="0" xr:uid="{924E3097-573E-4BD2-B093-6684D4A45B5E}">
      <text>
        <r>
          <rPr>
            <b/>
            <sz val="9"/>
            <color indexed="81"/>
            <rFont val="Tahoma"/>
            <family val="2"/>
          </rPr>
          <t>&lt;[[TCDeals] - [TC Property Current Stage (Seq: 1)] - [Buildings (Seq: 49)] Acq Est Qual Basis - Both]&gt;</t>
        </r>
      </text>
    </comment>
    <comment ref="S1230" authorId="0" shapeId="0" xr:uid="{F2B1E24C-F50D-425E-803E-29C303034585}">
      <text>
        <r>
          <rPr>
            <b/>
            <sz val="9"/>
            <color indexed="81"/>
            <rFont val="Tahoma"/>
            <family val="2"/>
          </rPr>
          <t>&lt;[[TCDeals] - [TC Property Current Stage (Seq: 1)] - [Buildings (Seq: 49)] Acq 8609 Basis - Both]&gt;</t>
        </r>
      </text>
    </comment>
    <comment ref="T1230" authorId="0" shapeId="0" xr:uid="{8D22C670-8BC6-473E-801E-ADC8F9B5FD5F}">
      <text>
        <r>
          <rPr>
            <b/>
            <sz val="9"/>
            <color indexed="81"/>
            <rFont val="Tahoma"/>
            <family val="2"/>
          </rPr>
          <t>&lt;[[TCDeals] - [TC Property Current Stage (Seq: 1)] - [Buildings (Seq: 49)] Acq 8609 Credit - Both]&gt;</t>
        </r>
      </text>
    </comment>
    <comment ref="C1231" authorId="0" shapeId="0" xr:uid="{35ACB4E0-F589-4D59-BCB2-A14253B6131E}">
      <text>
        <r>
          <rPr>
            <b/>
            <sz val="9"/>
            <color indexed="81"/>
            <rFont val="Tahoma"/>
            <family val="2"/>
          </rPr>
          <t>&lt;[[TCDeals] - [TC Property Current Stage (Seq: 1)] - [Buildings (Seq: 50)] BIN - Both]&gt;</t>
        </r>
      </text>
    </comment>
    <comment ref="D1231" authorId="0" shapeId="0" xr:uid="{DA927A48-9911-433A-974D-449759BEEE4F}">
      <text>
        <r>
          <rPr>
            <b/>
            <sz val="9"/>
            <color indexed="81"/>
            <rFont val="Tahoma"/>
            <family val="2"/>
          </rPr>
          <t>&lt;[[TCDeals] - [TC Property Current Stage (Seq: 1)] - [Buildings (Seq: 50)] Address 1 - Both]&gt;</t>
        </r>
      </text>
    </comment>
    <comment ref="E1231" authorId="0" shapeId="0" xr:uid="{6CA91B52-B377-4390-834B-ACD18206EDD6}">
      <text>
        <r>
          <rPr>
            <b/>
            <sz val="9"/>
            <color indexed="81"/>
            <rFont val="Tahoma"/>
            <family val="2"/>
          </rPr>
          <t>&lt;[[TCDeals] - [TC Property Current Stage (Seq: 1)] - [Buildings (Seq: 50)] Num TC Units - Both]&gt;</t>
        </r>
      </text>
    </comment>
    <comment ref="F1231" authorId="0" shapeId="0" xr:uid="{4C70D43F-70CD-4AA3-B007-F8D1E9C11854}">
      <text>
        <r>
          <rPr>
            <b/>
            <sz val="9"/>
            <color indexed="81"/>
            <rFont val="Tahoma"/>
            <family val="2"/>
          </rPr>
          <t>&lt;[[TCDeals] - [TC Property Current Stage (Seq: 1)] - [Buildings (Seq: 50)] PVC PIS Date - Both]&gt;</t>
        </r>
      </text>
    </comment>
    <comment ref="G1231" authorId="0" shapeId="0" xr:uid="{1F240B37-F598-463A-814D-38CE05A14B77}">
      <text>
        <r>
          <rPr>
            <b/>
            <sz val="9"/>
            <color indexed="81"/>
            <rFont val="Tahoma"/>
            <family val="2"/>
          </rPr>
          <t>&lt;[[TCDeals] - [TC Property Current Stage (Seq: 1)] - [Buildings (Seq: 50)] PVC Applicable Percentage - Both]&gt;</t>
        </r>
      </text>
    </comment>
    <comment ref="H1231" authorId="0" shapeId="0" xr:uid="{CA82E3BF-9AC0-4D3B-B472-4916FC77EA36}">
      <text>
        <r>
          <rPr>
            <b/>
            <sz val="9"/>
            <color indexed="81"/>
            <rFont val="Tahoma"/>
            <family val="2"/>
          </rPr>
          <t>&lt;[[TCDeals] - [TC Property Current Stage (Seq: 1)] - [Buildings (Seq: 50)] PVC Est Qual Basis - Both]&gt;</t>
        </r>
      </text>
    </comment>
    <comment ref="I1231" authorId="0" shapeId="0" xr:uid="{E40D98F8-5E22-4D38-97FE-D1248D19D470}">
      <text>
        <r>
          <rPr>
            <b/>
            <sz val="9"/>
            <color indexed="81"/>
            <rFont val="Tahoma"/>
            <family val="2"/>
          </rPr>
          <t>&lt;[[TCDeals] - [TC Property Current Stage (Seq: 1)] - [Buildings (Seq: 50)] PVC8609 Basis - Both]&gt;</t>
        </r>
      </text>
    </comment>
    <comment ref="J1231" authorId="0" shapeId="0" xr:uid="{8588BDDC-E4D6-4290-9860-53BE3D9F564B}">
      <text>
        <r>
          <rPr>
            <b/>
            <sz val="9"/>
            <color indexed="81"/>
            <rFont val="Tahoma"/>
            <family val="2"/>
          </rPr>
          <t>&lt;[[TCDeals] - [TC Property Current Stage (Seq: 1)] - [Buildings (Seq: 50)] PVC8609 Credit - Both]&gt;</t>
        </r>
      </text>
    </comment>
    <comment ref="K1231" authorId="0" shapeId="0" xr:uid="{3E82FCFD-6148-422E-BEB5-BB84F29A8D53}">
      <text>
        <r>
          <rPr>
            <b/>
            <sz val="9"/>
            <color indexed="81"/>
            <rFont val="Tahoma"/>
            <family val="2"/>
          </rPr>
          <t>&lt;[[TCDeals] - [TC Property Current Stage (Seq: 1)] - [Buildings (Seq: 50)] Constr PIS Date - Both]&gt;</t>
        </r>
      </text>
    </comment>
    <comment ref="L1231" authorId="0" shapeId="0" xr:uid="{C8BFFAB6-F211-4769-AF5B-5A184483B641}">
      <text>
        <r>
          <rPr>
            <b/>
            <sz val="9"/>
            <color indexed="81"/>
            <rFont val="Tahoma"/>
            <family val="2"/>
          </rPr>
          <t>&lt;[[TCDeals] - [TC Property Current Stage (Seq: 1)] - [Buildings (Seq: 50)] Constr Applicable Percentage - Both]&gt;</t>
        </r>
      </text>
    </comment>
    <comment ref="M1231" authorId="0" shapeId="0" xr:uid="{0AACC6FA-3037-461A-84CE-4FDD58C6031D}">
      <text>
        <r>
          <rPr>
            <b/>
            <sz val="9"/>
            <color indexed="81"/>
            <rFont val="Tahoma"/>
            <family val="2"/>
          </rPr>
          <t>&lt;[[TCDeals] - [TC Property Current Stage (Seq: 1)] - [Buildings (Seq: 50)] Constr Est Qual Basis - Both]&gt;</t>
        </r>
      </text>
    </comment>
    <comment ref="N1231" authorId="0" shapeId="0" xr:uid="{4203FED5-ADDF-4F1F-B96C-FE8AD5E34672}">
      <text>
        <r>
          <rPr>
            <b/>
            <sz val="9"/>
            <color indexed="81"/>
            <rFont val="Tahoma"/>
            <family val="2"/>
          </rPr>
          <t>&lt;[[TCDeals] - [TC Property Current Stage (Seq: 1)] - [Buildings (Seq: 50)] Constr 8609 Basis - Both]&gt;</t>
        </r>
      </text>
    </comment>
    <comment ref="O1231" authorId="0" shapeId="0" xr:uid="{3BCA2340-FFE1-42C9-B09F-589FBCA692D9}">
      <text>
        <r>
          <rPr>
            <b/>
            <sz val="9"/>
            <color indexed="81"/>
            <rFont val="Tahoma"/>
            <family val="2"/>
          </rPr>
          <t>&lt;[[TCDeals] - [TC Property Current Stage (Seq: 1)] - [Buildings (Seq: 50)] Constr 8609 Credit - Both]&gt;</t>
        </r>
      </text>
    </comment>
    <comment ref="P1231" authorId="0" shapeId="0" xr:uid="{26C008CD-A9B8-46CC-8AED-8ED918426BCA}">
      <text>
        <r>
          <rPr>
            <b/>
            <sz val="9"/>
            <color indexed="81"/>
            <rFont val="Tahoma"/>
            <family val="2"/>
          </rPr>
          <t>&lt;[[TCDeals] - [TC Property Current Stage (Seq: 1)] - [Buildings (Seq: 50)] Acq PIS Date - Both]&gt;</t>
        </r>
      </text>
    </comment>
    <comment ref="Q1231" authorId="0" shapeId="0" xr:uid="{160C1112-F9AE-4C3A-A893-692CAC8CF1A3}">
      <text>
        <r>
          <rPr>
            <b/>
            <sz val="9"/>
            <color indexed="81"/>
            <rFont val="Tahoma"/>
            <family val="2"/>
          </rPr>
          <t>&lt;[[TCDeals] - [TC Property Current Stage (Seq: 1)] - [Buildings (Seq: 50)] Acq Applicable Percentage - Both]&gt;</t>
        </r>
      </text>
    </comment>
    <comment ref="R1231" authorId="0" shapeId="0" xr:uid="{8C05D458-D565-42A5-BA2B-7C12BACB58FC}">
      <text>
        <r>
          <rPr>
            <b/>
            <sz val="9"/>
            <color indexed="81"/>
            <rFont val="Tahoma"/>
            <family val="2"/>
          </rPr>
          <t>&lt;[[TCDeals] - [TC Property Current Stage (Seq: 1)] - [Buildings (Seq: 50)] Acq Est Qual Basis - Both]&gt;</t>
        </r>
      </text>
    </comment>
    <comment ref="S1231" authorId="0" shapeId="0" xr:uid="{F7CF8755-4430-431E-B09D-AEA52843D668}">
      <text>
        <r>
          <rPr>
            <b/>
            <sz val="9"/>
            <color indexed="81"/>
            <rFont val="Tahoma"/>
            <family val="2"/>
          </rPr>
          <t>&lt;[[TCDeals] - [TC Property Current Stage (Seq: 1)] - [Buildings (Seq: 50)] Acq 8609 Basis - Both]&gt;</t>
        </r>
      </text>
    </comment>
    <comment ref="T1231" authorId="0" shapeId="0" xr:uid="{58855D68-9E0F-4D16-B6D9-C09F7672EAF3}">
      <text>
        <r>
          <rPr>
            <b/>
            <sz val="9"/>
            <color indexed="81"/>
            <rFont val="Tahoma"/>
            <family val="2"/>
          </rPr>
          <t>&lt;[[TCDeals] - [TC Property Current Stage (Seq: 1)] - [Buildings (Seq: 50)] Acq 8609 Credit - Both]&gt;</t>
        </r>
      </text>
    </comment>
    <comment ref="C1232" authorId="0" shapeId="0" xr:uid="{DB4FD7C4-D74C-4158-AA06-F39FF4E6A6D4}">
      <text>
        <r>
          <rPr>
            <b/>
            <sz val="9"/>
            <color indexed="81"/>
            <rFont val="Tahoma"/>
            <family val="2"/>
          </rPr>
          <t>&lt;[[TCDeals] - [TC Property Current Stage (Seq: 1)] - [Buildings (Seq: 51)] BIN - Both]&gt;</t>
        </r>
      </text>
    </comment>
    <comment ref="D1232" authorId="0" shapeId="0" xr:uid="{CB26DF5E-51F7-4AE0-927C-8DC7099175EE}">
      <text>
        <r>
          <rPr>
            <b/>
            <sz val="9"/>
            <color indexed="81"/>
            <rFont val="Tahoma"/>
            <family val="2"/>
          </rPr>
          <t>&lt;[[TCDeals] - [TC Property Current Stage (Seq: 1)] - [Buildings (Seq: 51)] Address 1 - Both]&gt;</t>
        </r>
      </text>
    </comment>
    <comment ref="E1232" authorId="0" shapeId="0" xr:uid="{6A74C3FB-A3C3-450C-A930-3C812B4D376C}">
      <text>
        <r>
          <rPr>
            <b/>
            <sz val="9"/>
            <color indexed="81"/>
            <rFont val="Tahoma"/>
            <family val="2"/>
          </rPr>
          <t>&lt;[[TCDeals] - [TC Property Current Stage (Seq: 1)] - [Buildings (Seq: 51)] Num TC Units - Both]&gt;</t>
        </r>
      </text>
    </comment>
    <comment ref="F1232" authorId="0" shapeId="0" xr:uid="{BC4897C7-4CB2-4B2F-9A07-B8B9087039EF}">
      <text>
        <r>
          <rPr>
            <b/>
            <sz val="9"/>
            <color indexed="81"/>
            <rFont val="Tahoma"/>
            <family val="2"/>
          </rPr>
          <t>&lt;[[TCDeals] - [TC Property Current Stage (Seq: 1)] - [Buildings (Seq: 51)] PVC PIS Date - Both]&gt;</t>
        </r>
      </text>
    </comment>
    <comment ref="G1232" authorId="0" shapeId="0" xr:uid="{7E522575-C609-48A9-A49A-1C97894072BC}">
      <text>
        <r>
          <rPr>
            <b/>
            <sz val="9"/>
            <color indexed="81"/>
            <rFont val="Tahoma"/>
            <family val="2"/>
          </rPr>
          <t>&lt;[[TCDeals] - [TC Property Current Stage (Seq: 1)] - [Buildings (Seq: 51)] PVC Applicable Percentage - Both]&gt;</t>
        </r>
      </text>
    </comment>
    <comment ref="H1232" authorId="0" shapeId="0" xr:uid="{B93B49F7-116B-440E-B096-E29599921183}">
      <text>
        <r>
          <rPr>
            <b/>
            <sz val="9"/>
            <color indexed="81"/>
            <rFont val="Tahoma"/>
            <family val="2"/>
          </rPr>
          <t>&lt;[[TCDeals] - [TC Property Current Stage (Seq: 1)] - [Buildings (Seq: 51)] PVC Est Qual Basis - Both]&gt;</t>
        </r>
      </text>
    </comment>
    <comment ref="I1232" authorId="0" shapeId="0" xr:uid="{527AA2D4-03EE-4DC6-BB7C-6BCDB763CAC8}">
      <text>
        <r>
          <rPr>
            <b/>
            <sz val="9"/>
            <color indexed="81"/>
            <rFont val="Tahoma"/>
            <family val="2"/>
          </rPr>
          <t>&lt;[[TCDeals] - [TC Property Current Stage (Seq: 1)] - [Buildings (Seq: 51)] PVC8609 Basis - Both]&gt;</t>
        </r>
      </text>
    </comment>
    <comment ref="J1232" authorId="0" shapeId="0" xr:uid="{DFE4A166-CE39-4AD5-B01C-946A58131AAC}">
      <text>
        <r>
          <rPr>
            <b/>
            <sz val="9"/>
            <color indexed="81"/>
            <rFont val="Tahoma"/>
            <family val="2"/>
          </rPr>
          <t>&lt;[[TCDeals] - [TC Property Current Stage (Seq: 1)] - [Buildings (Seq: 51)] PVC8609 Credit - Both]&gt;</t>
        </r>
      </text>
    </comment>
    <comment ref="K1232" authorId="0" shapeId="0" xr:uid="{0C78A959-C450-467B-B80A-58C864C8BB23}">
      <text>
        <r>
          <rPr>
            <b/>
            <sz val="9"/>
            <color indexed="81"/>
            <rFont val="Tahoma"/>
            <family val="2"/>
          </rPr>
          <t>&lt;[[TCDeals] - [TC Property Current Stage (Seq: 1)] - [Buildings (Seq: 51)] Constr PIS Date - Both]&gt;</t>
        </r>
      </text>
    </comment>
    <comment ref="L1232" authorId="0" shapeId="0" xr:uid="{001B21E6-1F69-48C0-A8D5-EF520EF0B95E}">
      <text>
        <r>
          <rPr>
            <b/>
            <sz val="9"/>
            <color indexed="81"/>
            <rFont val="Tahoma"/>
            <family val="2"/>
          </rPr>
          <t>&lt;[[TCDeals] - [TC Property Current Stage (Seq: 1)] - [Buildings (Seq: 51)] Constr Applicable Percentage - Both]&gt;</t>
        </r>
      </text>
    </comment>
    <comment ref="M1232" authorId="0" shapeId="0" xr:uid="{9162F681-6ED5-443A-9CCF-355F49A8A361}">
      <text>
        <r>
          <rPr>
            <b/>
            <sz val="9"/>
            <color indexed="81"/>
            <rFont val="Tahoma"/>
            <family val="2"/>
          </rPr>
          <t>&lt;[[TCDeals] - [TC Property Current Stage (Seq: 1)] - [Buildings (Seq: 51)] Constr Est Qual Basis - Both]&gt;</t>
        </r>
      </text>
    </comment>
    <comment ref="N1232" authorId="0" shapeId="0" xr:uid="{EAF0352A-CE6B-4E5A-8C5B-663ECF3582D2}">
      <text>
        <r>
          <rPr>
            <b/>
            <sz val="9"/>
            <color indexed="81"/>
            <rFont val="Tahoma"/>
            <family val="2"/>
          </rPr>
          <t>&lt;[[TCDeals] - [TC Property Current Stage (Seq: 1)] - [Buildings (Seq: 51)] Constr 8609 Basis - Both]&gt;</t>
        </r>
      </text>
    </comment>
    <comment ref="O1232" authorId="0" shapeId="0" xr:uid="{654904D7-6092-4A48-812E-878D9C7CC58B}">
      <text>
        <r>
          <rPr>
            <b/>
            <sz val="9"/>
            <color indexed="81"/>
            <rFont val="Tahoma"/>
            <family val="2"/>
          </rPr>
          <t>&lt;[[TCDeals] - [TC Property Current Stage (Seq: 1)] - [Buildings (Seq: 51)] Constr 8609 Credit - Both]&gt;</t>
        </r>
      </text>
    </comment>
    <comment ref="P1232" authorId="0" shapeId="0" xr:uid="{B99FC048-AB9E-4AEE-BABA-E529467C82DD}">
      <text>
        <r>
          <rPr>
            <b/>
            <sz val="9"/>
            <color indexed="81"/>
            <rFont val="Tahoma"/>
            <family val="2"/>
          </rPr>
          <t>&lt;[[TCDeals] - [TC Property Current Stage (Seq: 1)] - [Buildings (Seq: 51)] Acq PIS Date - Both]&gt;</t>
        </r>
      </text>
    </comment>
    <comment ref="Q1232" authorId="0" shapeId="0" xr:uid="{53A2F6A3-8A3C-49EB-87BB-9CC11544AAA5}">
      <text>
        <r>
          <rPr>
            <b/>
            <sz val="9"/>
            <color indexed="81"/>
            <rFont val="Tahoma"/>
            <family val="2"/>
          </rPr>
          <t>&lt;[[TCDeals] - [TC Property Current Stage (Seq: 1)] - [Buildings (Seq: 51)] Acq Applicable Percentage - Both]&gt;</t>
        </r>
      </text>
    </comment>
    <comment ref="R1232" authorId="0" shapeId="0" xr:uid="{921DDA2F-8C93-46CF-A6CE-A4FA18A71F6F}">
      <text>
        <r>
          <rPr>
            <b/>
            <sz val="9"/>
            <color indexed="81"/>
            <rFont val="Tahoma"/>
            <family val="2"/>
          </rPr>
          <t>&lt;[[TCDeals] - [TC Property Current Stage (Seq: 1)] - [Buildings (Seq: 51)] Acq Est Qual Basis - Both]&gt;</t>
        </r>
      </text>
    </comment>
    <comment ref="S1232" authorId="0" shapeId="0" xr:uid="{58B5CDF1-CC66-4425-9680-940B6A302CEF}">
      <text>
        <r>
          <rPr>
            <b/>
            <sz val="9"/>
            <color indexed="81"/>
            <rFont val="Tahoma"/>
            <family val="2"/>
          </rPr>
          <t>&lt;[[TCDeals] - [TC Property Current Stage (Seq: 1)] - [Buildings (Seq: 51)] Acq 8609 Basis - Both]&gt;</t>
        </r>
      </text>
    </comment>
    <comment ref="T1232" authorId="0" shapeId="0" xr:uid="{AED3CC8F-83AD-447B-92DC-A4DEA6CEBF78}">
      <text>
        <r>
          <rPr>
            <b/>
            <sz val="9"/>
            <color indexed="81"/>
            <rFont val="Tahoma"/>
            <family val="2"/>
          </rPr>
          <t>&lt;[[TCDeals] - [TC Property Current Stage (Seq: 1)] - [Buildings (Seq: 51)] Acq 8609 Credit - Both]&gt;</t>
        </r>
      </text>
    </comment>
    <comment ref="C1233" authorId="0" shapeId="0" xr:uid="{AA1AF19F-8029-4034-A1A6-3E12C72FF3DB}">
      <text>
        <r>
          <rPr>
            <b/>
            <sz val="9"/>
            <color indexed="81"/>
            <rFont val="Tahoma"/>
            <family val="2"/>
          </rPr>
          <t>&lt;[[TCDeals] - [TC Property Current Stage (Seq: 1)] - [Buildings (Seq: 52)] BIN - Both]&gt;</t>
        </r>
      </text>
    </comment>
    <comment ref="D1233" authorId="0" shapeId="0" xr:uid="{68DABB23-6F3E-45BA-99BA-5DE1DD87385E}">
      <text>
        <r>
          <rPr>
            <b/>
            <sz val="9"/>
            <color indexed="81"/>
            <rFont val="Tahoma"/>
            <family val="2"/>
          </rPr>
          <t>&lt;[[TCDeals] - [TC Property Current Stage (Seq: 1)] - [Buildings (Seq: 52)] Address 1 - Both]&gt;</t>
        </r>
      </text>
    </comment>
    <comment ref="E1233" authorId="0" shapeId="0" xr:uid="{45015D09-5017-456C-904C-7A05B3B62CE7}">
      <text>
        <r>
          <rPr>
            <b/>
            <sz val="9"/>
            <color indexed="81"/>
            <rFont val="Tahoma"/>
            <family val="2"/>
          </rPr>
          <t>&lt;[[TCDeals] - [TC Property Current Stage (Seq: 1)] - [Buildings (Seq: 52)] Num TC Units - Both]&gt;</t>
        </r>
      </text>
    </comment>
    <comment ref="F1233" authorId="0" shapeId="0" xr:uid="{CCAD9CE6-34D7-46A0-8A5A-AC2A70218051}">
      <text>
        <r>
          <rPr>
            <b/>
            <sz val="9"/>
            <color indexed="81"/>
            <rFont val="Tahoma"/>
            <family val="2"/>
          </rPr>
          <t>&lt;[[TCDeals] - [TC Property Current Stage (Seq: 1)] - [Buildings (Seq: 52)] PVC PIS Date - Both]&gt;</t>
        </r>
      </text>
    </comment>
    <comment ref="G1233" authorId="0" shapeId="0" xr:uid="{0F240025-6378-4DC8-BCB0-4DB07D973697}">
      <text>
        <r>
          <rPr>
            <b/>
            <sz val="9"/>
            <color indexed="81"/>
            <rFont val="Tahoma"/>
            <family val="2"/>
          </rPr>
          <t>&lt;[[TCDeals] - [TC Property Current Stage (Seq: 1)] - [Buildings (Seq: 52)] PVC Applicable Percentage - Both]&gt;</t>
        </r>
      </text>
    </comment>
    <comment ref="H1233" authorId="0" shapeId="0" xr:uid="{BAB8E3E2-A602-42C0-B756-A220BF41C811}">
      <text>
        <r>
          <rPr>
            <b/>
            <sz val="9"/>
            <color indexed="81"/>
            <rFont val="Tahoma"/>
            <family val="2"/>
          </rPr>
          <t>&lt;[[TCDeals] - [TC Property Current Stage (Seq: 1)] - [Buildings (Seq: 52)] PVC Est Qual Basis - Both]&gt;</t>
        </r>
      </text>
    </comment>
    <comment ref="I1233" authorId="0" shapeId="0" xr:uid="{24CD181D-BD0D-47AC-91D1-A80841613C76}">
      <text>
        <r>
          <rPr>
            <b/>
            <sz val="9"/>
            <color indexed="81"/>
            <rFont val="Tahoma"/>
            <family val="2"/>
          </rPr>
          <t>&lt;[[TCDeals] - [TC Property Current Stage (Seq: 1)] - [Buildings (Seq: 52)] PVC8609 Basis - Both]&gt;</t>
        </r>
      </text>
    </comment>
    <comment ref="J1233" authorId="0" shapeId="0" xr:uid="{B12EA69C-9B92-4561-8CD4-147722D7A5A1}">
      <text>
        <r>
          <rPr>
            <b/>
            <sz val="9"/>
            <color indexed="81"/>
            <rFont val="Tahoma"/>
            <family val="2"/>
          </rPr>
          <t>&lt;[[TCDeals] - [TC Property Current Stage (Seq: 1)] - [Buildings (Seq: 52)] PVC8609 Credit - Both]&gt;</t>
        </r>
      </text>
    </comment>
    <comment ref="K1233" authorId="0" shapeId="0" xr:uid="{C338FECA-5263-4B30-81D4-5A7F4CFE652F}">
      <text>
        <r>
          <rPr>
            <b/>
            <sz val="9"/>
            <color indexed="81"/>
            <rFont val="Tahoma"/>
            <family val="2"/>
          </rPr>
          <t>&lt;[[TCDeals] - [TC Property Current Stage (Seq: 1)] - [Buildings (Seq: 52)] Constr PIS Date - Both]&gt;</t>
        </r>
      </text>
    </comment>
    <comment ref="L1233" authorId="0" shapeId="0" xr:uid="{688A0D38-4C77-4797-9EB8-694A13EEBB67}">
      <text>
        <r>
          <rPr>
            <b/>
            <sz val="9"/>
            <color indexed="81"/>
            <rFont val="Tahoma"/>
            <family val="2"/>
          </rPr>
          <t>&lt;[[TCDeals] - [TC Property Current Stage (Seq: 1)] - [Buildings (Seq: 52)] Constr Applicable Percentage - Both]&gt;</t>
        </r>
      </text>
    </comment>
    <comment ref="M1233" authorId="0" shapeId="0" xr:uid="{95511623-33F6-498B-990B-C93F1D214D9A}">
      <text>
        <r>
          <rPr>
            <b/>
            <sz val="9"/>
            <color indexed="81"/>
            <rFont val="Tahoma"/>
            <family val="2"/>
          </rPr>
          <t>&lt;[[TCDeals] - [TC Property Current Stage (Seq: 1)] - [Buildings (Seq: 52)] Constr Est Qual Basis - Both]&gt;</t>
        </r>
      </text>
    </comment>
    <comment ref="N1233" authorId="0" shapeId="0" xr:uid="{D4505BAD-18E8-4697-B5CB-8DCBC9F75D79}">
      <text>
        <r>
          <rPr>
            <b/>
            <sz val="9"/>
            <color indexed="81"/>
            <rFont val="Tahoma"/>
            <family val="2"/>
          </rPr>
          <t>&lt;[[TCDeals] - [TC Property Current Stage (Seq: 1)] - [Buildings (Seq: 52)] Constr 8609 Basis - Both]&gt;</t>
        </r>
      </text>
    </comment>
    <comment ref="O1233" authorId="0" shapeId="0" xr:uid="{56057FD5-0284-4A2C-8C07-0603EC7DB5DC}">
      <text>
        <r>
          <rPr>
            <b/>
            <sz val="9"/>
            <color indexed="81"/>
            <rFont val="Tahoma"/>
            <family val="2"/>
          </rPr>
          <t>&lt;[[TCDeals] - [TC Property Current Stage (Seq: 1)] - [Buildings (Seq: 52)] Constr 8609 Credit - Both]&gt;</t>
        </r>
      </text>
    </comment>
    <comment ref="P1233" authorId="0" shapeId="0" xr:uid="{BE55A02A-1B98-4137-A8CB-A59C18D53F96}">
      <text>
        <r>
          <rPr>
            <b/>
            <sz val="9"/>
            <color indexed="81"/>
            <rFont val="Tahoma"/>
            <family val="2"/>
          </rPr>
          <t>&lt;[[TCDeals] - [TC Property Current Stage (Seq: 1)] - [Buildings (Seq: 52)] Acq PIS Date - Both]&gt;</t>
        </r>
      </text>
    </comment>
    <comment ref="Q1233" authorId="0" shapeId="0" xr:uid="{2DC1CF25-78A7-412E-B397-DD6CE9BA0192}">
      <text>
        <r>
          <rPr>
            <b/>
            <sz val="9"/>
            <color indexed="81"/>
            <rFont val="Tahoma"/>
            <family val="2"/>
          </rPr>
          <t>&lt;[[TCDeals] - [TC Property Current Stage (Seq: 1)] - [Buildings (Seq: 52)] Acq Applicable Percentage - Both]&gt;</t>
        </r>
      </text>
    </comment>
    <comment ref="R1233" authorId="0" shapeId="0" xr:uid="{82896B3C-A7BF-4F55-B468-330ADF9C12A5}">
      <text>
        <r>
          <rPr>
            <b/>
            <sz val="9"/>
            <color indexed="81"/>
            <rFont val="Tahoma"/>
            <family val="2"/>
          </rPr>
          <t>&lt;[[TCDeals] - [TC Property Current Stage (Seq: 1)] - [Buildings (Seq: 52)] Acq Est Qual Basis - Both]&gt;</t>
        </r>
      </text>
    </comment>
    <comment ref="S1233" authorId="0" shapeId="0" xr:uid="{40491499-4FCA-4A42-94E5-98CDFDD634D4}">
      <text>
        <r>
          <rPr>
            <b/>
            <sz val="9"/>
            <color indexed="81"/>
            <rFont val="Tahoma"/>
            <family val="2"/>
          </rPr>
          <t>&lt;[[TCDeals] - [TC Property Current Stage (Seq: 1)] - [Buildings (Seq: 52)] Acq 8609 Basis - Both]&gt;</t>
        </r>
      </text>
    </comment>
    <comment ref="T1233" authorId="0" shapeId="0" xr:uid="{E91E7CC8-0237-4276-A873-26AED7A4EEA7}">
      <text>
        <r>
          <rPr>
            <b/>
            <sz val="9"/>
            <color indexed="81"/>
            <rFont val="Tahoma"/>
            <family val="2"/>
          </rPr>
          <t>&lt;[[TCDeals] - [TC Property Current Stage (Seq: 1)] - [Buildings (Seq: 52)] Acq 8609 Credit - Both]&gt;</t>
        </r>
      </text>
    </comment>
    <comment ref="C1234" authorId="0" shapeId="0" xr:uid="{2D91027C-4D16-42AF-AA07-D95FA0B8E449}">
      <text>
        <r>
          <rPr>
            <b/>
            <sz val="9"/>
            <color indexed="81"/>
            <rFont val="Tahoma"/>
            <family val="2"/>
          </rPr>
          <t>&lt;[[TCDeals] - [TC Property Current Stage (Seq: 1)] - [Buildings (Seq: 53)] BIN - Both]&gt;</t>
        </r>
      </text>
    </comment>
    <comment ref="D1234" authorId="0" shapeId="0" xr:uid="{1E033C50-9E24-46CC-A43F-62E59B457580}">
      <text>
        <r>
          <rPr>
            <b/>
            <sz val="9"/>
            <color indexed="81"/>
            <rFont val="Tahoma"/>
            <family val="2"/>
          </rPr>
          <t>&lt;[[TCDeals] - [TC Property Current Stage (Seq: 1)] - [Buildings (Seq: 53)] Address 1 - Both]&gt;</t>
        </r>
      </text>
    </comment>
    <comment ref="E1234" authorId="0" shapeId="0" xr:uid="{DE79309A-C1A7-4D7C-87D6-49C2E51BC408}">
      <text>
        <r>
          <rPr>
            <b/>
            <sz val="9"/>
            <color indexed="81"/>
            <rFont val="Tahoma"/>
            <family val="2"/>
          </rPr>
          <t>&lt;[[TCDeals] - [TC Property Current Stage (Seq: 1)] - [Buildings (Seq: 53)] Num TC Units - Both]&gt;</t>
        </r>
      </text>
    </comment>
    <comment ref="F1234" authorId="0" shapeId="0" xr:uid="{17B65B35-687F-4E48-8B0B-0FFB408C6A0D}">
      <text>
        <r>
          <rPr>
            <b/>
            <sz val="9"/>
            <color indexed="81"/>
            <rFont val="Tahoma"/>
            <family val="2"/>
          </rPr>
          <t>&lt;[[TCDeals] - [TC Property Current Stage (Seq: 1)] - [Buildings (Seq: 53)] PVC PIS Date - Both]&gt;</t>
        </r>
      </text>
    </comment>
    <comment ref="G1234" authorId="0" shapeId="0" xr:uid="{48A30023-7C3A-4C9E-8E63-E54A113CC1F5}">
      <text>
        <r>
          <rPr>
            <b/>
            <sz val="9"/>
            <color indexed="81"/>
            <rFont val="Tahoma"/>
            <family val="2"/>
          </rPr>
          <t>&lt;[[TCDeals] - [TC Property Current Stage (Seq: 1)] - [Buildings (Seq: 53)] PVC Applicable Percentage - Both]&gt;</t>
        </r>
      </text>
    </comment>
    <comment ref="H1234" authorId="0" shapeId="0" xr:uid="{3B11D27E-75C0-490E-A50B-53E910DE55D1}">
      <text>
        <r>
          <rPr>
            <b/>
            <sz val="9"/>
            <color indexed="81"/>
            <rFont val="Tahoma"/>
            <family val="2"/>
          </rPr>
          <t>&lt;[[TCDeals] - [TC Property Current Stage (Seq: 1)] - [Buildings (Seq: 53)] PVC Est Qual Basis - Both]&gt;</t>
        </r>
      </text>
    </comment>
    <comment ref="I1234" authorId="0" shapeId="0" xr:uid="{1E4D2897-A6AF-4A58-97C6-65FEEC0E344E}">
      <text>
        <r>
          <rPr>
            <b/>
            <sz val="9"/>
            <color indexed="81"/>
            <rFont val="Tahoma"/>
            <family val="2"/>
          </rPr>
          <t>&lt;[[TCDeals] - [TC Property Current Stage (Seq: 1)] - [Buildings (Seq: 53)] PVC8609 Basis - Both]&gt;</t>
        </r>
      </text>
    </comment>
    <comment ref="J1234" authorId="0" shapeId="0" xr:uid="{CA7254BC-BE26-484C-B3C7-13E2B5605566}">
      <text>
        <r>
          <rPr>
            <b/>
            <sz val="9"/>
            <color indexed="81"/>
            <rFont val="Tahoma"/>
            <family val="2"/>
          </rPr>
          <t>&lt;[[TCDeals] - [TC Property Current Stage (Seq: 1)] - [Buildings (Seq: 53)] PVC8609 Credit - Both]&gt;</t>
        </r>
      </text>
    </comment>
    <comment ref="K1234" authorId="0" shapeId="0" xr:uid="{3D72E3DD-9DBE-4B7B-85C0-0AE20FE98322}">
      <text>
        <r>
          <rPr>
            <b/>
            <sz val="9"/>
            <color indexed="81"/>
            <rFont val="Tahoma"/>
            <family val="2"/>
          </rPr>
          <t>&lt;[[TCDeals] - [TC Property Current Stage (Seq: 1)] - [Buildings (Seq: 53)] Constr PIS Date - Both]&gt;</t>
        </r>
      </text>
    </comment>
    <comment ref="L1234" authorId="0" shapeId="0" xr:uid="{81D9DE42-4BA7-464C-82AF-E1D7CB6D116E}">
      <text>
        <r>
          <rPr>
            <b/>
            <sz val="9"/>
            <color indexed="81"/>
            <rFont val="Tahoma"/>
            <family val="2"/>
          </rPr>
          <t>&lt;[[TCDeals] - [TC Property Current Stage (Seq: 1)] - [Buildings (Seq: 53)] Constr Applicable Percentage - Both]&gt;</t>
        </r>
      </text>
    </comment>
    <comment ref="M1234" authorId="0" shapeId="0" xr:uid="{38E1602A-5562-4A8D-B5D1-88A2025A3990}">
      <text>
        <r>
          <rPr>
            <b/>
            <sz val="9"/>
            <color indexed="81"/>
            <rFont val="Tahoma"/>
            <family val="2"/>
          </rPr>
          <t>&lt;[[TCDeals] - [TC Property Current Stage (Seq: 1)] - [Buildings (Seq: 53)] Constr Est Qual Basis - Both]&gt;</t>
        </r>
      </text>
    </comment>
    <comment ref="N1234" authorId="0" shapeId="0" xr:uid="{F81CA66D-834F-4D75-BA72-820FF9EB7379}">
      <text>
        <r>
          <rPr>
            <b/>
            <sz val="9"/>
            <color indexed="81"/>
            <rFont val="Tahoma"/>
            <family val="2"/>
          </rPr>
          <t>&lt;[[TCDeals] - [TC Property Current Stage (Seq: 1)] - [Buildings (Seq: 53)] Constr 8609 Basis - Both]&gt;</t>
        </r>
      </text>
    </comment>
    <comment ref="O1234" authorId="0" shapeId="0" xr:uid="{91134E37-2EF4-4576-9C21-FBCF3C15F5C9}">
      <text>
        <r>
          <rPr>
            <b/>
            <sz val="9"/>
            <color indexed="81"/>
            <rFont val="Tahoma"/>
            <family val="2"/>
          </rPr>
          <t>&lt;[[TCDeals] - [TC Property Current Stage (Seq: 1)] - [Buildings (Seq: 53)] Constr 8609 Credit - Both]&gt;</t>
        </r>
      </text>
    </comment>
    <comment ref="P1234" authorId="0" shapeId="0" xr:uid="{0F1C5F1A-D850-4290-8A68-37EDE4EE9E61}">
      <text>
        <r>
          <rPr>
            <b/>
            <sz val="9"/>
            <color indexed="81"/>
            <rFont val="Tahoma"/>
            <family val="2"/>
          </rPr>
          <t>&lt;[[TCDeals] - [TC Property Current Stage (Seq: 1)] - [Buildings (Seq: 53)] Acq PIS Date - Both]&gt;</t>
        </r>
      </text>
    </comment>
    <comment ref="Q1234" authorId="0" shapeId="0" xr:uid="{4A8EC68A-358B-438F-8CF0-A189E46C6F41}">
      <text>
        <r>
          <rPr>
            <b/>
            <sz val="9"/>
            <color indexed="81"/>
            <rFont val="Tahoma"/>
            <family val="2"/>
          </rPr>
          <t>&lt;[[TCDeals] - [TC Property Current Stage (Seq: 1)] - [Buildings (Seq: 53)] Acq Applicable Percentage - Both]&gt;</t>
        </r>
      </text>
    </comment>
    <comment ref="R1234" authorId="0" shapeId="0" xr:uid="{762436B9-B6AD-4CD6-A94E-107EE06AF3DE}">
      <text>
        <r>
          <rPr>
            <b/>
            <sz val="9"/>
            <color indexed="81"/>
            <rFont val="Tahoma"/>
            <family val="2"/>
          </rPr>
          <t>&lt;[[TCDeals] - [TC Property Current Stage (Seq: 1)] - [Buildings (Seq: 53)] Acq Est Qual Basis - Both]&gt;</t>
        </r>
      </text>
    </comment>
    <comment ref="S1234" authorId="0" shapeId="0" xr:uid="{766A61C3-CD39-49A9-A32D-C0CC64C04391}">
      <text>
        <r>
          <rPr>
            <b/>
            <sz val="9"/>
            <color indexed="81"/>
            <rFont val="Tahoma"/>
            <family val="2"/>
          </rPr>
          <t>&lt;[[TCDeals] - [TC Property Current Stage (Seq: 1)] - [Buildings (Seq: 53)] Acq 8609 Basis - Both]&gt;</t>
        </r>
      </text>
    </comment>
    <comment ref="T1234" authorId="0" shapeId="0" xr:uid="{000B4122-0122-4B03-B3A7-AD909C15AAFF}">
      <text>
        <r>
          <rPr>
            <b/>
            <sz val="9"/>
            <color indexed="81"/>
            <rFont val="Tahoma"/>
            <family val="2"/>
          </rPr>
          <t>&lt;[[TCDeals] - [TC Property Current Stage (Seq: 1)] - [Buildings (Seq: 53)] Acq 8609 Credit - Both]&gt;</t>
        </r>
      </text>
    </comment>
    <comment ref="C1235" authorId="0" shapeId="0" xr:uid="{D643B7F3-5A41-40AF-AEF2-9D94348BC0CD}">
      <text>
        <r>
          <rPr>
            <b/>
            <sz val="9"/>
            <color indexed="81"/>
            <rFont val="Tahoma"/>
            <family val="2"/>
          </rPr>
          <t>&lt;[[TCDeals] - [TC Property Current Stage (Seq: 1)] - [Buildings (Seq: 54)] BIN - Both]&gt;</t>
        </r>
      </text>
    </comment>
    <comment ref="D1235" authorId="0" shapeId="0" xr:uid="{FF12E5EE-36D6-4C7E-870B-D26E23561401}">
      <text>
        <r>
          <rPr>
            <b/>
            <sz val="9"/>
            <color indexed="81"/>
            <rFont val="Tahoma"/>
            <family val="2"/>
          </rPr>
          <t>&lt;[[TCDeals] - [TC Property Current Stage (Seq: 1)] - [Buildings (Seq: 54)] Address 1 - Both]&gt;</t>
        </r>
      </text>
    </comment>
    <comment ref="E1235" authorId="0" shapeId="0" xr:uid="{8E632FC3-D67A-48E8-8978-FDD2081FE334}">
      <text>
        <r>
          <rPr>
            <b/>
            <sz val="9"/>
            <color indexed="81"/>
            <rFont val="Tahoma"/>
            <family val="2"/>
          </rPr>
          <t>&lt;[[TCDeals] - [TC Property Current Stage (Seq: 1)] - [Buildings (Seq: 54)] Num TC Units - Both]&gt;</t>
        </r>
      </text>
    </comment>
    <comment ref="F1235" authorId="0" shapeId="0" xr:uid="{2DF17F78-75DA-4DB5-8CB5-8BD575A78800}">
      <text>
        <r>
          <rPr>
            <b/>
            <sz val="9"/>
            <color indexed="81"/>
            <rFont val="Tahoma"/>
            <family val="2"/>
          </rPr>
          <t>&lt;[[TCDeals] - [TC Property Current Stage (Seq: 1)] - [Buildings (Seq: 54)] PVC PIS Date - Both]&gt;</t>
        </r>
      </text>
    </comment>
    <comment ref="G1235" authorId="0" shapeId="0" xr:uid="{D37D3725-30D9-41B5-A94F-9ABC70D72540}">
      <text>
        <r>
          <rPr>
            <b/>
            <sz val="9"/>
            <color indexed="81"/>
            <rFont val="Tahoma"/>
            <family val="2"/>
          </rPr>
          <t>&lt;[[TCDeals] - [TC Property Current Stage (Seq: 1)] - [Buildings (Seq: 54)] PVC Applicable Percentage - Both]&gt;</t>
        </r>
      </text>
    </comment>
    <comment ref="H1235" authorId="0" shapeId="0" xr:uid="{7774E1DC-B8AA-4F88-97E5-64B2D506E620}">
      <text>
        <r>
          <rPr>
            <b/>
            <sz val="9"/>
            <color indexed="81"/>
            <rFont val="Tahoma"/>
            <family val="2"/>
          </rPr>
          <t>&lt;[[TCDeals] - [TC Property Current Stage (Seq: 1)] - [Buildings (Seq: 54)] PVC Est Qual Basis - Both]&gt;</t>
        </r>
      </text>
    </comment>
    <comment ref="I1235" authorId="0" shapeId="0" xr:uid="{33FE3176-BAF0-48B6-A3AB-7EA890A2A1AA}">
      <text>
        <r>
          <rPr>
            <b/>
            <sz val="9"/>
            <color indexed="81"/>
            <rFont val="Tahoma"/>
            <family val="2"/>
          </rPr>
          <t>&lt;[[TCDeals] - [TC Property Current Stage (Seq: 1)] - [Buildings (Seq: 54)] PVC8609 Basis - Both]&gt;</t>
        </r>
      </text>
    </comment>
    <comment ref="J1235" authorId="0" shapeId="0" xr:uid="{51EDD14E-0245-4FBD-A4A6-C4C7F07F6B8E}">
      <text>
        <r>
          <rPr>
            <b/>
            <sz val="9"/>
            <color indexed="81"/>
            <rFont val="Tahoma"/>
            <family val="2"/>
          </rPr>
          <t>&lt;[[TCDeals] - [TC Property Current Stage (Seq: 1)] - [Buildings (Seq: 54)] PVC8609 Credit - Both]&gt;</t>
        </r>
      </text>
    </comment>
    <comment ref="K1235" authorId="0" shapeId="0" xr:uid="{63D911DB-7197-4B18-8DBC-DF574DE58129}">
      <text>
        <r>
          <rPr>
            <b/>
            <sz val="9"/>
            <color indexed="81"/>
            <rFont val="Tahoma"/>
            <family val="2"/>
          </rPr>
          <t>&lt;[[TCDeals] - [TC Property Current Stage (Seq: 1)] - [Buildings (Seq: 54)] Constr PIS Date - Both]&gt;</t>
        </r>
      </text>
    </comment>
    <comment ref="L1235" authorId="0" shapeId="0" xr:uid="{CDFED60F-E329-4651-93B8-2927F3DE2F43}">
      <text>
        <r>
          <rPr>
            <b/>
            <sz val="9"/>
            <color indexed="81"/>
            <rFont val="Tahoma"/>
            <family val="2"/>
          </rPr>
          <t>&lt;[[TCDeals] - [TC Property Current Stage (Seq: 1)] - [Buildings (Seq: 54)] Constr Applicable Percentage - Both]&gt;</t>
        </r>
      </text>
    </comment>
    <comment ref="M1235" authorId="0" shapeId="0" xr:uid="{20B34950-C159-4478-935A-FEE7F70878B3}">
      <text>
        <r>
          <rPr>
            <b/>
            <sz val="9"/>
            <color indexed="81"/>
            <rFont val="Tahoma"/>
            <family val="2"/>
          </rPr>
          <t>&lt;[[TCDeals] - [TC Property Current Stage (Seq: 1)] - [Buildings (Seq: 54)] Constr Est Qual Basis - Both]&gt;</t>
        </r>
      </text>
    </comment>
    <comment ref="N1235" authorId="0" shapeId="0" xr:uid="{ADC89F91-70E8-4E0C-AC70-C95608841148}">
      <text>
        <r>
          <rPr>
            <b/>
            <sz val="9"/>
            <color indexed="81"/>
            <rFont val="Tahoma"/>
            <family val="2"/>
          </rPr>
          <t>&lt;[[TCDeals] - [TC Property Current Stage (Seq: 1)] - [Buildings (Seq: 54)] Constr 8609 Basis - Both]&gt;</t>
        </r>
      </text>
    </comment>
    <comment ref="O1235" authorId="0" shapeId="0" xr:uid="{A1CC07DD-454F-4451-A5EC-E00CE93D73F1}">
      <text>
        <r>
          <rPr>
            <b/>
            <sz val="9"/>
            <color indexed="81"/>
            <rFont val="Tahoma"/>
            <family val="2"/>
          </rPr>
          <t>&lt;[[TCDeals] - [TC Property Current Stage (Seq: 1)] - [Buildings (Seq: 54)] Constr 8609 Credit - Both]&gt;</t>
        </r>
      </text>
    </comment>
    <comment ref="P1235" authorId="0" shapeId="0" xr:uid="{2695EDA7-D008-48EA-A8A0-510A91E0B9D2}">
      <text>
        <r>
          <rPr>
            <b/>
            <sz val="9"/>
            <color indexed="81"/>
            <rFont val="Tahoma"/>
            <family val="2"/>
          </rPr>
          <t>&lt;[[TCDeals] - [TC Property Current Stage (Seq: 1)] - [Buildings (Seq: 54)] Acq PIS Date - Both]&gt;</t>
        </r>
      </text>
    </comment>
    <comment ref="Q1235" authorId="0" shapeId="0" xr:uid="{B8B1B6FD-0CEC-457D-B983-D6C77D4273F5}">
      <text>
        <r>
          <rPr>
            <b/>
            <sz val="9"/>
            <color indexed="81"/>
            <rFont val="Tahoma"/>
            <family val="2"/>
          </rPr>
          <t>&lt;[[TCDeals] - [TC Property Current Stage (Seq: 1)] - [Buildings (Seq: 54)] Acq Applicable Percentage - Both]&gt;</t>
        </r>
      </text>
    </comment>
    <comment ref="R1235" authorId="0" shapeId="0" xr:uid="{41B10243-C15A-4777-9D57-D026EF3F79FF}">
      <text>
        <r>
          <rPr>
            <b/>
            <sz val="9"/>
            <color indexed="81"/>
            <rFont val="Tahoma"/>
            <family val="2"/>
          </rPr>
          <t>&lt;[[TCDeals] - [TC Property Current Stage (Seq: 1)] - [Buildings (Seq: 54)] Acq Est Qual Basis - Both]&gt;</t>
        </r>
      </text>
    </comment>
    <comment ref="S1235" authorId="0" shapeId="0" xr:uid="{F798EB54-B733-468F-A860-9FF61F967D55}">
      <text>
        <r>
          <rPr>
            <b/>
            <sz val="9"/>
            <color indexed="81"/>
            <rFont val="Tahoma"/>
            <family val="2"/>
          </rPr>
          <t>&lt;[[TCDeals] - [TC Property Current Stage (Seq: 1)] - [Buildings (Seq: 54)] Acq 8609 Basis - Both]&gt;</t>
        </r>
      </text>
    </comment>
    <comment ref="T1235" authorId="0" shapeId="0" xr:uid="{565C84A6-9823-4B03-8567-856676404618}">
      <text>
        <r>
          <rPr>
            <b/>
            <sz val="9"/>
            <color indexed="81"/>
            <rFont val="Tahoma"/>
            <family val="2"/>
          </rPr>
          <t>&lt;[[TCDeals] - [TC Property Current Stage (Seq: 1)] - [Buildings (Seq: 54)] Acq 8609 Credit - Both]&gt;</t>
        </r>
      </text>
    </comment>
    <comment ref="C1236" authorId="0" shapeId="0" xr:uid="{42035266-4290-4DF5-AE25-3F35BE21C433}">
      <text>
        <r>
          <rPr>
            <b/>
            <sz val="9"/>
            <color indexed="81"/>
            <rFont val="Tahoma"/>
            <family val="2"/>
          </rPr>
          <t>&lt;[[TCDeals] - [TC Property Current Stage (Seq: 1)] - [Buildings (Seq: 55)] BIN - Both]&gt;</t>
        </r>
      </text>
    </comment>
    <comment ref="D1236" authorId="0" shapeId="0" xr:uid="{15B146B5-FC77-4F9F-97C5-04863033EC64}">
      <text>
        <r>
          <rPr>
            <b/>
            <sz val="9"/>
            <color indexed="81"/>
            <rFont val="Tahoma"/>
            <family val="2"/>
          </rPr>
          <t>&lt;[[TCDeals] - [TC Property Current Stage (Seq: 1)] - [Buildings (Seq: 55)] Address 1 - Both]&gt;</t>
        </r>
      </text>
    </comment>
    <comment ref="E1236" authorId="0" shapeId="0" xr:uid="{DA0EC126-06E1-4C67-8A66-6A4782A19DD8}">
      <text>
        <r>
          <rPr>
            <b/>
            <sz val="9"/>
            <color indexed="81"/>
            <rFont val="Tahoma"/>
            <family val="2"/>
          </rPr>
          <t>&lt;[[TCDeals] - [TC Property Current Stage (Seq: 1)] - [Buildings (Seq: 55)] Num TC Units - Both]&gt;</t>
        </r>
      </text>
    </comment>
    <comment ref="F1236" authorId="0" shapeId="0" xr:uid="{888D6126-1AB3-478A-A168-1606C1503892}">
      <text>
        <r>
          <rPr>
            <b/>
            <sz val="9"/>
            <color indexed="81"/>
            <rFont val="Tahoma"/>
            <family val="2"/>
          </rPr>
          <t>&lt;[[TCDeals] - [TC Property Current Stage (Seq: 1)] - [Buildings (Seq: 55)] PVC PIS Date - Both]&gt;</t>
        </r>
      </text>
    </comment>
    <comment ref="G1236" authorId="0" shapeId="0" xr:uid="{792D932A-0445-4CD5-A9D2-749BF6556B19}">
      <text>
        <r>
          <rPr>
            <b/>
            <sz val="9"/>
            <color indexed="81"/>
            <rFont val="Tahoma"/>
            <family val="2"/>
          </rPr>
          <t>&lt;[[TCDeals] - [TC Property Current Stage (Seq: 1)] - [Buildings (Seq: 55)] PVC Applicable Percentage - Both]&gt;</t>
        </r>
      </text>
    </comment>
    <comment ref="H1236" authorId="0" shapeId="0" xr:uid="{810588EF-AEA0-4630-908B-41585A282B80}">
      <text>
        <r>
          <rPr>
            <b/>
            <sz val="9"/>
            <color indexed="81"/>
            <rFont val="Tahoma"/>
            <family val="2"/>
          </rPr>
          <t>&lt;[[TCDeals] - [TC Property Current Stage (Seq: 1)] - [Buildings (Seq: 55)] PVC Est Qual Basis - Both]&gt;</t>
        </r>
      </text>
    </comment>
    <comment ref="I1236" authorId="0" shapeId="0" xr:uid="{C0D2B8BC-EC91-4838-B868-FAF8A5DED42E}">
      <text>
        <r>
          <rPr>
            <b/>
            <sz val="9"/>
            <color indexed="81"/>
            <rFont val="Tahoma"/>
            <family val="2"/>
          </rPr>
          <t>&lt;[[TCDeals] - [TC Property Current Stage (Seq: 1)] - [Buildings (Seq: 55)] PVC8609 Basis - Both]&gt;</t>
        </r>
      </text>
    </comment>
    <comment ref="J1236" authorId="0" shapeId="0" xr:uid="{0D674CFE-596F-4A69-A8CA-0E18EA1C8F99}">
      <text>
        <r>
          <rPr>
            <b/>
            <sz val="9"/>
            <color indexed="81"/>
            <rFont val="Tahoma"/>
            <family val="2"/>
          </rPr>
          <t>&lt;[[TCDeals] - [TC Property Current Stage (Seq: 1)] - [Buildings (Seq: 55)] PVC8609 Credit - Both]&gt;</t>
        </r>
      </text>
    </comment>
    <comment ref="K1236" authorId="0" shapeId="0" xr:uid="{21FD7B9D-66C5-4E73-97E9-F29B2EB2F39B}">
      <text>
        <r>
          <rPr>
            <b/>
            <sz val="9"/>
            <color indexed="81"/>
            <rFont val="Tahoma"/>
            <family val="2"/>
          </rPr>
          <t>&lt;[[TCDeals] - [TC Property Current Stage (Seq: 1)] - [Buildings (Seq: 55)] Constr PIS Date - Both]&gt;</t>
        </r>
      </text>
    </comment>
    <comment ref="L1236" authorId="0" shapeId="0" xr:uid="{861F06B1-BA58-4D85-B8CB-E98FA6C6A587}">
      <text>
        <r>
          <rPr>
            <b/>
            <sz val="9"/>
            <color indexed="81"/>
            <rFont val="Tahoma"/>
            <family val="2"/>
          </rPr>
          <t>&lt;[[TCDeals] - [TC Property Current Stage (Seq: 1)] - [Buildings (Seq: 55)] Constr Applicable Percentage - Both]&gt;</t>
        </r>
      </text>
    </comment>
    <comment ref="M1236" authorId="0" shapeId="0" xr:uid="{CE5162ED-67C1-40BC-A5A2-9D9F08DF5AE6}">
      <text>
        <r>
          <rPr>
            <b/>
            <sz val="9"/>
            <color indexed="81"/>
            <rFont val="Tahoma"/>
            <family val="2"/>
          </rPr>
          <t>&lt;[[TCDeals] - [TC Property Current Stage (Seq: 1)] - [Buildings (Seq: 55)] Constr Est Qual Basis - Both]&gt;</t>
        </r>
      </text>
    </comment>
    <comment ref="N1236" authorId="0" shapeId="0" xr:uid="{B3076265-0C18-429B-A113-B6A78D4A18C3}">
      <text>
        <r>
          <rPr>
            <b/>
            <sz val="9"/>
            <color indexed="81"/>
            <rFont val="Tahoma"/>
            <family val="2"/>
          </rPr>
          <t>&lt;[[TCDeals] - [TC Property Current Stage (Seq: 1)] - [Buildings (Seq: 55)] Constr 8609 Basis - Both]&gt;</t>
        </r>
      </text>
    </comment>
    <comment ref="O1236" authorId="0" shapeId="0" xr:uid="{2ACB928E-6153-4D65-AF0D-50EF831B391B}">
      <text>
        <r>
          <rPr>
            <b/>
            <sz val="9"/>
            <color indexed="81"/>
            <rFont val="Tahoma"/>
            <family val="2"/>
          </rPr>
          <t>&lt;[[TCDeals] - [TC Property Current Stage (Seq: 1)] - [Buildings (Seq: 55)] Constr 8609 Credit - Both]&gt;</t>
        </r>
      </text>
    </comment>
    <comment ref="P1236" authorId="0" shapeId="0" xr:uid="{53400657-6A77-4790-BD69-91FB13F38131}">
      <text>
        <r>
          <rPr>
            <b/>
            <sz val="9"/>
            <color indexed="81"/>
            <rFont val="Tahoma"/>
            <family val="2"/>
          </rPr>
          <t>&lt;[[TCDeals] - [TC Property Current Stage (Seq: 1)] - [Buildings (Seq: 55)] Acq PIS Date - Both]&gt;</t>
        </r>
      </text>
    </comment>
    <comment ref="Q1236" authorId="0" shapeId="0" xr:uid="{30A3A442-7A1C-4575-8A9C-E74B093061D4}">
      <text>
        <r>
          <rPr>
            <b/>
            <sz val="9"/>
            <color indexed="81"/>
            <rFont val="Tahoma"/>
            <family val="2"/>
          </rPr>
          <t>&lt;[[TCDeals] - [TC Property Current Stage (Seq: 1)] - [Buildings (Seq: 55)] Acq Applicable Percentage - Both]&gt;</t>
        </r>
      </text>
    </comment>
    <comment ref="R1236" authorId="0" shapeId="0" xr:uid="{544B403C-E918-436D-A054-34357D8362C8}">
      <text>
        <r>
          <rPr>
            <b/>
            <sz val="9"/>
            <color indexed="81"/>
            <rFont val="Tahoma"/>
            <family val="2"/>
          </rPr>
          <t>&lt;[[TCDeals] - [TC Property Current Stage (Seq: 1)] - [Buildings (Seq: 55)] Acq Est Qual Basis - Both]&gt;</t>
        </r>
      </text>
    </comment>
    <comment ref="S1236" authorId="0" shapeId="0" xr:uid="{8343CB31-CCCB-435C-B614-6BCC996DECCB}">
      <text>
        <r>
          <rPr>
            <b/>
            <sz val="9"/>
            <color indexed="81"/>
            <rFont val="Tahoma"/>
            <family val="2"/>
          </rPr>
          <t>&lt;[[TCDeals] - [TC Property Current Stage (Seq: 1)] - [Buildings (Seq: 55)] Acq 8609 Basis - Both]&gt;</t>
        </r>
      </text>
    </comment>
    <comment ref="T1236" authorId="0" shapeId="0" xr:uid="{9479B74F-0D73-44A5-90B9-D96716774341}">
      <text>
        <r>
          <rPr>
            <b/>
            <sz val="9"/>
            <color indexed="81"/>
            <rFont val="Tahoma"/>
            <family val="2"/>
          </rPr>
          <t>&lt;[[TCDeals] - [TC Property Current Stage (Seq: 1)] - [Buildings (Seq: 55)] Acq 8609 Credit - Both]&gt;</t>
        </r>
      </text>
    </comment>
    <comment ref="C1237" authorId="0" shapeId="0" xr:uid="{0E937D28-E259-4302-9882-894B0438B1A0}">
      <text>
        <r>
          <rPr>
            <b/>
            <sz val="9"/>
            <color indexed="81"/>
            <rFont val="Tahoma"/>
            <family val="2"/>
          </rPr>
          <t>&lt;[[TCDeals] - [TC Property Current Stage (Seq: 1)] - [Buildings (Seq: 56)] BIN - Both]&gt;</t>
        </r>
      </text>
    </comment>
    <comment ref="D1237" authorId="0" shapeId="0" xr:uid="{2EC73FEE-2947-4F9C-A6A9-E8B72CC24BD3}">
      <text>
        <r>
          <rPr>
            <b/>
            <sz val="9"/>
            <color indexed="81"/>
            <rFont val="Tahoma"/>
            <family val="2"/>
          </rPr>
          <t>&lt;[[TCDeals] - [TC Property Current Stage (Seq: 1)] - [Buildings (Seq: 56)] Address 1 - Both]&gt;</t>
        </r>
      </text>
    </comment>
    <comment ref="E1237" authorId="0" shapeId="0" xr:uid="{1DC24718-B660-42FC-96F4-681A3E9B7264}">
      <text>
        <r>
          <rPr>
            <b/>
            <sz val="9"/>
            <color indexed="81"/>
            <rFont val="Tahoma"/>
            <family val="2"/>
          </rPr>
          <t>&lt;[[TCDeals] - [TC Property Current Stage (Seq: 1)] - [Buildings (Seq: 56)] Num TC Units - Both]&gt;</t>
        </r>
      </text>
    </comment>
    <comment ref="F1237" authorId="0" shapeId="0" xr:uid="{61E06992-D709-4CFF-BB67-57BE43797098}">
      <text>
        <r>
          <rPr>
            <b/>
            <sz val="9"/>
            <color indexed="81"/>
            <rFont val="Tahoma"/>
            <family val="2"/>
          </rPr>
          <t>&lt;[[TCDeals] - [TC Property Current Stage (Seq: 1)] - [Buildings (Seq: 56)] PVC PIS Date - Both]&gt;</t>
        </r>
      </text>
    </comment>
    <comment ref="G1237" authorId="0" shapeId="0" xr:uid="{AE603B41-1CF0-4DB3-9E04-67FB8CFBA6A0}">
      <text>
        <r>
          <rPr>
            <b/>
            <sz val="9"/>
            <color indexed="81"/>
            <rFont val="Tahoma"/>
            <family val="2"/>
          </rPr>
          <t>&lt;[[TCDeals] - [TC Property Current Stage (Seq: 1)] - [Buildings (Seq: 56)] PVC Applicable Percentage - Both]&gt;</t>
        </r>
      </text>
    </comment>
    <comment ref="H1237" authorId="0" shapeId="0" xr:uid="{B7F14F98-C095-41DA-A8BE-25AF25CEE21F}">
      <text>
        <r>
          <rPr>
            <b/>
            <sz val="9"/>
            <color indexed="81"/>
            <rFont val="Tahoma"/>
            <family val="2"/>
          </rPr>
          <t>&lt;[[TCDeals] - [TC Property Current Stage (Seq: 1)] - [Buildings (Seq: 56)] PVC Est Qual Basis - Both]&gt;</t>
        </r>
      </text>
    </comment>
    <comment ref="I1237" authorId="0" shapeId="0" xr:uid="{90162A57-D0B4-4114-8E08-C10647DF38D9}">
      <text>
        <r>
          <rPr>
            <b/>
            <sz val="9"/>
            <color indexed="81"/>
            <rFont val="Tahoma"/>
            <family val="2"/>
          </rPr>
          <t>&lt;[[TCDeals] - [TC Property Current Stage (Seq: 1)] - [Buildings (Seq: 56)] PVC8609 Basis - Both]&gt;</t>
        </r>
      </text>
    </comment>
    <comment ref="J1237" authorId="0" shapeId="0" xr:uid="{3B439C43-EB0E-4312-B5F4-ACBEB7DB0E64}">
      <text>
        <r>
          <rPr>
            <b/>
            <sz val="9"/>
            <color indexed="81"/>
            <rFont val="Tahoma"/>
            <family val="2"/>
          </rPr>
          <t>&lt;[[TCDeals] - [TC Property Current Stage (Seq: 1)] - [Buildings (Seq: 56)] PVC8609 Credit - Both]&gt;</t>
        </r>
      </text>
    </comment>
    <comment ref="K1237" authorId="0" shapeId="0" xr:uid="{B794CF6B-33D5-4DA5-8B11-EDA8E4EDBA13}">
      <text>
        <r>
          <rPr>
            <b/>
            <sz val="9"/>
            <color indexed="81"/>
            <rFont val="Tahoma"/>
            <family val="2"/>
          </rPr>
          <t>&lt;[[TCDeals] - [TC Property Current Stage (Seq: 1)] - [Buildings (Seq: 56)] Constr PIS Date - Both]&gt;</t>
        </r>
      </text>
    </comment>
    <comment ref="L1237" authorId="0" shapeId="0" xr:uid="{20A80480-E2B9-4AF7-AAA7-5F7D9C455DF4}">
      <text>
        <r>
          <rPr>
            <b/>
            <sz val="9"/>
            <color indexed="81"/>
            <rFont val="Tahoma"/>
            <family val="2"/>
          </rPr>
          <t>&lt;[[TCDeals] - [TC Property Current Stage (Seq: 1)] - [Buildings (Seq: 56)] Constr Applicable Percentage - Both]&gt;</t>
        </r>
      </text>
    </comment>
    <comment ref="M1237" authorId="0" shapeId="0" xr:uid="{740A2499-8972-45F7-9A1E-ABBD42AA7E02}">
      <text>
        <r>
          <rPr>
            <b/>
            <sz val="9"/>
            <color indexed="81"/>
            <rFont val="Tahoma"/>
            <family val="2"/>
          </rPr>
          <t>&lt;[[TCDeals] - [TC Property Current Stage (Seq: 1)] - [Buildings (Seq: 56)] Constr Est Qual Basis - Both]&gt;</t>
        </r>
      </text>
    </comment>
    <comment ref="N1237" authorId="0" shapeId="0" xr:uid="{DBCD3793-D5F0-4449-8E8E-7905E47729DC}">
      <text>
        <r>
          <rPr>
            <b/>
            <sz val="9"/>
            <color indexed="81"/>
            <rFont val="Tahoma"/>
            <family val="2"/>
          </rPr>
          <t>&lt;[[TCDeals] - [TC Property Current Stage (Seq: 1)] - [Buildings (Seq: 56)] Constr 8609 Basis - Both]&gt;</t>
        </r>
      </text>
    </comment>
    <comment ref="O1237" authorId="0" shapeId="0" xr:uid="{5A5A5A09-7B86-4CF4-9A0D-84E01CA581D3}">
      <text>
        <r>
          <rPr>
            <b/>
            <sz val="9"/>
            <color indexed="81"/>
            <rFont val="Tahoma"/>
            <family val="2"/>
          </rPr>
          <t>&lt;[[TCDeals] - [TC Property Current Stage (Seq: 1)] - [Buildings (Seq: 56)] Constr 8609 Credit - Both]&gt;</t>
        </r>
      </text>
    </comment>
    <comment ref="P1237" authorId="0" shapeId="0" xr:uid="{053D1354-65F9-4D2F-A57E-C16F78856BD2}">
      <text>
        <r>
          <rPr>
            <b/>
            <sz val="9"/>
            <color indexed="81"/>
            <rFont val="Tahoma"/>
            <family val="2"/>
          </rPr>
          <t>&lt;[[TCDeals] - [TC Property Current Stage (Seq: 1)] - [Buildings (Seq: 56)] Acq PIS Date - Both]&gt;</t>
        </r>
      </text>
    </comment>
    <comment ref="Q1237" authorId="0" shapeId="0" xr:uid="{BD87D593-6131-45AA-AA0B-10E653A28FDE}">
      <text>
        <r>
          <rPr>
            <b/>
            <sz val="9"/>
            <color indexed="81"/>
            <rFont val="Tahoma"/>
            <family val="2"/>
          </rPr>
          <t>&lt;[[TCDeals] - [TC Property Current Stage (Seq: 1)] - [Buildings (Seq: 56)] Acq Applicable Percentage - Both]&gt;</t>
        </r>
      </text>
    </comment>
    <comment ref="R1237" authorId="0" shapeId="0" xr:uid="{B95B7D50-DBC4-452B-8BCA-B55732ADF66A}">
      <text>
        <r>
          <rPr>
            <b/>
            <sz val="9"/>
            <color indexed="81"/>
            <rFont val="Tahoma"/>
            <family val="2"/>
          </rPr>
          <t>&lt;[[TCDeals] - [TC Property Current Stage (Seq: 1)] - [Buildings (Seq: 56)] Acq Est Qual Basis - Both]&gt;</t>
        </r>
      </text>
    </comment>
    <comment ref="S1237" authorId="0" shapeId="0" xr:uid="{1737EBE3-22CB-4149-AFEA-B418B4715080}">
      <text>
        <r>
          <rPr>
            <b/>
            <sz val="9"/>
            <color indexed="81"/>
            <rFont val="Tahoma"/>
            <family val="2"/>
          </rPr>
          <t>&lt;[[TCDeals] - [TC Property Current Stage (Seq: 1)] - [Buildings (Seq: 56)] Acq 8609 Basis - Both]&gt;</t>
        </r>
      </text>
    </comment>
    <comment ref="T1237" authorId="0" shapeId="0" xr:uid="{A7C81F4B-182F-4691-8B42-3BA62E8C7547}">
      <text>
        <r>
          <rPr>
            <b/>
            <sz val="9"/>
            <color indexed="81"/>
            <rFont val="Tahoma"/>
            <family val="2"/>
          </rPr>
          <t>&lt;[[TCDeals] - [TC Property Current Stage (Seq: 1)] - [Buildings (Seq: 56)] Acq 8609 Credit - Both]&gt;</t>
        </r>
      </text>
    </comment>
    <comment ref="C1238" authorId="0" shapeId="0" xr:uid="{E9F4B49D-C0B7-42A2-9E9E-B9C219186D90}">
      <text>
        <r>
          <rPr>
            <b/>
            <sz val="9"/>
            <color indexed="81"/>
            <rFont val="Tahoma"/>
            <family val="2"/>
          </rPr>
          <t>&lt;[[TCDeals] - [TC Property Current Stage (Seq: 1)] - [Buildings (Seq: 57)] BIN - Both]&gt;</t>
        </r>
      </text>
    </comment>
    <comment ref="D1238" authorId="0" shapeId="0" xr:uid="{FAB19020-580E-45F7-9A17-499D280174A9}">
      <text>
        <r>
          <rPr>
            <b/>
            <sz val="9"/>
            <color indexed="81"/>
            <rFont val="Tahoma"/>
            <family val="2"/>
          </rPr>
          <t>&lt;[[TCDeals] - [TC Property Current Stage (Seq: 1)] - [Buildings (Seq: 57)] Address 1 - Both]&gt;</t>
        </r>
      </text>
    </comment>
    <comment ref="E1238" authorId="0" shapeId="0" xr:uid="{D5EF8436-469A-47FA-8910-0BE7099D3D3A}">
      <text>
        <r>
          <rPr>
            <b/>
            <sz val="9"/>
            <color indexed="81"/>
            <rFont val="Tahoma"/>
            <family val="2"/>
          </rPr>
          <t>&lt;[[TCDeals] - [TC Property Current Stage (Seq: 1)] - [Buildings (Seq: 57)] Num TC Units - Both]&gt;</t>
        </r>
      </text>
    </comment>
    <comment ref="F1238" authorId="0" shapeId="0" xr:uid="{1813F6C2-0843-434B-8A19-CFE61570F4E5}">
      <text>
        <r>
          <rPr>
            <b/>
            <sz val="9"/>
            <color indexed="81"/>
            <rFont val="Tahoma"/>
            <family val="2"/>
          </rPr>
          <t>&lt;[[TCDeals] - [TC Property Current Stage (Seq: 1)] - [Buildings (Seq: 57)] PVC PIS Date - Both]&gt;</t>
        </r>
      </text>
    </comment>
    <comment ref="G1238" authorId="0" shapeId="0" xr:uid="{AB1CA971-18DC-4B96-B43C-607AC03B8318}">
      <text>
        <r>
          <rPr>
            <b/>
            <sz val="9"/>
            <color indexed="81"/>
            <rFont val="Tahoma"/>
            <family val="2"/>
          </rPr>
          <t>&lt;[[TCDeals] - [TC Property Current Stage (Seq: 1)] - [Buildings (Seq: 57)] PVC Applicable Percentage - Both]&gt;</t>
        </r>
      </text>
    </comment>
    <comment ref="H1238" authorId="0" shapeId="0" xr:uid="{091E0989-F9FD-430A-9714-3EFACADFAA8B}">
      <text>
        <r>
          <rPr>
            <b/>
            <sz val="9"/>
            <color indexed="81"/>
            <rFont val="Tahoma"/>
            <family val="2"/>
          </rPr>
          <t>&lt;[[TCDeals] - [TC Property Current Stage (Seq: 1)] - [Buildings (Seq: 57)] PVC Est Qual Basis - Both]&gt;</t>
        </r>
      </text>
    </comment>
    <comment ref="I1238" authorId="0" shapeId="0" xr:uid="{8A4DD130-EF2A-4066-ACA8-3EEB5BFA80A9}">
      <text>
        <r>
          <rPr>
            <b/>
            <sz val="9"/>
            <color indexed="81"/>
            <rFont val="Tahoma"/>
            <family val="2"/>
          </rPr>
          <t>&lt;[[TCDeals] - [TC Property Current Stage (Seq: 1)] - [Buildings (Seq: 57)] PVC8609 Basis - Both]&gt;</t>
        </r>
      </text>
    </comment>
    <comment ref="J1238" authorId="0" shapeId="0" xr:uid="{769DD19C-F439-4D97-8A21-A31AD467F317}">
      <text>
        <r>
          <rPr>
            <b/>
            <sz val="9"/>
            <color indexed="81"/>
            <rFont val="Tahoma"/>
            <family val="2"/>
          </rPr>
          <t>&lt;[[TCDeals] - [TC Property Current Stage (Seq: 1)] - [Buildings (Seq: 57)] PVC8609 Credit - Both]&gt;</t>
        </r>
      </text>
    </comment>
    <comment ref="K1238" authorId="0" shapeId="0" xr:uid="{0A5EDC71-2633-4570-9F12-DF02B8CA9038}">
      <text>
        <r>
          <rPr>
            <b/>
            <sz val="9"/>
            <color indexed="81"/>
            <rFont val="Tahoma"/>
            <family val="2"/>
          </rPr>
          <t>&lt;[[TCDeals] - [TC Property Current Stage (Seq: 1)] - [Buildings (Seq: 57)] Constr PIS Date - Both]&gt;</t>
        </r>
      </text>
    </comment>
    <comment ref="L1238" authorId="0" shapeId="0" xr:uid="{00E54E78-2204-4D17-ADCA-B7A347122CDA}">
      <text>
        <r>
          <rPr>
            <b/>
            <sz val="9"/>
            <color indexed="81"/>
            <rFont val="Tahoma"/>
            <family val="2"/>
          </rPr>
          <t>&lt;[[TCDeals] - [TC Property Current Stage (Seq: 1)] - [Buildings (Seq: 57)] Constr Applicable Percentage - Both]&gt;</t>
        </r>
      </text>
    </comment>
    <comment ref="M1238" authorId="0" shapeId="0" xr:uid="{333A0C96-A37E-470C-B6C6-EFB5B2FAB620}">
      <text>
        <r>
          <rPr>
            <b/>
            <sz val="9"/>
            <color indexed="81"/>
            <rFont val="Tahoma"/>
            <family val="2"/>
          </rPr>
          <t>&lt;[[TCDeals] - [TC Property Current Stage (Seq: 1)] - [Buildings (Seq: 57)] Constr Est Qual Basis - Both]&gt;</t>
        </r>
      </text>
    </comment>
    <comment ref="N1238" authorId="0" shapeId="0" xr:uid="{A21D6BE9-99B3-44E9-8B0A-23A6DFE520A2}">
      <text>
        <r>
          <rPr>
            <b/>
            <sz val="9"/>
            <color indexed="81"/>
            <rFont val="Tahoma"/>
            <family val="2"/>
          </rPr>
          <t>&lt;[[TCDeals] - [TC Property Current Stage (Seq: 1)] - [Buildings (Seq: 57)] Constr 8609 Basis - Both]&gt;</t>
        </r>
      </text>
    </comment>
    <comment ref="O1238" authorId="0" shapeId="0" xr:uid="{F31A3E05-C11C-413B-A80D-1D97717AA236}">
      <text>
        <r>
          <rPr>
            <b/>
            <sz val="9"/>
            <color indexed="81"/>
            <rFont val="Tahoma"/>
            <family val="2"/>
          </rPr>
          <t>&lt;[[TCDeals] - [TC Property Current Stage (Seq: 1)] - [Buildings (Seq: 57)] Constr 8609 Credit - Both]&gt;</t>
        </r>
      </text>
    </comment>
    <comment ref="P1238" authorId="0" shapeId="0" xr:uid="{BB2B56D0-DF92-415C-86B4-4F55B8EEAAAD}">
      <text>
        <r>
          <rPr>
            <b/>
            <sz val="9"/>
            <color indexed="81"/>
            <rFont val="Tahoma"/>
            <family val="2"/>
          </rPr>
          <t>&lt;[[TCDeals] - [TC Property Current Stage (Seq: 1)] - [Buildings (Seq: 57)] Acq PIS Date - Both]&gt;</t>
        </r>
      </text>
    </comment>
    <comment ref="Q1238" authorId="0" shapeId="0" xr:uid="{C9891772-0836-4463-82BB-05AD0FC82928}">
      <text>
        <r>
          <rPr>
            <b/>
            <sz val="9"/>
            <color indexed="81"/>
            <rFont val="Tahoma"/>
            <family val="2"/>
          </rPr>
          <t>&lt;[[TCDeals] - [TC Property Current Stage (Seq: 1)] - [Buildings (Seq: 57)] Acq Applicable Percentage - Both]&gt;</t>
        </r>
      </text>
    </comment>
    <comment ref="R1238" authorId="0" shapeId="0" xr:uid="{81541B9C-FAC9-40C5-8F5C-5EF44A1C3806}">
      <text>
        <r>
          <rPr>
            <b/>
            <sz val="9"/>
            <color indexed="81"/>
            <rFont val="Tahoma"/>
            <family val="2"/>
          </rPr>
          <t>&lt;[[TCDeals] - [TC Property Current Stage (Seq: 1)] - [Buildings (Seq: 57)] Acq Est Qual Basis - Both]&gt;</t>
        </r>
      </text>
    </comment>
    <comment ref="S1238" authorId="0" shapeId="0" xr:uid="{085BAEBE-BA07-477C-B294-0BABCC1AA93D}">
      <text>
        <r>
          <rPr>
            <b/>
            <sz val="9"/>
            <color indexed="81"/>
            <rFont val="Tahoma"/>
            <family val="2"/>
          </rPr>
          <t>&lt;[[TCDeals] - [TC Property Current Stage (Seq: 1)] - [Buildings (Seq: 57)] Acq 8609 Basis - Both]&gt;</t>
        </r>
      </text>
    </comment>
    <comment ref="T1238" authorId="0" shapeId="0" xr:uid="{C84DD640-3E80-4E7D-8526-E52330D2257E}">
      <text>
        <r>
          <rPr>
            <b/>
            <sz val="9"/>
            <color indexed="81"/>
            <rFont val="Tahoma"/>
            <family val="2"/>
          </rPr>
          <t>&lt;[[TCDeals] - [TC Property Current Stage (Seq: 1)] - [Buildings (Seq: 57)] Acq 8609 Credit - Both]&gt;</t>
        </r>
      </text>
    </comment>
    <comment ref="C1239" authorId="0" shapeId="0" xr:uid="{E7B1CFF0-B79D-4BD2-9A32-45D4C9335D07}">
      <text>
        <r>
          <rPr>
            <b/>
            <sz val="9"/>
            <color indexed="81"/>
            <rFont val="Tahoma"/>
            <family val="2"/>
          </rPr>
          <t>&lt;[[TCDeals] - [TC Property Current Stage (Seq: 1)] - [Buildings (Seq: 58)] BIN - Both]&gt;</t>
        </r>
      </text>
    </comment>
    <comment ref="D1239" authorId="0" shapeId="0" xr:uid="{49C02776-EA53-4E9E-9F2F-FD2972F93A22}">
      <text>
        <r>
          <rPr>
            <b/>
            <sz val="9"/>
            <color indexed="81"/>
            <rFont val="Tahoma"/>
            <family val="2"/>
          </rPr>
          <t>&lt;[[TCDeals] - [TC Property Current Stage (Seq: 1)] - [Buildings (Seq: 58)] Address 1 - Both]&gt;</t>
        </r>
      </text>
    </comment>
    <comment ref="E1239" authorId="0" shapeId="0" xr:uid="{A78DDC06-5A6A-4AB8-AF1C-7491964FB8CC}">
      <text>
        <r>
          <rPr>
            <b/>
            <sz val="9"/>
            <color indexed="81"/>
            <rFont val="Tahoma"/>
            <family val="2"/>
          </rPr>
          <t>&lt;[[TCDeals] - [TC Property Current Stage (Seq: 1)] - [Buildings (Seq: 58)] Num TC Units - Both]&gt;</t>
        </r>
      </text>
    </comment>
    <comment ref="F1239" authorId="0" shapeId="0" xr:uid="{16C6BFBE-5C6A-4A9E-8A11-4E70B885B448}">
      <text>
        <r>
          <rPr>
            <b/>
            <sz val="9"/>
            <color indexed="81"/>
            <rFont val="Tahoma"/>
            <family val="2"/>
          </rPr>
          <t>&lt;[[TCDeals] - [TC Property Current Stage (Seq: 1)] - [Buildings (Seq: 58)] PVC PIS Date - Both]&gt;</t>
        </r>
      </text>
    </comment>
    <comment ref="G1239" authorId="0" shapeId="0" xr:uid="{62BFE778-E6C1-4B7D-A5D5-B735C26C7AF5}">
      <text>
        <r>
          <rPr>
            <b/>
            <sz val="9"/>
            <color indexed="81"/>
            <rFont val="Tahoma"/>
            <family val="2"/>
          </rPr>
          <t>&lt;[[TCDeals] - [TC Property Current Stage (Seq: 1)] - [Buildings (Seq: 58)] PVC Applicable Percentage - Both]&gt;</t>
        </r>
      </text>
    </comment>
    <comment ref="H1239" authorId="0" shapeId="0" xr:uid="{F4992552-5732-4D87-BEB8-7E46DB7A53AC}">
      <text>
        <r>
          <rPr>
            <b/>
            <sz val="9"/>
            <color indexed="81"/>
            <rFont val="Tahoma"/>
            <family val="2"/>
          </rPr>
          <t>&lt;[[TCDeals] - [TC Property Current Stage (Seq: 1)] - [Buildings (Seq: 58)] PVC Est Qual Basis - Both]&gt;</t>
        </r>
      </text>
    </comment>
    <comment ref="I1239" authorId="0" shapeId="0" xr:uid="{A7B5F719-CA7E-4844-A049-1918E5B46DF1}">
      <text>
        <r>
          <rPr>
            <b/>
            <sz val="9"/>
            <color indexed="81"/>
            <rFont val="Tahoma"/>
            <family val="2"/>
          </rPr>
          <t>&lt;[[TCDeals] - [TC Property Current Stage (Seq: 1)] - [Buildings (Seq: 58)] PVC8609 Basis - Both]&gt;</t>
        </r>
      </text>
    </comment>
    <comment ref="J1239" authorId="0" shapeId="0" xr:uid="{25324CF1-70BB-44E7-880F-FD824570D9F7}">
      <text>
        <r>
          <rPr>
            <b/>
            <sz val="9"/>
            <color indexed="81"/>
            <rFont val="Tahoma"/>
            <family val="2"/>
          </rPr>
          <t>&lt;[[TCDeals] - [TC Property Current Stage (Seq: 1)] - [Buildings (Seq: 58)] PVC8609 Credit - Both]&gt;</t>
        </r>
      </text>
    </comment>
    <comment ref="K1239" authorId="0" shapeId="0" xr:uid="{C2F3EF43-D728-4335-8A75-5BBE64B758D2}">
      <text>
        <r>
          <rPr>
            <b/>
            <sz val="9"/>
            <color indexed="81"/>
            <rFont val="Tahoma"/>
            <family val="2"/>
          </rPr>
          <t>&lt;[[TCDeals] - [TC Property Current Stage (Seq: 1)] - [Buildings (Seq: 58)] Constr PIS Date - Both]&gt;</t>
        </r>
      </text>
    </comment>
    <comment ref="L1239" authorId="0" shapeId="0" xr:uid="{45AAFC7A-3E7C-4CA7-B57E-094F3E3C17A7}">
      <text>
        <r>
          <rPr>
            <b/>
            <sz val="9"/>
            <color indexed="81"/>
            <rFont val="Tahoma"/>
            <family val="2"/>
          </rPr>
          <t>&lt;[[TCDeals] - [TC Property Current Stage (Seq: 1)] - [Buildings (Seq: 58)] Constr Applicable Percentage - Both]&gt;</t>
        </r>
      </text>
    </comment>
    <comment ref="M1239" authorId="0" shapeId="0" xr:uid="{FFDC1A26-8140-4024-B829-FE259B6BAE76}">
      <text>
        <r>
          <rPr>
            <b/>
            <sz val="9"/>
            <color indexed="81"/>
            <rFont val="Tahoma"/>
            <family val="2"/>
          </rPr>
          <t>&lt;[[TCDeals] - [TC Property Current Stage (Seq: 1)] - [Buildings (Seq: 58)] Constr Est Qual Basis - Both]&gt;</t>
        </r>
      </text>
    </comment>
    <comment ref="N1239" authorId="0" shapeId="0" xr:uid="{370FDB3F-2693-4EE4-AEA9-DE202DA3439C}">
      <text>
        <r>
          <rPr>
            <b/>
            <sz val="9"/>
            <color indexed="81"/>
            <rFont val="Tahoma"/>
            <family val="2"/>
          </rPr>
          <t>&lt;[[TCDeals] - [TC Property Current Stage (Seq: 1)] - [Buildings (Seq: 58)] Constr 8609 Basis - Both]&gt;</t>
        </r>
      </text>
    </comment>
    <comment ref="O1239" authorId="0" shapeId="0" xr:uid="{564411A2-7521-4A19-AE8D-E2920E756CD5}">
      <text>
        <r>
          <rPr>
            <b/>
            <sz val="9"/>
            <color indexed="81"/>
            <rFont val="Tahoma"/>
            <family val="2"/>
          </rPr>
          <t>&lt;[[TCDeals] - [TC Property Current Stage (Seq: 1)] - [Buildings (Seq: 58)] Constr 8609 Credit - Both]&gt;</t>
        </r>
      </text>
    </comment>
    <comment ref="P1239" authorId="0" shapeId="0" xr:uid="{1B86003B-5081-4659-B3BE-235590E9D8FB}">
      <text>
        <r>
          <rPr>
            <b/>
            <sz val="9"/>
            <color indexed="81"/>
            <rFont val="Tahoma"/>
            <family val="2"/>
          </rPr>
          <t>&lt;[[TCDeals] - [TC Property Current Stage (Seq: 1)] - [Buildings (Seq: 58)] Acq PIS Date - Both]&gt;</t>
        </r>
      </text>
    </comment>
    <comment ref="Q1239" authorId="0" shapeId="0" xr:uid="{FDEC5563-7A7B-4DDD-A67A-CCE4629918D0}">
      <text>
        <r>
          <rPr>
            <b/>
            <sz val="9"/>
            <color indexed="81"/>
            <rFont val="Tahoma"/>
            <family val="2"/>
          </rPr>
          <t>&lt;[[TCDeals] - [TC Property Current Stage (Seq: 1)] - [Buildings (Seq: 58)] Acq Applicable Percentage - Both]&gt;</t>
        </r>
      </text>
    </comment>
    <comment ref="R1239" authorId="0" shapeId="0" xr:uid="{291A7142-F852-4724-B754-EA2FFF213752}">
      <text>
        <r>
          <rPr>
            <b/>
            <sz val="9"/>
            <color indexed="81"/>
            <rFont val="Tahoma"/>
            <family val="2"/>
          </rPr>
          <t>&lt;[[TCDeals] - [TC Property Current Stage (Seq: 1)] - [Buildings (Seq: 58)] Acq Est Qual Basis - Both]&gt;</t>
        </r>
      </text>
    </comment>
    <comment ref="S1239" authorId="0" shapeId="0" xr:uid="{F5D03102-B429-4300-9FA5-A8DDFEB9C0D1}">
      <text>
        <r>
          <rPr>
            <b/>
            <sz val="9"/>
            <color indexed="81"/>
            <rFont val="Tahoma"/>
            <family val="2"/>
          </rPr>
          <t>&lt;[[TCDeals] - [TC Property Current Stage (Seq: 1)] - [Buildings (Seq: 58)] Acq 8609 Basis - Both]&gt;</t>
        </r>
      </text>
    </comment>
    <comment ref="T1239" authorId="0" shapeId="0" xr:uid="{89AF81EE-2569-46B7-B846-175462561ABF}">
      <text>
        <r>
          <rPr>
            <b/>
            <sz val="9"/>
            <color indexed="81"/>
            <rFont val="Tahoma"/>
            <family val="2"/>
          </rPr>
          <t>&lt;[[TCDeals] - [TC Property Current Stage (Seq: 1)] - [Buildings (Seq: 58)] Acq 8609 Credit - Both]&gt;</t>
        </r>
      </text>
    </comment>
    <comment ref="C1240" authorId="0" shapeId="0" xr:uid="{7A8DC3EC-F1D0-4C96-B44A-16CF7931F169}">
      <text>
        <r>
          <rPr>
            <b/>
            <sz val="9"/>
            <color indexed="81"/>
            <rFont val="Tahoma"/>
            <family val="2"/>
          </rPr>
          <t>&lt;[[TCDeals] - [TC Property Current Stage (Seq: 1)] - [Buildings (Seq: 59)] BIN - Both]&gt;</t>
        </r>
      </text>
    </comment>
    <comment ref="D1240" authorId="0" shapeId="0" xr:uid="{2A643017-B8D9-4D3E-B747-C5B9286D21EE}">
      <text>
        <r>
          <rPr>
            <b/>
            <sz val="9"/>
            <color indexed="81"/>
            <rFont val="Tahoma"/>
            <family val="2"/>
          </rPr>
          <t>&lt;[[TCDeals] - [TC Property Current Stage (Seq: 1)] - [Buildings (Seq: 59)] Address 1 - Both]&gt;</t>
        </r>
      </text>
    </comment>
    <comment ref="E1240" authorId="0" shapeId="0" xr:uid="{C7CDDB53-4549-40D1-BEE1-D4476273CDBE}">
      <text>
        <r>
          <rPr>
            <b/>
            <sz val="9"/>
            <color indexed="81"/>
            <rFont val="Tahoma"/>
            <family val="2"/>
          </rPr>
          <t>&lt;[[TCDeals] - [TC Property Current Stage (Seq: 1)] - [Buildings (Seq: 59)] Num TC Units - Both]&gt;</t>
        </r>
      </text>
    </comment>
    <comment ref="F1240" authorId="0" shapeId="0" xr:uid="{89D7AC3C-8CB0-4ED7-B521-02B4996F67CE}">
      <text>
        <r>
          <rPr>
            <b/>
            <sz val="9"/>
            <color indexed="81"/>
            <rFont val="Tahoma"/>
            <family val="2"/>
          </rPr>
          <t>&lt;[[TCDeals] - [TC Property Current Stage (Seq: 1)] - [Buildings (Seq: 59)] PVC PIS Date - Both]&gt;</t>
        </r>
      </text>
    </comment>
    <comment ref="G1240" authorId="0" shapeId="0" xr:uid="{3E76E47A-D7AF-4C8D-94BF-681BCAE719CB}">
      <text>
        <r>
          <rPr>
            <b/>
            <sz val="9"/>
            <color indexed="81"/>
            <rFont val="Tahoma"/>
            <family val="2"/>
          </rPr>
          <t>&lt;[[TCDeals] - [TC Property Current Stage (Seq: 1)] - [Buildings (Seq: 59)] PVC Applicable Percentage - Both]&gt;</t>
        </r>
      </text>
    </comment>
    <comment ref="H1240" authorId="0" shapeId="0" xr:uid="{983ECD7C-30E2-44C0-99E2-373B43D66DE7}">
      <text>
        <r>
          <rPr>
            <b/>
            <sz val="9"/>
            <color indexed="81"/>
            <rFont val="Tahoma"/>
            <family val="2"/>
          </rPr>
          <t>&lt;[[TCDeals] - [TC Property Current Stage (Seq: 1)] - [Buildings (Seq: 59)] PVC Est Qual Basis - Both]&gt;</t>
        </r>
      </text>
    </comment>
    <comment ref="I1240" authorId="0" shapeId="0" xr:uid="{B7E22F5C-D898-4AC2-964A-1430C4DA9912}">
      <text>
        <r>
          <rPr>
            <b/>
            <sz val="9"/>
            <color indexed="81"/>
            <rFont val="Tahoma"/>
            <family val="2"/>
          </rPr>
          <t>&lt;[[TCDeals] - [TC Property Current Stage (Seq: 1)] - [Buildings (Seq: 59)] PVC8609 Basis - Both]&gt;</t>
        </r>
      </text>
    </comment>
    <comment ref="J1240" authorId="0" shapeId="0" xr:uid="{4D18F53B-DCE4-4596-A23B-CF4E32754E10}">
      <text>
        <r>
          <rPr>
            <b/>
            <sz val="9"/>
            <color indexed="81"/>
            <rFont val="Tahoma"/>
            <family val="2"/>
          </rPr>
          <t>&lt;[[TCDeals] - [TC Property Current Stage (Seq: 1)] - [Buildings (Seq: 59)] PVC8609 Credit - Both]&gt;</t>
        </r>
      </text>
    </comment>
    <comment ref="K1240" authorId="0" shapeId="0" xr:uid="{76624C30-5A4C-42D3-B1D5-D9A85DCA3BEC}">
      <text>
        <r>
          <rPr>
            <b/>
            <sz val="9"/>
            <color indexed="81"/>
            <rFont val="Tahoma"/>
            <family val="2"/>
          </rPr>
          <t>&lt;[[TCDeals] - [TC Property Current Stage (Seq: 1)] - [Buildings (Seq: 59)] Constr PIS Date - Both]&gt;</t>
        </r>
      </text>
    </comment>
    <comment ref="L1240" authorId="0" shapeId="0" xr:uid="{49DA0ACC-8723-4DE0-8BF1-472AA38D30FD}">
      <text>
        <r>
          <rPr>
            <b/>
            <sz val="9"/>
            <color indexed="81"/>
            <rFont val="Tahoma"/>
            <family val="2"/>
          </rPr>
          <t>&lt;[[TCDeals] - [TC Property Current Stage (Seq: 1)] - [Buildings (Seq: 59)] Constr Applicable Percentage - Both]&gt;</t>
        </r>
      </text>
    </comment>
    <comment ref="M1240" authorId="0" shapeId="0" xr:uid="{AAAA164C-3067-4ED3-BB7C-DD4BC342556E}">
      <text>
        <r>
          <rPr>
            <b/>
            <sz val="9"/>
            <color indexed="81"/>
            <rFont val="Tahoma"/>
            <family val="2"/>
          </rPr>
          <t>&lt;[[TCDeals] - [TC Property Current Stage (Seq: 1)] - [Buildings (Seq: 59)] Constr Est Qual Basis - Both]&gt;</t>
        </r>
      </text>
    </comment>
    <comment ref="N1240" authorId="0" shapeId="0" xr:uid="{76924DA7-A22C-4212-8A4F-651B45FC2545}">
      <text>
        <r>
          <rPr>
            <b/>
            <sz val="9"/>
            <color indexed="81"/>
            <rFont val="Tahoma"/>
            <family val="2"/>
          </rPr>
          <t>&lt;[[TCDeals] - [TC Property Current Stage (Seq: 1)] - [Buildings (Seq: 59)] Constr 8609 Basis - Both]&gt;</t>
        </r>
      </text>
    </comment>
    <comment ref="O1240" authorId="0" shapeId="0" xr:uid="{3273E9C0-55C5-4BD4-AF07-997C2F5EF273}">
      <text>
        <r>
          <rPr>
            <b/>
            <sz val="9"/>
            <color indexed="81"/>
            <rFont val="Tahoma"/>
            <family val="2"/>
          </rPr>
          <t>&lt;[[TCDeals] - [TC Property Current Stage (Seq: 1)] - [Buildings (Seq: 59)] Constr 8609 Credit - Both]&gt;</t>
        </r>
      </text>
    </comment>
    <comment ref="P1240" authorId="0" shapeId="0" xr:uid="{A1EB4861-2643-4F84-970B-7B12AF210914}">
      <text>
        <r>
          <rPr>
            <b/>
            <sz val="9"/>
            <color indexed="81"/>
            <rFont val="Tahoma"/>
            <family val="2"/>
          </rPr>
          <t>&lt;[[TCDeals] - [TC Property Current Stage (Seq: 1)] - [Buildings (Seq: 59)] Acq PIS Date - Both]&gt;</t>
        </r>
      </text>
    </comment>
    <comment ref="Q1240" authorId="0" shapeId="0" xr:uid="{F8B21646-6CA0-4EED-88BC-B19EE366CFB7}">
      <text>
        <r>
          <rPr>
            <b/>
            <sz val="9"/>
            <color indexed="81"/>
            <rFont val="Tahoma"/>
            <family val="2"/>
          </rPr>
          <t>&lt;[[TCDeals] - [TC Property Current Stage (Seq: 1)] - [Buildings (Seq: 59)] Acq Applicable Percentage - Both]&gt;</t>
        </r>
      </text>
    </comment>
    <comment ref="R1240" authorId="0" shapeId="0" xr:uid="{4722DCBA-D02A-4653-BBFD-E520846E551E}">
      <text>
        <r>
          <rPr>
            <b/>
            <sz val="9"/>
            <color indexed="81"/>
            <rFont val="Tahoma"/>
            <family val="2"/>
          </rPr>
          <t>&lt;[[TCDeals] - [TC Property Current Stage (Seq: 1)] - [Buildings (Seq: 59)] Acq Est Qual Basis - Both]&gt;</t>
        </r>
      </text>
    </comment>
    <comment ref="S1240" authorId="0" shapeId="0" xr:uid="{C33989A8-A8DA-42D5-959D-E6F59451F95D}">
      <text>
        <r>
          <rPr>
            <b/>
            <sz val="9"/>
            <color indexed="81"/>
            <rFont val="Tahoma"/>
            <family val="2"/>
          </rPr>
          <t>&lt;[[TCDeals] - [TC Property Current Stage (Seq: 1)] - [Buildings (Seq: 59)] Acq 8609 Basis - Both]&gt;</t>
        </r>
      </text>
    </comment>
    <comment ref="T1240" authorId="0" shapeId="0" xr:uid="{4E1AD9B6-496A-4B0A-81DF-1B0E87B22B68}">
      <text>
        <r>
          <rPr>
            <b/>
            <sz val="9"/>
            <color indexed="81"/>
            <rFont val="Tahoma"/>
            <family val="2"/>
          </rPr>
          <t>&lt;[[TCDeals] - [TC Property Current Stage (Seq: 1)] - [Buildings (Seq: 59)] Acq 8609 Credit - Both]&gt;</t>
        </r>
      </text>
    </comment>
    <comment ref="C1241" authorId="0" shapeId="0" xr:uid="{EA0FF37A-77D7-4AEF-AD39-CC295F8D7859}">
      <text>
        <r>
          <rPr>
            <b/>
            <sz val="9"/>
            <color indexed="81"/>
            <rFont val="Tahoma"/>
            <family val="2"/>
          </rPr>
          <t>&lt;[[TCDeals] - [TC Property Current Stage (Seq: 1)] - [Buildings (Seq: 60)] BIN - Both]&gt;</t>
        </r>
      </text>
    </comment>
    <comment ref="D1241" authorId="0" shapeId="0" xr:uid="{81076AE1-25D5-4FB2-9BE1-697B2570D7BA}">
      <text>
        <r>
          <rPr>
            <b/>
            <sz val="9"/>
            <color indexed="81"/>
            <rFont val="Tahoma"/>
            <family val="2"/>
          </rPr>
          <t>&lt;[[TCDeals] - [TC Property Current Stage (Seq: 1)] - [Buildings (Seq: 60)] Address 1 - Both]&gt;</t>
        </r>
      </text>
    </comment>
    <comment ref="E1241" authorId="0" shapeId="0" xr:uid="{28972D36-0ACE-4A15-B966-AC80831AF24C}">
      <text>
        <r>
          <rPr>
            <b/>
            <sz val="9"/>
            <color indexed="81"/>
            <rFont val="Tahoma"/>
            <family val="2"/>
          </rPr>
          <t>&lt;[[TCDeals] - [TC Property Current Stage (Seq: 1)] - [Buildings (Seq: 60)] Num TC Units - Both]&gt;</t>
        </r>
      </text>
    </comment>
    <comment ref="F1241" authorId="0" shapeId="0" xr:uid="{644BC922-C4ED-4E2B-A608-D3AFA6171B06}">
      <text>
        <r>
          <rPr>
            <b/>
            <sz val="9"/>
            <color indexed="81"/>
            <rFont val="Tahoma"/>
            <family val="2"/>
          </rPr>
          <t>&lt;[[TCDeals] - [TC Property Current Stage (Seq: 1)] - [Buildings (Seq: 60)] PVC PIS Date - Both]&gt;</t>
        </r>
      </text>
    </comment>
    <comment ref="G1241" authorId="0" shapeId="0" xr:uid="{B5FF38D7-6CF0-4AB2-919E-313B59BF26C9}">
      <text>
        <r>
          <rPr>
            <b/>
            <sz val="9"/>
            <color indexed="81"/>
            <rFont val="Tahoma"/>
            <family val="2"/>
          </rPr>
          <t>&lt;[[TCDeals] - [TC Property Current Stage (Seq: 1)] - [Buildings (Seq: 60)] PVC Applicable Percentage - Both]&gt;</t>
        </r>
      </text>
    </comment>
    <comment ref="H1241" authorId="0" shapeId="0" xr:uid="{94A77768-361F-41C3-B5A2-20BBEC81FAE2}">
      <text>
        <r>
          <rPr>
            <b/>
            <sz val="9"/>
            <color indexed="81"/>
            <rFont val="Tahoma"/>
            <family val="2"/>
          </rPr>
          <t>&lt;[[TCDeals] - [TC Property Current Stage (Seq: 1)] - [Buildings (Seq: 60)] PVC Est Qual Basis - Both]&gt;</t>
        </r>
      </text>
    </comment>
    <comment ref="I1241" authorId="0" shapeId="0" xr:uid="{0BE43172-291F-4B03-B4B0-C4C3E4B848DF}">
      <text>
        <r>
          <rPr>
            <b/>
            <sz val="9"/>
            <color indexed="81"/>
            <rFont val="Tahoma"/>
            <family val="2"/>
          </rPr>
          <t>&lt;[[TCDeals] - [TC Property Current Stage (Seq: 1)] - [Buildings (Seq: 60)] PVC8609 Basis - Both]&gt;</t>
        </r>
      </text>
    </comment>
    <comment ref="J1241" authorId="0" shapeId="0" xr:uid="{EE41C39E-DDE3-46CA-90E3-F7F8CA21A16E}">
      <text>
        <r>
          <rPr>
            <b/>
            <sz val="9"/>
            <color indexed="81"/>
            <rFont val="Tahoma"/>
            <family val="2"/>
          </rPr>
          <t>&lt;[[TCDeals] - [TC Property Current Stage (Seq: 1)] - [Buildings (Seq: 60)] PVC8609 Credit - Both]&gt;</t>
        </r>
      </text>
    </comment>
    <comment ref="K1241" authorId="0" shapeId="0" xr:uid="{2AD56DFF-3143-45EE-9345-CB2156BD244F}">
      <text>
        <r>
          <rPr>
            <b/>
            <sz val="9"/>
            <color indexed="81"/>
            <rFont val="Tahoma"/>
            <family val="2"/>
          </rPr>
          <t>&lt;[[TCDeals] - [TC Property Current Stage (Seq: 1)] - [Buildings (Seq: 60)] Constr PIS Date - Both]&gt;</t>
        </r>
      </text>
    </comment>
    <comment ref="L1241" authorId="0" shapeId="0" xr:uid="{2AF51B90-F810-4BD9-A7DB-A73E402C1CBF}">
      <text>
        <r>
          <rPr>
            <b/>
            <sz val="9"/>
            <color indexed="81"/>
            <rFont val="Tahoma"/>
            <family val="2"/>
          </rPr>
          <t>&lt;[[TCDeals] - [TC Property Current Stage (Seq: 1)] - [Buildings (Seq: 60)] Constr Applicable Percentage - Both]&gt;</t>
        </r>
      </text>
    </comment>
    <comment ref="M1241" authorId="0" shapeId="0" xr:uid="{07F624E4-7E7B-4021-8725-8F765C425EB6}">
      <text>
        <r>
          <rPr>
            <b/>
            <sz val="9"/>
            <color indexed="81"/>
            <rFont val="Tahoma"/>
            <family val="2"/>
          </rPr>
          <t>&lt;[[TCDeals] - [TC Property Current Stage (Seq: 1)] - [Buildings (Seq: 60)] Constr Est Qual Basis - Both]&gt;</t>
        </r>
      </text>
    </comment>
    <comment ref="N1241" authorId="0" shapeId="0" xr:uid="{144B2BED-0A1A-439D-8E08-240D2DFF401D}">
      <text>
        <r>
          <rPr>
            <b/>
            <sz val="9"/>
            <color indexed="81"/>
            <rFont val="Tahoma"/>
            <family val="2"/>
          </rPr>
          <t>&lt;[[TCDeals] - [TC Property Current Stage (Seq: 1)] - [Buildings (Seq: 60)] Constr 8609 Basis - Both]&gt;</t>
        </r>
      </text>
    </comment>
    <comment ref="O1241" authorId="0" shapeId="0" xr:uid="{5A067AF1-9A39-4B1B-B5F5-7F5BC37FB81C}">
      <text>
        <r>
          <rPr>
            <b/>
            <sz val="9"/>
            <color indexed="81"/>
            <rFont val="Tahoma"/>
            <family val="2"/>
          </rPr>
          <t>&lt;[[TCDeals] - [TC Property Current Stage (Seq: 1)] - [Buildings (Seq: 60)] Constr 8609 Credit - Both]&gt;</t>
        </r>
      </text>
    </comment>
    <comment ref="P1241" authorId="0" shapeId="0" xr:uid="{384D0A96-C4FC-419C-8B10-15C89849F34A}">
      <text>
        <r>
          <rPr>
            <b/>
            <sz val="9"/>
            <color indexed="81"/>
            <rFont val="Tahoma"/>
            <family val="2"/>
          </rPr>
          <t>&lt;[[TCDeals] - [TC Property Current Stage (Seq: 1)] - [Buildings (Seq: 60)] Acq PIS Date - Both]&gt;</t>
        </r>
      </text>
    </comment>
    <comment ref="Q1241" authorId="0" shapeId="0" xr:uid="{7E461366-3231-46A1-A939-BDE1F4959F2F}">
      <text>
        <r>
          <rPr>
            <b/>
            <sz val="9"/>
            <color indexed="81"/>
            <rFont val="Tahoma"/>
            <family val="2"/>
          </rPr>
          <t>&lt;[[TCDeals] - [TC Property Current Stage (Seq: 1)] - [Buildings (Seq: 60)] Acq Applicable Percentage - Both]&gt;</t>
        </r>
      </text>
    </comment>
    <comment ref="R1241" authorId="0" shapeId="0" xr:uid="{8DD90B0F-EBF7-4664-A7B2-19E5754B4C8B}">
      <text>
        <r>
          <rPr>
            <b/>
            <sz val="9"/>
            <color indexed="81"/>
            <rFont val="Tahoma"/>
            <family val="2"/>
          </rPr>
          <t>&lt;[[TCDeals] - [TC Property Current Stage (Seq: 1)] - [Buildings (Seq: 60)] Acq Est Qual Basis - Both]&gt;</t>
        </r>
      </text>
    </comment>
    <comment ref="S1241" authorId="0" shapeId="0" xr:uid="{833C59DC-5702-4F6A-BA73-288840493AC6}">
      <text>
        <r>
          <rPr>
            <b/>
            <sz val="9"/>
            <color indexed="81"/>
            <rFont val="Tahoma"/>
            <family val="2"/>
          </rPr>
          <t>&lt;[[TCDeals] - [TC Property Current Stage (Seq: 1)] - [Buildings (Seq: 60)] Acq 8609 Basis - Both]&gt;</t>
        </r>
      </text>
    </comment>
    <comment ref="T1241" authorId="0" shapeId="0" xr:uid="{B0FA0956-B335-4925-86AF-4F8810080403}">
      <text>
        <r>
          <rPr>
            <b/>
            <sz val="9"/>
            <color indexed="81"/>
            <rFont val="Tahoma"/>
            <family val="2"/>
          </rPr>
          <t>&lt;[[TCDeals] - [TC Property Current Stage (Seq: 1)] - [Buildings (Seq: 60)] Acq 8609 Credit - Both]&gt;</t>
        </r>
      </text>
    </comment>
    <comment ref="C1242" authorId="0" shapeId="0" xr:uid="{0581B0E1-C57B-4E62-BCDC-929140253A26}">
      <text>
        <r>
          <rPr>
            <b/>
            <sz val="9"/>
            <color indexed="81"/>
            <rFont val="Tahoma"/>
            <family val="2"/>
          </rPr>
          <t>&lt;[[TCDeals] - [TC Property Current Stage (Seq: 1)] - [Buildings (Seq: 61)] BIN - Both]&gt;</t>
        </r>
      </text>
    </comment>
    <comment ref="D1242" authorId="0" shapeId="0" xr:uid="{9FDA55E1-0AB0-46DB-A16B-C5D1A80700DF}">
      <text>
        <r>
          <rPr>
            <b/>
            <sz val="9"/>
            <color indexed="81"/>
            <rFont val="Tahoma"/>
            <family val="2"/>
          </rPr>
          <t>&lt;[[TCDeals] - [TC Property Current Stage (Seq: 1)] - [Buildings (Seq: 61)] Address 1 - Both]&gt;</t>
        </r>
      </text>
    </comment>
    <comment ref="E1242" authorId="0" shapeId="0" xr:uid="{595A1A89-6D44-4A7F-8268-605ADBA2300D}">
      <text>
        <r>
          <rPr>
            <b/>
            <sz val="9"/>
            <color indexed="81"/>
            <rFont val="Tahoma"/>
            <family val="2"/>
          </rPr>
          <t>&lt;[[TCDeals] - [TC Property Current Stage (Seq: 1)] - [Buildings (Seq: 61)] Num TC Units - Both]&gt;</t>
        </r>
      </text>
    </comment>
    <comment ref="F1242" authorId="0" shapeId="0" xr:uid="{969D0342-B86F-4482-86CA-44979327012A}">
      <text>
        <r>
          <rPr>
            <b/>
            <sz val="9"/>
            <color indexed="81"/>
            <rFont val="Tahoma"/>
            <family val="2"/>
          </rPr>
          <t>&lt;[[TCDeals] - [TC Property Current Stage (Seq: 1)] - [Buildings (Seq: 61)] PVC PIS Date - Both]&gt;</t>
        </r>
      </text>
    </comment>
    <comment ref="G1242" authorId="0" shapeId="0" xr:uid="{81A672DF-B8EA-4E61-B4A0-446BB3E2F56B}">
      <text>
        <r>
          <rPr>
            <b/>
            <sz val="9"/>
            <color indexed="81"/>
            <rFont val="Tahoma"/>
            <family val="2"/>
          </rPr>
          <t>&lt;[[TCDeals] - [TC Property Current Stage (Seq: 1)] - [Buildings (Seq: 61)] PVC Applicable Percentage - Both]&gt;</t>
        </r>
      </text>
    </comment>
    <comment ref="H1242" authorId="0" shapeId="0" xr:uid="{907927DC-9DB2-4F2F-A9B6-96E4CF806628}">
      <text>
        <r>
          <rPr>
            <b/>
            <sz val="9"/>
            <color indexed="81"/>
            <rFont val="Tahoma"/>
            <family val="2"/>
          </rPr>
          <t>&lt;[[TCDeals] - [TC Property Current Stage (Seq: 1)] - [Buildings (Seq: 61)] PVC Est Qual Basis - Both]&gt;</t>
        </r>
      </text>
    </comment>
    <comment ref="I1242" authorId="0" shapeId="0" xr:uid="{62F6F787-9656-4820-9C4D-313F718EC6E9}">
      <text>
        <r>
          <rPr>
            <b/>
            <sz val="9"/>
            <color indexed="81"/>
            <rFont val="Tahoma"/>
            <family val="2"/>
          </rPr>
          <t>&lt;[[TCDeals] - [TC Property Current Stage (Seq: 1)] - [Buildings (Seq: 61)] PVC8609 Basis - Both]&gt;</t>
        </r>
      </text>
    </comment>
    <comment ref="J1242" authorId="0" shapeId="0" xr:uid="{9B056850-F10C-49C5-AD15-8922F4878852}">
      <text>
        <r>
          <rPr>
            <b/>
            <sz val="9"/>
            <color indexed="81"/>
            <rFont val="Tahoma"/>
            <family val="2"/>
          </rPr>
          <t>&lt;[[TCDeals] - [TC Property Current Stage (Seq: 1)] - [Buildings (Seq: 61)] PVC8609 Credit - Both]&gt;</t>
        </r>
      </text>
    </comment>
    <comment ref="K1242" authorId="0" shapeId="0" xr:uid="{85E99D01-E8F6-48FA-859F-7FC82D6ADD75}">
      <text>
        <r>
          <rPr>
            <b/>
            <sz val="9"/>
            <color indexed="81"/>
            <rFont val="Tahoma"/>
            <family val="2"/>
          </rPr>
          <t>&lt;[[TCDeals] - [TC Property Current Stage (Seq: 1)] - [Buildings (Seq: 61)] Constr PIS Date - Both]&gt;</t>
        </r>
      </text>
    </comment>
    <comment ref="L1242" authorId="0" shapeId="0" xr:uid="{462554FC-CB57-4A07-AB24-1778D68D9340}">
      <text>
        <r>
          <rPr>
            <b/>
            <sz val="9"/>
            <color indexed="81"/>
            <rFont val="Tahoma"/>
            <family val="2"/>
          </rPr>
          <t>&lt;[[TCDeals] - [TC Property Current Stage (Seq: 1)] - [Buildings (Seq: 61)] Constr Applicable Percentage - Both]&gt;</t>
        </r>
      </text>
    </comment>
    <comment ref="M1242" authorId="0" shapeId="0" xr:uid="{B52D1082-01C7-49BE-832B-8BC239E3F898}">
      <text>
        <r>
          <rPr>
            <b/>
            <sz val="9"/>
            <color indexed="81"/>
            <rFont val="Tahoma"/>
            <family val="2"/>
          </rPr>
          <t>&lt;[[TCDeals] - [TC Property Current Stage (Seq: 1)] - [Buildings (Seq: 61)] Constr Est Qual Basis - Both]&gt;</t>
        </r>
      </text>
    </comment>
    <comment ref="N1242" authorId="0" shapeId="0" xr:uid="{508354E0-7E44-4645-B895-85DD60921577}">
      <text>
        <r>
          <rPr>
            <b/>
            <sz val="9"/>
            <color indexed="81"/>
            <rFont val="Tahoma"/>
            <family val="2"/>
          </rPr>
          <t>&lt;[[TCDeals] - [TC Property Current Stage (Seq: 1)] - [Buildings (Seq: 61)] Constr 8609 Basis - Both]&gt;</t>
        </r>
      </text>
    </comment>
    <comment ref="O1242" authorId="0" shapeId="0" xr:uid="{BCDEB321-4142-4525-BE14-DD5710F5C205}">
      <text>
        <r>
          <rPr>
            <b/>
            <sz val="9"/>
            <color indexed="81"/>
            <rFont val="Tahoma"/>
            <family val="2"/>
          </rPr>
          <t>&lt;[[TCDeals] - [TC Property Current Stage (Seq: 1)] - [Buildings (Seq: 61)] Constr 8609 Credit - Both]&gt;</t>
        </r>
      </text>
    </comment>
    <comment ref="P1242" authorId="0" shapeId="0" xr:uid="{3CD9EBC7-600A-42BD-92DE-895B21980828}">
      <text>
        <r>
          <rPr>
            <b/>
            <sz val="9"/>
            <color indexed="81"/>
            <rFont val="Tahoma"/>
            <family val="2"/>
          </rPr>
          <t>&lt;[[TCDeals] - [TC Property Current Stage (Seq: 1)] - [Buildings (Seq: 61)] Acq PIS Date - Both]&gt;</t>
        </r>
      </text>
    </comment>
    <comment ref="Q1242" authorId="0" shapeId="0" xr:uid="{9BF023CD-8E59-4377-9140-92E9384866B9}">
      <text>
        <r>
          <rPr>
            <b/>
            <sz val="9"/>
            <color indexed="81"/>
            <rFont val="Tahoma"/>
            <family val="2"/>
          </rPr>
          <t>&lt;[[TCDeals] - [TC Property Current Stage (Seq: 1)] - [Buildings (Seq: 61)] Acq Applicable Percentage - Both]&gt;</t>
        </r>
      </text>
    </comment>
    <comment ref="R1242" authorId="0" shapeId="0" xr:uid="{2DA9EAB1-49A2-4142-902C-8BCFF7CCBC65}">
      <text>
        <r>
          <rPr>
            <b/>
            <sz val="9"/>
            <color indexed="81"/>
            <rFont val="Tahoma"/>
            <family val="2"/>
          </rPr>
          <t>&lt;[[TCDeals] - [TC Property Current Stage (Seq: 1)] - [Buildings (Seq: 61)] Acq Est Qual Basis - Both]&gt;</t>
        </r>
      </text>
    </comment>
    <comment ref="S1242" authorId="0" shapeId="0" xr:uid="{87530000-082F-452C-9F4D-6BB0C2427B70}">
      <text>
        <r>
          <rPr>
            <b/>
            <sz val="9"/>
            <color indexed="81"/>
            <rFont val="Tahoma"/>
            <family val="2"/>
          </rPr>
          <t>&lt;[[TCDeals] - [TC Property Current Stage (Seq: 1)] - [Buildings (Seq: 61)] Acq 8609 Basis - Both]&gt;</t>
        </r>
      </text>
    </comment>
    <comment ref="T1242" authorId="0" shapeId="0" xr:uid="{E4CE22F9-6F11-4641-AA25-EBF181F55943}">
      <text>
        <r>
          <rPr>
            <b/>
            <sz val="9"/>
            <color indexed="81"/>
            <rFont val="Tahoma"/>
            <family val="2"/>
          </rPr>
          <t>&lt;[[TCDeals] - [TC Property Current Stage (Seq: 1)] - [Buildings (Seq: 61)] Acq 8609 Credit - Both]&gt;</t>
        </r>
      </text>
    </comment>
    <comment ref="C1243" authorId="0" shapeId="0" xr:uid="{FAB64D5A-0DEE-4951-ABF1-9B80C8D8488E}">
      <text>
        <r>
          <rPr>
            <b/>
            <sz val="9"/>
            <color indexed="81"/>
            <rFont val="Tahoma"/>
            <family val="2"/>
          </rPr>
          <t>&lt;[[TCDeals] - [TC Property Current Stage (Seq: 1)] - [Buildings (Seq: 62)] BIN - Both]&gt;</t>
        </r>
      </text>
    </comment>
    <comment ref="D1243" authorId="0" shapeId="0" xr:uid="{E27E5885-023D-4DBD-BDC7-0E4149246604}">
      <text>
        <r>
          <rPr>
            <b/>
            <sz val="9"/>
            <color indexed="81"/>
            <rFont val="Tahoma"/>
            <family val="2"/>
          </rPr>
          <t>&lt;[[TCDeals] - [TC Property Current Stage (Seq: 1)] - [Buildings (Seq: 62)] Address 1 - Both]&gt;</t>
        </r>
      </text>
    </comment>
    <comment ref="E1243" authorId="0" shapeId="0" xr:uid="{A5AD81B8-47DA-4698-9F86-31A07951DD96}">
      <text>
        <r>
          <rPr>
            <b/>
            <sz val="9"/>
            <color indexed="81"/>
            <rFont val="Tahoma"/>
            <family val="2"/>
          </rPr>
          <t>&lt;[[TCDeals] - [TC Property Current Stage (Seq: 1)] - [Buildings (Seq: 62)] Num TC Units - Both]&gt;</t>
        </r>
      </text>
    </comment>
    <comment ref="F1243" authorId="0" shapeId="0" xr:uid="{A1238F16-EB8A-4856-81C7-68FDE4F4C0DD}">
      <text>
        <r>
          <rPr>
            <b/>
            <sz val="9"/>
            <color indexed="81"/>
            <rFont val="Tahoma"/>
            <family val="2"/>
          </rPr>
          <t>&lt;[[TCDeals] - [TC Property Current Stage (Seq: 1)] - [Buildings (Seq: 62)] PVC PIS Date - Both]&gt;</t>
        </r>
      </text>
    </comment>
    <comment ref="G1243" authorId="0" shapeId="0" xr:uid="{C255B2F1-3CC9-458E-A333-F4EAAB4FC25B}">
      <text>
        <r>
          <rPr>
            <b/>
            <sz val="9"/>
            <color indexed="81"/>
            <rFont val="Tahoma"/>
            <family val="2"/>
          </rPr>
          <t>&lt;[[TCDeals] - [TC Property Current Stage (Seq: 1)] - [Buildings (Seq: 62)] PVC Applicable Percentage - Both]&gt;</t>
        </r>
      </text>
    </comment>
    <comment ref="H1243" authorId="0" shapeId="0" xr:uid="{A73B7623-C0CE-49D8-818A-136EB3D3CE16}">
      <text>
        <r>
          <rPr>
            <b/>
            <sz val="9"/>
            <color indexed="81"/>
            <rFont val="Tahoma"/>
            <family val="2"/>
          </rPr>
          <t>&lt;[[TCDeals] - [TC Property Current Stage (Seq: 1)] - [Buildings (Seq: 62)] PVC Est Qual Basis - Both]&gt;</t>
        </r>
      </text>
    </comment>
    <comment ref="I1243" authorId="0" shapeId="0" xr:uid="{E70F8B77-7AD2-4120-A1B0-18788BE3F77A}">
      <text>
        <r>
          <rPr>
            <b/>
            <sz val="9"/>
            <color indexed="81"/>
            <rFont val="Tahoma"/>
            <family val="2"/>
          </rPr>
          <t>&lt;[[TCDeals] - [TC Property Current Stage (Seq: 1)] - [Buildings (Seq: 62)] PVC8609 Basis - Both]&gt;</t>
        </r>
      </text>
    </comment>
    <comment ref="J1243" authorId="0" shapeId="0" xr:uid="{083BD847-7464-44F6-BF2E-CEEA42271E7A}">
      <text>
        <r>
          <rPr>
            <b/>
            <sz val="9"/>
            <color indexed="81"/>
            <rFont val="Tahoma"/>
            <family val="2"/>
          </rPr>
          <t>&lt;[[TCDeals] - [TC Property Current Stage (Seq: 1)] - [Buildings (Seq: 62)] PVC8609 Credit - Both]&gt;</t>
        </r>
      </text>
    </comment>
    <comment ref="K1243" authorId="0" shapeId="0" xr:uid="{E6ED1CD7-43DB-4E6E-821F-61ECB45BD035}">
      <text>
        <r>
          <rPr>
            <b/>
            <sz val="9"/>
            <color indexed="81"/>
            <rFont val="Tahoma"/>
            <family val="2"/>
          </rPr>
          <t>&lt;[[TCDeals] - [TC Property Current Stage (Seq: 1)] - [Buildings (Seq: 62)] Constr PIS Date - Both]&gt;</t>
        </r>
      </text>
    </comment>
    <comment ref="L1243" authorId="0" shapeId="0" xr:uid="{1CFA86F6-1179-4592-B983-65EF1B5121B0}">
      <text>
        <r>
          <rPr>
            <b/>
            <sz val="9"/>
            <color indexed="81"/>
            <rFont val="Tahoma"/>
            <family val="2"/>
          </rPr>
          <t>&lt;[[TCDeals] - [TC Property Current Stage (Seq: 1)] - [Buildings (Seq: 62)] Constr Applicable Percentage - Both]&gt;</t>
        </r>
      </text>
    </comment>
    <comment ref="M1243" authorId="0" shapeId="0" xr:uid="{40E2C443-5C08-4158-954F-86A551098B8B}">
      <text>
        <r>
          <rPr>
            <b/>
            <sz val="9"/>
            <color indexed="81"/>
            <rFont val="Tahoma"/>
            <family val="2"/>
          </rPr>
          <t>&lt;[[TCDeals] - [TC Property Current Stage (Seq: 1)] - [Buildings (Seq: 62)] Constr Est Qual Basis - Both]&gt;</t>
        </r>
      </text>
    </comment>
    <comment ref="N1243" authorId="0" shapeId="0" xr:uid="{43389316-C2D1-4008-9360-98B1DE4BEB34}">
      <text>
        <r>
          <rPr>
            <b/>
            <sz val="9"/>
            <color indexed="81"/>
            <rFont val="Tahoma"/>
            <family val="2"/>
          </rPr>
          <t>&lt;[[TCDeals] - [TC Property Current Stage (Seq: 1)] - [Buildings (Seq: 62)] Constr 8609 Basis - Both]&gt;</t>
        </r>
      </text>
    </comment>
    <comment ref="O1243" authorId="0" shapeId="0" xr:uid="{A911AE5B-23DD-43FE-BFF1-C7433A8D0E01}">
      <text>
        <r>
          <rPr>
            <b/>
            <sz val="9"/>
            <color indexed="81"/>
            <rFont val="Tahoma"/>
            <family val="2"/>
          </rPr>
          <t>&lt;[[TCDeals] - [TC Property Current Stage (Seq: 1)] - [Buildings (Seq: 62)] Constr 8609 Credit - Both]&gt;</t>
        </r>
      </text>
    </comment>
    <comment ref="P1243" authorId="0" shapeId="0" xr:uid="{6B80F9E4-9311-4B71-85EC-832A4D8719D2}">
      <text>
        <r>
          <rPr>
            <b/>
            <sz val="9"/>
            <color indexed="81"/>
            <rFont val="Tahoma"/>
            <family val="2"/>
          </rPr>
          <t>&lt;[[TCDeals] - [TC Property Current Stage (Seq: 1)] - [Buildings (Seq: 62)] Acq PIS Date - Both]&gt;</t>
        </r>
      </text>
    </comment>
    <comment ref="Q1243" authorId="0" shapeId="0" xr:uid="{232B7E67-9659-4B4C-BF72-C9EAEDF5566F}">
      <text>
        <r>
          <rPr>
            <b/>
            <sz val="9"/>
            <color indexed="81"/>
            <rFont val="Tahoma"/>
            <family val="2"/>
          </rPr>
          <t>&lt;[[TCDeals] - [TC Property Current Stage (Seq: 1)] - [Buildings (Seq: 62)] Acq Applicable Percentage - Both]&gt;</t>
        </r>
      </text>
    </comment>
    <comment ref="R1243" authorId="0" shapeId="0" xr:uid="{34326D53-5524-47F4-89ED-BCCA79B399BD}">
      <text>
        <r>
          <rPr>
            <b/>
            <sz val="9"/>
            <color indexed="81"/>
            <rFont val="Tahoma"/>
            <family val="2"/>
          </rPr>
          <t>&lt;[[TCDeals] - [TC Property Current Stage (Seq: 1)] - [Buildings (Seq: 62)] Acq Est Qual Basis - Both]&gt;</t>
        </r>
      </text>
    </comment>
    <comment ref="S1243" authorId="0" shapeId="0" xr:uid="{F851739A-FDD5-4DFA-876D-A165D85397C3}">
      <text>
        <r>
          <rPr>
            <b/>
            <sz val="9"/>
            <color indexed="81"/>
            <rFont val="Tahoma"/>
            <family val="2"/>
          </rPr>
          <t>&lt;[[TCDeals] - [TC Property Current Stage (Seq: 1)] - [Buildings (Seq: 62)] Acq 8609 Basis - Both]&gt;</t>
        </r>
      </text>
    </comment>
    <comment ref="T1243" authorId="0" shapeId="0" xr:uid="{D82DD0C0-5C48-43D6-8EA5-E1F3A25E3436}">
      <text>
        <r>
          <rPr>
            <b/>
            <sz val="9"/>
            <color indexed="81"/>
            <rFont val="Tahoma"/>
            <family val="2"/>
          </rPr>
          <t>&lt;[[TCDeals] - [TC Property Current Stage (Seq: 1)] - [Buildings (Seq: 62)] Acq 8609 Credit - Both]&gt;</t>
        </r>
      </text>
    </comment>
    <comment ref="C1244" authorId="0" shapeId="0" xr:uid="{F2E6518B-C6F4-4EDB-87ED-21CA15870A9C}">
      <text>
        <r>
          <rPr>
            <b/>
            <sz val="9"/>
            <color indexed="81"/>
            <rFont val="Tahoma"/>
            <family val="2"/>
          </rPr>
          <t>&lt;[[TCDeals] - [TC Property Current Stage (Seq: 1)] - [Buildings (Seq: 63)] BIN - Both]&gt;</t>
        </r>
      </text>
    </comment>
    <comment ref="D1244" authorId="0" shapeId="0" xr:uid="{DBAA949F-6F0F-48FD-B2C9-AC7C8D130EFF}">
      <text>
        <r>
          <rPr>
            <b/>
            <sz val="9"/>
            <color indexed="81"/>
            <rFont val="Tahoma"/>
            <family val="2"/>
          </rPr>
          <t>&lt;[[TCDeals] - [TC Property Current Stage (Seq: 1)] - [Buildings (Seq: 63)] Address 1 - Both]&gt;</t>
        </r>
      </text>
    </comment>
    <comment ref="E1244" authorId="0" shapeId="0" xr:uid="{81770BF2-701C-4ADD-AC45-CB70744F6A1B}">
      <text>
        <r>
          <rPr>
            <b/>
            <sz val="9"/>
            <color indexed="81"/>
            <rFont val="Tahoma"/>
            <family val="2"/>
          </rPr>
          <t>&lt;[[TCDeals] - [TC Property Current Stage (Seq: 1)] - [Buildings (Seq: 63)] Num TC Units - Both]&gt;</t>
        </r>
      </text>
    </comment>
    <comment ref="F1244" authorId="0" shapeId="0" xr:uid="{F68FEACD-74A9-4CF1-9B2F-C8128D01FFC0}">
      <text>
        <r>
          <rPr>
            <b/>
            <sz val="9"/>
            <color indexed="81"/>
            <rFont val="Tahoma"/>
            <family val="2"/>
          </rPr>
          <t>&lt;[[TCDeals] - [TC Property Current Stage (Seq: 1)] - [Buildings (Seq: 63)] PVC PIS Date - Both]&gt;</t>
        </r>
      </text>
    </comment>
    <comment ref="G1244" authorId="0" shapeId="0" xr:uid="{69FDFBB3-0A50-4AD2-B78E-FBBE2043E760}">
      <text>
        <r>
          <rPr>
            <b/>
            <sz val="9"/>
            <color indexed="81"/>
            <rFont val="Tahoma"/>
            <family val="2"/>
          </rPr>
          <t>&lt;[[TCDeals] - [TC Property Current Stage (Seq: 1)] - [Buildings (Seq: 63)] PVC Applicable Percentage - Both]&gt;</t>
        </r>
      </text>
    </comment>
    <comment ref="H1244" authorId="0" shapeId="0" xr:uid="{830D35C4-6330-48B6-9895-2FEF30ADF78D}">
      <text>
        <r>
          <rPr>
            <b/>
            <sz val="9"/>
            <color indexed="81"/>
            <rFont val="Tahoma"/>
            <family val="2"/>
          </rPr>
          <t>&lt;[[TCDeals] - [TC Property Current Stage (Seq: 1)] - [Buildings (Seq: 63)] PVC Est Qual Basis - Both]&gt;</t>
        </r>
      </text>
    </comment>
    <comment ref="I1244" authorId="0" shapeId="0" xr:uid="{68D18B3B-9353-4655-8681-0246D25C6DD1}">
      <text>
        <r>
          <rPr>
            <b/>
            <sz val="9"/>
            <color indexed="81"/>
            <rFont val="Tahoma"/>
            <family val="2"/>
          </rPr>
          <t>&lt;[[TCDeals] - [TC Property Current Stage (Seq: 1)] - [Buildings (Seq: 63)] PVC8609 Basis - Both]&gt;</t>
        </r>
      </text>
    </comment>
    <comment ref="J1244" authorId="0" shapeId="0" xr:uid="{6E880308-C67C-4D25-88C2-2D679C34A430}">
      <text>
        <r>
          <rPr>
            <b/>
            <sz val="9"/>
            <color indexed="81"/>
            <rFont val="Tahoma"/>
            <family val="2"/>
          </rPr>
          <t>&lt;[[TCDeals] - [TC Property Current Stage (Seq: 1)] - [Buildings (Seq: 63)] PVC8609 Credit - Both]&gt;</t>
        </r>
      </text>
    </comment>
    <comment ref="K1244" authorId="0" shapeId="0" xr:uid="{76D70ABB-F867-47FB-84A3-F1B588BEF2DC}">
      <text>
        <r>
          <rPr>
            <b/>
            <sz val="9"/>
            <color indexed="81"/>
            <rFont val="Tahoma"/>
            <family val="2"/>
          </rPr>
          <t>&lt;[[TCDeals] - [TC Property Current Stage (Seq: 1)] - [Buildings (Seq: 63)] Constr PIS Date - Both]&gt;</t>
        </r>
      </text>
    </comment>
    <comment ref="L1244" authorId="0" shapeId="0" xr:uid="{F32A7462-BDA5-4C93-A873-B5A8B3829C80}">
      <text>
        <r>
          <rPr>
            <b/>
            <sz val="9"/>
            <color indexed="81"/>
            <rFont val="Tahoma"/>
            <family val="2"/>
          </rPr>
          <t>&lt;[[TCDeals] - [TC Property Current Stage (Seq: 1)] - [Buildings (Seq: 63)] Constr Applicable Percentage - Both]&gt;</t>
        </r>
      </text>
    </comment>
    <comment ref="M1244" authorId="0" shapeId="0" xr:uid="{BDD9ACE6-568C-4FE6-A046-1B967C0C940D}">
      <text>
        <r>
          <rPr>
            <b/>
            <sz val="9"/>
            <color indexed="81"/>
            <rFont val="Tahoma"/>
            <family val="2"/>
          </rPr>
          <t>&lt;[[TCDeals] - [TC Property Current Stage (Seq: 1)] - [Buildings (Seq: 63)] Constr Est Qual Basis - Both]&gt;</t>
        </r>
      </text>
    </comment>
    <comment ref="N1244" authorId="0" shapeId="0" xr:uid="{2105E1D8-5EDD-42A5-BB49-D5F362A125F6}">
      <text>
        <r>
          <rPr>
            <b/>
            <sz val="9"/>
            <color indexed="81"/>
            <rFont val="Tahoma"/>
            <family val="2"/>
          </rPr>
          <t>&lt;[[TCDeals] - [TC Property Current Stage (Seq: 1)] - [Buildings (Seq: 63)] Constr 8609 Basis - Both]&gt;</t>
        </r>
      </text>
    </comment>
    <comment ref="O1244" authorId="0" shapeId="0" xr:uid="{4067D4A7-8F1E-44B4-968E-A9D4A51E54BA}">
      <text>
        <r>
          <rPr>
            <b/>
            <sz val="9"/>
            <color indexed="81"/>
            <rFont val="Tahoma"/>
            <family val="2"/>
          </rPr>
          <t>&lt;[[TCDeals] - [TC Property Current Stage (Seq: 1)] - [Buildings (Seq: 63)] Constr 8609 Credit - Both]&gt;</t>
        </r>
      </text>
    </comment>
    <comment ref="P1244" authorId="0" shapeId="0" xr:uid="{C429C629-B99E-489F-892A-2AA2B06C5E48}">
      <text>
        <r>
          <rPr>
            <b/>
            <sz val="9"/>
            <color indexed="81"/>
            <rFont val="Tahoma"/>
            <family val="2"/>
          </rPr>
          <t>&lt;[[TCDeals] - [TC Property Current Stage (Seq: 1)] - [Buildings (Seq: 63)] Acq PIS Date - Both]&gt;</t>
        </r>
      </text>
    </comment>
    <comment ref="Q1244" authorId="0" shapeId="0" xr:uid="{AE7272C0-819C-458C-BE2D-0D5F57604524}">
      <text>
        <r>
          <rPr>
            <b/>
            <sz val="9"/>
            <color indexed="81"/>
            <rFont val="Tahoma"/>
            <family val="2"/>
          </rPr>
          <t>&lt;[[TCDeals] - [TC Property Current Stage (Seq: 1)] - [Buildings (Seq: 63)] Acq Applicable Percentage - Both]&gt;</t>
        </r>
      </text>
    </comment>
    <comment ref="R1244" authorId="0" shapeId="0" xr:uid="{A14A503F-5196-4CD4-B445-E84D1FF2FFDB}">
      <text>
        <r>
          <rPr>
            <b/>
            <sz val="9"/>
            <color indexed="81"/>
            <rFont val="Tahoma"/>
            <family val="2"/>
          </rPr>
          <t>&lt;[[TCDeals] - [TC Property Current Stage (Seq: 1)] - [Buildings (Seq: 63)] Acq Est Qual Basis - Both]&gt;</t>
        </r>
      </text>
    </comment>
    <comment ref="S1244" authorId="0" shapeId="0" xr:uid="{63AAAD7B-F6F9-4CF0-B117-56BEB6502CEC}">
      <text>
        <r>
          <rPr>
            <b/>
            <sz val="9"/>
            <color indexed="81"/>
            <rFont val="Tahoma"/>
            <family val="2"/>
          </rPr>
          <t>&lt;[[TCDeals] - [TC Property Current Stage (Seq: 1)] - [Buildings (Seq: 63)] Acq 8609 Basis - Both]&gt;</t>
        </r>
      </text>
    </comment>
    <comment ref="T1244" authorId="0" shapeId="0" xr:uid="{A0597B9C-0887-4269-AF76-D31170B24934}">
      <text>
        <r>
          <rPr>
            <b/>
            <sz val="9"/>
            <color indexed="81"/>
            <rFont val="Tahoma"/>
            <family val="2"/>
          </rPr>
          <t>&lt;[[TCDeals] - [TC Property Current Stage (Seq: 1)] - [Buildings (Seq: 63)] Acq 8609 Credit - Both]&gt;</t>
        </r>
      </text>
    </comment>
    <comment ref="C1245" authorId="0" shapeId="0" xr:uid="{6BE81AEC-B6FE-4045-A881-96656D6B8EA0}">
      <text>
        <r>
          <rPr>
            <b/>
            <sz val="9"/>
            <color indexed="81"/>
            <rFont val="Tahoma"/>
            <family val="2"/>
          </rPr>
          <t>&lt;[[TCDeals] - [TC Property Current Stage (Seq: 1)] - [Buildings (Seq: 64)] BIN - Both]&gt;</t>
        </r>
      </text>
    </comment>
    <comment ref="D1245" authorId="0" shapeId="0" xr:uid="{7843E9CA-98FA-4EEC-AEE2-662774EE24F9}">
      <text>
        <r>
          <rPr>
            <b/>
            <sz val="9"/>
            <color indexed="81"/>
            <rFont val="Tahoma"/>
            <family val="2"/>
          </rPr>
          <t>&lt;[[TCDeals] - [TC Property Current Stage (Seq: 1)] - [Buildings (Seq: 64)] Address 1 - Both]&gt;</t>
        </r>
      </text>
    </comment>
    <comment ref="E1245" authorId="0" shapeId="0" xr:uid="{FC9A7CC6-C6D9-43EF-B208-E4ACB02F7566}">
      <text>
        <r>
          <rPr>
            <b/>
            <sz val="9"/>
            <color indexed="81"/>
            <rFont val="Tahoma"/>
            <family val="2"/>
          </rPr>
          <t>&lt;[[TCDeals] - [TC Property Current Stage (Seq: 1)] - [Buildings (Seq: 64)] Num TC Units - Both]&gt;</t>
        </r>
      </text>
    </comment>
    <comment ref="F1245" authorId="0" shapeId="0" xr:uid="{AA3A7F57-1DD2-4A17-87D3-6439FEE5C058}">
      <text>
        <r>
          <rPr>
            <b/>
            <sz val="9"/>
            <color indexed="81"/>
            <rFont val="Tahoma"/>
            <family val="2"/>
          </rPr>
          <t>&lt;[[TCDeals] - [TC Property Current Stage (Seq: 1)] - [Buildings (Seq: 64)] PVC PIS Date - Both]&gt;</t>
        </r>
      </text>
    </comment>
    <comment ref="G1245" authorId="0" shapeId="0" xr:uid="{325DA279-E20F-4286-A33D-4C2565B0B63F}">
      <text>
        <r>
          <rPr>
            <b/>
            <sz val="9"/>
            <color indexed="81"/>
            <rFont val="Tahoma"/>
            <family val="2"/>
          </rPr>
          <t>&lt;[[TCDeals] - [TC Property Current Stage (Seq: 1)] - [Buildings (Seq: 64)] PVC Applicable Percentage - Both]&gt;</t>
        </r>
      </text>
    </comment>
    <comment ref="H1245" authorId="0" shapeId="0" xr:uid="{E3849F72-8746-4426-BD3C-9A9B798D43BC}">
      <text>
        <r>
          <rPr>
            <b/>
            <sz val="9"/>
            <color indexed="81"/>
            <rFont val="Tahoma"/>
            <family val="2"/>
          </rPr>
          <t>&lt;[[TCDeals] - [TC Property Current Stage (Seq: 1)] - [Buildings (Seq: 64)] PVC Est Qual Basis - Both]&gt;</t>
        </r>
      </text>
    </comment>
    <comment ref="I1245" authorId="0" shapeId="0" xr:uid="{994646CE-C227-46D5-A589-3DB0CB212A06}">
      <text>
        <r>
          <rPr>
            <b/>
            <sz val="9"/>
            <color indexed="81"/>
            <rFont val="Tahoma"/>
            <family val="2"/>
          </rPr>
          <t>&lt;[[TCDeals] - [TC Property Current Stage (Seq: 1)] - [Buildings (Seq: 64)] PVC8609 Basis - Both]&gt;</t>
        </r>
      </text>
    </comment>
    <comment ref="J1245" authorId="0" shapeId="0" xr:uid="{A1BE7430-95EC-4382-BB2A-4A825BA1ABF6}">
      <text>
        <r>
          <rPr>
            <b/>
            <sz val="9"/>
            <color indexed="81"/>
            <rFont val="Tahoma"/>
            <family val="2"/>
          </rPr>
          <t>&lt;[[TCDeals] - [TC Property Current Stage (Seq: 1)] - [Buildings (Seq: 64)] PVC8609 Credit - Both]&gt;</t>
        </r>
      </text>
    </comment>
    <comment ref="K1245" authorId="0" shapeId="0" xr:uid="{F2F5178D-2CC9-481F-B2AE-143433ABE54F}">
      <text>
        <r>
          <rPr>
            <b/>
            <sz val="9"/>
            <color indexed="81"/>
            <rFont val="Tahoma"/>
            <family val="2"/>
          </rPr>
          <t>&lt;[[TCDeals] - [TC Property Current Stage (Seq: 1)] - [Buildings (Seq: 64)] Constr PIS Date - Both]&gt;</t>
        </r>
      </text>
    </comment>
    <comment ref="L1245" authorId="0" shapeId="0" xr:uid="{CA01E899-03A0-43A5-BCD7-4A277CCDF010}">
      <text>
        <r>
          <rPr>
            <b/>
            <sz val="9"/>
            <color indexed="81"/>
            <rFont val="Tahoma"/>
            <family val="2"/>
          </rPr>
          <t>&lt;[[TCDeals] - [TC Property Current Stage (Seq: 1)] - [Buildings (Seq: 64)] Constr Applicable Percentage - Both]&gt;</t>
        </r>
      </text>
    </comment>
    <comment ref="M1245" authorId="0" shapeId="0" xr:uid="{6A9FFFB0-501D-40BE-8E0E-82A447735ECA}">
      <text>
        <r>
          <rPr>
            <b/>
            <sz val="9"/>
            <color indexed="81"/>
            <rFont val="Tahoma"/>
            <family val="2"/>
          </rPr>
          <t>&lt;[[TCDeals] - [TC Property Current Stage (Seq: 1)] - [Buildings (Seq: 64)] Constr Est Qual Basis - Both]&gt;</t>
        </r>
      </text>
    </comment>
    <comment ref="N1245" authorId="0" shapeId="0" xr:uid="{FDA304E3-DD55-47FB-9FAA-71103B8B7557}">
      <text>
        <r>
          <rPr>
            <b/>
            <sz val="9"/>
            <color indexed="81"/>
            <rFont val="Tahoma"/>
            <family val="2"/>
          </rPr>
          <t>&lt;[[TCDeals] - [TC Property Current Stage (Seq: 1)] - [Buildings (Seq: 64)] Constr 8609 Basis - Both]&gt;</t>
        </r>
      </text>
    </comment>
    <comment ref="O1245" authorId="0" shapeId="0" xr:uid="{0203D58A-AD43-465A-ADC2-90CC723FC89C}">
      <text>
        <r>
          <rPr>
            <b/>
            <sz val="9"/>
            <color indexed="81"/>
            <rFont val="Tahoma"/>
            <family val="2"/>
          </rPr>
          <t>&lt;[[TCDeals] - [TC Property Current Stage (Seq: 1)] - [Buildings (Seq: 64)] Constr 8609 Credit - Both]&gt;</t>
        </r>
      </text>
    </comment>
    <comment ref="P1245" authorId="0" shapeId="0" xr:uid="{4D946F0E-94EB-4213-AF52-27EB358B218D}">
      <text>
        <r>
          <rPr>
            <b/>
            <sz val="9"/>
            <color indexed="81"/>
            <rFont val="Tahoma"/>
            <family val="2"/>
          </rPr>
          <t>&lt;[[TCDeals] - [TC Property Current Stage (Seq: 1)] - [Buildings (Seq: 64)] Acq PIS Date - Both]&gt;</t>
        </r>
      </text>
    </comment>
    <comment ref="Q1245" authorId="0" shapeId="0" xr:uid="{7B7A701E-E2F3-4AE0-86F7-2FC56AEF5ECC}">
      <text>
        <r>
          <rPr>
            <b/>
            <sz val="9"/>
            <color indexed="81"/>
            <rFont val="Tahoma"/>
            <family val="2"/>
          </rPr>
          <t>&lt;[[TCDeals] - [TC Property Current Stage (Seq: 1)] - [Buildings (Seq: 64)] Acq Applicable Percentage - Both]&gt;</t>
        </r>
      </text>
    </comment>
    <comment ref="R1245" authorId="0" shapeId="0" xr:uid="{F42BFC36-B89A-4227-8B56-61332E4BC3B5}">
      <text>
        <r>
          <rPr>
            <b/>
            <sz val="9"/>
            <color indexed="81"/>
            <rFont val="Tahoma"/>
            <family val="2"/>
          </rPr>
          <t>&lt;[[TCDeals] - [TC Property Current Stage (Seq: 1)] - [Buildings (Seq: 64)] Acq Est Qual Basis - Both]&gt;</t>
        </r>
      </text>
    </comment>
    <comment ref="S1245" authorId="0" shapeId="0" xr:uid="{5E2491AD-990E-410E-9509-9F42A0862198}">
      <text>
        <r>
          <rPr>
            <b/>
            <sz val="9"/>
            <color indexed="81"/>
            <rFont val="Tahoma"/>
            <family val="2"/>
          </rPr>
          <t>&lt;[[TCDeals] - [TC Property Current Stage (Seq: 1)] - [Buildings (Seq: 64)] Acq 8609 Basis - Both]&gt;</t>
        </r>
      </text>
    </comment>
    <comment ref="T1245" authorId="0" shapeId="0" xr:uid="{866CA530-62DB-4FAF-B8F0-9A1BBFC40434}">
      <text>
        <r>
          <rPr>
            <b/>
            <sz val="9"/>
            <color indexed="81"/>
            <rFont val="Tahoma"/>
            <family val="2"/>
          </rPr>
          <t>&lt;[[TCDeals] - [TC Property Current Stage (Seq: 1)] - [Buildings (Seq: 64)] Acq 8609 Credit - Both]&gt;</t>
        </r>
      </text>
    </comment>
    <comment ref="C1246" authorId="0" shapeId="0" xr:uid="{7675B47E-2013-49F7-AEE8-BF5E297502EA}">
      <text>
        <r>
          <rPr>
            <b/>
            <sz val="9"/>
            <color indexed="81"/>
            <rFont val="Tahoma"/>
            <family val="2"/>
          </rPr>
          <t>&lt;[[TCDeals] - [TC Property Current Stage (Seq: 1)] - [Buildings (Seq: 65)] BIN - Both]&gt;</t>
        </r>
      </text>
    </comment>
    <comment ref="D1246" authorId="0" shapeId="0" xr:uid="{6F0B5466-1D8B-41F0-BA40-4B5D9221D62A}">
      <text>
        <r>
          <rPr>
            <b/>
            <sz val="9"/>
            <color indexed="81"/>
            <rFont val="Tahoma"/>
            <family val="2"/>
          </rPr>
          <t>&lt;[[TCDeals] - [TC Property Current Stage (Seq: 1)] - [Buildings (Seq: 65)] Address 1 - Both]&gt;</t>
        </r>
      </text>
    </comment>
    <comment ref="E1246" authorId="0" shapeId="0" xr:uid="{1A1F24A0-DCB0-4074-90C3-4C3870F4C85E}">
      <text>
        <r>
          <rPr>
            <b/>
            <sz val="9"/>
            <color indexed="81"/>
            <rFont val="Tahoma"/>
            <family val="2"/>
          </rPr>
          <t>&lt;[[TCDeals] - [TC Property Current Stage (Seq: 1)] - [Buildings (Seq: 65)] Num TC Units - Both]&gt;</t>
        </r>
      </text>
    </comment>
    <comment ref="F1246" authorId="0" shapeId="0" xr:uid="{0BB85FF3-3C3A-4906-9692-B6A649EB422B}">
      <text>
        <r>
          <rPr>
            <b/>
            <sz val="9"/>
            <color indexed="81"/>
            <rFont val="Tahoma"/>
            <family val="2"/>
          </rPr>
          <t>&lt;[[TCDeals] - [TC Property Current Stage (Seq: 1)] - [Buildings (Seq: 65)] PVC PIS Date - Both]&gt;</t>
        </r>
      </text>
    </comment>
    <comment ref="G1246" authorId="0" shapeId="0" xr:uid="{3DA125F9-F41A-49E6-947E-EB537596CD6C}">
      <text>
        <r>
          <rPr>
            <b/>
            <sz val="9"/>
            <color indexed="81"/>
            <rFont val="Tahoma"/>
            <family val="2"/>
          </rPr>
          <t>&lt;[[TCDeals] - [TC Property Current Stage (Seq: 1)] - [Buildings (Seq: 65)] PVC Applicable Percentage - Both]&gt;</t>
        </r>
      </text>
    </comment>
    <comment ref="H1246" authorId="0" shapeId="0" xr:uid="{D574F5EF-B089-4F88-AB83-B3B7ECE2C644}">
      <text>
        <r>
          <rPr>
            <b/>
            <sz val="9"/>
            <color indexed="81"/>
            <rFont val="Tahoma"/>
            <family val="2"/>
          </rPr>
          <t>&lt;[[TCDeals] - [TC Property Current Stage (Seq: 1)] - [Buildings (Seq: 65)] PVC Est Qual Basis - Both]&gt;</t>
        </r>
      </text>
    </comment>
    <comment ref="I1246" authorId="0" shapeId="0" xr:uid="{4645278E-5128-45A4-8B18-C7EA9EEA15F5}">
      <text>
        <r>
          <rPr>
            <b/>
            <sz val="9"/>
            <color indexed="81"/>
            <rFont val="Tahoma"/>
            <family val="2"/>
          </rPr>
          <t>&lt;[[TCDeals] - [TC Property Current Stage (Seq: 1)] - [Buildings (Seq: 65)] PVC8609 Basis - Both]&gt;</t>
        </r>
      </text>
    </comment>
    <comment ref="J1246" authorId="0" shapeId="0" xr:uid="{EFD1B963-E939-431E-AB21-04E37B12699A}">
      <text>
        <r>
          <rPr>
            <b/>
            <sz val="9"/>
            <color indexed="81"/>
            <rFont val="Tahoma"/>
            <family val="2"/>
          </rPr>
          <t>&lt;[[TCDeals] - [TC Property Current Stage (Seq: 1)] - [Buildings (Seq: 65)] PVC8609 Credit - Both]&gt;</t>
        </r>
      </text>
    </comment>
    <comment ref="K1246" authorId="0" shapeId="0" xr:uid="{3E558637-9926-4EB7-919D-6D785798F9E8}">
      <text>
        <r>
          <rPr>
            <b/>
            <sz val="9"/>
            <color indexed="81"/>
            <rFont val="Tahoma"/>
            <family val="2"/>
          </rPr>
          <t>&lt;[[TCDeals] - [TC Property Current Stage (Seq: 1)] - [Buildings (Seq: 65)] Constr PIS Date - Both]&gt;</t>
        </r>
      </text>
    </comment>
    <comment ref="L1246" authorId="0" shapeId="0" xr:uid="{452379E6-4C5E-4E67-B4CF-BE5EA95A8A05}">
      <text>
        <r>
          <rPr>
            <b/>
            <sz val="9"/>
            <color indexed="81"/>
            <rFont val="Tahoma"/>
            <family val="2"/>
          </rPr>
          <t>&lt;[[TCDeals] - [TC Property Current Stage (Seq: 1)] - [Buildings (Seq: 65)] Constr Applicable Percentage - Both]&gt;</t>
        </r>
      </text>
    </comment>
    <comment ref="M1246" authorId="0" shapeId="0" xr:uid="{BEE0A392-D57C-463C-99D1-54B83ED3371F}">
      <text>
        <r>
          <rPr>
            <b/>
            <sz val="9"/>
            <color indexed="81"/>
            <rFont val="Tahoma"/>
            <family val="2"/>
          </rPr>
          <t>&lt;[[TCDeals] - [TC Property Current Stage (Seq: 1)] - [Buildings (Seq: 65)] Constr Est Qual Basis - Both]&gt;</t>
        </r>
      </text>
    </comment>
    <comment ref="N1246" authorId="0" shapeId="0" xr:uid="{51B80BE2-0B78-4777-BC1F-B46DAE6188D0}">
      <text>
        <r>
          <rPr>
            <b/>
            <sz val="9"/>
            <color indexed="81"/>
            <rFont val="Tahoma"/>
            <family val="2"/>
          </rPr>
          <t>&lt;[[TCDeals] - [TC Property Current Stage (Seq: 1)] - [Buildings (Seq: 65)] Constr 8609 Basis - Both]&gt;</t>
        </r>
      </text>
    </comment>
    <comment ref="O1246" authorId="0" shapeId="0" xr:uid="{8AB8D857-9090-4404-A8B1-D768B71D3875}">
      <text>
        <r>
          <rPr>
            <b/>
            <sz val="9"/>
            <color indexed="81"/>
            <rFont val="Tahoma"/>
            <family val="2"/>
          </rPr>
          <t>&lt;[[TCDeals] - [TC Property Current Stage (Seq: 1)] - [Buildings (Seq: 65)] Constr 8609 Credit - Both]&gt;</t>
        </r>
      </text>
    </comment>
    <comment ref="P1246" authorId="0" shapeId="0" xr:uid="{CF44AD1C-FEB9-46D2-A345-71CA93174F03}">
      <text>
        <r>
          <rPr>
            <b/>
            <sz val="9"/>
            <color indexed="81"/>
            <rFont val="Tahoma"/>
            <family val="2"/>
          </rPr>
          <t>&lt;[[TCDeals] - [TC Property Current Stage (Seq: 1)] - [Buildings (Seq: 65)] Acq PIS Date - Both]&gt;</t>
        </r>
      </text>
    </comment>
    <comment ref="Q1246" authorId="0" shapeId="0" xr:uid="{5B94EF95-3AD2-4316-A65F-74714F673895}">
      <text>
        <r>
          <rPr>
            <b/>
            <sz val="9"/>
            <color indexed="81"/>
            <rFont val="Tahoma"/>
            <family val="2"/>
          </rPr>
          <t>&lt;[[TCDeals] - [TC Property Current Stage (Seq: 1)] - [Buildings (Seq: 65)] Acq Applicable Percentage - Both]&gt;</t>
        </r>
      </text>
    </comment>
    <comment ref="R1246" authorId="0" shapeId="0" xr:uid="{4E47F4F0-2F3A-439F-ADF8-54552978E981}">
      <text>
        <r>
          <rPr>
            <b/>
            <sz val="9"/>
            <color indexed="81"/>
            <rFont val="Tahoma"/>
            <family val="2"/>
          </rPr>
          <t>&lt;[[TCDeals] - [TC Property Current Stage (Seq: 1)] - [Buildings (Seq: 65)] Acq Est Qual Basis - Both]&gt;</t>
        </r>
      </text>
    </comment>
    <comment ref="S1246" authorId="0" shapeId="0" xr:uid="{FB26F415-9F81-4BA4-85EC-59F5BD018AEB}">
      <text>
        <r>
          <rPr>
            <b/>
            <sz val="9"/>
            <color indexed="81"/>
            <rFont val="Tahoma"/>
            <family val="2"/>
          </rPr>
          <t>&lt;[[TCDeals] - [TC Property Current Stage (Seq: 1)] - [Buildings (Seq: 65)] Acq 8609 Basis - Both]&gt;</t>
        </r>
      </text>
    </comment>
    <comment ref="T1246" authorId="0" shapeId="0" xr:uid="{E784413E-3B82-408B-86F6-69453A1E3C72}">
      <text>
        <r>
          <rPr>
            <b/>
            <sz val="9"/>
            <color indexed="81"/>
            <rFont val="Tahoma"/>
            <family val="2"/>
          </rPr>
          <t>&lt;[[TCDeals] - [TC Property Current Stage (Seq: 1)] - [Buildings (Seq: 65)] Acq 8609 Credit - Both]&gt;</t>
        </r>
      </text>
    </comment>
    <comment ref="C1247" authorId="0" shapeId="0" xr:uid="{1E2C918E-0972-432A-887A-9E2ACB702F78}">
      <text>
        <r>
          <rPr>
            <b/>
            <sz val="9"/>
            <color indexed="81"/>
            <rFont val="Tahoma"/>
            <family val="2"/>
          </rPr>
          <t>&lt;[[TCDeals] - [TC Property Current Stage (Seq: 1)] - [Buildings (Seq: 66)] BIN - Both]&gt;</t>
        </r>
      </text>
    </comment>
    <comment ref="D1247" authorId="0" shapeId="0" xr:uid="{2B72CD1E-BECF-4915-9F31-601D97088294}">
      <text>
        <r>
          <rPr>
            <b/>
            <sz val="9"/>
            <color indexed="81"/>
            <rFont val="Tahoma"/>
            <family val="2"/>
          </rPr>
          <t>&lt;[[TCDeals] - [TC Property Current Stage (Seq: 1)] - [Buildings (Seq: 66)] Address 1 - Both]&gt;</t>
        </r>
      </text>
    </comment>
    <comment ref="E1247" authorId="0" shapeId="0" xr:uid="{CB95FC08-CB5C-419F-BFDF-17D5C34D4307}">
      <text>
        <r>
          <rPr>
            <b/>
            <sz val="9"/>
            <color indexed="81"/>
            <rFont val="Tahoma"/>
            <family val="2"/>
          </rPr>
          <t>&lt;[[TCDeals] - [TC Property Current Stage (Seq: 1)] - [Buildings (Seq: 66)] Num TC Units - Both]&gt;</t>
        </r>
      </text>
    </comment>
    <comment ref="F1247" authorId="0" shapeId="0" xr:uid="{FC0F61EB-1834-4E24-81D4-C1D714096DFA}">
      <text>
        <r>
          <rPr>
            <b/>
            <sz val="9"/>
            <color indexed="81"/>
            <rFont val="Tahoma"/>
            <family val="2"/>
          </rPr>
          <t>&lt;[[TCDeals] - [TC Property Current Stage (Seq: 1)] - [Buildings (Seq: 66)] PVC PIS Date - Both]&gt;</t>
        </r>
      </text>
    </comment>
    <comment ref="G1247" authorId="0" shapeId="0" xr:uid="{152B5E6E-20B3-4EE0-A7BC-24E360D46A5D}">
      <text>
        <r>
          <rPr>
            <b/>
            <sz val="9"/>
            <color indexed="81"/>
            <rFont val="Tahoma"/>
            <family val="2"/>
          </rPr>
          <t>&lt;[[TCDeals] - [TC Property Current Stage (Seq: 1)] - [Buildings (Seq: 66)] PVC Applicable Percentage - Both]&gt;</t>
        </r>
      </text>
    </comment>
    <comment ref="H1247" authorId="0" shapeId="0" xr:uid="{90F360F8-E6B9-4B09-9E14-3556F66FB362}">
      <text>
        <r>
          <rPr>
            <b/>
            <sz val="9"/>
            <color indexed="81"/>
            <rFont val="Tahoma"/>
            <family val="2"/>
          </rPr>
          <t>&lt;[[TCDeals] - [TC Property Current Stage (Seq: 1)] - [Buildings (Seq: 66)] PVC Est Qual Basis - Both]&gt;</t>
        </r>
      </text>
    </comment>
    <comment ref="I1247" authorId="0" shapeId="0" xr:uid="{F2443602-FF8F-47FE-BB62-D0AA8AE49758}">
      <text>
        <r>
          <rPr>
            <b/>
            <sz val="9"/>
            <color indexed="81"/>
            <rFont val="Tahoma"/>
            <family val="2"/>
          </rPr>
          <t>&lt;[[TCDeals] - [TC Property Current Stage (Seq: 1)] - [Buildings (Seq: 66)] PVC8609 Basis - Both]&gt;</t>
        </r>
      </text>
    </comment>
    <comment ref="J1247" authorId="0" shapeId="0" xr:uid="{B9178B4B-2C1B-415C-9739-033571A7A84B}">
      <text>
        <r>
          <rPr>
            <b/>
            <sz val="9"/>
            <color indexed="81"/>
            <rFont val="Tahoma"/>
            <family val="2"/>
          </rPr>
          <t>&lt;[[TCDeals] - [TC Property Current Stage (Seq: 1)] - [Buildings (Seq: 66)] PVC8609 Credit - Both]&gt;</t>
        </r>
      </text>
    </comment>
    <comment ref="K1247" authorId="0" shapeId="0" xr:uid="{C1244F5C-F9BA-450B-BB5A-56B0FA3E89C8}">
      <text>
        <r>
          <rPr>
            <b/>
            <sz val="9"/>
            <color indexed="81"/>
            <rFont val="Tahoma"/>
            <family val="2"/>
          </rPr>
          <t>&lt;[[TCDeals] - [TC Property Current Stage (Seq: 1)] - [Buildings (Seq: 66)] Constr PIS Date - Both]&gt;</t>
        </r>
      </text>
    </comment>
    <comment ref="L1247" authorId="0" shapeId="0" xr:uid="{2A5C9E9B-72DC-4072-8980-186C12EC84DB}">
      <text>
        <r>
          <rPr>
            <b/>
            <sz val="9"/>
            <color indexed="81"/>
            <rFont val="Tahoma"/>
            <family val="2"/>
          </rPr>
          <t>&lt;[[TCDeals] - [TC Property Current Stage (Seq: 1)] - [Buildings (Seq: 66)] Constr Applicable Percentage - Both]&gt;</t>
        </r>
      </text>
    </comment>
    <comment ref="M1247" authorId="0" shapeId="0" xr:uid="{9A6200AA-EDA3-4C92-9400-B15BD595596B}">
      <text>
        <r>
          <rPr>
            <b/>
            <sz val="9"/>
            <color indexed="81"/>
            <rFont val="Tahoma"/>
            <family val="2"/>
          </rPr>
          <t>&lt;[[TCDeals] - [TC Property Current Stage (Seq: 1)] - [Buildings (Seq: 66)] Constr Est Qual Basis - Both]&gt;</t>
        </r>
      </text>
    </comment>
    <comment ref="N1247" authorId="0" shapeId="0" xr:uid="{6AF291C5-6B48-4D7A-BF89-9D5FD4642251}">
      <text>
        <r>
          <rPr>
            <b/>
            <sz val="9"/>
            <color indexed="81"/>
            <rFont val="Tahoma"/>
            <family val="2"/>
          </rPr>
          <t>&lt;[[TCDeals] - [TC Property Current Stage (Seq: 1)] - [Buildings (Seq: 66)] Constr 8609 Basis - Both]&gt;</t>
        </r>
      </text>
    </comment>
    <comment ref="O1247" authorId="0" shapeId="0" xr:uid="{78C879A7-65D7-4817-BA02-93040AE7CEEC}">
      <text>
        <r>
          <rPr>
            <b/>
            <sz val="9"/>
            <color indexed="81"/>
            <rFont val="Tahoma"/>
            <family val="2"/>
          </rPr>
          <t>&lt;[[TCDeals] - [TC Property Current Stage (Seq: 1)] - [Buildings (Seq: 66)] Constr 8609 Credit - Both]&gt;</t>
        </r>
      </text>
    </comment>
    <comment ref="P1247" authorId="0" shapeId="0" xr:uid="{5F0C7056-6CEB-4511-9CFD-17BC24750129}">
      <text>
        <r>
          <rPr>
            <b/>
            <sz val="9"/>
            <color indexed="81"/>
            <rFont val="Tahoma"/>
            <family val="2"/>
          </rPr>
          <t>&lt;[[TCDeals] - [TC Property Current Stage (Seq: 1)] - [Buildings (Seq: 66)] Acq PIS Date - Both]&gt;</t>
        </r>
      </text>
    </comment>
    <comment ref="Q1247" authorId="0" shapeId="0" xr:uid="{20797B74-12FD-4FD8-BF40-E500D70079F3}">
      <text>
        <r>
          <rPr>
            <b/>
            <sz val="9"/>
            <color indexed="81"/>
            <rFont val="Tahoma"/>
            <family val="2"/>
          </rPr>
          <t>&lt;[[TCDeals] - [TC Property Current Stage (Seq: 1)] - [Buildings (Seq: 66)] Acq Applicable Percentage - Both]&gt;</t>
        </r>
      </text>
    </comment>
    <comment ref="R1247" authorId="0" shapeId="0" xr:uid="{B6657C97-DD1A-45DF-A3B8-4A5DA72C0C5B}">
      <text>
        <r>
          <rPr>
            <b/>
            <sz val="9"/>
            <color indexed="81"/>
            <rFont val="Tahoma"/>
            <family val="2"/>
          </rPr>
          <t>&lt;[[TCDeals] - [TC Property Current Stage (Seq: 1)] - [Buildings (Seq: 66)] Acq Est Qual Basis - Both]&gt;</t>
        </r>
      </text>
    </comment>
    <comment ref="S1247" authorId="0" shapeId="0" xr:uid="{68CBE255-8018-42FA-A0A0-CB97A9813B55}">
      <text>
        <r>
          <rPr>
            <b/>
            <sz val="9"/>
            <color indexed="81"/>
            <rFont val="Tahoma"/>
            <family val="2"/>
          </rPr>
          <t>&lt;[[TCDeals] - [TC Property Current Stage (Seq: 1)] - [Buildings (Seq: 66)] Acq 8609 Basis - Both]&gt;</t>
        </r>
      </text>
    </comment>
    <comment ref="T1247" authorId="0" shapeId="0" xr:uid="{F2411C1C-C9AE-4263-A339-ED554688FBDA}">
      <text>
        <r>
          <rPr>
            <b/>
            <sz val="9"/>
            <color indexed="81"/>
            <rFont val="Tahoma"/>
            <family val="2"/>
          </rPr>
          <t>&lt;[[TCDeals] - [TC Property Current Stage (Seq: 1)] - [Buildings (Seq: 66)] Acq 8609 Credit - Both]&gt;</t>
        </r>
      </text>
    </comment>
    <comment ref="C1248" authorId="0" shapeId="0" xr:uid="{A19D86F1-9947-4BFD-B2FB-A5A876CD0E31}">
      <text>
        <r>
          <rPr>
            <b/>
            <sz val="9"/>
            <color indexed="81"/>
            <rFont val="Tahoma"/>
            <family val="2"/>
          </rPr>
          <t>&lt;[[TCDeals] - [TC Property Current Stage (Seq: 1)] - [Buildings (Seq: 67)] BIN - Both]&gt;</t>
        </r>
      </text>
    </comment>
    <comment ref="D1248" authorId="0" shapeId="0" xr:uid="{A3A5E06D-DD2B-4133-867C-07BEBD02BBFA}">
      <text>
        <r>
          <rPr>
            <b/>
            <sz val="9"/>
            <color indexed="81"/>
            <rFont val="Tahoma"/>
            <family val="2"/>
          </rPr>
          <t>&lt;[[TCDeals] - [TC Property Current Stage (Seq: 1)] - [Buildings (Seq: 67)] Address 1 - Both]&gt;</t>
        </r>
      </text>
    </comment>
    <comment ref="E1248" authorId="0" shapeId="0" xr:uid="{5A0F2188-4418-4545-8285-954A667EF2DC}">
      <text>
        <r>
          <rPr>
            <b/>
            <sz val="9"/>
            <color indexed="81"/>
            <rFont val="Tahoma"/>
            <family val="2"/>
          </rPr>
          <t>&lt;[[TCDeals] - [TC Property Current Stage (Seq: 1)] - [Buildings (Seq: 67)] Num TC Units - Both]&gt;</t>
        </r>
      </text>
    </comment>
    <comment ref="F1248" authorId="0" shapeId="0" xr:uid="{D1422307-582B-4338-B283-3A22630D2277}">
      <text>
        <r>
          <rPr>
            <b/>
            <sz val="9"/>
            <color indexed="81"/>
            <rFont val="Tahoma"/>
            <family val="2"/>
          </rPr>
          <t>&lt;[[TCDeals] - [TC Property Current Stage (Seq: 1)] - [Buildings (Seq: 67)] PVC PIS Date - Both]&gt;</t>
        </r>
      </text>
    </comment>
    <comment ref="G1248" authorId="0" shapeId="0" xr:uid="{E970119B-BCA1-4399-A0DD-BDCD3BD85A91}">
      <text>
        <r>
          <rPr>
            <b/>
            <sz val="9"/>
            <color indexed="81"/>
            <rFont val="Tahoma"/>
            <family val="2"/>
          </rPr>
          <t>&lt;[[TCDeals] - [TC Property Current Stage (Seq: 1)] - [Buildings (Seq: 67)] PVC Applicable Percentage - Both]&gt;</t>
        </r>
      </text>
    </comment>
    <comment ref="H1248" authorId="0" shapeId="0" xr:uid="{45390287-8D22-400C-BE27-77589B7D7471}">
      <text>
        <r>
          <rPr>
            <b/>
            <sz val="9"/>
            <color indexed="81"/>
            <rFont val="Tahoma"/>
            <family val="2"/>
          </rPr>
          <t>&lt;[[TCDeals] - [TC Property Current Stage (Seq: 1)] - [Buildings (Seq: 67)] PVC Est Qual Basis - Both]&gt;</t>
        </r>
      </text>
    </comment>
    <comment ref="I1248" authorId="0" shapeId="0" xr:uid="{D4C5DE0D-166B-463D-8BC2-724F0934D994}">
      <text>
        <r>
          <rPr>
            <b/>
            <sz val="9"/>
            <color indexed="81"/>
            <rFont val="Tahoma"/>
            <family val="2"/>
          </rPr>
          <t>&lt;[[TCDeals] - [TC Property Current Stage (Seq: 1)] - [Buildings (Seq: 67)] PVC8609 Basis - Both]&gt;</t>
        </r>
      </text>
    </comment>
    <comment ref="J1248" authorId="0" shapeId="0" xr:uid="{397CE042-6709-44D5-9F46-8FEC582C1B94}">
      <text>
        <r>
          <rPr>
            <b/>
            <sz val="9"/>
            <color indexed="81"/>
            <rFont val="Tahoma"/>
            <family val="2"/>
          </rPr>
          <t>&lt;[[TCDeals] - [TC Property Current Stage (Seq: 1)] - [Buildings (Seq: 67)] PVC8609 Credit - Both]&gt;</t>
        </r>
      </text>
    </comment>
    <comment ref="K1248" authorId="0" shapeId="0" xr:uid="{EFFB5F49-AE05-4977-963D-4D9F39DED1F4}">
      <text>
        <r>
          <rPr>
            <b/>
            <sz val="9"/>
            <color indexed="81"/>
            <rFont val="Tahoma"/>
            <family val="2"/>
          </rPr>
          <t>&lt;[[TCDeals] - [TC Property Current Stage (Seq: 1)] - [Buildings (Seq: 67)] Constr PIS Date - Both]&gt;</t>
        </r>
      </text>
    </comment>
    <comment ref="L1248" authorId="0" shapeId="0" xr:uid="{F27D0F6C-0E97-4058-9172-E3C9D9C8C329}">
      <text>
        <r>
          <rPr>
            <b/>
            <sz val="9"/>
            <color indexed="81"/>
            <rFont val="Tahoma"/>
            <family val="2"/>
          </rPr>
          <t>&lt;[[TCDeals] - [TC Property Current Stage (Seq: 1)] - [Buildings (Seq: 67)] Constr Applicable Percentage - Both]&gt;</t>
        </r>
      </text>
    </comment>
    <comment ref="M1248" authorId="0" shapeId="0" xr:uid="{ED40EEC0-F5B9-457D-9391-2547B81E80A9}">
      <text>
        <r>
          <rPr>
            <b/>
            <sz val="9"/>
            <color indexed="81"/>
            <rFont val="Tahoma"/>
            <family val="2"/>
          </rPr>
          <t>&lt;[[TCDeals] - [TC Property Current Stage (Seq: 1)] - [Buildings (Seq: 67)] Constr Est Qual Basis - Both]&gt;</t>
        </r>
      </text>
    </comment>
    <comment ref="N1248" authorId="0" shapeId="0" xr:uid="{FF884903-97FC-4B05-9C23-CAFF4E14FF6B}">
      <text>
        <r>
          <rPr>
            <b/>
            <sz val="9"/>
            <color indexed="81"/>
            <rFont val="Tahoma"/>
            <family val="2"/>
          </rPr>
          <t>&lt;[[TCDeals] - [TC Property Current Stage (Seq: 1)] - [Buildings (Seq: 67)] Constr 8609 Basis - Both]&gt;</t>
        </r>
      </text>
    </comment>
    <comment ref="O1248" authorId="0" shapeId="0" xr:uid="{9A3845A9-42F2-451C-9674-415116927C5B}">
      <text>
        <r>
          <rPr>
            <b/>
            <sz val="9"/>
            <color indexed="81"/>
            <rFont val="Tahoma"/>
            <family val="2"/>
          </rPr>
          <t>&lt;[[TCDeals] - [TC Property Current Stage (Seq: 1)] - [Buildings (Seq: 67)] Constr 8609 Credit - Both]&gt;</t>
        </r>
      </text>
    </comment>
    <comment ref="P1248" authorId="0" shapeId="0" xr:uid="{178EE099-57F9-4FDA-AD29-1147EC190E8F}">
      <text>
        <r>
          <rPr>
            <b/>
            <sz val="9"/>
            <color indexed="81"/>
            <rFont val="Tahoma"/>
            <family val="2"/>
          </rPr>
          <t>&lt;[[TCDeals] - [TC Property Current Stage (Seq: 1)] - [Buildings (Seq: 67)] Acq PIS Date - Both]&gt;</t>
        </r>
      </text>
    </comment>
    <comment ref="Q1248" authorId="0" shapeId="0" xr:uid="{A284B4FC-F105-49D7-9179-FB9FF199700C}">
      <text>
        <r>
          <rPr>
            <b/>
            <sz val="9"/>
            <color indexed="81"/>
            <rFont val="Tahoma"/>
            <family val="2"/>
          </rPr>
          <t>&lt;[[TCDeals] - [TC Property Current Stage (Seq: 1)] - [Buildings (Seq: 67)] Acq Applicable Percentage - Both]&gt;</t>
        </r>
      </text>
    </comment>
    <comment ref="R1248" authorId="0" shapeId="0" xr:uid="{D52EF203-8225-436F-BAAB-A0279B4B31B6}">
      <text>
        <r>
          <rPr>
            <b/>
            <sz val="9"/>
            <color indexed="81"/>
            <rFont val="Tahoma"/>
            <family val="2"/>
          </rPr>
          <t>&lt;[[TCDeals] - [TC Property Current Stage (Seq: 1)] - [Buildings (Seq: 67)] Acq Est Qual Basis - Both]&gt;</t>
        </r>
      </text>
    </comment>
    <comment ref="S1248" authorId="0" shapeId="0" xr:uid="{BA669EAF-EE6A-457F-A6DC-14758309B1B8}">
      <text>
        <r>
          <rPr>
            <b/>
            <sz val="9"/>
            <color indexed="81"/>
            <rFont val="Tahoma"/>
            <family val="2"/>
          </rPr>
          <t>&lt;[[TCDeals] - [TC Property Current Stage (Seq: 1)] - [Buildings (Seq: 67)] Acq 8609 Basis - Both]&gt;</t>
        </r>
      </text>
    </comment>
    <comment ref="T1248" authorId="0" shapeId="0" xr:uid="{99B9A6F7-E90E-4EA9-8B7D-AEFBDFED01B0}">
      <text>
        <r>
          <rPr>
            <b/>
            <sz val="9"/>
            <color indexed="81"/>
            <rFont val="Tahoma"/>
            <family val="2"/>
          </rPr>
          <t>&lt;[[TCDeals] - [TC Property Current Stage (Seq: 1)] - [Buildings (Seq: 67)] Acq 8609 Credit - Both]&gt;</t>
        </r>
      </text>
    </comment>
    <comment ref="C1249" authorId="0" shapeId="0" xr:uid="{CB8F17B2-6510-467E-A63E-78375BE4004D}">
      <text>
        <r>
          <rPr>
            <b/>
            <sz val="9"/>
            <color indexed="81"/>
            <rFont val="Tahoma"/>
            <family val="2"/>
          </rPr>
          <t>&lt;[[TCDeals] - [TC Property Current Stage (Seq: 1)] - [Buildings (Seq: 68)] BIN - Both]&gt;</t>
        </r>
      </text>
    </comment>
    <comment ref="D1249" authorId="0" shapeId="0" xr:uid="{0AC41F90-42BD-497A-AD2B-C74AB029F2B5}">
      <text>
        <r>
          <rPr>
            <b/>
            <sz val="9"/>
            <color indexed="81"/>
            <rFont val="Tahoma"/>
            <family val="2"/>
          </rPr>
          <t>&lt;[[TCDeals] - [TC Property Current Stage (Seq: 1)] - [Buildings (Seq: 68)] Address 1 - Both]&gt;</t>
        </r>
      </text>
    </comment>
    <comment ref="E1249" authorId="0" shapeId="0" xr:uid="{6139E3BC-414B-4254-B97E-0580B28DED17}">
      <text>
        <r>
          <rPr>
            <b/>
            <sz val="9"/>
            <color indexed="81"/>
            <rFont val="Tahoma"/>
            <family val="2"/>
          </rPr>
          <t>&lt;[[TCDeals] - [TC Property Current Stage (Seq: 1)] - [Buildings (Seq: 68)] Num TC Units - Both]&gt;</t>
        </r>
      </text>
    </comment>
    <comment ref="F1249" authorId="0" shapeId="0" xr:uid="{9E75FA56-ADBB-4250-AD1B-C1D8A787AEBF}">
      <text>
        <r>
          <rPr>
            <b/>
            <sz val="9"/>
            <color indexed="81"/>
            <rFont val="Tahoma"/>
            <family val="2"/>
          </rPr>
          <t>&lt;[[TCDeals] - [TC Property Current Stage (Seq: 1)] - [Buildings (Seq: 68)] PVC PIS Date - Both]&gt;</t>
        </r>
      </text>
    </comment>
    <comment ref="G1249" authorId="0" shapeId="0" xr:uid="{A169E2F6-2B18-4CA9-BA00-856B228F838C}">
      <text>
        <r>
          <rPr>
            <b/>
            <sz val="9"/>
            <color indexed="81"/>
            <rFont val="Tahoma"/>
            <family val="2"/>
          </rPr>
          <t>&lt;[[TCDeals] - [TC Property Current Stage (Seq: 1)] - [Buildings (Seq: 68)] PVC Applicable Percentage - Both]&gt;</t>
        </r>
      </text>
    </comment>
    <comment ref="H1249" authorId="0" shapeId="0" xr:uid="{5DE61EA3-860A-4C6F-BFEA-5FAC33BDAC8F}">
      <text>
        <r>
          <rPr>
            <b/>
            <sz val="9"/>
            <color indexed="81"/>
            <rFont val="Tahoma"/>
            <family val="2"/>
          </rPr>
          <t>&lt;[[TCDeals] - [TC Property Current Stage (Seq: 1)] - [Buildings (Seq: 68)] PVC Est Qual Basis - Both]&gt;</t>
        </r>
      </text>
    </comment>
    <comment ref="I1249" authorId="0" shapeId="0" xr:uid="{50CF4D74-F3D1-487C-9E13-A9271824BDF0}">
      <text>
        <r>
          <rPr>
            <b/>
            <sz val="9"/>
            <color indexed="81"/>
            <rFont val="Tahoma"/>
            <family val="2"/>
          </rPr>
          <t>&lt;[[TCDeals] - [TC Property Current Stage (Seq: 1)] - [Buildings (Seq: 68)] PVC8609 Basis - Both]&gt;</t>
        </r>
      </text>
    </comment>
    <comment ref="J1249" authorId="0" shapeId="0" xr:uid="{5A88B82F-8346-42AE-A270-BB24C75C0AFE}">
      <text>
        <r>
          <rPr>
            <b/>
            <sz val="9"/>
            <color indexed="81"/>
            <rFont val="Tahoma"/>
            <family val="2"/>
          </rPr>
          <t>&lt;[[TCDeals] - [TC Property Current Stage (Seq: 1)] - [Buildings (Seq: 68)] PVC8609 Credit - Both]&gt;</t>
        </r>
      </text>
    </comment>
    <comment ref="K1249" authorId="0" shapeId="0" xr:uid="{4BBCC7EE-EC74-45F8-90FC-A4E877756312}">
      <text>
        <r>
          <rPr>
            <b/>
            <sz val="9"/>
            <color indexed="81"/>
            <rFont val="Tahoma"/>
            <family val="2"/>
          </rPr>
          <t>&lt;[[TCDeals] - [TC Property Current Stage (Seq: 1)] - [Buildings (Seq: 68)] Constr PIS Date - Both]&gt;</t>
        </r>
      </text>
    </comment>
    <comment ref="L1249" authorId="0" shapeId="0" xr:uid="{0B73C9AA-C9D3-4129-B749-7C66B211944E}">
      <text>
        <r>
          <rPr>
            <b/>
            <sz val="9"/>
            <color indexed="81"/>
            <rFont val="Tahoma"/>
            <family val="2"/>
          </rPr>
          <t>&lt;[[TCDeals] - [TC Property Current Stage (Seq: 1)] - [Buildings (Seq: 68)] Constr Applicable Percentage - Both]&gt;</t>
        </r>
      </text>
    </comment>
    <comment ref="M1249" authorId="0" shapeId="0" xr:uid="{6438610C-C836-43BF-8063-654B0F0FD044}">
      <text>
        <r>
          <rPr>
            <b/>
            <sz val="9"/>
            <color indexed="81"/>
            <rFont val="Tahoma"/>
            <family val="2"/>
          </rPr>
          <t>&lt;[[TCDeals] - [TC Property Current Stage (Seq: 1)] - [Buildings (Seq: 68)] Constr Est Qual Basis - Both]&gt;</t>
        </r>
      </text>
    </comment>
    <comment ref="N1249" authorId="0" shapeId="0" xr:uid="{26F69F63-A24A-4017-AF93-E4C31978204D}">
      <text>
        <r>
          <rPr>
            <b/>
            <sz val="9"/>
            <color indexed="81"/>
            <rFont val="Tahoma"/>
            <family val="2"/>
          </rPr>
          <t>&lt;[[TCDeals] - [TC Property Current Stage (Seq: 1)] - [Buildings (Seq: 68)] Constr 8609 Basis - Both]&gt;</t>
        </r>
      </text>
    </comment>
    <comment ref="O1249" authorId="0" shapeId="0" xr:uid="{B37E1589-114A-4E16-B74E-C2B9EE812907}">
      <text>
        <r>
          <rPr>
            <b/>
            <sz val="9"/>
            <color indexed="81"/>
            <rFont val="Tahoma"/>
            <family val="2"/>
          </rPr>
          <t>&lt;[[TCDeals] - [TC Property Current Stage (Seq: 1)] - [Buildings (Seq: 68)] Constr 8609 Credit - Both]&gt;</t>
        </r>
      </text>
    </comment>
    <comment ref="P1249" authorId="0" shapeId="0" xr:uid="{68F7B9DF-19B5-484E-975E-28CB64AD4291}">
      <text>
        <r>
          <rPr>
            <b/>
            <sz val="9"/>
            <color indexed="81"/>
            <rFont val="Tahoma"/>
            <family val="2"/>
          </rPr>
          <t>&lt;[[TCDeals] - [TC Property Current Stage (Seq: 1)] - [Buildings (Seq: 68)] Acq PIS Date - Both]&gt;</t>
        </r>
      </text>
    </comment>
    <comment ref="Q1249" authorId="0" shapeId="0" xr:uid="{48B96295-C96F-4CB2-B6CD-09569BFF87F9}">
      <text>
        <r>
          <rPr>
            <b/>
            <sz val="9"/>
            <color indexed="81"/>
            <rFont val="Tahoma"/>
            <family val="2"/>
          </rPr>
          <t>&lt;[[TCDeals] - [TC Property Current Stage (Seq: 1)] - [Buildings (Seq: 68)] Acq Applicable Percentage - Both]&gt;</t>
        </r>
      </text>
    </comment>
    <comment ref="R1249" authorId="0" shapeId="0" xr:uid="{DA0EE3F3-671E-40DE-9D83-075B3864F1A9}">
      <text>
        <r>
          <rPr>
            <b/>
            <sz val="9"/>
            <color indexed="81"/>
            <rFont val="Tahoma"/>
            <family val="2"/>
          </rPr>
          <t>&lt;[[TCDeals] - [TC Property Current Stage (Seq: 1)] - [Buildings (Seq: 68)] Acq Est Qual Basis - Both]&gt;</t>
        </r>
      </text>
    </comment>
    <comment ref="S1249" authorId="0" shapeId="0" xr:uid="{7BBF76B2-ECFD-481C-AFF3-E6CF02BE9091}">
      <text>
        <r>
          <rPr>
            <b/>
            <sz val="9"/>
            <color indexed="81"/>
            <rFont val="Tahoma"/>
            <family val="2"/>
          </rPr>
          <t>&lt;[[TCDeals] - [TC Property Current Stage (Seq: 1)] - [Buildings (Seq: 68)] Acq 8609 Basis - Both]&gt;</t>
        </r>
      </text>
    </comment>
    <comment ref="T1249" authorId="0" shapeId="0" xr:uid="{68B9F648-7F2E-481E-9CF4-9503C729BBC1}">
      <text>
        <r>
          <rPr>
            <b/>
            <sz val="9"/>
            <color indexed="81"/>
            <rFont val="Tahoma"/>
            <family val="2"/>
          </rPr>
          <t>&lt;[[TCDeals] - [TC Property Current Stage (Seq: 1)] - [Buildings (Seq: 68)] Acq 8609 Credit - Both]&gt;</t>
        </r>
      </text>
    </comment>
    <comment ref="C1250" authorId="0" shapeId="0" xr:uid="{8EE63763-C024-4F74-BB9C-11DD2ADD2531}">
      <text>
        <r>
          <rPr>
            <b/>
            <sz val="9"/>
            <color indexed="81"/>
            <rFont val="Tahoma"/>
            <family val="2"/>
          </rPr>
          <t>&lt;[[TCDeals] - [TC Property Current Stage (Seq: 1)] - [Buildings (Seq: 69)] BIN - Both]&gt;</t>
        </r>
      </text>
    </comment>
    <comment ref="D1250" authorId="0" shapeId="0" xr:uid="{AE0FCE71-3D54-4C91-86ED-BEEB1D7216AD}">
      <text>
        <r>
          <rPr>
            <b/>
            <sz val="9"/>
            <color indexed="81"/>
            <rFont val="Tahoma"/>
            <family val="2"/>
          </rPr>
          <t>&lt;[[TCDeals] - [TC Property Current Stage (Seq: 1)] - [Buildings (Seq: 69)] Address 1 - Both]&gt;</t>
        </r>
      </text>
    </comment>
    <comment ref="E1250" authorId="0" shapeId="0" xr:uid="{99FDF3FD-681B-490A-923F-5078D1FD42C0}">
      <text>
        <r>
          <rPr>
            <b/>
            <sz val="9"/>
            <color indexed="81"/>
            <rFont val="Tahoma"/>
            <family val="2"/>
          </rPr>
          <t>&lt;[[TCDeals] - [TC Property Current Stage (Seq: 1)] - [Buildings (Seq: 69)] Num TC Units - Both]&gt;</t>
        </r>
      </text>
    </comment>
    <comment ref="F1250" authorId="0" shapeId="0" xr:uid="{63225BDB-FC9A-464C-A8F9-7CCA05F825F9}">
      <text>
        <r>
          <rPr>
            <b/>
            <sz val="9"/>
            <color indexed="81"/>
            <rFont val="Tahoma"/>
            <family val="2"/>
          </rPr>
          <t>&lt;[[TCDeals] - [TC Property Current Stage (Seq: 1)] - [Buildings (Seq: 69)] PVC PIS Date - Both]&gt;</t>
        </r>
      </text>
    </comment>
    <comment ref="G1250" authorId="0" shapeId="0" xr:uid="{EF840A51-CBBC-4375-955D-6482D90567B5}">
      <text>
        <r>
          <rPr>
            <b/>
            <sz val="9"/>
            <color indexed="81"/>
            <rFont val="Tahoma"/>
            <family val="2"/>
          </rPr>
          <t>&lt;[[TCDeals] - [TC Property Current Stage (Seq: 1)] - [Buildings (Seq: 69)] PVC Applicable Percentage - Both]&gt;</t>
        </r>
      </text>
    </comment>
    <comment ref="H1250" authorId="0" shapeId="0" xr:uid="{18DA7AB1-D48C-4319-89D6-BA020D838F59}">
      <text>
        <r>
          <rPr>
            <b/>
            <sz val="9"/>
            <color indexed="81"/>
            <rFont val="Tahoma"/>
            <family val="2"/>
          </rPr>
          <t>&lt;[[TCDeals] - [TC Property Current Stage (Seq: 1)] - [Buildings (Seq: 69)] PVC Est Qual Basis - Both]&gt;</t>
        </r>
      </text>
    </comment>
    <comment ref="I1250" authorId="0" shapeId="0" xr:uid="{BDA3550E-1ACB-42EA-9D1E-48FB60ED2759}">
      <text>
        <r>
          <rPr>
            <b/>
            <sz val="9"/>
            <color indexed="81"/>
            <rFont val="Tahoma"/>
            <family val="2"/>
          </rPr>
          <t>&lt;[[TCDeals] - [TC Property Current Stage (Seq: 1)] - [Buildings (Seq: 69)] PVC8609 Basis - Both]&gt;</t>
        </r>
      </text>
    </comment>
    <comment ref="J1250" authorId="0" shapeId="0" xr:uid="{5C60EB04-2CA0-4F1E-8720-5DC906B42521}">
      <text>
        <r>
          <rPr>
            <b/>
            <sz val="9"/>
            <color indexed="81"/>
            <rFont val="Tahoma"/>
            <family val="2"/>
          </rPr>
          <t>&lt;[[TCDeals] - [TC Property Current Stage (Seq: 1)] - [Buildings (Seq: 69)] PVC8609 Credit - Both]&gt;</t>
        </r>
      </text>
    </comment>
    <comment ref="K1250" authorId="0" shapeId="0" xr:uid="{70CE90E5-40C7-4143-98F4-EA0FD48C96ED}">
      <text>
        <r>
          <rPr>
            <b/>
            <sz val="9"/>
            <color indexed="81"/>
            <rFont val="Tahoma"/>
            <family val="2"/>
          </rPr>
          <t>&lt;[[TCDeals] - [TC Property Current Stage (Seq: 1)] - [Buildings (Seq: 69)] Constr PIS Date - Both]&gt;</t>
        </r>
      </text>
    </comment>
    <comment ref="L1250" authorId="0" shapeId="0" xr:uid="{582ED7DD-0A05-4FE2-985E-8859F803D3D7}">
      <text>
        <r>
          <rPr>
            <b/>
            <sz val="9"/>
            <color indexed="81"/>
            <rFont val="Tahoma"/>
            <family val="2"/>
          </rPr>
          <t>&lt;[[TCDeals] - [TC Property Current Stage (Seq: 1)] - [Buildings (Seq: 69)] Constr Applicable Percentage - Both]&gt;</t>
        </r>
      </text>
    </comment>
    <comment ref="M1250" authorId="0" shapeId="0" xr:uid="{552FD912-522D-42CB-BD9C-584F4E342F2F}">
      <text>
        <r>
          <rPr>
            <b/>
            <sz val="9"/>
            <color indexed="81"/>
            <rFont val="Tahoma"/>
            <family val="2"/>
          </rPr>
          <t>&lt;[[TCDeals] - [TC Property Current Stage (Seq: 1)] - [Buildings (Seq: 69)] Constr Est Qual Basis - Both]&gt;</t>
        </r>
      </text>
    </comment>
    <comment ref="N1250" authorId="0" shapeId="0" xr:uid="{D7634DBC-6F14-46C2-8493-F96E953293D0}">
      <text>
        <r>
          <rPr>
            <b/>
            <sz val="9"/>
            <color indexed="81"/>
            <rFont val="Tahoma"/>
            <family val="2"/>
          </rPr>
          <t>&lt;[[TCDeals] - [TC Property Current Stage (Seq: 1)] - [Buildings (Seq: 69)] Constr 8609 Basis - Both]&gt;</t>
        </r>
      </text>
    </comment>
    <comment ref="O1250" authorId="0" shapeId="0" xr:uid="{C43BD01D-0FE8-42B7-9C0A-A10A965DB4F8}">
      <text>
        <r>
          <rPr>
            <b/>
            <sz val="9"/>
            <color indexed="81"/>
            <rFont val="Tahoma"/>
            <family val="2"/>
          </rPr>
          <t>&lt;[[TCDeals] - [TC Property Current Stage (Seq: 1)] - [Buildings (Seq: 69)] Constr 8609 Credit - Both]&gt;</t>
        </r>
      </text>
    </comment>
    <comment ref="P1250" authorId="0" shapeId="0" xr:uid="{013875B8-40F3-4EB6-A007-3EFFB5699506}">
      <text>
        <r>
          <rPr>
            <b/>
            <sz val="9"/>
            <color indexed="81"/>
            <rFont val="Tahoma"/>
            <family val="2"/>
          </rPr>
          <t>&lt;[[TCDeals] - [TC Property Current Stage (Seq: 1)] - [Buildings (Seq: 69)] Acq PIS Date - Both]&gt;</t>
        </r>
      </text>
    </comment>
    <comment ref="Q1250" authorId="0" shapeId="0" xr:uid="{7B484020-823E-4E90-B0A7-DDA24C067D39}">
      <text>
        <r>
          <rPr>
            <b/>
            <sz val="9"/>
            <color indexed="81"/>
            <rFont val="Tahoma"/>
            <family val="2"/>
          </rPr>
          <t>&lt;[[TCDeals] - [TC Property Current Stage (Seq: 1)] - [Buildings (Seq: 69)] Acq Applicable Percentage - Both]&gt;</t>
        </r>
      </text>
    </comment>
    <comment ref="R1250" authorId="0" shapeId="0" xr:uid="{C96C86D6-6B38-4292-BD62-9DA0EF74BBDC}">
      <text>
        <r>
          <rPr>
            <b/>
            <sz val="9"/>
            <color indexed="81"/>
            <rFont val="Tahoma"/>
            <family val="2"/>
          </rPr>
          <t>&lt;[[TCDeals] - [TC Property Current Stage (Seq: 1)] - [Buildings (Seq: 69)] Acq Est Qual Basis - Both]&gt;</t>
        </r>
      </text>
    </comment>
    <comment ref="S1250" authorId="0" shapeId="0" xr:uid="{0680AF43-5024-4A81-841E-2AD25DEF656F}">
      <text>
        <r>
          <rPr>
            <b/>
            <sz val="9"/>
            <color indexed="81"/>
            <rFont val="Tahoma"/>
            <family val="2"/>
          </rPr>
          <t>&lt;[[TCDeals] - [TC Property Current Stage (Seq: 1)] - [Buildings (Seq: 69)] Acq 8609 Basis - Both]&gt;</t>
        </r>
      </text>
    </comment>
    <comment ref="T1250" authorId="0" shapeId="0" xr:uid="{251FB8CB-D8BC-461A-9EB2-5D6CF0979815}">
      <text>
        <r>
          <rPr>
            <b/>
            <sz val="9"/>
            <color indexed="81"/>
            <rFont val="Tahoma"/>
            <family val="2"/>
          </rPr>
          <t>&lt;[[TCDeals] - [TC Property Current Stage (Seq: 1)] - [Buildings (Seq: 69)] Acq 8609 Credit - Both]&gt;</t>
        </r>
      </text>
    </comment>
    <comment ref="C1251" authorId="0" shapeId="0" xr:uid="{9AC2CDE2-1748-4E23-A3F7-5E1CCFA7D981}">
      <text>
        <r>
          <rPr>
            <b/>
            <sz val="9"/>
            <color indexed="81"/>
            <rFont val="Tahoma"/>
            <family val="2"/>
          </rPr>
          <t>&lt;[[TCDeals] - [TC Property Current Stage (Seq: 1)] - [Buildings (Seq: 70)] BIN - Both]&gt;</t>
        </r>
      </text>
    </comment>
    <comment ref="D1251" authorId="0" shapeId="0" xr:uid="{8DE55C86-F6EC-456F-A48B-45D2C4299867}">
      <text>
        <r>
          <rPr>
            <b/>
            <sz val="9"/>
            <color indexed="81"/>
            <rFont val="Tahoma"/>
            <family val="2"/>
          </rPr>
          <t>&lt;[[TCDeals] - [TC Property Current Stage (Seq: 1)] - [Buildings (Seq: 70)] Address 1 - Both]&gt;</t>
        </r>
      </text>
    </comment>
    <comment ref="E1251" authorId="0" shapeId="0" xr:uid="{3B73F39F-A4EC-495D-8B57-B4FB0E296C35}">
      <text>
        <r>
          <rPr>
            <b/>
            <sz val="9"/>
            <color indexed="81"/>
            <rFont val="Tahoma"/>
            <family val="2"/>
          </rPr>
          <t>&lt;[[TCDeals] - [TC Property Current Stage (Seq: 1)] - [Buildings (Seq: 70)] Num TC Units - Both]&gt;</t>
        </r>
      </text>
    </comment>
    <comment ref="F1251" authorId="0" shapeId="0" xr:uid="{4E01FC08-692B-4E81-9B45-EF1E41E03236}">
      <text>
        <r>
          <rPr>
            <b/>
            <sz val="9"/>
            <color indexed="81"/>
            <rFont val="Tahoma"/>
            <family val="2"/>
          </rPr>
          <t>&lt;[[TCDeals] - [TC Property Current Stage (Seq: 1)] - [Buildings (Seq: 70)] PVC PIS Date - Both]&gt;</t>
        </r>
      </text>
    </comment>
    <comment ref="G1251" authorId="0" shapeId="0" xr:uid="{B4313D55-5508-4D9D-92F2-F62DE177B266}">
      <text>
        <r>
          <rPr>
            <b/>
            <sz val="9"/>
            <color indexed="81"/>
            <rFont val="Tahoma"/>
            <family val="2"/>
          </rPr>
          <t>&lt;[[TCDeals] - [TC Property Current Stage (Seq: 1)] - [Buildings (Seq: 70)] PVC Applicable Percentage - Both]&gt;</t>
        </r>
      </text>
    </comment>
    <comment ref="H1251" authorId="0" shapeId="0" xr:uid="{79886BBD-0543-49B7-87F0-FFF0CB59B8E1}">
      <text>
        <r>
          <rPr>
            <b/>
            <sz val="9"/>
            <color indexed="81"/>
            <rFont val="Tahoma"/>
            <family val="2"/>
          </rPr>
          <t>&lt;[[TCDeals] - [TC Property Current Stage (Seq: 1)] - [Buildings (Seq: 70)] PVC Est Qual Basis - Both]&gt;</t>
        </r>
      </text>
    </comment>
    <comment ref="I1251" authorId="0" shapeId="0" xr:uid="{4B6B5AFA-C936-47E6-9802-76828E8F5B4A}">
      <text>
        <r>
          <rPr>
            <b/>
            <sz val="9"/>
            <color indexed="81"/>
            <rFont val="Tahoma"/>
            <family val="2"/>
          </rPr>
          <t>&lt;[[TCDeals] - [TC Property Current Stage (Seq: 1)] - [Buildings (Seq: 70)] PVC8609 Basis - Both]&gt;</t>
        </r>
      </text>
    </comment>
    <comment ref="J1251" authorId="0" shapeId="0" xr:uid="{9C354791-CEEA-4F2F-87BD-174772511174}">
      <text>
        <r>
          <rPr>
            <b/>
            <sz val="9"/>
            <color indexed="81"/>
            <rFont val="Tahoma"/>
            <family val="2"/>
          </rPr>
          <t>&lt;[[TCDeals] - [TC Property Current Stage (Seq: 1)] - [Buildings (Seq: 70)] PVC8609 Credit - Both]&gt;</t>
        </r>
      </text>
    </comment>
    <comment ref="K1251" authorId="0" shapeId="0" xr:uid="{D2949C6C-10AA-4682-9FFB-E93E90543FAA}">
      <text>
        <r>
          <rPr>
            <b/>
            <sz val="9"/>
            <color indexed="81"/>
            <rFont val="Tahoma"/>
            <family val="2"/>
          </rPr>
          <t>&lt;[[TCDeals] - [TC Property Current Stage (Seq: 1)] - [Buildings (Seq: 70)] Constr PIS Date - Both]&gt;</t>
        </r>
      </text>
    </comment>
    <comment ref="L1251" authorId="0" shapeId="0" xr:uid="{555B15CA-48BA-44CE-8C8E-40B0F2DE54F8}">
      <text>
        <r>
          <rPr>
            <b/>
            <sz val="9"/>
            <color indexed="81"/>
            <rFont val="Tahoma"/>
            <family val="2"/>
          </rPr>
          <t>&lt;[[TCDeals] - [TC Property Current Stage (Seq: 1)] - [Buildings (Seq: 70)] Constr Applicable Percentage - Both]&gt;</t>
        </r>
      </text>
    </comment>
    <comment ref="M1251" authorId="0" shapeId="0" xr:uid="{8A5B3BE0-9088-46DC-B1E6-0162EA1872AA}">
      <text>
        <r>
          <rPr>
            <b/>
            <sz val="9"/>
            <color indexed="81"/>
            <rFont val="Tahoma"/>
            <family val="2"/>
          </rPr>
          <t>&lt;[[TCDeals] - [TC Property Current Stage (Seq: 1)] - [Buildings (Seq: 70)] Constr Est Qual Basis - Both]&gt;</t>
        </r>
      </text>
    </comment>
    <comment ref="N1251" authorId="0" shapeId="0" xr:uid="{E4576A9D-C81E-487C-810E-24321B0304DA}">
      <text>
        <r>
          <rPr>
            <b/>
            <sz val="9"/>
            <color indexed="81"/>
            <rFont val="Tahoma"/>
            <family val="2"/>
          </rPr>
          <t>&lt;[[TCDeals] - [TC Property Current Stage (Seq: 1)] - [Buildings (Seq: 70)] Constr 8609 Basis - Both]&gt;</t>
        </r>
      </text>
    </comment>
    <comment ref="O1251" authorId="0" shapeId="0" xr:uid="{BB90700D-FC57-42EC-83F4-1BB210F0497D}">
      <text>
        <r>
          <rPr>
            <b/>
            <sz val="9"/>
            <color indexed="81"/>
            <rFont val="Tahoma"/>
            <family val="2"/>
          </rPr>
          <t>&lt;[[TCDeals] - [TC Property Current Stage (Seq: 1)] - [Buildings (Seq: 70)] Constr 8609 Credit - Both]&gt;</t>
        </r>
      </text>
    </comment>
    <comment ref="P1251" authorId="0" shapeId="0" xr:uid="{7E206453-1DF7-480F-A179-E88D4515CAA9}">
      <text>
        <r>
          <rPr>
            <b/>
            <sz val="9"/>
            <color indexed="81"/>
            <rFont val="Tahoma"/>
            <family val="2"/>
          </rPr>
          <t>&lt;[[TCDeals] - [TC Property Current Stage (Seq: 1)] - [Buildings (Seq: 70)] Acq PIS Date - Both]&gt;</t>
        </r>
      </text>
    </comment>
    <comment ref="Q1251" authorId="0" shapeId="0" xr:uid="{CB9594C5-BBFE-4DE6-A931-D1773623F862}">
      <text>
        <r>
          <rPr>
            <b/>
            <sz val="9"/>
            <color indexed="81"/>
            <rFont val="Tahoma"/>
            <family val="2"/>
          </rPr>
          <t>&lt;[[TCDeals] - [TC Property Current Stage (Seq: 1)] - [Buildings (Seq: 70)] Acq Applicable Percentage - Both]&gt;</t>
        </r>
      </text>
    </comment>
    <comment ref="R1251" authorId="0" shapeId="0" xr:uid="{DFDD83BB-B45F-4405-A126-5B0E1E7DC6EF}">
      <text>
        <r>
          <rPr>
            <b/>
            <sz val="9"/>
            <color indexed="81"/>
            <rFont val="Tahoma"/>
            <family val="2"/>
          </rPr>
          <t>&lt;[[TCDeals] - [TC Property Current Stage (Seq: 1)] - [Buildings (Seq: 70)] Acq Est Qual Basis - Both]&gt;</t>
        </r>
      </text>
    </comment>
    <comment ref="S1251" authorId="0" shapeId="0" xr:uid="{9A7D45D9-50FC-4F82-AF03-C1D013018C77}">
      <text>
        <r>
          <rPr>
            <b/>
            <sz val="9"/>
            <color indexed="81"/>
            <rFont val="Tahoma"/>
            <family val="2"/>
          </rPr>
          <t>&lt;[[TCDeals] - [TC Property Current Stage (Seq: 1)] - [Buildings (Seq: 70)] Acq 8609 Basis - Both]&gt;</t>
        </r>
      </text>
    </comment>
    <comment ref="T1251" authorId="0" shapeId="0" xr:uid="{A24C930B-8C41-43A8-8EF4-0A2A48B4A937}">
      <text>
        <r>
          <rPr>
            <b/>
            <sz val="9"/>
            <color indexed="81"/>
            <rFont val="Tahoma"/>
            <family val="2"/>
          </rPr>
          <t>&lt;[[TCDeals] - [TC Property Current Stage (Seq: 1)] - [Buildings (Seq: 70)] Acq 8609 Credit - Both]&gt;</t>
        </r>
      </text>
    </comment>
    <comment ref="C1252" authorId="0" shapeId="0" xr:uid="{CE930F26-7BF2-4C0E-BD9A-170EB00B4C26}">
      <text>
        <r>
          <rPr>
            <b/>
            <sz val="9"/>
            <color indexed="81"/>
            <rFont val="Tahoma"/>
            <family val="2"/>
          </rPr>
          <t>&lt;[[TCDeals] - [TC Property Current Stage (Seq: 1)] - [Buildings (Seq: 71)] BIN - Both]&gt;</t>
        </r>
      </text>
    </comment>
    <comment ref="D1252" authorId="0" shapeId="0" xr:uid="{4D997CF3-C758-4C0A-AD68-B1C2C76498D0}">
      <text>
        <r>
          <rPr>
            <b/>
            <sz val="9"/>
            <color indexed="81"/>
            <rFont val="Tahoma"/>
            <family val="2"/>
          </rPr>
          <t>&lt;[[TCDeals] - [TC Property Current Stage (Seq: 1)] - [Buildings (Seq: 71)] Address 1 - Both]&gt;</t>
        </r>
      </text>
    </comment>
    <comment ref="E1252" authorId="0" shapeId="0" xr:uid="{00EEEE1F-8FBB-4BAB-A23D-C7C6993F82C8}">
      <text>
        <r>
          <rPr>
            <b/>
            <sz val="9"/>
            <color indexed="81"/>
            <rFont val="Tahoma"/>
            <family val="2"/>
          </rPr>
          <t>&lt;[[TCDeals] - [TC Property Current Stage (Seq: 1)] - [Buildings (Seq: 71)] Num TC Units - Both]&gt;</t>
        </r>
      </text>
    </comment>
    <comment ref="F1252" authorId="0" shapeId="0" xr:uid="{B5064B68-B3FF-4C49-B302-D6F7295D0CD1}">
      <text>
        <r>
          <rPr>
            <b/>
            <sz val="9"/>
            <color indexed="81"/>
            <rFont val="Tahoma"/>
            <family val="2"/>
          </rPr>
          <t>&lt;[[TCDeals] - [TC Property Current Stage (Seq: 1)] - [Buildings (Seq: 71)] PVC PIS Date - Both]&gt;</t>
        </r>
      </text>
    </comment>
    <comment ref="G1252" authorId="0" shapeId="0" xr:uid="{FCD19520-F4BE-4002-B0EA-85E1045982B3}">
      <text>
        <r>
          <rPr>
            <b/>
            <sz val="9"/>
            <color indexed="81"/>
            <rFont val="Tahoma"/>
            <family val="2"/>
          </rPr>
          <t>&lt;[[TCDeals] - [TC Property Current Stage (Seq: 1)] - [Buildings (Seq: 71)] PVC Applicable Percentage - Both]&gt;</t>
        </r>
      </text>
    </comment>
    <comment ref="H1252" authorId="0" shapeId="0" xr:uid="{9BA87CA2-2322-4DD9-A1BE-F9F0C55F594B}">
      <text>
        <r>
          <rPr>
            <b/>
            <sz val="9"/>
            <color indexed="81"/>
            <rFont val="Tahoma"/>
            <family val="2"/>
          </rPr>
          <t>&lt;[[TCDeals] - [TC Property Current Stage (Seq: 1)] - [Buildings (Seq: 71)] PVC Est Qual Basis - Both]&gt;</t>
        </r>
      </text>
    </comment>
    <comment ref="I1252" authorId="0" shapeId="0" xr:uid="{F7713A95-ED00-4020-B2CD-9D9D89B2C17C}">
      <text>
        <r>
          <rPr>
            <b/>
            <sz val="9"/>
            <color indexed="81"/>
            <rFont val="Tahoma"/>
            <family val="2"/>
          </rPr>
          <t>&lt;[[TCDeals] - [TC Property Current Stage (Seq: 1)] - [Buildings (Seq: 71)] PVC8609 Basis - Both]&gt;</t>
        </r>
      </text>
    </comment>
    <comment ref="J1252" authorId="0" shapeId="0" xr:uid="{621B6494-49D8-42A0-B96E-674BA14EAA1C}">
      <text>
        <r>
          <rPr>
            <b/>
            <sz val="9"/>
            <color indexed="81"/>
            <rFont val="Tahoma"/>
            <family val="2"/>
          </rPr>
          <t>&lt;[[TCDeals] - [TC Property Current Stage (Seq: 1)] - [Buildings (Seq: 71)] PVC8609 Credit - Both]&gt;</t>
        </r>
      </text>
    </comment>
    <comment ref="K1252" authorId="0" shapeId="0" xr:uid="{3E5EE371-E4BD-4B9F-8984-5A567DD755AE}">
      <text>
        <r>
          <rPr>
            <b/>
            <sz val="9"/>
            <color indexed="81"/>
            <rFont val="Tahoma"/>
            <family val="2"/>
          </rPr>
          <t>&lt;[[TCDeals] - [TC Property Current Stage (Seq: 1)] - [Buildings (Seq: 71)] Constr PIS Date - Both]&gt;</t>
        </r>
      </text>
    </comment>
    <comment ref="L1252" authorId="0" shapeId="0" xr:uid="{0512659D-0D64-467A-B84E-40B0BE8DA6DA}">
      <text>
        <r>
          <rPr>
            <b/>
            <sz val="9"/>
            <color indexed="81"/>
            <rFont val="Tahoma"/>
            <family val="2"/>
          </rPr>
          <t>&lt;[[TCDeals] - [TC Property Current Stage (Seq: 1)] - [Buildings (Seq: 71)] Constr Applicable Percentage - Both]&gt;</t>
        </r>
      </text>
    </comment>
    <comment ref="M1252" authorId="0" shapeId="0" xr:uid="{5326BE41-1530-49A7-8A21-549A5B91D051}">
      <text>
        <r>
          <rPr>
            <b/>
            <sz val="9"/>
            <color indexed="81"/>
            <rFont val="Tahoma"/>
            <family val="2"/>
          </rPr>
          <t>&lt;[[TCDeals] - [TC Property Current Stage (Seq: 1)] - [Buildings (Seq: 71)] Constr Est Qual Basis - Both]&gt;</t>
        </r>
      </text>
    </comment>
    <comment ref="N1252" authorId="0" shapeId="0" xr:uid="{F035C938-7D43-4A67-977E-37C5ADEA19C8}">
      <text>
        <r>
          <rPr>
            <b/>
            <sz val="9"/>
            <color indexed="81"/>
            <rFont val="Tahoma"/>
            <family val="2"/>
          </rPr>
          <t>&lt;[[TCDeals] - [TC Property Current Stage (Seq: 1)] - [Buildings (Seq: 71)] Constr 8609 Basis - Both]&gt;</t>
        </r>
      </text>
    </comment>
    <comment ref="O1252" authorId="0" shapeId="0" xr:uid="{27566C10-A9EE-4534-8044-0C37D1B6A45D}">
      <text>
        <r>
          <rPr>
            <b/>
            <sz val="9"/>
            <color indexed="81"/>
            <rFont val="Tahoma"/>
            <family val="2"/>
          </rPr>
          <t>&lt;[[TCDeals] - [TC Property Current Stage (Seq: 1)] - [Buildings (Seq: 71)] Constr 8609 Credit - Both]&gt;</t>
        </r>
      </text>
    </comment>
    <comment ref="P1252" authorId="0" shapeId="0" xr:uid="{A68E43FD-59CE-4FE9-948C-DEDE1E81D629}">
      <text>
        <r>
          <rPr>
            <b/>
            <sz val="9"/>
            <color indexed="81"/>
            <rFont val="Tahoma"/>
            <family val="2"/>
          </rPr>
          <t>&lt;[[TCDeals] - [TC Property Current Stage (Seq: 1)] - [Buildings (Seq: 71)] Acq PIS Date - Both]&gt;</t>
        </r>
      </text>
    </comment>
    <comment ref="Q1252" authorId="0" shapeId="0" xr:uid="{DCCF93C3-725A-45FF-96E1-36590962280B}">
      <text>
        <r>
          <rPr>
            <b/>
            <sz val="9"/>
            <color indexed="81"/>
            <rFont val="Tahoma"/>
            <family val="2"/>
          </rPr>
          <t>&lt;[[TCDeals] - [TC Property Current Stage (Seq: 1)] - [Buildings (Seq: 71)] Acq Applicable Percentage - Both]&gt;</t>
        </r>
      </text>
    </comment>
    <comment ref="R1252" authorId="0" shapeId="0" xr:uid="{E5F00E96-5E5B-4B2F-B6A3-F40BD3A6AB8E}">
      <text>
        <r>
          <rPr>
            <b/>
            <sz val="9"/>
            <color indexed="81"/>
            <rFont val="Tahoma"/>
            <family val="2"/>
          </rPr>
          <t>&lt;[[TCDeals] - [TC Property Current Stage (Seq: 1)] - [Buildings (Seq: 71)] Acq Est Qual Basis - Both]&gt;</t>
        </r>
      </text>
    </comment>
    <comment ref="S1252" authorId="0" shapeId="0" xr:uid="{840B849F-3B3C-4530-B7BE-A192A98E2181}">
      <text>
        <r>
          <rPr>
            <b/>
            <sz val="9"/>
            <color indexed="81"/>
            <rFont val="Tahoma"/>
            <family val="2"/>
          </rPr>
          <t>&lt;[[TCDeals] - [TC Property Current Stage (Seq: 1)] - [Buildings (Seq: 71)] Acq 8609 Basis - Both]&gt;</t>
        </r>
      </text>
    </comment>
    <comment ref="T1252" authorId="0" shapeId="0" xr:uid="{B807EF63-79BA-408B-A40D-B265B72F9A5F}">
      <text>
        <r>
          <rPr>
            <b/>
            <sz val="9"/>
            <color indexed="81"/>
            <rFont val="Tahoma"/>
            <family val="2"/>
          </rPr>
          <t>&lt;[[TCDeals] - [TC Property Current Stage (Seq: 1)] - [Buildings (Seq: 71)] Acq 8609 Credit - Both]&gt;</t>
        </r>
      </text>
    </comment>
    <comment ref="C1253" authorId="0" shapeId="0" xr:uid="{28CA3412-CD70-4BEB-90D2-EFDC3DED4D07}">
      <text>
        <r>
          <rPr>
            <b/>
            <sz val="9"/>
            <color indexed="81"/>
            <rFont val="Tahoma"/>
            <family val="2"/>
          </rPr>
          <t>&lt;[[TCDeals] - [TC Property Current Stage (Seq: 1)] - [Buildings (Seq: 72)] BIN - Both]&gt;</t>
        </r>
      </text>
    </comment>
    <comment ref="D1253" authorId="0" shapeId="0" xr:uid="{F86FF0FF-434B-4CD4-8116-D5DDB9624FF8}">
      <text>
        <r>
          <rPr>
            <b/>
            <sz val="9"/>
            <color indexed="81"/>
            <rFont val="Tahoma"/>
            <family val="2"/>
          </rPr>
          <t>&lt;[[TCDeals] - [TC Property Current Stage (Seq: 1)] - [Buildings (Seq: 72)] Address 1 - Both]&gt;</t>
        </r>
      </text>
    </comment>
    <comment ref="E1253" authorId="0" shapeId="0" xr:uid="{5E49CD76-B710-4182-8DF3-AE5D5C600EC0}">
      <text>
        <r>
          <rPr>
            <b/>
            <sz val="9"/>
            <color indexed="81"/>
            <rFont val="Tahoma"/>
            <family val="2"/>
          </rPr>
          <t>&lt;[[TCDeals] - [TC Property Current Stage (Seq: 1)] - [Buildings (Seq: 72)] Num TC Units - Both]&gt;</t>
        </r>
      </text>
    </comment>
    <comment ref="F1253" authorId="0" shapeId="0" xr:uid="{71EE48C1-6D99-418D-A322-0B7B33566161}">
      <text>
        <r>
          <rPr>
            <b/>
            <sz val="9"/>
            <color indexed="81"/>
            <rFont val="Tahoma"/>
            <family val="2"/>
          </rPr>
          <t>&lt;[[TCDeals] - [TC Property Current Stage (Seq: 1)] - [Buildings (Seq: 72)] PVC PIS Date - Both]&gt;</t>
        </r>
      </text>
    </comment>
    <comment ref="G1253" authorId="0" shapeId="0" xr:uid="{D8EB5E4A-7E2D-4E2F-AE2F-F126C39891CD}">
      <text>
        <r>
          <rPr>
            <b/>
            <sz val="9"/>
            <color indexed="81"/>
            <rFont val="Tahoma"/>
            <family val="2"/>
          </rPr>
          <t>&lt;[[TCDeals] - [TC Property Current Stage (Seq: 1)] - [Buildings (Seq: 72)] PVC Applicable Percentage - Both]&gt;</t>
        </r>
      </text>
    </comment>
    <comment ref="H1253" authorId="0" shapeId="0" xr:uid="{D523F837-8979-4E88-94EE-F186E146A5C2}">
      <text>
        <r>
          <rPr>
            <b/>
            <sz val="9"/>
            <color indexed="81"/>
            <rFont val="Tahoma"/>
            <family val="2"/>
          </rPr>
          <t>&lt;[[TCDeals] - [TC Property Current Stage (Seq: 1)] - [Buildings (Seq: 72)] PVC Est Qual Basis - Both]&gt;</t>
        </r>
      </text>
    </comment>
    <comment ref="I1253" authorId="0" shapeId="0" xr:uid="{A0E7C82F-7AA8-4C91-99DB-FF91ABF48A01}">
      <text>
        <r>
          <rPr>
            <b/>
            <sz val="9"/>
            <color indexed="81"/>
            <rFont val="Tahoma"/>
            <family val="2"/>
          </rPr>
          <t>&lt;[[TCDeals] - [TC Property Current Stage (Seq: 1)] - [Buildings (Seq: 72)] PVC8609 Basis - Both]&gt;</t>
        </r>
      </text>
    </comment>
    <comment ref="J1253" authorId="0" shapeId="0" xr:uid="{65E28CF3-77C4-427F-BAA8-A681AC5E8D15}">
      <text>
        <r>
          <rPr>
            <b/>
            <sz val="9"/>
            <color indexed="81"/>
            <rFont val="Tahoma"/>
            <family val="2"/>
          </rPr>
          <t>&lt;[[TCDeals] - [TC Property Current Stage (Seq: 1)] - [Buildings (Seq: 72)] PVC8609 Credit - Both]&gt;</t>
        </r>
      </text>
    </comment>
    <comment ref="K1253" authorId="0" shapeId="0" xr:uid="{15D2D87A-5044-45B7-A8BA-8713420E5804}">
      <text>
        <r>
          <rPr>
            <b/>
            <sz val="9"/>
            <color indexed="81"/>
            <rFont val="Tahoma"/>
            <family val="2"/>
          </rPr>
          <t>&lt;[[TCDeals] - [TC Property Current Stage (Seq: 1)] - [Buildings (Seq: 72)] Constr PIS Date - Both]&gt;</t>
        </r>
      </text>
    </comment>
    <comment ref="L1253" authorId="0" shapeId="0" xr:uid="{FF420260-7FE8-421D-BD4A-73D74EA66569}">
      <text>
        <r>
          <rPr>
            <b/>
            <sz val="9"/>
            <color indexed="81"/>
            <rFont val="Tahoma"/>
            <family val="2"/>
          </rPr>
          <t>&lt;[[TCDeals] - [TC Property Current Stage (Seq: 1)] - [Buildings (Seq: 72)] Constr Applicable Percentage - Both]&gt;</t>
        </r>
      </text>
    </comment>
    <comment ref="M1253" authorId="0" shapeId="0" xr:uid="{DEFBEAE1-A64A-4CB7-BB86-0C524C9374E7}">
      <text>
        <r>
          <rPr>
            <b/>
            <sz val="9"/>
            <color indexed="81"/>
            <rFont val="Tahoma"/>
            <family val="2"/>
          </rPr>
          <t>&lt;[[TCDeals] - [TC Property Current Stage (Seq: 1)] - [Buildings (Seq: 72)] Constr Est Qual Basis - Both]&gt;</t>
        </r>
      </text>
    </comment>
    <comment ref="N1253" authorId="0" shapeId="0" xr:uid="{8652338F-A38C-4974-AA4A-052EF0DB92DB}">
      <text>
        <r>
          <rPr>
            <b/>
            <sz val="9"/>
            <color indexed="81"/>
            <rFont val="Tahoma"/>
            <family val="2"/>
          </rPr>
          <t>&lt;[[TCDeals] - [TC Property Current Stage (Seq: 1)] - [Buildings (Seq: 72)] Constr 8609 Basis - Both]&gt;</t>
        </r>
      </text>
    </comment>
    <comment ref="O1253" authorId="0" shapeId="0" xr:uid="{321B7BE0-DA88-4C9C-8EC8-BBFC4B286C41}">
      <text>
        <r>
          <rPr>
            <b/>
            <sz val="9"/>
            <color indexed="81"/>
            <rFont val="Tahoma"/>
            <family val="2"/>
          </rPr>
          <t>&lt;[[TCDeals] - [TC Property Current Stage (Seq: 1)] - [Buildings (Seq: 72)] Constr 8609 Credit - Both]&gt;</t>
        </r>
      </text>
    </comment>
    <comment ref="P1253" authorId="0" shapeId="0" xr:uid="{8F7CECBF-69B5-4271-89F7-8F8D4651A5A8}">
      <text>
        <r>
          <rPr>
            <b/>
            <sz val="9"/>
            <color indexed="81"/>
            <rFont val="Tahoma"/>
            <family val="2"/>
          </rPr>
          <t>&lt;[[TCDeals] - [TC Property Current Stage (Seq: 1)] - [Buildings (Seq: 72)] Acq PIS Date - Both]&gt;</t>
        </r>
      </text>
    </comment>
    <comment ref="Q1253" authorId="0" shapeId="0" xr:uid="{E4AC72ED-2F43-4642-8EE6-B2D923FBA6A5}">
      <text>
        <r>
          <rPr>
            <b/>
            <sz val="9"/>
            <color indexed="81"/>
            <rFont val="Tahoma"/>
            <family val="2"/>
          </rPr>
          <t>&lt;[[TCDeals] - [TC Property Current Stage (Seq: 1)] - [Buildings (Seq: 72)] Acq Applicable Percentage - Both]&gt;</t>
        </r>
      </text>
    </comment>
    <comment ref="R1253" authorId="0" shapeId="0" xr:uid="{C9534613-0E59-4B0F-B0D6-C01F71AB9F91}">
      <text>
        <r>
          <rPr>
            <b/>
            <sz val="9"/>
            <color indexed="81"/>
            <rFont val="Tahoma"/>
            <family val="2"/>
          </rPr>
          <t>&lt;[[TCDeals] - [TC Property Current Stage (Seq: 1)] - [Buildings (Seq: 72)] Acq Est Qual Basis - Both]&gt;</t>
        </r>
      </text>
    </comment>
    <comment ref="S1253" authorId="0" shapeId="0" xr:uid="{72523B7C-DD7C-4B76-AD75-FFA989C86F1F}">
      <text>
        <r>
          <rPr>
            <b/>
            <sz val="9"/>
            <color indexed="81"/>
            <rFont val="Tahoma"/>
            <family val="2"/>
          </rPr>
          <t>&lt;[[TCDeals] - [TC Property Current Stage (Seq: 1)] - [Buildings (Seq: 72)] Acq 8609 Basis - Both]&gt;</t>
        </r>
      </text>
    </comment>
    <comment ref="T1253" authorId="0" shapeId="0" xr:uid="{EE6CAED8-6C55-4B6D-AEDA-9BC3E8700803}">
      <text>
        <r>
          <rPr>
            <b/>
            <sz val="9"/>
            <color indexed="81"/>
            <rFont val="Tahoma"/>
            <family val="2"/>
          </rPr>
          <t>&lt;[[TCDeals] - [TC Property Current Stage (Seq: 1)] - [Buildings (Seq: 72)] Acq 8609 Credit - Both]&gt;</t>
        </r>
      </text>
    </comment>
    <comment ref="C1254" authorId="0" shapeId="0" xr:uid="{E1DAE7E2-1F7C-4C59-8812-619BB24D99A8}">
      <text>
        <r>
          <rPr>
            <b/>
            <sz val="9"/>
            <color indexed="81"/>
            <rFont val="Tahoma"/>
            <family val="2"/>
          </rPr>
          <t>&lt;[[TCDeals] - [TC Property Current Stage (Seq: 1)] - [Buildings (Seq: 73)] BIN - Both]&gt;</t>
        </r>
      </text>
    </comment>
    <comment ref="D1254" authorId="0" shapeId="0" xr:uid="{93323E19-93BF-4FF7-9BDD-1715DF08DD5A}">
      <text>
        <r>
          <rPr>
            <b/>
            <sz val="9"/>
            <color indexed="81"/>
            <rFont val="Tahoma"/>
            <family val="2"/>
          </rPr>
          <t>&lt;[[TCDeals] - [TC Property Current Stage (Seq: 1)] - [Buildings (Seq: 73)] Address 1 - Both]&gt;</t>
        </r>
      </text>
    </comment>
    <comment ref="E1254" authorId="0" shapeId="0" xr:uid="{7DB909D6-6D2E-404B-9537-BEEFE1E815A4}">
      <text>
        <r>
          <rPr>
            <b/>
            <sz val="9"/>
            <color indexed="81"/>
            <rFont val="Tahoma"/>
            <family val="2"/>
          </rPr>
          <t>&lt;[[TCDeals] - [TC Property Current Stage (Seq: 1)] - [Buildings (Seq: 73)] Num TC Units - Both]&gt;</t>
        </r>
      </text>
    </comment>
    <comment ref="F1254" authorId="0" shapeId="0" xr:uid="{7222EF56-4231-4AE1-8E62-1168EFDF8ACA}">
      <text>
        <r>
          <rPr>
            <b/>
            <sz val="9"/>
            <color indexed="81"/>
            <rFont val="Tahoma"/>
            <family val="2"/>
          </rPr>
          <t>&lt;[[TCDeals] - [TC Property Current Stage (Seq: 1)] - [Buildings (Seq: 73)] PVC PIS Date - Both]&gt;</t>
        </r>
      </text>
    </comment>
    <comment ref="G1254" authorId="0" shapeId="0" xr:uid="{248B5437-4D83-41D2-8D23-F24C18E39B91}">
      <text>
        <r>
          <rPr>
            <b/>
            <sz val="9"/>
            <color indexed="81"/>
            <rFont val="Tahoma"/>
            <family val="2"/>
          </rPr>
          <t>&lt;[[TCDeals] - [TC Property Current Stage (Seq: 1)] - [Buildings (Seq: 73)] PVC Applicable Percentage - Both]&gt;</t>
        </r>
      </text>
    </comment>
    <comment ref="H1254" authorId="0" shapeId="0" xr:uid="{FF05BDA8-C3A2-47D1-ACFA-210DBAE6A3A4}">
      <text>
        <r>
          <rPr>
            <b/>
            <sz val="9"/>
            <color indexed="81"/>
            <rFont val="Tahoma"/>
            <family val="2"/>
          </rPr>
          <t>&lt;[[TCDeals] - [TC Property Current Stage (Seq: 1)] - [Buildings (Seq: 73)] PVC Est Qual Basis - Both]&gt;</t>
        </r>
      </text>
    </comment>
    <comment ref="I1254" authorId="0" shapeId="0" xr:uid="{CC43C60F-C189-4202-9A5B-9EA4CA004086}">
      <text>
        <r>
          <rPr>
            <b/>
            <sz val="9"/>
            <color indexed="81"/>
            <rFont val="Tahoma"/>
            <family val="2"/>
          </rPr>
          <t>&lt;[[TCDeals] - [TC Property Current Stage (Seq: 1)] - [Buildings (Seq: 73)] PVC8609 Basis - Both]&gt;</t>
        </r>
      </text>
    </comment>
    <comment ref="J1254" authorId="0" shapeId="0" xr:uid="{8463F011-2CAD-4EBF-B3EB-18881DA44B43}">
      <text>
        <r>
          <rPr>
            <b/>
            <sz val="9"/>
            <color indexed="81"/>
            <rFont val="Tahoma"/>
            <family val="2"/>
          </rPr>
          <t>&lt;[[TCDeals] - [TC Property Current Stage (Seq: 1)] - [Buildings (Seq: 73)] PVC8609 Credit - Both]&gt;</t>
        </r>
      </text>
    </comment>
    <comment ref="K1254" authorId="0" shapeId="0" xr:uid="{2A99293D-AE6C-4E9F-9F6F-0B8DF95B3317}">
      <text>
        <r>
          <rPr>
            <b/>
            <sz val="9"/>
            <color indexed="81"/>
            <rFont val="Tahoma"/>
            <family val="2"/>
          </rPr>
          <t>&lt;[[TCDeals] - [TC Property Current Stage (Seq: 1)] - [Buildings (Seq: 73)] Constr PIS Date - Both]&gt;</t>
        </r>
      </text>
    </comment>
    <comment ref="L1254" authorId="0" shapeId="0" xr:uid="{9B201CBF-106A-420B-8374-EE55C417E9B7}">
      <text>
        <r>
          <rPr>
            <b/>
            <sz val="9"/>
            <color indexed="81"/>
            <rFont val="Tahoma"/>
            <family val="2"/>
          </rPr>
          <t>&lt;[[TCDeals] - [TC Property Current Stage (Seq: 1)] - [Buildings (Seq: 73)] Constr Applicable Percentage - Both]&gt;</t>
        </r>
      </text>
    </comment>
    <comment ref="M1254" authorId="0" shapeId="0" xr:uid="{59E20ADF-976F-458D-A4DD-18873D7865CC}">
      <text>
        <r>
          <rPr>
            <b/>
            <sz val="9"/>
            <color indexed="81"/>
            <rFont val="Tahoma"/>
            <family val="2"/>
          </rPr>
          <t>&lt;[[TCDeals] - [TC Property Current Stage (Seq: 1)] - [Buildings (Seq: 73)] Constr Est Qual Basis - Both]&gt;</t>
        </r>
      </text>
    </comment>
    <comment ref="N1254" authorId="0" shapeId="0" xr:uid="{A36A338F-46FC-4EA7-BE2C-E5539C0F5AA9}">
      <text>
        <r>
          <rPr>
            <b/>
            <sz val="9"/>
            <color indexed="81"/>
            <rFont val="Tahoma"/>
            <family val="2"/>
          </rPr>
          <t>&lt;[[TCDeals] - [TC Property Current Stage (Seq: 1)] - [Buildings (Seq: 73)] Constr 8609 Basis - Both]&gt;</t>
        </r>
      </text>
    </comment>
    <comment ref="O1254" authorId="0" shapeId="0" xr:uid="{F4F7C263-65C7-4BA6-A8A9-B77869A6BCE1}">
      <text>
        <r>
          <rPr>
            <b/>
            <sz val="9"/>
            <color indexed="81"/>
            <rFont val="Tahoma"/>
            <family val="2"/>
          </rPr>
          <t>&lt;[[TCDeals] - [TC Property Current Stage (Seq: 1)] - [Buildings (Seq: 73)] Constr 8609 Credit - Both]&gt;</t>
        </r>
      </text>
    </comment>
    <comment ref="P1254" authorId="0" shapeId="0" xr:uid="{B8DA81BD-5121-4EBE-A308-FE58EA26E1B8}">
      <text>
        <r>
          <rPr>
            <b/>
            <sz val="9"/>
            <color indexed="81"/>
            <rFont val="Tahoma"/>
            <family val="2"/>
          </rPr>
          <t>&lt;[[TCDeals] - [TC Property Current Stage (Seq: 1)] - [Buildings (Seq: 73)] Acq PIS Date - Both]&gt;</t>
        </r>
      </text>
    </comment>
    <comment ref="Q1254" authorId="0" shapeId="0" xr:uid="{23CD8180-6BC5-4688-90EC-05BD51491EE2}">
      <text>
        <r>
          <rPr>
            <b/>
            <sz val="9"/>
            <color indexed="81"/>
            <rFont val="Tahoma"/>
            <family val="2"/>
          </rPr>
          <t>&lt;[[TCDeals] - [TC Property Current Stage (Seq: 1)] - [Buildings (Seq: 73)] Acq Applicable Percentage - Both]&gt;</t>
        </r>
      </text>
    </comment>
    <comment ref="R1254" authorId="0" shapeId="0" xr:uid="{FF591E40-EAB4-4D18-951B-1F509258D562}">
      <text>
        <r>
          <rPr>
            <b/>
            <sz val="9"/>
            <color indexed="81"/>
            <rFont val="Tahoma"/>
            <family val="2"/>
          </rPr>
          <t>&lt;[[TCDeals] - [TC Property Current Stage (Seq: 1)] - [Buildings (Seq: 73)] Acq Est Qual Basis - Both]&gt;</t>
        </r>
      </text>
    </comment>
    <comment ref="S1254" authorId="0" shapeId="0" xr:uid="{DFA52BE5-839F-41A3-BD45-CE364F6C3382}">
      <text>
        <r>
          <rPr>
            <b/>
            <sz val="9"/>
            <color indexed="81"/>
            <rFont val="Tahoma"/>
            <family val="2"/>
          </rPr>
          <t>&lt;[[TCDeals] - [TC Property Current Stage (Seq: 1)] - [Buildings (Seq: 73)] Acq 8609 Basis - Both]&gt;</t>
        </r>
      </text>
    </comment>
    <comment ref="T1254" authorId="0" shapeId="0" xr:uid="{87E5B4E9-A34F-4479-87DE-74EB8E6D98DA}">
      <text>
        <r>
          <rPr>
            <b/>
            <sz val="9"/>
            <color indexed="81"/>
            <rFont val="Tahoma"/>
            <family val="2"/>
          </rPr>
          <t>&lt;[[TCDeals] - [TC Property Current Stage (Seq: 1)] - [Buildings (Seq: 73)] Acq 8609 Credit - Both]&gt;</t>
        </r>
      </text>
    </comment>
    <comment ref="C1255" authorId="0" shapeId="0" xr:uid="{C34E4947-72A9-4E9A-AE72-FF1DC4E06D25}">
      <text>
        <r>
          <rPr>
            <b/>
            <sz val="9"/>
            <color indexed="81"/>
            <rFont val="Tahoma"/>
            <family val="2"/>
          </rPr>
          <t>&lt;[[TCDeals] - [TC Property Current Stage (Seq: 1)] - [Buildings (Seq: 74)] BIN - Both]&gt;</t>
        </r>
      </text>
    </comment>
    <comment ref="D1255" authorId="0" shapeId="0" xr:uid="{BA3055CA-0196-4C55-BA51-72B7D9C2ED95}">
      <text>
        <r>
          <rPr>
            <b/>
            <sz val="9"/>
            <color indexed="81"/>
            <rFont val="Tahoma"/>
            <family val="2"/>
          </rPr>
          <t>&lt;[[TCDeals] - [TC Property Current Stage (Seq: 1)] - [Buildings (Seq: 74)] Address 1 - Both]&gt;</t>
        </r>
      </text>
    </comment>
    <comment ref="E1255" authorId="0" shapeId="0" xr:uid="{03FA06EA-FCF7-4587-849A-A868364A749C}">
      <text>
        <r>
          <rPr>
            <b/>
            <sz val="9"/>
            <color indexed="81"/>
            <rFont val="Tahoma"/>
            <family val="2"/>
          </rPr>
          <t>&lt;[[TCDeals] - [TC Property Current Stage (Seq: 1)] - [Buildings (Seq: 74)] Num TC Units - Both]&gt;</t>
        </r>
      </text>
    </comment>
    <comment ref="F1255" authorId="0" shapeId="0" xr:uid="{B14E91A4-F8B1-43E5-8039-B86B673F28BC}">
      <text>
        <r>
          <rPr>
            <b/>
            <sz val="9"/>
            <color indexed="81"/>
            <rFont val="Tahoma"/>
            <family val="2"/>
          </rPr>
          <t>&lt;[[TCDeals] - [TC Property Current Stage (Seq: 1)] - [Buildings (Seq: 74)] PVC PIS Date - Both]&gt;</t>
        </r>
      </text>
    </comment>
    <comment ref="G1255" authorId="0" shapeId="0" xr:uid="{8F6B9C06-9483-48D2-BFC4-04E41B6A0DEA}">
      <text>
        <r>
          <rPr>
            <b/>
            <sz val="9"/>
            <color indexed="81"/>
            <rFont val="Tahoma"/>
            <family val="2"/>
          </rPr>
          <t>&lt;[[TCDeals] - [TC Property Current Stage (Seq: 1)] - [Buildings (Seq: 74)] PVC Applicable Percentage - Both]&gt;</t>
        </r>
      </text>
    </comment>
    <comment ref="H1255" authorId="0" shapeId="0" xr:uid="{68BDDBFF-46AA-4C1F-89AD-1A260C22AA18}">
      <text>
        <r>
          <rPr>
            <b/>
            <sz val="9"/>
            <color indexed="81"/>
            <rFont val="Tahoma"/>
            <family val="2"/>
          </rPr>
          <t>&lt;[[TCDeals] - [TC Property Current Stage (Seq: 1)] - [Buildings (Seq: 74)] PVC Est Qual Basis - Both]&gt;</t>
        </r>
      </text>
    </comment>
    <comment ref="I1255" authorId="0" shapeId="0" xr:uid="{EBF97BE0-46AA-4515-8E6B-7B682C15A1D6}">
      <text>
        <r>
          <rPr>
            <b/>
            <sz val="9"/>
            <color indexed="81"/>
            <rFont val="Tahoma"/>
            <family val="2"/>
          </rPr>
          <t>&lt;[[TCDeals] - [TC Property Current Stage (Seq: 1)] - [Buildings (Seq: 74)] PVC8609 Basis - Both]&gt;</t>
        </r>
      </text>
    </comment>
    <comment ref="J1255" authorId="0" shapeId="0" xr:uid="{CE575A68-2FD9-4A54-B7EF-ED0469D749E6}">
      <text>
        <r>
          <rPr>
            <b/>
            <sz val="9"/>
            <color indexed="81"/>
            <rFont val="Tahoma"/>
            <family val="2"/>
          </rPr>
          <t>&lt;[[TCDeals] - [TC Property Current Stage (Seq: 1)] - [Buildings (Seq: 74)] PVC8609 Credit - Both]&gt;</t>
        </r>
      </text>
    </comment>
    <comment ref="K1255" authorId="0" shapeId="0" xr:uid="{F99A1F4D-45B3-4641-BBCF-BABFF2E97EF3}">
      <text>
        <r>
          <rPr>
            <b/>
            <sz val="9"/>
            <color indexed="81"/>
            <rFont val="Tahoma"/>
            <family val="2"/>
          </rPr>
          <t>&lt;[[TCDeals] - [TC Property Current Stage (Seq: 1)] - [Buildings (Seq: 74)] Constr PIS Date - Both]&gt;</t>
        </r>
      </text>
    </comment>
    <comment ref="L1255" authorId="0" shapeId="0" xr:uid="{9E34E4B2-F5C3-413F-A5CA-FE6D3D3EA17F}">
      <text>
        <r>
          <rPr>
            <b/>
            <sz val="9"/>
            <color indexed="81"/>
            <rFont val="Tahoma"/>
            <family val="2"/>
          </rPr>
          <t>&lt;[[TCDeals] - [TC Property Current Stage (Seq: 1)] - [Buildings (Seq: 74)] Constr Applicable Percentage - Both]&gt;</t>
        </r>
      </text>
    </comment>
    <comment ref="M1255" authorId="0" shapeId="0" xr:uid="{D1FC3128-5A2B-48BA-A7BB-0112AECD406A}">
      <text>
        <r>
          <rPr>
            <b/>
            <sz val="9"/>
            <color indexed="81"/>
            <rFont val="Tahoma"/>
            <family val="2"/>
          </rPr>
          <t>&lt;[[TCDeals] - [TC Property Current Stage (Seq: 1)] - [Buildings (Seq: 74)] Constr Est Qual Basis - Both]&gt;</t>
        </r>
      </text>
    </comment>
    <comment ref="N1255" authorId="0" shapeId="0" xr:uid="{90B4C8E5-C3C5-45FC-8772-3F1783D84748}">
      <text>
        <r>
          <rPr>
            <b/>
            <sz val="9"/>
            <color indexed="81"/>
            <rFont val="Tahoma"/>
            <family val="2"/>
          </rPr>
          <t>&lt;[[TCDeals] - [TC Property Current Stage (Seq: 1)] - [Buildings (Seq: 74)] Constr 8609 Basis - Both]&gt;</t>
        </r>
      </text>
    </comment>
    <comment ref="O1255" authorId="0" shapeId="0" xr:uid="{9C6E72FC-46A4-454E-B231-F0FE37940059}">
      <text>
        <r>
          <rPr>
            <b/>
            <sz val="9"/>
            <color indexed="81"/>
            <rFont val="Tahoma"/>
            <family val="2"/>
          </rPr>
          <t>&lt;[[TCDeals] - [TC Property Current Stage (Seq: 1)] - [Buildings (Seq: 74)] Constr 8609 Credit - Both]&gt;</t>
        </r>
      </text>
    </comment>
    <comment ref="P1255" authorId="0" shapeId="0" xr:uid="{46D8CC68-A9FF-4E63-8AC6-D1FAEE66835B}">
      <text>
        <r>
          <rPr>
            <b/>
            <sz val="9"/>
            <color indexed="81"/>
            <rFont val="Tahoma"/>
            <family val="2"/>
          </rPr>
          <t>&lt;[[TCDeals] - [TC Property Current Stage (Seq: 1)] - [Buildings (Seq: 74)] Acq PIS Date - Both]&gt;</t>
        </r>
      </text>
    </comment>
    <comment ref="Q1255" authorId="0" shapeId="0" xr:uid="{A9703C13-356E-4A49-BDA4-8F938B469B03}">
      <text>
        <r>
          <rPr>
            <b/>
            <sz val="9"/>
            <color indexed="81"/>
            <rFont val="Tahoma"/>
            <family val="2"/>
          </rPr>
          <t>&lt;[[TCDeals] - [TC Property Current Stage (Seq: 1)] - [Buildings (Seq: 74)] Acq Applicable Percentage - Both]&gt;</t>
        </r>
      </text>
    </comment>
    <comment ref="R1255" authorId="0" shapeId="0" xr:uid="{ACE9A1D1-08B0-4002-BCE2-216D21DF11CE}">
      <text>
        <r>
          <rPr>
            <b/>
            <sz val="9"/>
            <color indexed="81"/>
            <rFont val="Tahoma"/>
            <family val="2"/>
          </rPr>
          <t>&lt;[[TCDeals] - [TC Property Current Stage (Seq: 1)] - [Buildings (Seq: 74)] Acq Est Qual Basis - Both]&gt;</t>
        </r>
      </text>
    </comment>
    <comment ref="S1255" authorId="0" shapeId="0" xr:uid="{1BF65143-3830-4060-BCD3-BBB541B14506}">
      <text>
        <r>
          <rPr>
            <b/>
            <sz val="9"/>
            <color indexed="81"/>
            <rFont val="Tahoma"/>
            <family val="2"/>
          </rPr>
          <t>&lt;[[TCDeals] - [TC Property Current Stage (Seq: 1)] - [Buildings (Seq: 74)] Acq 8609 Basis - Both]&gt;</t>
        </r>
      </text>
    </comment>
    <comment ref="T1255" authorId="0" shapeId="0" xr:uid="{076B4EFA-0C51-463E-A955-2EDB9778AE0B}">
      <text>
        <r>
          <rPr>
            <b/>
            <sz val="9"/>
            <color indexed="81"/>
            <rFont val="Tahoma"/>
            <family val="2"/>
          </rPr>
          <t>&lt;[[TCDeals] - [TC Property Current Stage (Seq: 1)] - [Buildings (Seq: 74)] Acq 8609 Credit - Both]&gt;</t>
        </r>
      </text>
    </comment>
    <comment ref="C1256" authorId="0" shapeId="0" xr:uid="{5CE19D0B-5D95-481C-B872-68657CDE0FDC}">
      <text>
        <r>
          <rPr>
            <b/>
            <sz val="9"/>
            <color indexed="81"/>
            <rFont val="Tahoma"/>
            <family val="2"/>
          </rPr>
          <t>&lt;[[TCDeals] - [TC Property Current Stage (Seq: 1)] - [Buildings (Seq: 75)] BIN - Both]&gt;</t>
        </r>
      </text>
    </comment>
    <comment ref="D1256" authorId="0" shapeId="0" xr:uid="{EAB4767A-D02C-428B-AA62-39FF9F53F23F}">
      <text>
        <r>
          <rPr>
            <b/>
            <sz val="9"/>
            <color indexed="81"/>
            <rFont val="Tahoma"/>
            <family val="2"/>
          </rPr>
          <t>&lt;[[TCDeals] - [TC Property Current Stage (Seq: 1)] - [Buildings (Seq: 75)] Address 1 - Both]&gt;</t>
        </r>
      </text>
    </comment>
    <comment ref="E1256" authorId="0" shapeId="0" xr:uid="{318F5B32-6BB4-4389-9257-9EF0740970B9}">
      <text>
        <r>
          <rPr>
            <b/>
            <sz val="9"/>
            <color indexed="81"/>
            <rFont val="Tahoma"/>
            <family val="2"/>
          </rPr>
          <t>&lt;[[TCDeals] - [TC Property Current Stage (Seq: 1)] - [Buildings (Seq: 75)] Num TC Units - Both]&gt;</t>
        </r>
      </text>
    </comment>
    <comment ref="F1256" authorId="0" shapeId="0" xr:uid="{7E3736D5-9F36-4BD5-814A-44A74A419A71}">
      <text>
        <r>
          <rPr>
            <b/>
            <sz val="9"/>
            <color indexed="81"/>
            <rFont val="Tahoma"/>
            <family val="2"/>
          </rPr>
          <t>&lt;[[TCDeals] - [TC Property Current Stage (Seq: 1)] - [Buildings (Seq: 75)] PVC PIS Date - Both]&gt;</t>
        </r>
      </text>
    </comment>
    <comment ref="G1256" authorId="0" shapeId="0" xr:uid="{BC3033ED-956B-43CB-8141-80EDC23382E3}">
      <text>
        <r>
          <rPr>
            <b/>
            <sz val="9"/>
            <color indexed="81"/>
            <rFont val="Tahoma"/>
            <family val="2"/>
          </rPr>
          <t>&lt;[[TCDeals] - [TC Property Current Stage (Seq: 1)] - [Buildings (Seq: 75)] PVC Applicable Percentage - Both]&gt;</t>
        </r>
      </text>
    </comment>
    <comment ref="H1256" authorId="0" shapeId="0" xr:uid="{077709E9-7A21-4894-BCF1-A4FC96C90139}">
      <text>
        <r>
          <rPr>
            <b/>
            <sz val="9"/>
            <color indexed="81"/>
            <rFont val="Tahoma"/>
            <family val="2"/>
          </rPr>
          <t>&lt;[[TCDeals] - [TC Property Current Stage (Seq: 1)] - [Buildings (Seq: 75)] PVC Est Qual Basis - Both]&gt;</t>
        </r>
      </text>
    </comment>
    <comment ref="I1256" authorId="0" shapeId="0" xr:uid="{04299DBD-37E7-476E-BB0E-8816B45F472A}">
      <text>
        <r>
          <rPr>
            <b/>
            <sz val="9"/>
            <color indexed="81"/>
            <rFont val="Tahoma"/>
            <family val="2"/>
          </rPr>
          <t>&lt;[[TCDeals] - [TC Property Current Stage (Seq: 1)] - [Buildings (Seq: 75)] PVC8609 Basis - Both]&gt;</t>
        </r>
      </text>
    </comment>
    <comment ref="J1256" authorId="0" shapeId="0" xr:uid="{8436EE64-5E35-445C-8767-E54310B88069}">
      <text>
        <r>
          <rPr>
            <b/>
            <sz val="9"/>
            <color indexed="81"/>
            <rFont val="Tahoma"/>
            <family val="2"/>
          </rPr>
          <t>&lt;[[TCDeals] - [TC Property Current Stage (Seq: 1)] - [Buildings (Seq: 75)] PVC8609 Credit - Both]&gt;</t>
        </r>
      </text>
    </comment>
    <comment ref="K1256" authorId="0" shapeId="0" xr:uid="{307224B3-23C6-40E4-8198-BDED6638D34C}">
      <text>
        <r>
          <rPr>
            <b/>
            <sz val="9"/>
            <color indexed="81"/>
            <rFont val="Tahoma"/>
            <family val="2"/>
          </rPr>
          <t>&lt;[[TCDeals] - [TC Property Current Stage (Seq: 1)] - [Buildings (Seq: 75)] Constr PIS Date - Both]&gt;</t>
        </r>
      </text>
    </comment>
    <comment ref="L1256" authorId="0" shapeId="0" xr:uid="{0C8A4C27-8EFC-47E0-8FBD-860945952C26}">
      <text>
        <r>
          <rPr>
            <b/>
            <sz val="9"/>
            <color indexed="81"/>
            <rFont val="Tahoma"/>
            <family val="2"/>
          </rPr>
          <t>&lt;[[TCDeals] - [TC Property Current Stage (Seq: 1)] - [Buildings (Seq: 75)] Constr Applicable Percentage - Both]&gt;</t>
        </r>
      </text>
    </comment>
    <comment ref="M1256" authorId="0" shapeId="0" xr:uid="{9356BF89-AEEA-4E04-9021-6FECE85A5C51}">
      <text>
        <r>
          <rPr>
            <b/>
            <sz val="9"/>
            <color indexed="81"/>
            <rFont val="Tahoma"/>
            <family val="2"/>
          </rPr>
          <t>&lt;[[TCDeals] - [TC Property Current Stage (Seq: 1)] - [Buildings (Seq: 75)] Constr Est Qual Basis - Both]&gt;</t>
        </r>
      </text>
    </comment>
    <comment ref="N1256" authorId="0" shapeId="0" xr:uid="{14F59EA5-AFE0-4B20-A3B3-3FB629C45A8E}">
      <text>
        <r>
          <rPr>
            <b/>
            <sz val="9"/>
            <color indexed="81"/>
            <rFont val="Tahoma"/>
            <family val="2"/>
          </rPr>
          <t>&lt;[[TCDeals] - [TC Property Current Stage (Seq: 1)] - [Buildings (Seq: 75)] Constr 8609 Basis - Both]&gt;</t>
        </r>
      </text>
    </comment>
    <comment ref="O1256" authorId="0" shapeId="0" xr:uid="{0818A855-96C0-484C-B500-8BB0F5A9D090}">
      <text>
        <r>
          <rPr>
            <b/>
            <sz val="9"/>
            <color indexed="81"/>
            <rFont val="Tahoma"/>
            <family val="2"/>
          </rPr>
          <t>&lt;[[TCDeals] - [TC Property Current Stage (Seq: 1)] - [Buildings (Seq: 75)] Constr 8609 Credit - Both]&gt;</t>
        </r>
      </text>
    </comment>
    <comment ref="P1256" authorId="0" shapeId="0" xr:uid="{4FF04E6A-BBAB-46AD-94DC-15A016AE84EF}">
      <text>
        <r>
          <rPr>
            <b/>
            <sz val="9"/>
            <color indexed="81"/>
            <rFont val="Tahoma"/>
            <family val="2"/>
          </rPr>
          <t>&lt;[[TCDeals] - [TC Property Current Stage (Seq: 1)] - [Buildings (Seq: 75)] Acq PIS Date - Both]&gt;</t>
        </r>
      </text>
    </comment>
    <comment ref="Q1256" authorId="0" shapeId="0" xr:uid="{62DE6A0D-E8A9-4ACD-9A2B-048AE83227C3}">
      <text>
        <r>
          <rPr>
            <b/>
            <sz val="9"/>
            <color indexed="81"/>
            <rFont val="Tahoma"/>
            <family val="2"/>
          </rPr>
          <t>&lt;[[TCDeals] - [TC Property Current Stage (Seq: 1)] - [Buildings (Seq: 75)] Acq Applicable Percentage - Both]&gt;</t>
        </r>
      </text>
    </comment>
    <comment ref="R1256" authorId="0" shapeId="0" xr:uid="{777AAE02-4D3D-441A-BE1C-41D6FE26A452}">
      <text>
        <r>
          <rPr>
            <b/>
            <sz val="9"/>
            <color indexed="81"/>
            <rFont val="Tahoma"/>
            <family val="2"/>
          </rPr>
          <t>&lt;[[TCDeals] - [TC Property Current Stage (Seq: 1)] - [Buildings (Seq: 75)] Acq Est Qual Basis - Both]&gt;</t>
        </r>
      </text>
    </comment>
    <comment ref="S1256" authorId="0" shapeId="0" xr:uid="{E0B9E59F-8953-49CC-AA3A-F2DB48D72F09}">
      <text>
        <r>
          <rPr>
            <b/>
            <sz val="9"/>
            <color indexed="81"/>
            <rFont val="Tahoma"/>
            <family val="2"/>
          </rPr>
          <t>&lt;[[TCDeals] - [TC Property Current Stage (Seq: 1)] - [Buildings (Seq: 75)] Acq 8609 Basis - Both]&gt;</t>
        </r>
      </text>
    </comment>
    <comment ref="T1256" authorId="0" shapeId="0" xr:uid="{0678B409-5AA7-4797-9790-1B08D79D0F62}">
      <text>
        <r>
          <rPr>
            <b/>
            <sz val="9"/>
            <color indexed="81"/>
            <rFont val="Tahoma"/>
            <family val="2"/>
          </rPr>
          <t>&lt;[[TCDeals] - [TC Property Current Stage (Seq: 1)] - [Buildings (Seq: 75)] Acq 8609 Credit - Both]&gt;</t>
        </r>
      </text>
    </comment>
    <comment ref="C1257" authorId="0" shapeId="0" xr:uid="{E3E5DD6F-A915-492B-83FB-CFFCCF79042A}">
      <text>
        <r>
          <rPr>
            <b/>
            <sz val="9"/>
            <color indexed="81"/>
            <rFont val="Tahoma"/>
            <family val="2"/>
          </rPr>
          <t>&lt;[[TCDeals] - [TC Property Current Stage (Seq: 1)] - [Buildings (Seq: 76)] BIN - Both]&gt;</t>
        </r>
      </text>
    </comment>
    <comment ref="D1257" authorId="0" shapeId="0" xr:uid="{6FBC9688-4F9A-4561-A465-277D6CD83F26}">
      <text>
        <r>
          <rPr>
            <b/>
            <sz val="9"/>
            <color indexed="81"/>
            <rFont val="Tahoma"/>
            <family val="2"/>
          </rPr>
          <t>&lt;[[TCDeals] - [TC Property Current Stage (Seq: 1)] - [Buildings (Seq: 76)] Address 1 - Both]&gt;</t>
        </r>
      </text>
    </comment>
    <comment ref="E1257" authorId="0" shapeId="0" xr:uid="{64DF0288-35AE-4893-92C6-A3F3F2AA9CAD}">
      <text>
        <r>
          <rPr>
            <b/>
            <sz val="9"/>
            <color indexed="81"/>
            <rFont val="Tahoma"/>
            <family val="2"/>
          </rPr>
          <t>&lt;[[TCDeals] - [TC Property Current Stage (Seq: 1)] - [Buildings (Seq: 76)] Num TC Units - Both]&gt;</t>
        </r>
      </text>
    </comment>
    <comment ref="F1257" authorId="0" shapeId="0" xr:uid="{1BC4F768-571B-4B06-87A0-1E1921605498}">
      <text>
        <r>
          <rPr>
            <b/>
            <sz val="9"/>
            <color indexed="81"/>
            <rFont val="Tahoma"/>
            <family val="2"/>
          </rPr>
          <t>&lt;[[TCDeals] - [TC Property Current Stage (Seq: 1)] - [Buildings (Seq: 76)] PVC PIS Date - Both]&gt;</t>
        </r>
      </text>
    </comment>
    <comment ref="G1257" authorId="0" shapeId="0" xr:uid="{4C738563-2EB4-43F5-8D00-F8442C4C379A}">
      <text>
        <r>
          <rPr>
            <b/>
            <sz val="9"/>
            <color indexed="81"/>
            <rFont val="Tahoma"/>
            <family val="2"/>
          </rPr>
          <t>&lt;[[TCDeals] - [TC Property Current Stage (Seq: 1)] - [Buildings (Seq: 76)] PVC Applicable Percentage - Both]&gt;</t>
        </r>
      </text>
    </comment>
    <comment ref="H1257" authorId="0" shapeId="0" xr:uid="{418595B9-7890-44CE-8F5C-B586BC39E8A5}">
      <text>
        <r>
          <rPr>
            <b/>
            <sz val="9"/>
            <color indexed="81"/>
            <rFont val="Tahoma"/>
            <family val="2"/>
          </rPr>
          <t>&lt;[[TCDeals] - [TC Property Current Stage (Seq: 1)] - [Buildings (Seq: 76)] PVC Est Qual Basis - Both]&gt;</t>
        </r>
      </text>
    </comment>
    <comment ref="I1257" authorId="0" shapeId="0" xr:uid="{8D6D8863-2967-43C8-AAEE-47049E172E06}">
      <text>
        <r>
          <rPr>
            <b/>
            <sz val="9"/>
            <color indexed="81"/>
            <rFont val="Tahoma"/>
            <family val="2"/>
          </rPr>
          <t>&lt;[[TCDeals] - [TC Property Current Stage (Seq: 1)] - [Buildings (Seq: 76)] PVC8609 Basis - Both]&gt;</t>
        </r>
      </text>
    </comment>
    <comment ref="J1257" authorId="0" shapeId="0" xr:uid="{96576721-3B45-49D3-9E5F-7F1918C0ACE9}">
      <text>
        <r>
          <rPr>
            <b/>
            <sz val="9"/>
            <color indexed="81"/>
            <rFont val="Tahoma"/>
            <family val="2"/>
          </rPr>
          <t>&lt;[[TCDeals] - [TC Property Current Stage (Seq: 1)] - [Buildings (Seq: 76)] PVC8609 Credit - Both]&gt;</t>
        </r>
      </text>
    </comment>
    <comment ref="K1257" authorId="0" shapeId="0" xr:uid="{4CC6A879-A714-4F8E-8123-D2972B8D6672}">
      <text>
        <r>
          <rPr>
            <b/>
            <sz val="9"/>
            <color indexed="81"/>
            <rFont val="Tahoma"/>
            <family val="2"/>
          </rPr>
          <t>&lt;[[TCDeals] - [TC Property Current Stage (Seq: 1)] - [Buildings (Seq: 76)] Constr PIS Date - Both]&gt;</t>
        </r>
      </text>
    </comment>
    <comment ref="L1257" authorId="0" shapeId="0" xr:uid="{996A271C-4532-4F5F-946A-73AB1F584551}">
      <text>
        <r>
          <rPr>
            <b/>
            <sz val="9"/>
            <color indexed="81"/>
            <rFont val="Tahoma"/>
            <family val="2"/>
          </rPr>
          <t>&lt;[[TCDeals] - [TC Property Current Stage (Seq: 1)] - [Buildings (Seq: 76)] Constr Applicable Percentage - Both]&gt;</t>
        </r>
      </text>
    </comment>
    <comment ref="M1257" authorId="0" shapeId="0" xr:uid="{C985C3C7-8BCB-4737-85CD-48A1FA2A4A44}">
      <text>
        <r>
          <rPr>
            <b/>
            <sz val="9"/>
            <color indexed="81"/>
            <rFont val="Tahoma"/>
            <family val="2"/>
          </rPr>
          <t>&lt;[[TCDeals] - [TC Property Current Stage (Seq: 1)] - [Buildings (Seq: 76)] Constr Est Qual Basis - Both]&gt;</t>
        </r>
      </text>
    </comment>
    <comment ref="N1257" authorId="0" shapeId="0" xr:uid="{883B8A9B-5507-4185-8721-4DF6F2951C93}">
      <text>
        <r>
          <rPr>
            <b/>
            <sz val="9"/>
            <color indexed="81"/>
            <rFont val="Tahoma"/>
            <family val="2"/>
          </rPr>
          <t>&lt;[[TCDeals] - [TC Property Current Stage (Seq: 1)] - [Buildings (Seq: 76)] Constr 8609 Basis - Both]&gt;</t>
        </r>
      </text>
    </comment>
    <comment ref="O1257" authorId="0" shapeId="0" xr:uid="{31128BE0-67E4-46EA-B2B4-2BB48D69AA11}">
      <text>
        <r>
          <rPr>
            <b/>
            <sz val="9"/>
            <color indexed="81"/>
            <rFont val="Tahoma"/>
            <family val="2"/>
          </rPr>
          <t>&lt;[[TCDeals] - [TC Property Current Stage (Seq: 1)] - [Buildings (Seq: 76)] Constr 8609 Credit - Both]&gt;</t>
        </r>
      </text>
    </comment>
    <comment ref="P1257" authorId="0" shapeId="0" xr:uid="{14344D49-4FB6-42DE-A3D0-3CDFD3921477}">
      <text>
        <r>
          <rPr>
            <b/>
            <sz val="9"/>
            <color indexed="81"/>
            <rFont val="Tahoma"/>
            <family val="2"/>
          </rPr>
          <t>&lt;[[TCDeals] - [TC Property Current Stage (Seq: 1)] - [Buildings (Seq: 76)] Acq PIS Date - Both]&gt;</t>
        </r>
      </text>
    </comment>
    <comment ref="Q1257" authorId="0" shapeId="0" xr:uid="{37652A7F-4612-4A4A-846E-C7C675F5420D}">
      <text>
        <r>
          <rPr>
            <b/>
            <sz val="9"/>
            <color indexed="81"/>
            <rFont val="Tahoma"/>
            <family val="2"/>
          </rPr>
          <t>&lt;[[TCDeals] - [TC Property Current Stage (Seq: 1)] - [Buildings (Seq: 76)] Acq Applicable Percentage - Both]&gt;</t>
        </r>
      </text>
    </comment>
    <comment ref="R1257" authorId="0" shapeId="0" xr:uid="{DD011C0B-3AAE-4F94-A841-199A5D1FCE19}">
      <text>
        <r>
          <rPr>
            <b/>
            <sz val="9"/>
            <color indexed="81"/>
            <rFont val="Tahoma"/>
            <family val="2"/>
          </rPr>
          <t>&lt;[[TCDeals] - [TC Property Current Stage (Seq: 1)] - [Buildings (Seq: 76)] Acq Est Qual Basis - Both]&gt;</t>
        </r>
      </text>
    </comment>
    <comment ref="S1257" authorId="0" shapeId="0" xr:uid="{15755A9E-7050-4EEA-B2FD-EDD51076F6CB}">
      <text>
        <r>
          <rPr>
            <b/>
            <sz val="9"/>
            <color indexed="81"/>
            <rFont val="Tahoma"/>
            <family val="2"/>
          </rPr>
          <t>&lt;[[TCDeals] - [TC Property Current Stage (Seq: 1)] - [Buildings (Seq: 76)] Acq 8609 Basis - Both]&gt;</t>
        </r>
      </text>
    </comment>
    <comment ref="T1257" authorId="0" shapeId="0" xr:uid="{C514EBC0-C88A-4582-B628-34ED3B96BA1E}">
      <text>
        <r>
          <rPr>
            <b/>
            <sz val="9"/>
            <color indexed="81"/>
            <rFont val="Tahoma"/>
            <family val="2"/>
          </rPr>
          <t>&lt;[[TCDeals] - [TC Property Current Stage (Seq: 1)] - [Buildings (Seq: 76)] Acq 8609 Credit - Both]&gt;</t>
        </r>
      </text>
    </comment>
    <comment ref="C1258" authorId="0" shapeId="0" xr:uid="{399AA9ED-81E1-4CED-ACBC-755CC0F013E8}">
      <text>
        <r>
          <rPr>
            <b/>
            <sz val="9"/>
            <color indexed="81"/>
            <rFont val="Tahoma"/>
            <family val="2"/>
          </rPr>
          <t>&lt;[[TCDeals] - [TC Property Current Stage (Seq: 1)] - [Buildings (Seq: 77)] BIN - Both]&gt;</t>
        </r>
      </text>
    </comment>
    <comment ref="D1258" authorId="0" shapeId="0" xr:uid="{6FD3545F-D96D-4C13-8CB0-19C9701A7D8C}">
      <text>
        <r>
          <rPr>
            <b/>
            <sz val="9"/>
            <color indexed="81"/>
            <rFont val="Tahoma"/>
            <family val="2"/>
          </rPr>
          <t>&lt;[[TCDeals] - [TC Property Current Stage (Seq: 1)] - [Buildings (Seq: 77)] Address 1 - Both]&gt;</t>
        </r>
      </text>
    </comment>
    <comment ref="E1258" authorId="0" shapeId="0" xr:uid="{1F69E6A3-EB31-4979-9611-33F940A6A719}">
      <text>
        <r>
          <rPr>
            <b/>
            <sz val="9"/>
            <color indexed="81"/>
            <rFont val="Tahoma"/>
            <family val="2"/>
          </rPr>
          <t>&lt;[[TCDeals] - [TC Property Current Stage (Seq: 1)] - [Buildings (Seq: 77)] Num TC Units - Both]&gt;</t>
        </r>
      </text>
    </comment>
    <comment ref="F1258" authorId="0" shapeId="0" xr:uid="{E19F67C7-4EB5-4D87-9F6E-416B8212B1CD}">
      <text>
        <r>
          <rPr>
            <b/>
            <sz val="9"/>
            <color indexed="81"/>
            <rFont val="Tahoma"/>
            <family val="2"/>
          </rPr>
          <t>&lt;[[TCDeals] - [TC Property Current Stage (Seq: 1)] - [Buildings (Seq: 77)] PVC PIS Date - Both]&gt;</t>
        </r>
      </text>
    </comment>
    <comment ref="G1258" authorId="0" shapeId="0" xr:uid="{1A37A3E7-C755-4A09-8DF6-898E568A1B9F}">
      <text>
        <r>
          <rPr>
            <b/>
            <sz val="9"/>
            <color indexed="81"/>
            <rFont val="Tahoma"/>
            <family val="2"/>
          </rPr>
          <t>&lt;[[TCDeals] - [TC Property Current Stage (Seq: 1)] - [Buildings (Seq: 77)] PVC Applicable Percentage - Both]&gt;</t>
        </r>
      </text>
    </comment>
    <comment ref="H1258" authorId="0" shapeId="0" xr:uid="{E55B15D2-EA2F-4501-8CC9-BC7362B369FB}">
      <text>
        <r>
          <rPr>
            <b/>
            <sz val="9"/>
            <color indexed="81"/>
            <rFont val="Tahoma"/>
            <family val="2"/>
          </rPr>
          <t>&lt;[[TCDeals] - [TC Property Current Stage (Seq: 1)] - [Buildings (Seq: 77)] PVC Est Qual Basis - Both]&gt;</t>
        </r>
      </text>
    </comment>
    <comment ref="I1258" authorId="0" shapeId="0" xr:uid="{408BCE56-AE2B-4FC8-858D-E1FD080630E8}">
      <text>
        <r>
          <rPr>
            <b/>
            <sz val="9"/>
            <color indexed="81"/>
            <rFont val="Tahoma"/>
            <family val="2"/>
          </rPr>
          <t>&lt;[[TCDeals] - [TC Property Current Stage (Seq: 1)] - [Buildings (Seq: 77)] PVC8609 Basis - Both]&gt;</t>
        </r>
      </text>
    </comment>
    <comment ref="J1258" authorId="0" shapeId="0" xr:uid="{9A9BC22F-1CEA-4DB1-BB53-9BEBBB2F9226}">
      <text>
        <r>
          <rPr>
            <b/>
            <sz val="9"/>
            <color indexed="81"/>
            <rFont val="Tahoma"/>
            <family val="2"/>
          </rPr>
          <t>&lt;[[TCDeals] - [TC Property Current Stage (Seq: 1)] - [Buildings (Seq: 77)] PVC8609 Credit - Both]&gt;</t>
        </r>
      </text>
    </comment>
    <comment ref="K1258" authorId="0" shapeId="0" xr:uid="{7159D64E-DE55-475B-8D92-03224920CFCA}">
      <text>
        <r>
          <rPr>
            <b/>
            <sz val="9"/>
            <color indexed="81"/>
            <rFont val="Tahoma"/>
            <family val="2"/>
          </rPr>
          <t>&lt;[[TCDeals] - [TC Property Current Stage (Seq: 1)] - [Buildings (Seq: 77)] Constr PIS Date - Both]&gt;</t>
        </r>
      </text>
    </comment>
    <comment ref="L1258" authorId="0" shapeId="0" xr:uid="{0D3D8616-D686-40AE-979A-39E39C4A22B7}">
      <text>
        <r>
          <rPr>
            <b/>
            <sz val="9"/>
            <color indexed="81"/>
            <rFont val="Tahoma"/>
            <family val="2"/>
          </rPr>
          <t>&lt;[[TCDeals] - [TC Property Current Stage (Seq: 1)] - [Buildings (Seq: 77)] Constr Applicable Percentage - Both]&gt;</t>
        </r>
      </text>
    </comment>
    <comment ref="M1258" authorId="0" shapeId="0" xr:uid="{19B6AA9C-41FA-422B-83C3-64BE4BC32348}">
      <text>
        <r>
          <rPr>
            <b/>
            <sz val="9"/>
            <color indexed="81"/>
            <rFont val="Tahoma"/>
            <family val="2"/>
          </rPr>
          <t>&lt;[[TCDeals] - [TC Property Current Stage (Seq: 1)] - [Buildings (Seq: 77)] Constr Est Qual Basis - Both]&gt;</t>
        </r>
      </text>
    </comment>
    <comment ref="N1258" authorId="0" shapeId="0" xr:uid="{8A23931E-AF53-4478-94BB-6E43D50FCC56}">
      <text>
        <r>
          <rPr>
            <b/>
            <sz val="9"/>
            <color indexed="81"/>
            <rFont val="Tahoma"/>
            <family val="2"/>
          </rPr>
          <t>&lt;[[TCDeals] - [TC Property Current Stage (Seq: 1)] - [Buildings (Seq: 77)] Constr 8609 Basis - Both]&gt;</t>
        </r>
      </text>
    </comment>
    <comment ref="O1258" authorId="0" shapeId="0" xr:uid="{CB51BE3B-0A67-4A20-8DFA-AA7531E47FB0}">
      <text>
        <r>
          <rPr>
            <b/>
            <sz val="9"/>
            <color indexed="81"/>
            <rFont val="Tahoma"/>
            <family val="2"/>
          </rPr>
          <t>&lt;[[TCDeals] - [TC Property Current Stage (Seq: 1)] - [Buildings (Seq: 77)] Constr 8609 Credit - Both]&gt;</t>
        </r>
      </text>
    </comment>
    <comment ref="P1258" authorId="0" shapeId="0" xr:uid="{1D53409E-5C22-4750-8FF1-86FCA6F61D1B}">
      <text>
        <r>
          <rPr>
            <b/>
            <sz val="9"/>
            <color indexed="81"/>
            <rFont val="Tahoma"/>
            <family val="2"/>
          </rPr>
          <t>&lt;[[TCDeals] - [TC Property Current Stage (Seq: 1)] - [Buildings (Seq: 77)] Acq PIS Date - Both]&gt;</t>
        </r>
      </text>
    </comment>
    <comment ref="Q1258" authorId="0" shapeId="0" xr:uid="{1A149AA2-32C6-4489-8143-489284459F8C}">
      <text>
        <r>
          <rPr>
            <b/>
            <sz val="9"/>
            <color indexed="81"/>
            <rFont val="Tahoma"/>
            <family val="2"/>
          </rPr>
          <t>&lt;[[TCDeals] - [TC Property Current Stage (Seq: 1)] - [Buildings (Seq: 77)] Acq Applicable Percentage - Both]&gt;</t>
        </r>
      </text>
    </comment>
    <comment ref="R1258" authorId="0" shapeId="0" xr:uid="{32B75125-BB48-4663-82EB-1FF22412D41C}">
      <text>
        <r>
          <rPr>
            <b/>
            <sz val="9"/>
            <color indexed="81"/>
            <rFont val="Tahoma"/>
            <family val="2"/>
          </rPr>
          <t>&lt;[[TCDeals] - [TC Property Current Stage (Seq: 1)] - [Buildings (Seq: 77)] Acq Est Qual Basis - Both]&gt;</t>
        </r>
      </text>
    </comment>
    <comment ref="S1258" authorId="0" shapeId="0" xr:uid="{B263CAF3-7BD0-4B49-953C-ACAB1BB4040B}">
      <text>
        <r>
          <rPr>
            <b/>
            <sz val="9"/>
            <color indexed="81"/>
            <rFont val="Tahoma"/>
            <family val="2"/>
          </rPr>
          <t>&lt;[[TCDeals] - [TC Property Current Stage (Seq: 1)] - [Buildings (Seq: 77)] Acq 8609 Basis - Both]&gt;</t>
        </r>
      </text>
    </comment>
    <comment ref="T1258" authorId="0" shapeId="0" xr:uid="{AC3A7A51-6215-417E-86C1-320303A91DFF}">
      <text>
        <r>
          <rPr>
            <b/>
            <sz val="9"/>
            <color indexed="81"/>
            <rFont val="Tahoma"/>
            <family val="2"/>
          </rPr>
          <t>&lt;[[TCDeals] - [TC Property Current Stage (Seq: 1)] - [Buildings (Seq: 77)] Acq 8609 Credit - Both]&gt;</t>
        </r>
      </text>
    </comment>
    <comment ref="C1259" authorId="0" shapeId="0" xr:uid="{267A07C4-5F4B-4325-BB15-78C1B03278A4}">
      <text>
        <r>
          <rPr>
            <b/>
            <sz val="9"/>
            <color indexed="81"/>
            <rFont val="Tahoma"/>
            <family val="2"/>
          </rPr>
          <t>&lt;[[TCDeals] - [TC Property Current Stage (Seq: 1)] - [Buildings (Seq: 78)] BIN - Both]&gt;</t>
        </r>
      </text>
    </comment>
    <comment ref="D1259" authorId="0" shapeId="0" xr:uid="{38B7F7A6-E48E-483B-BBE9-F5793F85FF37}">
      <text>
        <r>
          <rPr>
            <b/>
            <sz val="9"/>
            <color indexed="81"/>
            <rFont val="Tahoma"/>
            <family val="2"/>
          </rPr>
          <t>&lt;[[TCDeals] - [TC Property Current Stage (Seq: 1)] - [Buildings (Seq: 78)] Address 1 - Both]&gt;</t>
        </r>
      </text>
    </comment>
    <comment ref="E1259" authorId="0" shapeId="0" xr:uid="{A25B8877-0183-4366-905E-63BE713D7C88}">
      <text>
        <r>
          <rPr>
            <b/>
            <sz val="9"/>
            <color indexed="81"/>
            <rFont val="Tahoma"/>
            <family val="2"/>
          </rPr>
          <t>&lt;[[TCDeals] - [TC Property Current Stage (Seq: 1)] - [Buildings (Seq: 78)] Num TC Units - Both]&gt;</t>
        </r>
      </text>
    </comment>
    <comment ref="F1259" authorId="0" shapeId="0" xr:uid="{720788CE-9ABE-4E4F-BF44-2F05C9C60044}">
      <text>
        <r>
          <rPr>
            <b/>
            <sz val="9"/>
            <color indexed="81"/>
            <rFont val="Tahoma"/>
            <family val="2"/>
          </rPr>
          <t>&lt;[[TCDeals] - [TC Property Current Stage (Seq: 1)] - [Buildings (Seq: 78)] PVC PIS Date - Both]&gt;</t>
        </r>
      </text>
    </comment>
    <comment ref="G1259" authorId="0" shapeId="0" xr:uid="{359467D4-3334-4B96-A7A8-81B769CA17F4}">
      <text>
        <r>
          <rPr>
            <b/>
            <sz val="9"/>
            <color indexed="81"/>
            <rFont val="Tahoma"/>
            <family val="2"/>
          </rPr>
          <t>&lt;[[TCDeals] - [TC Property Current Stage (Seq: 1)] - [Buildings (Seq: 78)] PVC Applicable Percentage - Both]&gt;</t>
        </r>
      </text>
    </comment>
    <comment ref="H1259" authorId="0" shapeId="0" xr:uid="{B8C17EC5-D312-4D76-9997-AB4BD5CB8132}">
      <text>
        <r>
          <rPr>
            <b/>
            <sz val="9"/>
            <color indexed="81"/>
            <rFont val="Tahoma"/>
            <family val="2"/>
          </rPr>
          <t>&lt;[[TCDeals] - [TC Property Current Stage (Seq: 1)] - [Buildings (Seq: 78)] PVC Est Qual Basis - Both]&gt;</t>
        </r>
      </text>
    </comment>
    <comment ref="I1259" authorId="0" shapeId="0" xr:uid="{40B3722F-D7D8-452E-8AB2-F8017662B947}">
      <text>
        <r>
          <rPr>
            <b/>
            <sz val="9"/>
            <color indexed="81"/>
            <rFont val="Tahoma"/>
            <family val="2"/>
          </rPr>
          <t>&lt;[[TCDeals] - [TC Property Current Stage (Seq: 1)] - [Buildings (Seq: 78)] PVC8609 Basis - Both]&gt;</t>
        </r>
      </text>
    </comment>
    <comment ref="J1259" authorId="0" shapeId="0" xr:uid="{255671B2-12BA-4453-8B15-7FEBB8502413}">
      <text>
        <r>
          <rPr>
            <b/>
            <sz val="9"/>
            <color indexed="81"/>
            <rFont val="Tahoma"/>
            <family val="2"/>
          </rPr>
          <t>&lt;[[TCDeals] - [TC Property Current Stage (Seq: 1)] - [Buildings (Seq: 78)] PVC8609 Credit - Both]&gt;</t>
        </r>
      </text>
    </comment>
    <comment ref="K1259" authorId="0" shapeId="0" xr:uid="{B7141D1D-E5B7-4195-BDCF-B166499A21ED}">
      <text>
        <r>
          <rPr>
            <b/>
            <sz val="9"/>
            <color indexed="81"/>
            <rFont val="Tahoma"/>
            <family val="2"/>
          </rPr>
          <t>&lt;[[TCDeals] - [TC Property Current Stage (Seq: 1)] - [Buildings (Seq: 78)] Constr PIS Date - Both]&gt;</t>
        </r>
      </text>
    </comment>
    <comment ref="L1259" authorId="0" shapeId="0" xr:uid="{85112CCC-3A97-4FFC-9D43-46529F2914EB}">
      <text>
        <r>
          <rPr>
            <b/>
            <sz val="9"/>
            <color indexed="81"/>
            <rFont val="Tahoma"/>
            <family val="2"/>
          </rPr>
          <t>&lt;[[TCDeals] - [TC Property Current Stage (Seq: 1)] - [Buildings (Seq: 78)] Constr Applicable Percentage - Both]&gt;</t>
        </r>
      </text>
    </comment>
    <comment ref="M1259" authorId="0" shapeId="0" xr:uid="{7FE78B84-519F-4A85-93B4-AEBF4601DB6F}">
      <text>
        <r>
          <rPr>
            <b/>
            <sz val="9"/>
            <color indexed="81"/>
            <rFont val="Tahoma"/>
            <family val="2"/>
          </rPr>
          <t>&lt;[[TCDeals] - [TC Property Current Stage (Seq: 1)] - [Buildings (Seq: 78)] Constr Est Qual Basis - Both]&gt;</t>
        </r>
      </text>
    </comment>
    <comment ref="N1259" authorId="0" shapeId="0" xr:uid="{DE004345-6BE7-4975-9BC8-690481B832AE}">
      <text>
        <r>
          <rPr>
            <b/>
            <sz val="9"/>
            <color indexed="81"/>
            <rFont val="Tahoma"/>
            <family val="2"/>
          </rPr>
          <t>&lt;[[TCDeals] - [TC Property Current Stage (Seq: 1)] - [Buildings (Seq: 78)] Constr 8609 Basis - Both]&gt;</t>
        </r>
      </text>
    </comment>
    <comment ref="O1259" authorId="0" shapeId="0" xr:uid="{534B05A7-80FF-4849-B18C-8D71247F5D55}">
      <text>
        <r>
          <rPr>
            <b/>
            <sz val="9"/>
            <color indexed="81"/>
            <rFont val="Tahoma"/>
            <family val="2"/>
          </rPr>
          <t>&lt;[[TCDeals] - [TC Property Current Stage (Seq: 1)] - [Buildings (Seq: 78)] Constr 8609 Credit - Both]&gt;</t>
        </r>
      </text>
    </comment>
    <comment ref="P1259" authorId="0" shapeId="0" xr:uid="{35792CB8-EF27-48D5-92E2-8D13257E3C0B}">
      <text>
        <r>
          <rPr>
            <b/>
            <sz val="9"/>
            <color indexed="81"/>
            <rFont val="Tahoma"/>
            <family val="2"/>
          </rPr>
          <t>&lt;[[TCDeals] - [TC Property Current Stage (Seq: 1)] - [Buildings (Seq: 78)] Acq PIS Date - Both]&gt;</t>
        </r>
      </text>
    </comment>
    <comment ref="Q1259" authorId="0" shapeId="0" xr:uid="{20BBB67A-9FAE-42E1-A45A-F03DDAC59BC4}">
      <text>
        <r>
          <rPr>
            <b/>
            <sz val="9"/>
            <color indexed="81"/>
            <rFont val="Tahoma"/>
            <family val="2"/>
          </rPr>
          <t>&lt;[[TCDeals] - [TC Property Current Stage (Seq: 1)] - [Buildings (Seq: 78)] Acq Applicable Percentage - Both]&gt;</t>
        </r>
      </text>
    </comment>
    <comment ref="R1259" authorId="0" shapeId="0" xr:uid="{B08125B6-E791-4391-B8DA-2C5BAF88C668}">
      <text>
        <r>
          <rPr>
            <b/>
            <sz val="9"/>
            <color indexed="81"/>
            <rFont val="Tahoma"/>
            <family val="2"/>
          </rPr>
          <t>&lt;[[TCDeals] - [TC Property Current Stage (Seq: 1)] - [Buildings (Seq: 78)] Acq Est Qual Basis - Both]&gt;</t>
        </r>
      </text>
    </comment>
    <comment ref="S1259" authorId="0" shapeId="0" xr:uid="{6D8D2251-255C-418F-9DF7-E4AA14BBD9B9}">
      <text>
        <r>
          <rPr>
            <b/>
            <sz val="9"/>
            <color indexed="81"/>
            <rFont val="Tahoma"/>
            <family val="2"/>
          </rPr>
          <t>&lt;[[TCDeals] - [TC Property Current Stage (Seq: 1)] - [Buildings (Seq: 78)] Acq 8609 Basis - Both]&gt;</t>
        </r>
      </text>
    </comment>
    <comment ref="T1259" authorId="0" shapeId="0" xr:uid="{FA148F26-B961-4A75-A5F7-DE398CEC9317}">
      <text>
        <r>
          <rPr>
            <b/>
            <sz val="9"/>
            <color indexed="81"/>
            <rFont val="Tahoma"/>
            <family val="2"/>
          </rPr>
          <t>&lt;[[TCDeals] - [TC Property Current Stage (Seq: 1)] - [Buildings (Seq: 78)] Acq 8609 Credit - Both]&gt;</t>
        </r>
      </text>
    </comment>
    <comment ref="C1260" authorId="0" shapeId="0" xr:uid="{ECA67149-C651-4AD0-84AE-24C235EDB29C}">
      <text>
        <r>
          <rPr>
            <b/>
            <sz val="9"/>
            <color indexed="81"/>
            <rFont val="Tahoma"/>
            <family val="2"/>
          </rPr>
          <t>&lt;[[TCDeals] - [TC Property Current Stage (Seq: 1)] - [Buildings (Seq: 79)] BIN - Both]&gt;</t>
        </r>
      </text>
    </comment>
    <comment ref="D1260" authorId="0" shapeId="0" xr:uid="{8ECEB10B-871D-49BC-8C3D-23714A86A280}">
      <text>
        <r>
          <rPr>
            <b/>
            <sz val="9"/>
            <color indexed="81"/>
            <rFont val="Tahoma"/>
            <family val="2"/>
          </rPr>
          <t>&lt;[[TCDeals] - [TC Property Current Stage (Seq: 1)] - [Buildings (Seq: 79)] Address 1 - Both]&gt;</t>
        </r>
      </text>
    </comment>
    <comment ref="E1260" authorId="0" shapeId="0" xr:uid="{7BE999BE-C6B2-480C-99A8-8854889EA772}">
      <text>
        <r>
          <rPr>
            <b/>
            <sz val="9"/>
            <color indexed="81"/>
            <rFont val="Tahoma"/>
            <family val="2"/>
          </rPr>
          <t>&lt;[[TCDeals] - [TC Property Current Stage (Seq: 1)] - [Buildings (Seq: 79)] Num TC Units - Both]&gt;</t>
        </r>
      </text>
    </comment>
    <comment ref="F1260" authorId="0" shapeId="0" xr:uid="{726224CD-9048-4659-87CB-C65103C0283E}">
      <text>
        <r>
          <rPr>
            <b/>
            <sz val="9"/>
            <color indexed="81"/>
            <rFont val="Tahoma"/>
            <family val="2"/>
          </rPr>
          <t>&lt;[[TCDeals] - [TC Property Current Stage (Seq: 1)] - [Buildings (Seq: 79)] PVC PIS Date - Both]&gt;</t>
        </r>
      </text>
    </comment>
    <comment ref="G1260" authorId="0" shapeId="0" xr:uid="{B2957FE4-F9F8-4D01-A9BB-94650DE1D906}">
      <text>
        <r>
          <rPr>
            <b/>
            <sz val="9"/>
            <color indexed="81"/>
            <rFont val="Tahoma"/>
            <family val="2"/>
          </rPr>
          <t>&lt;[[TCDeals] - [TC Property Current Stage (Seq: 1)] - [Buildings (Seq: 79)] PVC Applicable Percentage - Both]&gt;</t>
        </r>
      </text>
    </comment>
    <comment ref="H1260" authorId="0" shapeId="0" xr:uid="{21E296E0-4271-4CBA-819F-7FF56AE63C7D}">
      <text>
        <r>
          <rPr>
            <b/>
            <sz val="9"/>
            <color indexed="81"/>
            <rFont val="Tahoma"/>
            <family val="2"/>
          </rPr>
          <t>&lt;[[TCDeals] - [TC Property Current Stage (Seq: 1)] - [Buildings (Seq: 79)] PVC Est Qual Basis - Both]&gt;</t>
        </r>
      </text>
    </comment>
    <comment ref="I1260" authorId="0" shapeId="0" xr:uid="{A24F6612-2213-4BA8-806E-514E01473364}">
      <text>
        <r>
          <rPr>
            <b/>
            <sz val="9"/>
            <color indexed="81"/>
            <rFont val="Tahoma"/>
            <family val="2"/>
          </rPr>
          <t>&lt;[[TCDeals] - [TC Property Current Stage (Seq: 1)] - [Buildings (Seq: 79)] PVC8609 Basis - Both]&gt;</t>
        </r>
      </text>
    </comment>
    <comment ref="J1260" authorId="0" shapeId="0" xr:uid="{9FCE3598-4C36-4872-A131-3B1D96FF94F5}">
      <text>
        <r>
          <rPr>
            <b/>
            <sz val="9"/>
            <color indexed="81"/>
            <rFont val="Tahoma"/>
            <family val="2"/>
          </rPr>
          <t>&lt;[[TCDeals] - [TC Property Current Stage (Seq: 1)] - [Buildings (Seq: 79)] PVC8609 Credit - Both]&gt;</t>
        </r>
      </text>
    </comment>
    <comment ref="K1260" authorId="0" shapeId="0" xr:uid="{9EB47AD1-DF18-4FE5-96F4-1B66E790FFDF}">
      <text>
        <r>
          <rPr>
            <b/>
            <sz val="9"/>
            <color indexed="81"/>
            <rFont val="Tahoma"/>
            <family val="2"/>
          </rPr>
          <t>&lt;[[TCDeals] - [TC Property Current Stage (Seq: 1)] - [Buildings (Seq: 79)] Constr PIS Date - Both]&gt;</t>
        </r>
      </text>
    </comment>
    <comment ref="L1260" authorId="0" shapeId="0" xr:uid="{44832D02-7C08-4B43-819A-8F87C3D61052}">
      <text>
        <r>
          <rPr>
            <b/>
            <sz val="9"/>
            <color indexed="81"/>
            <rFont val="Tahoma"/>
            <family val="2"/>
          </rPr>
          <t>&lt;[[TCDeals] - [TC Property Current Stage (Seq: 1)] - [Buildings (Seq: 79)] Constr Applicable Percentage - Both]&gt;</t>
        </r>
      </text>
    </comment>
    <comment ref="M1260" authorId="0" shapeId="0" xr:uid="{7EAF8130-0A0F-44C4-ADD7-E583416D21DD}">
      <text>
        <r>
          <rPr>
            <b/>
            <sz val="9"/>
            <color indexed="81"/>
            <rFont val="Tahoma"/>
            <family val="2"/>
          </rPr>
          <t>&lt;[[TCDeals] - [TC Property Current Stage (Seq: 1)] - [Buildings (Seq: 79)] Constr Est Qual Basis - Both]&gt;</t>
        </r>
      </text>
    </comment>
    <comment ref="N1260" authorId="0" shapeId="0" xr:uid="{57C730EB-E602-4508-A58C-C6402128F25D}">
      <text>
        <r>
          <rPr>
            <b/>
            <sz val="9"/>
            <color indexed="81"/>
            <rFont val="Tahoma"/>
            <family val="2"/>
          </rPr>
          <t>&lt;[[TCDeals] - [TC Property Current Stage (Seq: 1)] - [Buildings (Seq: 79)] Constr 8609 Basis - Both]&gt;</t>
        </r>
      </text>
    </comment>
    <comment ref="O1260" authorId="0" shapeId="0" xr:uid="{D9189EB2-B88F-4782-8F61-C487D7DEF6E3}">
      <text>
        <r>
          <rPr>
            <b/>
            <sz val="9"/>
            <color indexed="81"/>
            <rFont val="Tahoma"/>
            <family val="2"/>
          </rPr>
          <t>&lt;[[TCDeals] - [TC Property Current Stage (Seq: 1)] - [Buildings (Seq: 79)] Constr 8609 Credit - Both]&gt;</t>
        </r>
      </text>
    </comment>
    <comment ref="P1260" authorId="0" shapeId="0" xr:uid="{C30E78BD-73ED-4CB2-985B-3F67B0E949F6}">
      <text>
        <r>
          <rPr>
            <b/>
            <sz val="9"/>
            <color indexed="81"/>
            <rFont val="Tahoma"/>
            <family val="2"/>
          </rPr>
          <t>&lt;[[TCDeals] - [TC Property Current Stage (Seq: 1)] - [Buildings (Seq: 79)] Acq PIS Date - Both]&gt;</t>
        </r>
      </text>
    </comment>
    <comment ref="Q1260" authorId="0" shapeId="0" xr:uid="{C23D7B84-3DAF-4AC8-BA99-6678FCEFED92}">
      <text>
        <r>
          <rPr>
            <b/>
            <sz val="9"/>
            <color indexed="81"/>
            <rFont val="Tahoma"/>
            <family val="2"/>
          </rPr>
          <t>&lt;[[TCDeals] - [TC Property Current Stage (Seq: 1)] - [Buildings (Seq: 79)] Acq Applicable Percentage - Both]&gt;</t>
        </r>
      </text>
    </comment>
    <comment ref="R1260" authorId="0" shapeId="0" xr:uid="{8F05EDF1-7A12-4720-A5E6-995C1F5F7879}">
      <text>
        <r>
          <rPr>
            <b/>
            <sz val="9"/>
            <color indexed="81"/>
            <rFont val="Tahoma"/>
            <family val="2"/>
          </rPr>
          <t>&lt;[[TCDeals] - [TC Property Current Stage (Seq: 1)] - [Buildings (Seq: 79)] Acq Est Qual Basis - Both]&gt;</t>
        </r>
      </text>
    </comment>
    <comment ref="S1260" authorId="0" shapeId="0" xr:uid="{A7B48835-EE9E-411F-A252-038487EC08B8}">
      <text>
        <r>
          <rPr>
            <b/>
            <sz val="9"/>
            <color indexed="81"/>
            <rFont val="Tahoma"/>
            <family val="2"/>
          </rPr>
          <t>&lt;[[TCDeals] - [TC Property Current Stage (Seq: 1)] - [Buildings (Seq: 79)] Acq 8609 Basis - Both]&gt;</t>
        </r>
      </text>
    </comment>
    <comment ref="T1260" authorId="0" shapeId="0" xr:uid="{3E4036C2-6867-481A-BA8A-12F794A9E86C}">
      <text>
        <r>
          <rPr>
            <b/>
            <sz val="9"/>
            <color indexed="81"/>
            <rFont val="Tahoma"/>
            <family val="2"/>
          </rPr>
          <t>&lt;[[TCDeals] - [TC Property Current Stage (Seq: 1)] - [Buildings (Seq: 79)] Acq 8609 Credit - Both]&gt;</t>
        </r>
      </text>
    </comment>
    <comment ref="C1261" authorId="0" shapeId="0" xr:uid="{DB7306E6-E83D-425B-8ACD-A098D55B0594}">
      <text>
        <r>
          <rPr>
            <b/>
            <sz val="9"/>
            <color indexed="81"/>
            <rFont val="Tahoma"/>
            <family val="2"/>
          </rPr>
          <t>&lt;[[TCDeals] - [TC Property Current Stage (Seq: 1)] - [Buildings (Seq: 80)] BIN - Both]&gt;</t>
        </r>
      </text>
    </comment>
    <comment ref="D1261" authorId="0" shapeId="0" xr:uid="{5F868DE8-9C44-452F-8CF0-FF1BE6922563}">
      <text>
        <r>
          <rPr>
            <b/>
            <sz val="9"/>
            <color indexed="81"/>
            <rFont val="Tahoma"/>
            <family val="2"/>
          </rPr>
          <t>&lt;[[TCDeals] - [TC Property Current Stage (Seq: 1)] - [Buildings (Seq: 80)] Address 1 - Both]&gt;</t>
        </r>
      </text>
    </comment>
    <comment ref="E1261" authorId="0" shapeId="0" xr:uid="{482F1B98-028E-49EF-B7BD-77B8B274FA2A}">
      <text>
        <r>
          <rPr>
            <b/>
            <sz val="9"/>
            <color indexed="81"/>
            <rFont val="Tahoma"/>
            <family val="2"/>
          </rPr>
          <t>&lt;[[TCDeals] - [TC Property Current Stage (Seq: 1)] - [Buildings (Seq: 80)] Num TC Units - Both]&gt;</t>
        </r>
      </text>
    </comment>
    <comment ref="F1261" authorId="0" shapeId="0" xr:uid="{5D3C3F71-D978-452F-B2A9-80B6365764B2}">
      <text>
        <r>
          <rPr>
            <b/>
            <sz val="9"/>
            <color indexed="81"/>
            <rFont val="Tahoma"/>
            <family val="2"/>
          </rPr>
          <t>&lt;[[TCDeals] - [TC Property Current Stage (Seq: 1)] - [Buildings (Seq: 80)] PVC PIS Date - Both]&gt;</t>
        </r>
      </text>
    </comment>
    <comment ref="G1261" authorId="0" shapeId="0" xr:uid="{EA3DEB3B-8647-4334-9045-E3BAD8FF653F}">
      <text>
        <r>
          <rPr>
            <b/>
            <sz val="9"/>
            <color indexed="81"/>
            <rFont val="Tahoma"/>
            <family val="2"/>
          </rPr>
          <t>&lt;[[TCDeals] - [TC Property Current Stage (Seq: 1)] - [Buildings (Seq: 80)] PVC Applicable Percentage - Both]&gt;</t>
        </r>
      </text>
    </comment>
    <comment ref="H1261" authorId="0" shapeId="0" xr:uid="{042A3497-8E92-4E47-9028-F873D3841A03}">
      <text>
        <r>
          <rPr>
            <b/>
            <sz val="9"/>
            <color indexed="81"/>
            <rFont val="Tahoma"/>
            <family val="2"/>
          </rPr>
          <t>&lt;[[TCDeals] - [TC Property Current Stage (Seq: 1)] - [Buildings (Seq: 80)] PVC Est Qual Basis - Both]&gt;</t>
        </r>
      </text>
    </comment>
    <comment ref="I1261" authorId="0" shapeId="0" xr:uid="{C164FAFC-81C4-4BE0-818A-C376F750F551}">
      <text>
        <r>
          <rPr>
            <b/>
            <sz val="9"/>
            <color indexed="81"/>
            <rFont val="Tahoma"/>
            <family val="2"/>
          </rPr>
          <t>&lt;[[TCDeals] - [TC Property Current Stage (Seq: 1)] - [Buildings (Seq: 80)] PVC8609 Basis - Both]&gt;</t>
        </r>
      </text>
    </comment>
    <comment ref="J1261" authorId="0" shapeId="0" xr:uid="{6604724B-C44A-4F9A-8CE6-DCE671B06DF6}">
      <text>
        <r>
          <rPr>
            <b/>
            <sz val="9"/>
            <color indexed="81"/>
            <rFont val="Tahoma"/>
            <family val="2"/>
          </rPr>
          <t>&lt;[[TCDeals] - [TC Property Current Stage (Seq: 1)] - [Buildings (Seq: 80)] PVC8609 Credit - Both]&gt;</t>
        </r>
      </text>
    </comment>
    <comment ref="K1261" authorId="0" shapeId="0" xr:uid="{080B8974-52AE-4AB8-AFF9-5A2E2A6E65A3}">
      <text>
        <r>
          <rPr>
            <b/>
            <sz val="9"/>
            <color indexed="81"/>
            <rFont val="Tahoma"/>
            <family val="2"/>
          </rPr>
          <t>&lt;[[TCDeals] - [TC Property Current Stage (Seq: 1)] - [Buildings (Seq: 80)] Constr PIS Date - Both]&gt;</t>
        </r>
      </text>
    </comment>
    <comment ref="L1261" authorId="0" shapeId="0" xr:uid="{96513334-4E8D-4086-AB30-567341447D26}">
      <text>
        <r>
          <rPr>
            <b/>
            <sz val="9"/>
            <color indexed="81"/>
            <rFont val="Tahoma"/>
            <family val="2"/>
          </rPr>
          <t>&lt;[[TCDeals] - [TC Property Current Stage (Seq: 1)] - [Buildings (Seq: 80)] Constr Applicable Percentage - Both]&gt;</t>
        </r>
      </text>
    </comment>
    <comment ref="M1261" authorId="0" shapeId="0" xr:uid="{00C5072D-5863-4290-B21B-DE064A228FFC}">
      <text>
        <r>
          <rPr>
            <b/>
            <sz val="9"/>
            <color indexed="81"/>
            <rFont val="Tahoma"/>
            <family val="2"/>
          </rPr>
          <t>&lt;[[TCDeals] - [TC Property Current Stage (Seq: 1)] - [Buildings (Seq: 80)] Constr Est Qual Basis - Both]&gt;</t>
        </r>
      </text>
    </comment>
    <comment ref="N1261" authorId="0" shapeId="0" xr:uid="{23780628-7D68-4B41-A363-B38B3ED83067}">
      <text>
        <r>
          <rPr>
            <b/>
            <sz val="9"/>
            <color indexed="81"/>
            <rFont val="Tahoma"/>
            <family val="2"/>
          </rPr>
          <t>&lt;[[TCDeals] - [TC Property Current Stage (Seq: 1)] - [Buildings (Seq: 80)] Constr 8609 Basis - Both]&gt;</t>
        </r>
      </text>
    </comment>
    <comment ref="O1261" authorId="0" shapeId="0" xr:uid="{2A2B96B8-A089-4829-8EAC-DB18894613B5}">
      <text>
        <r>
          <rPr>
            <b/>
            <sz val="9"/>
            <color indexed="81"/>
            <rFont val="Tahoma"/>
            <family val="2"/>
          </rPr>
          <t>&lt;[[TCDeals] - [TC Property Current Stage (Seq: 1)] - [Buildings (Seq: 80)] Constr 8609 Credit - Both]&gt;</t>
        </r>
      </text>
    </comment>
    <comment ref="P1261" authorId="0" shapeId="0" xr:uid="{A243F25D-010B-4F9B-8255-9E4F1EF532EF}">
      <text>
        <r>
          <rPr>
            <b/>
            <sz val="9"/>
            <color indexed="81"/>
            <rFont val="Tahoma"/>
            <family val="2"/>
          </rPr>
          <t>&lt;[[TCDeals] - [TC Property Current Stage (Seq: 1)] - [Buildings (Seq: 80)] Acq PIS Date - Both]&gt;</t>
        </r>
      </text>
    </comment>
    <comment ref="Q1261" authorId="0" shapeId="0" xr:uid="{4F63CD5F-7509-4901-A03A-DDF99410B5EC}">
      <text>
        <r>
          <rPr>
            <b/>
            <sz val="9"/>
            <color indexed="81"/>
            <rFont val="Tahoma"/>
            <family val="2"/>
          </rPr>
          <t>&lt;[[TCDeals] - [TC Property Current Stage (Seq: 1)] - [Buildings (Seq: 80)] Acq Applicable Percentage - Both]&gt;</t>
        </r>
      </text>
    </comment>
    <comment ref="R1261" authorId="0" shapeId="0" xr:uid="{4047029E-4694-412B-870E-02A34752D526}">
      <text>
        <r>
          <rPr>
            <b/>
            <sz val="9"/>
            <color indexed="81"/>
            <rFont val="Tahoma"/>
            <family val="2"/>
          </rPr>
          <t>&lt;[[TCDeals] - [TC Property Current Stage (Seq: 1)] - [Buildings (Seq: 80)] Acq Est Qual Basis - Both]&gt;</t>
        </r>
      </text>
    </comment>
    <comment ref="S1261" authorId="0" shapeId="0" xr:uid="{4F0B7EBF-7549-4400-90F3-D607FA365AE6}">
      <text>
        <r>
          <rPr>
            <b/>
            <sz val="9"/>
            <color indexed="81"/>
            <rFont val="Tahoma"/>
            <family val="2"/>
          </rPr>
          <t>&lt;[[TCDeals] - [TC Property Current Stage (Seq: 1)] - [Buildings (Seq: 80)] Acq 8609 Basis - Both]&gt;</t>
        </r>
      </text>
    </comment>
    <comment ref="T1261" authorId="0" shapeId="0" xr:uid="{1009FED5-793D-4227-9D91-72AFC0F9B8D2}">
      <text>
        <r>
          <rPr>
            <b/>
            <sz val="9"/>
            <color indexed="81"/>
            <rFont val="Tahoma"/>
            <family val="2"/>
          </rPr>
          <t>&lt;[[TCDeals] - [TC Property Current Stage (Seq: 1)] - [Buildings (Seq: 80)] Acq 8609 Credit - Both]&gt;</t>
        </r>
      </text>
    </comment>
    <comment ref="C1262" authorId="0" shapeId="0" xr:uid="{EA2FE7A9-5F04-4900-A3AD-F79FB4D88286}">
      <text>
        <r>
          <rPr>
            <b/>
            <sz val="9"/>
            <color indexed="81"/>
            <rFont val="Tahoma"/>
            <family val="2"/>
          </rPr>
          <t>&lt;[[TCDeals] - [TC Property Current Stage (Seq: 1)] - [Buildings (Seq: 81)] BIN - Both]&gt;</t>
        </r>
      </text>
    </comment>
    <comment ref="D1262" authorId="0" shapeId="0" xr:uid="{AD3AC514-0A01-49A4-9D2B-CDFA21F79D0D}">
      <text>
        <r>
          <rPr>
            <b/>
            <sz val="9"/>
            <color indexed="81"/>
            <rFont val="Tahoma"/>
            <family val="2"/>
          </rPr>
          <t>&lt;[[TCDeals] - [TC Property Current Stage (Seq: 1)] - [Buildings (Seq: 81)] Address 1 - Both]&gt;</t>
        </r>
      </text>
    </comment>
    <comment ref="E1262" authorId="0" shapeId="0" xr:uid="{8079DB4C-529A-401C-A42F-EAC6C0119601}">
      <text>
        <r>
          <rPr>
            <b/>
            <sz val="9"/>
            <color indexed="81"/>
            <rFont val="Tahoma"/>
            <family val="2"/>
          </rPr>
          <t>&lt;[[TCDeals] - [TC Property Current Stage (Seq: 1)] - [Buildings (Seq: 81)] Num TC Units - Both]&gt;</t>
        </r>
      </text>
    </comment>
    <comment ref="F1262" authorId="0" shapeId="0" xr:uid="{A93DEE1B-2C9F-4FE8-A8E7-C6307A03AE24}">
      <text>
        <r>
          <rPr>
            <b/>
            <sz val="9"/>
            <color indexed="81"/>
            <rFont val="Tahoma"/>
            <family val="2"/>
          </rPr>
          <t>&lt;[[TCDeals] - [TC Property Current Stage (Seq: 1)] - [Buildings (Seq: 81)] PVC PIS Date - Both]&gt;</t>
        </r>
      </text>
    </comment>
    <comment ref="G1262" authorId="0" shapeId="0" xr:uid="{763AF112-5B70-4379-9889-85479B31C4EF}">
      <text>
        <r>
          <rPr>
            <b/>
            <sz val="9"/>
            <color indexed="81"/>
            <rFont val="Tahoma"/>
            <family val="2"/>
          </rPr>
          <t>&lt;[[TCDeals] - [TC Property Current Stage (Seq: 1)] - [Buildings (Seq: 81)] PVC Applicable Percentage - Both]&gt;</t>
        </r>
      </text>
    </comment>
    <comment ref="H1262" authorId="0" shapeId="0" xr:uid="{0561BB52-031B-4661-B3F7-6F8CD0602CC0}">
      <text>
        <r>
          <rPr>
            <b/>
            <sz val="9"/>
            <color indexed="81"/>
            <rFont val="Tahoma"/>
            <family val="2"/>
          </rPr>
          <t>&lt;[[TCDeals] - [TC Property Current Stage (Seq: 1)] - [Buildings (Seq: 81)] PVC Est Qual Basis - Both]&gt;</t>
        </r>
      </text>
    </comment>
    <comment ref="I1262" authorId="0" shapeId="0" xr:uid="{31FFB210-F43C-4C16-A079-4C46BFF8F662}">
      <text>
        <r>
          <rPr>
            <b/>
            <sz val="9"/>
            <color indexed="81"/>
            <rFont val="Tahoma"/>
            <family val="2"/>
          </rPr>
          <t>&lt;[[TCDeals] - [TC Property Current Stage (Seq: 1)] - [Buildings (Seq: 81)] PVC8609 Basis - Both]&gt;</t>
        </r>
      </text>
    </comment>
    <comment ref="J1262" authorId="0" shapeId="0" xr:uid="{205EF2BE-4CB0-4EC6-934D-EBB6BEDCA08F}">
      <text>
        <r>
          <rPr>
            <b/>
            <sz val="9"/>
            <color indexed="81"/>
            <rFont val="Tahoma"/>
            <family val="2"/>
          </rPr>
          <t>&lt;[[TCDeals] - [TC Property Current Stage (Seq: 1)] - [Buildings (Seq: 81)] PVC8609 Credit - Both]&gt;</t>
        </r>
      </text>
    </comment>
    <comment ref="K1262" authorId="0" shapeId="0" xr:uid="{56BF929B-EA49-4F1F-83C8-1B32ADEB60D0}">
      <text>
        <r>
          <rPr>
            <b/>
            <sz val="9"/>
            <color indexed="81"/>
            <rFont val="Tahoma"/>
            <family val="2"/>
          </rPr>
          <t>&lt;[[TCDeals] - [TC Property Current Stage (Seq: 1)] - [Buildings (Seq: 81)] Constr PIS Date - Both]&gt;</t>
        </r>
      </text>
    </comment>
    <comment ref="L1262" authorId="0" shapeId="0" xr:uid="{8ABED022-6F35-4089-8C48-BB11B6841570}">
      <text>
        <r>
          <rPr>
            <b/>
            <sz val="9"/>
            <color indexed="81"/>
            <rFont val="Tahoma"/>
            <family val="2"/>
          </rPr>
          <t>&lt;[[TCDeals] - [TC Property Current Stage (Seq: 1)] - [Buildings (Seq: 81)] Constr Applicable Percentage - Both]&gt;</t>
        </r>
      </text>
    </comment>
    <comment ref="M1262" authorId="0" shapeId="0" xr:uid="{57987F20-B0DF-456A-8825-358A8034C62F}">
      <text>
        <r>
          <rPr>
            <b/>
            <sz val="9"/>
            <color indexed="81"/>
            <rFont val="Tahoma"/>
            <family val="2"/>
          </rPr>
          <t>&lt;[[TCDeals] - [TC Property Current Stage (Seq: 1)] - [Buildings (Seq: 81)] Constr Est Qual Basis - Both]&gt;</t>
        </r>
      </text>
    </comment>
    <comment ref="N1262" authorId="0" shapeId="0" xr:uid="{A8D51E64-A91C-4609-87B8-46EE9186A0F3}">
      <text>
        <r>
          <rPr>
            <b/>
            <sz val="9"/>
            <color indexed="81"/>
            <rFont val="Tahoma"/>
            <family val="2"/>
          </rPr>
          <t>&lt;[[TCDeals] - [TC Property Current Stage (Seq: 1)] - [Buildings (Seq: 81)] Constr 8609 Basis - Both]&gt;</t>
        </r>
      </text>
    </comment>
    <comment ref="O1262" authorId="0" shapeId="0" xr:uid="{943E1973-2382-4334-9754-D695521678B3}">
      <text>
        <r>
          <rPr>
            <b/>
            <sz val="9"/>
            <color indexed="81"/>
            <rFont val="Tahoma"/>
            <family val="2"/>
          </rPr>
          <t>&lt;[[TCDeals] - [TC Property Current Stage (Seq: 1)] - [Buildings (Seq: 81)] Constr 8609 Credit - Both]&gt;</t>
        </r>
      </text>
    </comment>
    <comment ref="P1262" authorId="0" shapeId="0" xr:uid="{EBE3B441-8A11-4643-A4A3-8DE546C60ED4}">
      <text>
        <r>
          <rPr>
            <b/>
            <sz val="9"/>
            <color indexed="81"/>
            <rFont val="Tahoma"/>
            <family val="2"/>
          </rPr>
          <t>&lt;[[TCDeals] - [TC Property Current Stage (Seq: 1)] - [Buildings (Seq: 81)] Acq PIS Date - Both]&gt;</t>
        </r>
      </text>
    </comment>
    <comment ref="Q1262" authorId="0" shapeId="0" xr:uid="{5301802A-3649-4A20-8911-D5450D7FBEAA}">
      <text>
        <r>
          <rPr>
            <b/>
            <sz val="9"/>
            <color indexed="81"/>
            <rFont val="Tahoma"/>
            <family val="2"/>
          </rPr>
          <t>&lt;[[TCDeals] - [TC Property Current Stage (Seq: 1)] - [Buildings (Seq: 81)] Acq Applicable Percentage - Both]&gt;</t>
        </r>
      </text>
    </comment>
    <comment ref="R1262" authorId="0" shapeId="0" xr:uid="{0BDB1DA3-7D39-4579-997B-64774699CA09}">
      <text>
        <r>
          <rPr>
            <b/>
            <sz val="9"/>
            <color indexed="81"/>
            <rFont val="Tahoma"/>
            <family val="2"/>
          </rPr>
          <t>&lt;[[TCDeals] - [TC Property Current Stage (Seq: 1)] - [Buildings (Seq: 81)] Acq Est Qual Basis - Both]&gt;</t>
        </r>
      </text>
    </comment>
    <comment ref="S1262" authorId="0" shapeId="0" xr:uid="{6FF843BB-DB93-413C-AAC0-F876B9600736}">
      <text>
        <r>
          <rPr>
            <b/>
            <sz val="9"/>
            <color indexed="81"/>
            <rFont val="Tahoma"/>
            <family val="2"/>
          </rPr>
          <t>&lt;[[TCDeals] - [TC Property Current Stage (Seq: 1)] - [Buildings (Seq: 81)] Acq 8609 Basis - Both]&gt;</t>
        </r>
      </text>
    </comment>
    <comment ref="T1262" authorId="0" shapeId="0" xr:uid="{7757F212-02A7-4842-A485-725E6998C764}">
      <text>
        <r>
          <rPr>
            <b/>
            <sz val="9"/>
            <color indexed="81"/>
            <rFont val="Tahoma"/>
            <family val="2"/>
          </rPr>
          <t>&lt;[[TCDeals] - [TC Property Current Stage (Seq: 1)] - [Buildings (Seq: 81)] Acq 8609 Credit - Both]&gt;</t>
        </r>
      </text>
    </comment>
    <comment ref="C1263" authorId="0" shapeId="0" xr:uid="{E2A9EA74-580D-4659-A570-CC76F72F59E3}">
      <text>
        <r>
          <rPr>
            <b/>
            <sz val="9"/>
            <color indexed="81"/>
            <rFont val="Tahoma"/>
            <family val="2"/>
          </rPr>
          <t>&lt;[[TCDeals] - [TC Property Current Stage (Seq: 1)] - [Buildings (Seq: 82)] BIN - Both]&gt;</t>
        </r>
      </text>
    </comment>
    <comment ref="D1263" authorId="0" shapeId="0" xr:uid="{8968F1FC-224A-4618-A36F-09730E772E37}">
      <text>
        <r>
          <rPr>
            <b/>
            <sz val="9"/>
            <color indexed="81"/>
            <rFont val="Tahoma"/>
            <family val="2"/>
          </rPr>
          <t>&lt;[[TCDeals] - [TC Property Current Stage (Seq: 1)] - [Buildings (Seq: 82)] Address 1 - Both]&gt;</t>
        </r>
      </text>
    </comment>
    <comment ref="E1263" authorId="0" shapeId="0" xr:uid="{E9EBC9C6-76E9-4A9C-95CD-5FBCA934F83B}">
      <text>
        <r>
          <rPr>
            <b/>
            <sz val="9"/>
            <color indexed="81"/>
            <rFont val="Tahoma"/>
            <family val="2"/>
          </rPr>
          <t>&lt;[[TCDeals] - [TC Property Current Stage (Seq: 1)] - [Buildings (Seq: 82)] Num TC Units - Both]&gt;</t>
        </r>
      </text>
    </comment>
    <comment ref="F1263" authorId="0" shapeId="0" xr:uid="{B13434F1-163E-43B5-A6AA-D987BE9C24A1}">
      <text>
        <r>
          <rPr>
            <b/>
            <sz val="9"/>
            <color indexed="81"/>
            <rFont val="Tahoma"/>
            <family val="2"/>
          </rPr>
          <t>&lt;[[TCDeals] - [TC Property Current Stage (Seq: 1)] - [Buildings (Seq: 82)] PVC PIS Date - Both]&gt;</t>
        </r>
      </text>
    </comment>
    <comment ref="G1263" authorId="0" shapeId="0" xr:uid="{C42BC24B-1049-4B6B-95AB-7961F8D69150}">
      <text>
        <r>
          <rPr>
            <b/>
            <sz val="9"/>
            <color indexed="81"/>
            <rFont val="Tahoma"/>
            <family val="2"/>
          </rPr>
          <t>&lt;[[TCDeals] - [TC Property Current Stage (Seq: 1)] - [Buildings (Seq: 82)] PVC Applicable Percentage - Both]&gt;</t>
        </r>
      </text>
    </comment>
    <comment ref="H1263" authorId="0" shapeId="0" xr:uid="{3335BF24-5C9B-4909-8CBA-C2B09D430F88}">
      <text>
        <r>
          <rPr>
            <b/>
            <sz val="9"/>
            <color indexed="81"/>
            <rFont val="Tahoma"/>
            <family val="2"/>
          </rPr>
          <t>&lt;[[TCDeals] - [TC Property Current Stage (Seq: 1)] - [Buildings (Seq: 82)] PVC Est Qual Basis - Both]&gt;</t>
        </r>
      </text>
    </comment>
    <comment ref="I1263" authorId="0" shapeId="0" xr:uid="{5FBCB315-42F1-4BD1-82CA-DB4E8B368767}">
      <text>
        <r>
          <rPr>
            <b/>
            <sz val="9"/>
            <color indexed="81"/>
            <rFont val="Tahoma"/>
            <family val="2"/>
          </rPr>
          <t>&lt;[[TCDeals] - [TC Property Current Stage (Seq: 1)] - [Buildings (Seq: 82)] PVC8609 Basis - Both]&gt;</t>
        </r>
      </text>
    </comment>
    <comment ref="J1263" authorId="0" shapeId="0" xr:uid="{BD723E50-3087-40BD-A7E2-BC8EB26D5C68}">
      <text>
        <r>
          <rPr>
            <b/>
            <sz val="9"/>
            <color indexed="81"/>
            <rFont val="Tahoma"/>
            <family val="2"/>
          </rPr>
          <t>&lt;[[TCDeals] - [TC Property Current Stage (Seq: 1)] - [Buildings (Seq: 82)] PVC8609 Credit - Both]&gt;</t>
        </r>
      </text>
    </comment>
    <comment ref="K1263" authorId="0" shapeId="0" xr:uid="{3D8D6BBB-389D-4DE7-B66B-89DE9FB6DF64}">
      <text>
        <r>
          <rPr>
            <b/>
            <sz val="9"/>
            <color indexed="81"/>
            <rFont val="Tahoma"/>
            <family val="2"/>
          </rPr>
          <t>&lt;[[TCDeals] - [TC Property Current Stage (Seq: 1)] - [Buildings (Seq: 82)] Constr PIS Date - Both]&gt;</t>
        </r>
      </text>
    </comment>
    <comment ref="L1263" authorId="0" shapeId="0" xr:uid="{01751385-4A02-48EB-A89D-F105D728CD7D}">
      <text>
        <r>
          <rPr>
            <b/>
            <sz val="9"/>
            <color indexed="81"/>
            <rFont val="Tahoma"/>
            <family val="2"/>
          </rPr>
          <t>&lt;[[TCDeals] - [TC Property Current Stage (Seq: 1)] - [Buildings (Seq: 82)] Constr Applicable Percentage - Both]&gt;</t>
        </r>
      </text>
    </comment>
    <comment ref="M1263" authorId="0" shapeId="0" xr:uid="{178A27D7-B481-4A19-8EF5-B98664DF7D0D}">
      <text>
        <r>
          <rPr>
            <b/>
            <sz val="9"/>
            <color indexed="81"/>
            <rFont val="Tahoma"/>
            <family val="2"/>
          </rPr>
          <t>&lt;[[TCDeals] - [TC Property Current Stage (Seq: 1)] - [Buildings (Seq: 82)] Constr Est Qual Basis - Both]&gt;</t>
        </r>
      </text>
    </comment>
    <comment ref="N1263" authorId="0" shapeId="0" xr:uid="{B2B22E1D-9D38-48DF-9D6D-D43825F776FD}">
      <text>
        <r>
          <rPr>
            <b/>
            <sz val="9"/>
            <color indexed="81"/>
            <rFont val="Tahoma"/>
            <family val="2"/>
          </rPr>
          <t>&lt;[[TCDeals] - [TC Property Current Stage (Seq: 1)] - [Buildings (Seq: 82)] Constr 8609 Basis - Both]&gt;</t>
        </r>
      </text>
    </comment>
    <comment ref="O1263" authorId="0" shapeId="0" xr:uid="{6CBF81DA-D51C-4250-A108-994A6BA80C2D}">
      <text>
        <r>
          <rPr>
            <b/>
            <sz val="9"/>
            <color indexed="81"/>
            <rFont val="Tahoma"/>
            <family val="2"/>
          </rPr>
          <t>&lt;[[TCDeals] - [TC Property Current Stage (Seq: 1)] - [Buildings (Seq: 82)] Constr 8609 Credit - Both]&gt;</t>
        </r>
      </text>
    </comment>
    <comment ref="P1263" authorId="0" shapeId="0" xr:uid="{A3D2DCD5-8259-46F4-817F-AD558CB6FDC0}">
      <text>
        <r>
          <rPr>
            <b/>
            <sz val="9"/>
            <color indexed="81"/>
            <rFont val="Tahoma"/>
            <family val="2"/>
          </rPr>
          <t>&lt;[[TCDeals] - [TC Property Current Stage (Seq: 1)] - [Buildings (Seq: 82)] Acq PIS Date - Both]&gt;</t>
        </r>
      </text>
    </comment>
    <comment ref="Q1263" authorId="0" shapeId="0" xr:uid="{66244D1A-8B90-43CB-8AD3-5EDD81746236}">
      <text>
        <r>
          <rPr>
            <b/>
            <sz val="9"/>
            <color indexed="81"/>
            <rFont val="Tahoma"/>
            <family val="2"/>
          </rPr>
          <t>&lt;[[TCDeals] - [TC Property Current Stage (Seq: 1)] - [Buildings (Seq: 82)] Acq Applicable Percentage - Both]&gt;</t>
        </r>
      </text>
    </comment>
    <comment ref="R1263" authorId="0" shapeId="0" xr:uid="{1F409D56-DE02-4E8D-B5B7-963D3656F3F7}">
      <text>
        <r>
          <rPr>
            <b/>
            <sz val="9"/>
            <color indexed="81"/>
            <rFont val="Tahoma"/>
            <family val="2"/>
          </rPr>
          <t>&lt;[[TCDeals] - [TC Property Current Stage (Seq: 1)] - [Buildings (Seq: 82)] Acq Est Qual Basis - Both]&gt;</t>
        </r>
      </text>
    </comment>
    <comment ref="S1263" authorId="0" shapeId="0" xr:uid="{4EF29E36-B53F-4D58-BC6E-B30662C7BB6E}">
      <text>
        <r>
          <rPr>
            <b/>
            <sz val="9"/>
            <color indexed="81"/>
            <rFont val="Tahoma"/>
            <family val="2"/>
          </rPr>
          <t>&lt;[[TCDeals] - [TC Property Current Stage (Seq: 1)] - [Buildings (Seq: 82)] Acq 8609 Basis - Both]&gt;</t>
        </r>
      </text>
    </comment>
    <comment ref="T1263" authorId="0" shapeId="0" xr:uid="{1634227D-9686-4F1B-842C-C30F3DE4A632}">
      <text>
        <r>
          <rPr>
            <b/>
            <sz val="9"/>
            <color indexed="81"/>
            <rFont val="Tahoma"/>
            <family val="2"/>
          </rPr>
          <t>&lt;[[TCDeals] - [TC Property Current Stage (Seq: 1)] - [Buildings (Seq: 82)] Acq 8609 Credit - Both]&gt;</t>
        </r>
      </text>
    </comment>
    <comment ref="C1264" authorId="0" shapeId="0" xr:uid="{FCAF752B-B9C0-4666-A922-A32927B3577B}">
      <text>
        <r>
          <rPr>
            <b/>
            <sz val="9"/>
            <color indexed="81"/>
            <rFont val="Tahoma"/>
            <family val="2"/>
          </rPr>
          <t>&lt;[[TCDeals] - [TC Property Current Stage (Seq: 1)] - [Buildings (Seq: 83)] BIN - Both]&gt;</t>
        </r>
      </text>
    </comment>
    <comment ref="D1264" authorId="0" shapeId="0" xr:uid="{CA36CFEB-4C6F-4198-A707-0F13EFFD3C0A}">
      <text>
        <r>
          <rPr>
            <b/>
            <sz val="9"/>
            <color indexed="81"/>
            <rFont val="Tahoma"/>
            <family val="2"/>
          </rPr>
          <t>&lt;[[TCDeals] - [TC Property Current Stage (Seq: 1)] - [Buildings (Seq: 83)] Address 1 - Both]&gt;</t>
        </r>
      </text>
    </comment>
    <comment ref="E1264" authorId="0" shapeId="0" xr:uid="{498CF05A-E9D9-435C-B703-4E2B5F6CACF5}">
      <text>
        <r>
          <rPr>
            <b/>
            <sz val="9"/>
            <color indexed="81"/>
            <rFont val="Tahoma"/>
            <family val="2"/>
          </rPr>
          <t>&lt;[[TCDeals] - [TC Property Current Stage (Seq: 1)] - [Buildings (Seq: 83)] Num TC Units - Both]&gt;</t>
        </r>
      </text>
    </comment>
    <comment ref="F1264" authorId="0" shapeId="0" xr:uid="{91E72592-5A33-4F8F-BD93-AE5E737A0B8D}">
      <text>
        <r>
          <rPr>
            <b/>
            <sz val="9"/>
            <color indexed="81"/>
            <rFont val="Tahoma"/>
            <family val="2"/>
          </rPr>
          <t>&lt;[[TCDeals] - [TC Property Current Stage (Seq: 1)] - [Buildings (Seq: 83)] PVC PIS Date - Both]&gt;</t>
        </r>
      </text>
    </comment>
    <comment ref="G1264" authorId="0" shapeId="0" xr:uid="{2F643ACD-829F-486D-A763-2B2837BE68DC}">
      <text>
        <r>
          <rPr>
            <b/>
            <sz val="9"/>
            <color indexed="81"/>
            <rFont val="Tahoma"/>
            <family val="2"/>
          </rPr>
          <t>&lt;[[TCDeals] - [TC Property Current Stage (Seq: 1)] - [Buildings (Seq: 83)] PVC Applicable Percentage - Both]&gt;</t>
        </r>
      </text>
    </comment>
    <comment ref="H1264" authorId="0" shapeId="0" xr:uid="{1624A2C9-8B24-44AD-9F66-9DE489AA8ADF}">
      <text>
        <r>
          <rPr>
            <b/>
            <sz val="9"/>
            <color indexed="81"/>
            <rFont val="Tahoma"/>
            <family val="2"/>
          </rPr>
          <t>&lt;[[TCDeals] - [TC Property Current Stage (Seq: 1)] - [Buildings (Seq: 83)] PVC Est Qual Basis - Both]&gt;</t>
        </r>
      </text>
    </comment>
    <comment ref="I1264" authorId="0" shapeId="0" xr:uid="{766F7D42-1D24-4C78-B34D-93C7D42C41D4}">
      <text>
        <r>
          <rPr>
            <b/>
            <sz val="9"/>
            <color indexed="81"/>
            <rFont val="Tahoma"/>
            <family val="2"/>
          </rPr>
          <t>&lt;[[TCDeals] - [TC Property Current Stage (Seq: 1)] - [Buildings (Seq: 83)] PVC8609 Basis - Both]&gt;</t>
        </r>
      </text>
    </comment>
    <comment ref="J1264" authorId="0" shapeId="0" xr:uid="{35851522-0BC2-4316-A226-5986BA2A8047}">
      <text>
        <r>
          <rPr>
            <b/>
            <sz val="9"/>
            <color indexed="81"/>
            <rFont val="Tahoma"/>
            <family val="2"/>
          </rPr>
          <t>&lt;[[TCDeals] - [TC Property Current Stage (Seq: 1)] - [Buildings (Seq: 83)] PVC8609 Credit - Both]&gt;</t>
        </r>
      </text>
    </comment>
    <comment ref="K1264" authorId="0" shapeId="0" xr:uid="{45558760-DC18-48D5-9665-0B0A0DEB9E8B}">
      <text>
        <r>
          <rPr>
            <b/>
            <sz val="9"/>
            <color indexed="81"/>
            <rFont val="Tahoma"/>
            <family val="2"/>
          </rPr>
          <t>&lt;[[TCDeals] - [TC Property Current Stage (Seq: 1)] - [Buildings (Seq: 83)] Constr PIS Date - Both]&gt;</t>
        </r>
      </text>
    </comment>
    <comment ref="L1264" authorId="0" shapeId="0" xr:uid="{B81A2115-4A63-4E7C-BCD8-4F23E8F8B43C}">
      <text>
        <r>
          <rPr>
            <b/>
            <sz val="9"/>
            <color indexed="81"/>
            <rFont val="Tahoma"/>
            <family val="2"/>
          </rPr>
          <t>&lt;[[TCDeals] - [TC Property Current Stage (Seq: 1)] - [Buildings (Seq: 83)] Constr Applicable Percentage - Both]&gt;</t>
        </r>
      </text>
    </comment>
    <comment ref="M1264" authorId="0" shapeId="0" xr:uid="{BCD5D965-A0FB-455D-8B7D-C234E825BC12}">
      <text>
        <r>
          <rPr>
            <b/>
            <sz val="9"/>
            <color indexed="81"/>
            <rFont val="Tahoma"/>
            <family val="2"/>
          </rPr>
          <t>&lt;[[TCDeals] - [TC Property Current Stage (Seq: 1)] - [Buildings (Seq: 83)] Constr Est Qual Basis - Both]&gt;</t>
        </r>
      </text>
    </comment>
    <comment ref="N1264" authorId="0" shapeId="0" xr:uid="{C720470D-60C6-46AC-87E3-C778CC9A5632}">
      <text>
        <r>
          <rPr>
            <b/>
            <sz val="9"/>
            <color indexed="81"/>
            <rFont val="Tahoma"/>
            <family val="2"/>
          </rPr>
          <t>&lt;[[TCDeals] - [TC Property Current Stage (Seq: 1)] - [Buildings (Seq: 83)] Constr 8609 Basis - Both]&gt;</t>
        </r>
      </text>
    </comment>
    <comment ref="O1264" authorId="0" shapeId="0" xr:uid="{A26FED62-BB13-45F9-9B86-51DA4C2BAD94}">
      <text>
        <r>
          <rPr>
            <b/>
            <sz val="9"/>
            <color indexed="81"/>
            <rFont val="Tahoma"/>
            <family val="2"/>
          </rPr>
          <t>&lt;[[TCDeals] - [TC Property Current Stage (Seq: 1)] - [Buildings (Seq: 83)] Constr 8609 Credit - Both]&gt;</t>
        </r>
      </text>
    </comment>
    <comment ref="P1264" authorId="0" shapeId="0" xr:uid="{D7070137-7DF1-4CA1-9C80-26EFD2ECF8A2}">
      <text>
        <r>
          <rPr>
            <b/>
            <sz val="9"/>
            <color indexed="81"/>
            <rFont val="Tahoma"/>
            <family val="2"/>
          </rPr>
          <t>&lt;[[TCDeals] - [TC Property Current Stage (Seq: 1)] - [Buildings (Seq: 83)] Acq PIS Date - Both]&gt;</t>
        </r>
      </text>
    </comment>
    <comment ref="Q1264" authorId="0" shapeId="0" xr:uid="{BA70D0C8-6A23-457B-9759-4DC254AC42CE}">
      <text>
        <r>
          <rPr>
            <b/>
            <sz val="9"/>
            <color indexed="81"/>
            <rFont val="Tahoma"/>
            <family val="2"/>
          </rPr>
          <t>&lt;[[TCDeals] - [TC Property Current Stage (Seq: 1)] - [Buildings (Seq: 83)] Acq Applicable Percentage - Both]&gt;</t>
        </r>
      </text>
    </comment>
    <comment ref="R1264" authorId="0" shapeId="0" xr:uid="{EE997EFF-DF30-46AA-A471-3F2B1D4FACE0}">
      <text>
        <r>
          <rPr>
            <b/>
            <sz val="9"/>
            <color indexed="81"/>
            <rFont val="Tahoma"/>
            <family val="2"/>
          </rPr>
          <t>&lt;[[TCDeals] - [TC Property Current Stage (Seq: 1)] - [Buildings (Seq: 83)] Acq Est Qual Basis - Both]&gt;</t>
        </r>
      </text>
    </comment>
    <comment ref="S1264" authorId="0" shapeId="0" xr:uid="{B10337F6-7469-467A-924D-3570F694E015}">
      <text>
        <r>
          <rPr>
            <b/>
            <sz val="9"/>
            <color indexed="81"/>
            <rFont val="Tahoma"/>
            <family val="2"/>
          </rPr>
          <t>&lt;[[TCDeals] - [TC Property Current Stage (Seq: 1)] - [Buildings (Seq: 83)] Acq 8609 Basis - Both]&gt;</t>
        </r>
      </text>
    </comment>
    <comment ref="T1264" authorId="0" shapeId="0" xr:uid="{DD80C213-D616-4B24-8AF4-9DFD0F861272}">
      <text>
        <r>
          <rPr>
            <b/>
            <sz val="9"/>
            <color indexed="81"/>
            <rFont val="Tahoma"/>
            <family val="2"/>
          </rPr>
          <t>&lt;[[TCDeals] - [TC Property Current Stage (Seq: 1)] - [Buildings (Seq: 83)] Acq 8609 Credit - Both]&gt;</t>
        </r>
      </text>
    </comment>
    <comment ref="C1265" authorId="0" shapeId="0" xr:uid="{4DE7A9AC-A6AC-41FA-A34D-BFD81828EF0C}">
      <text>
        <r>
          <rPr>
            <b/>
            <sz val="9"/>
            <color indexed="81"/>
            <rFont val="Tahoma"/>
            <family val="2"/>
          </rPr>
          <t>&lt;[[TCDeals] - [TC Property Current Stage (Seq: 1)] - [Buildings (Seq: 84)] BIN - Both]&gt;</t>
        </r>
      </text>
    </comment>
    <comment ref="D1265" authorId="0" shapeId="0" xr:uid="{D3790A2A-ACC1-43A3-B825-C03E92D96BF6}">
      <text>
        <r>
          <rPr>
            <b/>
            <sz val="9"/>
            <color indexed="81"/>
            <rFont val="Tahoma"/>
            <family val="2"/>
          </rPr>
          <t>&lt;[[TCDeals] - [TC Property Current Stage (Seq: 1)] - [Buildings (Seq: 84)] Address 1 - Both]&gt;</t>
        </r>
      </text>
    </comment>
    <comment ref="E1265" authorId="0" shapeId="0" xr:uid="{AE2AB957-A64C-443B-80C4-2EBA4C3E9876}">
      <text>
        <r>
          <rPr>
            <b/>
            <sz val="9"/>
            <color indexed="81"/>
            <rFont val="Tahoma"/>
            <family val="2"/>
          </rPr>
          <t>&lt;[[TCDeals] - [TC Property Current Stage (Seq: 1)] - [Buildings (Seq: 84)] Num TC Units - Both]&gt;</t>
        </r>
      </text>
    </comment>
    <comment ref="F1265" authorId="0" shapeId="0" xr:uid="{C67D76B7-621D-4EBD-A341-83868A6C334E}">
      <text>
        <r>
          <rPr>
            <b/>
            <sz val="9"/>
            <color indexed="81"/>
            <rFont val="Tahoma"/>
            <family val="2"/>
          </rPr>
          <t>&lt;[[TCDeals] - [TC Property Current Stage (Seq: 1)] - [Buildings (Seq: 84)] PVC PIS Date - Both]&gt;</t>
        </r>
      </text>
    </comment>
    <comment ref="G1265" authorId="0" shapeId="0" xr:uid="{C199B483-CFD0-43C2-BCF8-9E74AC0A7450}">
      <text>
        <r>
          <rPr>
            <b/>
            <sz val="9"/>
            <color indexed="81"/>
            <rFont val="Tahoma"/>
            <family val="2"/>
          </rPr>
          <t>&lt;[[TCDeals] - [TC Property Current Stage (Seq: 1)] - [Buildings (Seq: 84)] PVC Applicable Percentage - Both]&gt;</t>
        </r>
      </text>
    </comment>
    <comment ref="H1265" authorId="0" shapeId="0" xr:uid="{C398D1E4-DD11-4373-A745-25FDDD7F5C15}">
      <text>
        <r>
          <rPr>
            <b/>
            <sz val="9"/>
            <color indexed="81"/>
            <rFont val="Tahoma"/>
            <family val="2"/>
          </rPr>
          <t>&lt;[[TCDeals] - [TC Property Current Stage (Seq: 1)] - [Buildings (Seq: 84)] PVC Est Qual Basis - Both]&gt;</t>
        </r>
      </text>
    </comment>
    <comment ref="I1265" authorId="0" shapeId="0" xr:uid="{3E6ACE38-A187-4BEC-B481-B3318AD0DB33}">
      <text>
        <r>
          <rPr>
            <b/>
            <sz val="9"/>
            <color indexed="81"/>
            <rFont val="Tahoma"/>
            <family val="2"/>
          </rPr>
          <t>&lt;[[TCDeals] - [TC Property Current Stage (Seq: 1)] - [Buildings (Seq: 84)] PVC8609 Basis - Both]&gt;</t>
        </r>
      </text>
    </comment>
    <comment ref="J1265" authorId="0" shapeId="0" xr:uid="{80A64E25-2B7B-4BA3-9E43-81DFD634959B}">
      <text>
        <r>
          <rPr>
            <b/>
            <sz val="9"/>
            <color indexed="81"/>
            <rFont val="Tahoma"/>
            <family val="2"/>
          </rPr>
          <t>&lt;[[TCDeals] - [TC Property Current Stage (Seq: 1)] - [Buildings (Seq: 84)] PVC8609 Credit - Both]&gt;</t>
        </r>
      </text>
    </comment>
    <comment ref="K1265" authorId="0" shapeId="0" xr:uid="{3254DC25-E2FC-40E3-B19B-FD459DEFB091}">
      <text>
        <r>
          <rPr>
            <b/>
            <sz val="9"/>
            <color indexed="81"/>
            <rFont val="Tahoma"/>
            <family val="2"/>
          </rPr>
          <t>&lt;[[TCDeals] - [TC Property Current Stage (Seq: 1)] - [Buildings (Seq: 84)] Constr PIS Date - Both]&gt;</t>
        </r>
      </text>
    </comment>
    <comment ref="L1265" authorId="0" shapeId="0" xr:uid="{C9A664F6-BF0E-4F3D-B1C8-516877923AE7}">
      <text>
        <r>
          <rPr>
            <b/>
            <sz val="9"/>
            <color indexed="81"/>
            <rFont val="Tahoma"/>
            <family val="2"/>
          </rPr>
          <t>&lt;[[TCDeals] - [TC Property Current Stage (Seq: 1)] - [Buildings (Seq: 84)] Constr Applicable Percentage - Both]&gt;</t>
        </r>
      </text>
    </comment>
    <comment ref="M1265" authorId="0" shapeId="0" xr:uid="{FDE551BE-5C1A-4E92-9852-7C53972B552A}">
      <text>
        <r>
          <rPr>
            <b/>
            <sz val="9"/>
            <color indexed="81"/>
            <rFont val="Tahoma"/>
            <family val="2"/>
          </rPr>
          <t>&lt;[[TCDeals] - [TC Property Current Stage (Seq: 1)] - [Buildings (Seq: 84)] Constr Est Qual Basis - Both]&gt;</t>
        </r>
      </text>
    </comment>
    <comment ref="N1265" authorId="0" shapeId="0" xr:uid="{556CD3CF-7E40-471C-B13F-DD86082BE437}">
      <text>
        <r>
          <rPr>
            <b/>
            <sz val="9"/>
            <color indexed="81"/>
            <rFont val="Tahoma"/>
            <family val="2"/>
          </rPr>
          <t>&lt;[[TCDeals] - [TC Property Current Stage (Seq: 1)] - [Buildings (Seq: 84)] Constr 8609 Basis - Both]&gt;</t>
        </r>
      </text>
    </comment>
    <comment ref="O1265" authorId="0" shapeId="0" xr:uid="{F21B2847-1624-4FD6-A31F-EAEC91C54397}">
      <text>
        <r>
          <rPr>
            <b/>
            <sz val="9"/>
            <color indexed="81"/>
            <rFont val="Tahoma"/>
            <family val="2"/>
          </rPr>
          <t>&lt;[[TCDeals] - [TC Property Current Stage (Seq: 1)] - [Buildings (Seq: 84)] Constr 8609 Credit - Both]&gt;</t>
        </r>
      </text>
    </comment>
    <comment ref="P1265" authorId="0" shapeId="0" xr:uid="{7D5B09E8-21B1-4DA2-9424-17BB8423FB65}">
      <text>
        <r>
          <rPr>
            <b/>
            <sz val="9"/>
            <color indexed="81"/>
            <rFont val="Tahoma"/>
            <family val="2"/>
          </rPr>
          <t>&lt;[[TCDeals] - [TC Property Current Stage (Seq: 1)] - [Buildings (Seq: 84)] Acq PIS Date - Both]&gt;</t>
        </r>
      </text>
    </comment>
    <comment ref="Q1265" authorId="0" shapeId="0" xr:uid="{B79710C1-FCE9-4314-BE96-1751FC9217A9}">
      <text>
        <r>
          <rPr>
            <b/>
            <sz val="9"/>
            <color indexed="81"/>
            <rFont val="Tahoma"/>
            <family val="2"/>
          </rPr>
          <t>&lt;[[TCDeals] - [TC Property Current Stage (Seq: 1)] - [Buildings (Seq: 84)] Acq Applicable Percentage - Both]&gt;</t>
        </r>
      </text>
    </comment>
    <comment ref="R1265" authorId="0" shapeId="0" xr:uid="{2CD9C3A3-9214-44CE-9397-248847C78A1D}">
      <text>
        <r>
          <rPr>
            <b/>
            <sz val="9"/>
            <color indexed="81"/>
            <rFont val="Tahoma"/>
            <family val="2"/>
          </rPr>
          <t>&lt;[[TCDeals] - [TC Property Current Stage (Seq: 1)] - [Buildings (Seq: 84)] Acq Est Qual Basis - Both]&gt;</t>
        </r>
      </text>
    </comment>
    <comment ref="S1265" authorId="0" shapeId="0" xr:uid="{E33AEA79-EB90-4D2E-B1E5-7D270FAC85E3}">
      <text>
        <r>
          <rPr>
            <b/>
            <sz val="9"/>
            <color indexed="81"/>
            <rFont val="Tahoma"/>
            <family val="2"/>
          </rPr>
          <t>&lt;[[TCDeals] - [TC Property Current Stage (Seq: 1)] - [Buildings (Seq: 84)] Acq 8609 Basis - Both]&gt;</t>
        </r>
      </text>
    </comment>
    <comment ref="T1265" authorId="0" shapeId="0" xr:uid="{E6D68CC3-34C2-4983-BF9F-760D16C0B9FD}">
      <text>
        <r>
          <rPr>
            <b/>
            <sz val="9"/>
            <color indexed="81"/>
            <rFont val="Tahoma"/>
            <family val="2"/>
          </rPr>
          <t>&lt;[[TCDeals] - [TC Property Current Stage (Seq: 1)] - [Buildings (Seq: 84)] Acq 8609 Credit - Both]&gt;</t>
        </r>
      </text>
    </comment>
    <comment ref="C1266" authorId="0" shapeId="0" xr:uid="{8DBD2B3C-07B3-401C-91B7-D93A8E11C391}">
      <text>
        <r>
          <rPr>
            <b/>
            <sz val="9"/>
            <color indexed="81"/>
            <rFont val="Tahoma"/>
            <family val="2"/>
          </rPr>
          <t>&lt;[[TCDeals] - [TC Property Current Stage (Seq: 1)] - [Buildings (Seq: 85)] BIN - Both]&gt;</t>
        </r>
      </text>
    </comment>
    <comment ref="D1266" authorId="0" shapeId="0" xr:uid="{81E96449-96AF-408C-934E-71C1AE253E4D}">
      <text>
        <r>
          <rPr>
            <b/>
            <sz val="9"/>
            <color indexed="81"/>
            <rFont val="Tahoma"/>
            <family val="2"/>
          </rPr>
          <t>&lt;[[TCDeals] - [TC Property Current Stage (Seq: 1)] - [Buildings (Seq: 85)] Address 1 - Both]&gt;</t>
        </r>
      </text>
    </comment>
    <comment ref="E1266" authorId="0" shapeId="0" xr:uid="{4CDD945D-3853-467D-913D-75A4F81CC017}">
      <text>
        <r>
          <rPr>
            <b/>
            <sz val="9"/>
            <color indexed="81"/>
            <rFont val="Tahoma"/>
            <family val="2"/>
          </rPr>
          <t>&lt;[[TCDeals] - [TC Property Current Stage (Seq: 1)] - [Buildings (Seq: 85)] Num TC Units - Both]&gt;</t>
        </r>
      </text>
    </comment>
    <comment ref="F1266" authorId="0" shapeId="0" xr:uid="{2869BC8C-1CD1-4EA7-B125-C309D05F8AA7}">
      <text>
        <r>
          <rPr>
            <b/>
            <sz val="9"/>
            <color indexed="81"/>
            <rFont val="Tahoma"/>
            <family val="2"/>
          </rPr>
          <t>&lt;[[TCDeals] - [TC Property Current Stage (Seq: 1)] - [Buildings (Seq: 85)] PVC PIS Date - Both]&gt;</t>
        </r>
      </text>
    </comment>
    <comment ref="G1266" authorId="0" shapeId="0" xr:uid="{C65B3AD5-9BD8-4CC1-A8F3-15DF493F46D7}">
      <text>
        <r>
          <rPr>
            <b/>
            <sz val="9"/>
            <color indexed="81"/>
            <rFont val="Tahoma"/>
            <family val="2"/>
          </rPr>
          <t>&lt;[[TCDeals] - [TC Property Current Stage (Seq: 1)] - [Buildings (Seq: 85)] PVC Applicable Percentage - Both]&gt;</t>
        </r>
      </text>
    </comment>
    <comment ref="H1266" authorId="0" shapeId="0" xr:uid="{7CA41F64-B729-4D55-AD85-DE6120D00DB2}">
      <text>
        <r>
          <rPr>
            <b/>
            <sz val="9"/>
            <color indexed="81"/>
            <rFont val="Tahoma"/>
            <family val="2"/>
          </rPr>
          <t>&lt;[[TCDeals] - [TC Property Current Stage (Seq: 1)] - [Buildings (Seq: 85)] PVC Est Qual Basis - Both]&gt;</t>
        </r>
      </text>
    </comment>
    <comment ref="I1266" authorId="0" shapeId="0" xr:uid="{1BA1944C-CC30-4640-B829-390CA4217553}">
      <text>
        <r>
          <rPr>
            <b/>
            <sz val="9"/>
            <color indexed="81"/>
            <rFont val="Tahoma"/>
            <family val="2"/>
          </rPr>
          <t>&lt;[[TCDeals] - [TC Property Current Stage (Seq: 1)] - [Buildings (Seq: 85)] PVC8609 Basis - Both]&gt;</t>
        </r>
      </text>
    </comment>
    <comment ref="J1266" authorId="0" shapeId="0" xr:uid="{7C14607F-D729-409E-AEDD-A0615934F08F}">
      <text>
        <r>
          <rPr>
            <b/>
            <sz val="9"/>
            <color indexed="81"/>
            <rFont val="Tahoma"/>
            <family val="2"/>
          </rPr>
          <t>&lt;[[TCDeals] - [TC Property Current Stage (Seq: 1)] - [Buildings (Seq: 85)] PVC8609 Credit - Both]&gt;</t>
        </r>
      </text>
    </comment>
    <comment ref="K1266" authorId="0" shapeId="0" xr:uid="{E5CB2873-92FF-431F-ABA1-936714D0E9F0}">
      <text>
        <r>
          <rPr>
            <b/>
            <sz val="9"/>
            <color indexed="81"/>
            <rFont val="Tahoma"/>
            <family val="2"/>
          </rPr>
          <t>&lt;[[TCDeals] - [TC Property Current Stage (Seq: 1)] - [Buildings (Seq: 85)] Constr PIS Date - Both]&gt;</t>
        </r>
      </text>
    </comment>
    <comment ref="L1266" authorId="0" shapeId="0" xr:uid="{01135FF5-D2C4-42C5-B03C-7CC9AE389BB0}">
      <text>
        <r>
          <rPr>
            <b/>
            <sz val="9"/>
            <color indexed="81"/>
            <rFont val="Tahoma"/>
            <family val="2"/>
          </rPr>
          <t>&lt;[[TCDeals] - [TC Property Current Stage (Seq: 1)] - [Buildings (Seq: 85)] Constr Applicable Percentage - Both]&gt;</t>
        </r>
      </text>
    </comment>
    <comment ref="M1266" authorId="0" shapeId="0" xr:uid="{681FD2FF-0164-4B41-8A63-73B126531B66}">
      <text>
        <r>
          <rPr>
            <b/>
            <sz val="9"/>
            <color indexed="81"/>
            <rFont val="Tahoma"/>
            <family val="2"/>
          </rPr>
          <t>&lt;[[TCDeals] - [TC Property Current Stage (Seq: 1)] - [Buildings (Seq: 85)] Constr Est Qual Basis - Both]&gt;</t>
        </r>
      </text>
    </comment>
    <comment ref="N1266" authorId="0" shapeId="0" xr:uid="{D3F88820-BA24-402E-8FE9-0225526352EE}">
      <text>
        <r>
          <rPr>
            <b/>
            <sz val="9"/>
            <color indexed="81"/>
            <rFont val="Tahoma"/>
            <family val="2"/>
          </rPr>
          <t>&lt;[[TCDeals] - [TC Property Current Stage (Seq: 1)] - [Buildings (Seq: 85)] Constr 8609 Basis - Both]&gt;</t>
        </r>
      </text>
    </comment>
    <comment ref="O1266" authorId="0" shapeId="0" xr:uid="{86D090BC-EE95-4EA8-BC2B-B88C6499D9F6}">
      <text>
        <r>
          <rPr>
            <b/>
            <sz val="9"/>
            <color indexed="81"/>
            <rFont val="Tahoma"/>
            <family val="2"/>
          </rPr>
          <t>&lt;[[TCDeals] - [TC Property Current Stage (Seq: 1)] - [Buildings (Seq: 85)] Constr 8609 Credit - Both]&gt;</t>
        </r>
      </text>
    </comment>
    <comment ref="P1266" authorId="0" shapeId="0" xr:uid="{C8D0EE24-417C-40AB-9403-95FF85A99055}">
      <text>
        <r>
          <rPr>
            <b/>
            <sz val="9"/>
            <color indexed="81"/>
            <rFont val="Tahoma"/>
            <family val="2"/>
          </rPr>
          <t>&lt;[[TCDeals] - [TC Property Current Stage (Seq: 1)] - [Buildings (Seq: 85)] Acq PIS Date - Both]&gt;</t>
        </r>
      </text>
    </comment>
    <comment ref="Q1266" authorId="0" shapeId="0" xr:uid="{51F768E7-0DA4-40F1-BBFC-0D239368F3B7}">
      <text>
        <r>
          <rPr>
            <b/>
            <sz val="9"/>
            <color indexed="81"/>
            <rFont val="Tahoma"/>
            <family val="2"/>
          </rPr>
          <t>&lt;[[TCDeals] - [TC Property Current Stage (Seq: 1)] - [Buildings (Seq: 85)] Acq Applicable Percentage - Both]&gt;</t>
        </r>
      </text>
    </comment>
    <comment ref="R1266" authorId="0" shapeId="0" xr:uid="{71DE61F3-101D-4CAC-A4C5-AC79F7A1A72C}">
      <text>
        <r>
          <rPr>
            <b/>
            <sz val="9"/>
            <color indexed="81"/>
            <rFont val="Tahoma"/>
            <family val="2"/>
          </rPr>
          <t>&lt;[[TCDeals] - [TC Property Current Stage (Seq: 1)] - [Buildings (Seq: 85)] Acq Est Qual Basis - Both]&gt;</t>
        </r>
      </text>
    </comment>
    <comment ref="S1266" authorId="0" shapeId="0" xr:uid="{20946C3E-C8FF-42ED-BA89-B4F9DBA94B18}">
      <text>
        <r>
          <rPr>
            <b/>
            <sz val="9"/>
            <color indexed="81"/>
            <rFont val="Tahoma"/>
            <family val="2"/>
          </rPr>
          <t>&lt;[[TCDeals] - [TC Property Current Stage (Seq: 1)] - [Buildings (Seq: 85)] Acq 8609 Basis - Both]&gt;</t>
        </r>
      </text>
    </comment>
    <comment ref="T1266" authorId="0" shapeId="0" xr:uid="{2F8035E9-0ED2-4E6B-8A7D-9B8776F48FCE}">
      <text>
        <r>
          <rPr>
            <b/>
            <sz val="9"/>
            <color indexed="81"/>
            <rFont val="Tahoma"/>
            <family val="2"/>
          </rPr>
          <t>&lt;[[TCDeals] - [TC Property Current Stage (Seq: 1)] - [Buildings (Seq: 85)] Acq 8609 Credit - Both]&gt;</t>
        </r>
      </text>
    </comment>
    <comment ref="C1267" authorId="0" shapeId="0" xr:uid="{F901D05A-F658-4688-84AA-798408F9C3EE}">
      <text>
        <r>
          <rPr>
            <b/>
            <sz val="9"/>
            <color indexed="81"/>
            <rFont val="Tahoma"/>
            <family val="2"/>
          </rPr>
          <t>&lt;[[TCDeals] - [TC Property Current Stage (Seq: 1)] - [Buildings (Seq: 86)] BIN - Both]&gt;</t>
        </r>
      </text>
    </comment>
    <comment ref="D1267" authorId="0" shapeId="0" xr:uid="{E4035017-C428-4A70-AE55-14F93B32B879}">
      <text>
        <r>
          <rPr>
            <b/>
            <sz val="9"/>
            <color indexed="81"/>
            <rFont val="Tahoma"/>
            <family val="2"/>
          </rPr>
          <t>&lt;[[TCDeals] - [TC Property Current Stage (Seq: 1)] - [Buildings (Seq: 86)] Address 1 - Both]&gt;</t>
        </r>
      </text>
    </comment>
    <comment ref="E1267" authorId="0" shapeId="0" xr:uid="{1023C85E-8827-4E8C-9328-B1224491322E}">
      <text>
        <r>
          <rPr>
            <b/>
            <sz val="9"/>
            <color indexed="81"/>
            <rFont val="Tahoma"/>
            <family val="2"/>
          </rPr>
          <t>&lt;[[TCDeals] - [TC Property Current Stage (Seq: 1)] - [Buildings (Seq: 86)] Num TC Units - Both]&gt;</t>
        </r>
      </text>
    </comment>
    <comment ref="F1267" authorId="0" shapeId="0" xr:uid="{7ECA636C-58CF-4A98-8FB9-07264C189154}">
      <text>
        <r>
          <rPr>
            <b/>
            <sz val="9"/>
            <color indexed="81"/>
            <rFont val="Tahoma"/>
            <family val="2"/>
          </rPr>
          <t>&lt;[[TCDeals] - [TC Property Current Stage (Seq: 1)] - [Buildings (Seq: 86)] PVC PIS Date - Both]&gt;</t>
        </r>
      </text>
    </comment>
    <comment ref="G1267" authorId="0" shapeId="0" xr:uid="{38A8F25A-4116-4551-A5BA-150F3538B0E6}">
      <text>
        <r>
          <rPr>
            <b/>
            <sz val="9"/>
            <color indexed="81"/>
            <rFont val="Tahoma"/>
            <family val="2"/>
          </rPr>
          <t>&lt;[[TCDeals] - [TC Property Current Stage (Seq: 1)] - [Buildings (Seq: 86)] PVC Applicable Percentage - Both]&gt;</t>
        </r>
      </text>
    </comment>
    <comment ref="H1267" authorId="0" shapeId="0" xr:uid="{898A3A88-5FD7-429D-A8F7-5C3184FA7206}">
      <text>
        <r>
          <rPr>
            <b/>
            <sz val="9"/>
            <color indexed="81"/>
            <rFont val="Tahoma"/>
            <family val="2"/>
          </rPr>
          <t>&lt;[[TCDeals] - [TC Property Current Stage (Seq: 1)] - [Buildings (Seq: 86)] PVC Est Qual Basis - Both]&gt;</t>
        </r>
      </text>
    </comment>
    <comment ref="I1267" authorId="0" shapeId="0" xr:uid="{7C908E84-E452-4C80-A573-6B41F0C45F83}">
      <text>
        <r>
          <rPr>
            <b/>
            <sz val="9"/>
            <color indexed="81"/>
            <rFont val="Tahoma"/>
            <family val="2"/>
          </rPr>
          <t>&lt;[[TCDeals] - [TC Property Current Stage (Seq: 1)] - [Buildings (Seq: 86)] PVC8609 Basis - Both]&gt;</t>
        </r>
      </text>
    </comment>
    <comment ref="J1267" authorId="0" shapeId="0" xr:uid="{CF6796DF-3784-429E-B21F-19EC3BFD3926}">
      <text>
        <r>
          <rPr>
            <b/>
            <sz val="9"/>
            <color indexed="81"/>
            <rFont val="Tahoma"/>
            <family val="2"/>
          </rPr>
          <t>&lt;[[TCDeals] - [TC Property Current Stage (Seq: 1)] - [Buildings (Seq: 86)] PVC8609 Credit - Both]&gt;</t>
        </r>
      </text>
    </comment>
    <comment ref="K1267" authorId="0" shapeId="0" xr:uid="{3253A68E-CD61-414A-AC24-79B95374F849}">
      <text>
        <r>
          <rPr>
            <b/>
            <sz val="9"/>
            <color indexed="81"/>
            <rFont val="Tahoma"/>
            <family val="2"/>
          </rPr>
          <t>&lt;[[TCDeals] - [TC Property Current Stage (Seq: 1)] - [Buildings (Seq: 86)] Constr PIS Date - Both]&gt;</t>
        </r>
      </text>
    </comment>
    <comment ref="L1267" authorId="0" shapeId="0" xr:uid="{20F3B6A3-F458-4613-BB72-E72958963207}">
      <text>
        <r>
          <rPr>
            <b/>
            <sz val="9"/>
            <color indexed="81"/>
            <rFont val="Tahoma"/>
            <family val="2"/>
          </rPr>
          <t>&lt;[[TCDeals] - [TC Property Current Stage (Seq: 1)] - [Buildings (Seq: 86)] Constr Applicable Percentage - Both]&gt;</t>
        </r>
      </text>
    </comment>
    <comment ref="M1267" authorId="0" shapeId="0" xr:uid="{551EC164-AEDC-4FFB-8BEB-887018A68B29}">
      <text>
        <r>
          <rPr>
            <b/>
            <sz val="9"/>
            <color indexed="81"/>
            <rFont val="Tahoma"/>
            <family val="2"/>
          </rPr>
          <t>&lt;[[TCDeals] - [TC Property Current Stage (Seq: 1)] - [Buildings (Seq: 86)] Constr Est Qual Basis - Both]&gt;</t>
        </r>
      </text>
    </comment>
    <comment ref="N1267" authorId="0" shapeId="0" xr:uid="{C605F82A-8BC3-4B41-BA49-B7E9AA8C0643}">
      <text>
        <r>
          <rPr>
            <b/>
            <sz val="9"/>
            <color indexed="81"/>
            <rFont val="Tahoma"/>
            <family val="2"/>
          </rPr>
          <t>&lt;[[TCDeals] - [TC Property Current Stage (Seq: 1)] - [Buildings (Seq: 86)] Constr 8609 Basis - Both]&gt;</t>
        </r>
      </text>
    </comment>
    <comment ref="O1267" authorId="0" shapeId="0" xr:uid="{6414B88D-3F7E-4FDF-BAF4-894B2D5C7986}">
      <text>
        <r>
          <rPr>
            <b/>
            <sz val="9"/>
            <color indexed="81"/>
            <rFont val="Tahoma"/>
            <family val="2"/>
          </rPr>
          <t>&lt;[[TCDeals] - [TC Property Current Stage (Seq: 1)] - [Buildings (Seq: 86)] Constr 8609 Credit - Both]&gt;</t>
        </r>
      </text>
    </comment>
    <comment ref="P1267" authorId="0" shapeId="0" xr:uid="{64386039-800A-4ECB-A124-0C10AF116839}">
      <text>
        <r>
          <rPr>
            <b/>
            <sz val="9"/>
            <color indexed="81"/>
            <rFont val="Tahoma"/>
            <family val="2"/>
          </rPr>
          <t>&lt;[[TCDeals] - [TC Property Current Stage (Seq: 1)] - [Buildings (Seq: 86)] Acq PIS Date - Both]&gt;</t>
        </r>
      </text>
    </comment>
    <comment ref="Q1267" authorId="0" shapeId="0" xr:uid="{65AC6AAA-3B21-4ED8-A3CB-3172AD6F571D}">
      <text>
        <r>
          <rPr>
            <b/>
            <sz val="9"/>
            <color indexed="81"/>
            <rFont val="Tahoma"/>
            <family val="2"/>
          </rPr>
          <t>&lt;[[TCDeals] - [TC Property Current Stage (Seq: 1)] - [Buildings (Seq: 86)] Acq Applicable Percentage - Both]&gt;</t>
        </r>
      </text>
    </comment>
    <comment ref="R1267" authorId="0" shapeId="0" xr:uid="{4B27F09D-30EF-4369-A9F7-ECA0E1CC5FF0}">
      <text>
        <r>
          <rPr>
            <b/>
            <sz val="9"/>
            <color indexed="81"/>
            <rFont val="Tahoma"/>
            <family val="2"/>
          </rPr>
          <t>&lt;[[TCDeals] - [TC Property Current Stage (Seq: 1)] - [Buildings (Seq: 86)] Acq Est Qual Basis - Both]&gt;</t>
        </r>
      </text>
    </comment>
    <comment ref="S1267" authorId="0" shapeId="0" xr:uid="{9C3537CC-E0A1-4975-98A2-8EA8080623B8}">
      <text>
        <r>
          <rPr>
            <b/>
            <sz val="9"/>
            <color indexed="81"/>
            <rFont val="Tahoma"/>
            <family val="2"/>
          </rPr>
          <t>&lt;[[TCDeals] - [TC Property Current Stage (Seq: 1)] - [Buildings (Seq: 86)] Acq 8609 Basis - Both]&gt;</t>
        </r>
      </text>
    </comment>
    <comment ref="T1267" authorId="0" shapeId="0" xr:uid="{2BF2B91B-727D-4EA5-BF41-BAF4C9E48D54}">
      <text>
        <r>
          <rPr>
            <b/>
            <sz val="9"/>
            <color indexed="81"/>
            <rFont val="Tahoma"/>
            <family val="2"/>
          </rPr>
          <t>&lt;[[TCDeals] - [TC Property Current Stage (Seq: 1)] - [Buildings (Seq: 86)] Acq 8609 Credit - Both]&gt;</t>
        </r>
      </text>
    </comment>
    <comment ref="C1268" authorId="0" shapeId="0" xr:uid="{E127BC37-208E-45DE-99AA-517FD7ADCF6B}">
      <text>
        <r>
          <rPr>
            <b/>
            <sz val="9"/>
            <color indexed="81"/>
            <rFont val="Tahoma"/>
            <family val="2"/>
          </rPr>
          <t>&lt;[[TCDeals] - [TC Property Current Stage (Seq: 1)] - [Buildings (Seq: 87)] BIN - Both]&gt;</t>
        </r>
      </text>
    </comment>
    <comment ref="D1268" authorId="0" shapeId="0" xr:uid="{7D448C59-CAF6-4702-8FB7-34C8A89B211A}">
      <text>
        <r>
          <rPr>
            <b/>
            <sz val="9"/>
            <color indexed="81"/>
            <rFont val="Tahoma"/>
            <family val="2"/>
          </rPr>
          <t>&lt;[[TCDeals] - [TC Property Current Stage (Seq: 1)] - [Buildings (Seq: 87)] Address 1 - Both]&gt;</t>
        </r>
      </text>
    </comment>
    <comment ref="E1268" authorId="0" shapeId="0" xr:uid="{59C351A0-9292-421D-9133-FFCE3B91DE2F}">
      <text>
        <r>
          <rPr>
            <b/>
            <sz val="9"/>
            <color indexed="81"/>
            <rFont val="Tahoma"/>
            <family val="2"/>
          </rPr>
          <t>&lt;[[TCDeals] - [TC Property Current Stage (Seq: 1)] - [Buildings (Seq: 87)] Num TC Units - Both]&gt;</t>
        </r>
      </text>
    </comment>
    <comment ref="F1268" authorId="0" shapeId="0" xr:uid="{B348D5E0-54DC-4025-BF74-B6DC1CFB8DAE}">
      <text>
        <r>
          <rPr>
            <b/>
            <sz val="9"/>
            <color indexed="81"/>
            <rFont val="Tahoma"/>
            <family val="2"/>
          </rPr>
          <t>&lt;[[TCDeals] - [TC Property Current Stage (Seq: 1)] - [Buildings (Seq: 87)] PVC PIS Date - Both]&gt;</t>
        </r>
      </text>
    </comment>
    <comment ref="G1268" authorId="0" shapeId="0" xr:uid="{F0B09347-F5C1-46D6-B7D3-660967736238}">
      <text>
        <r>
          <rPr>
            <b/>
            <sz val="9"/>
            <color indexed="81"/>
            <rFont val="Tahoma"/>
            <family val="2"/>
          </rPr>
          <t>&lt;[[TCDeals] - [TC Property Current Stage (Seq: 1)] - [Buildings (Seq: 87)] PVC Applicable Percentage - Both]&gt;</t>
        </r>
      </text>
    </comment>
    <comment ref="H1268" authorId="0" shapeId="0" xr:uid="{2CF0E5C5-C6F0-46B9-95FA-2D5F116BFF38}">
      <text>
        <r>
          <rPr>
            <b/>
            <sz val="9"/>
            <color indexed="81"/>
            <rFont val="Tahoma"/>
            <family val="2"/>
          </rPr>
          <t>&lt;[[TCDeals] - [TC Property Current Stage (Seq: 1)] - [Buildings (Seq: 87)] PVC Est Qual Basis - Both]&gt;</t>
        </r>
      </text>
    </comment>
    <comment ref="I1268" authorId="0" shapeId="0" xr:uid="{063B800B-89BB-4A96-B67D-5966CD6D6BC2}">
      <text>
        <r>
          <rPr>
            <b/>
            <sz val="9"/>
            <color indexed="81"/>
            <rFont val="Tahoma"/>
            <family val="2"/>
          </rPr>
          <t>&lt;[[TCDeals] - [TC Property Current Stage (Seq: 1)] - [Buildings (Seq: 87)] PVC8609 Basis - Both]&gt;</t>
        </r>
      </text>
    </comment>
    <comment ref="J1268" authorId="0" shapeId="0" xr:uid="{21A93B2B-8717-4BD9-9A04-545A0E895830}">
      <text>
        <r>
          <rPr>
            <b/>
            <sz val="9"/>
            <color indexed="81"/>
            <rFont val="Tahoma"/>
            <family val="2"/>
          </rPr>
          <t>&lt;[[TCDeals] - [TC Property Current Stage (Seq: 1)] - [Buildings (Seq: 87)] PVC8609 Credit - Both]&gt;</t>
        </r>
      </text>
    </comment>
    <comment ref="K1268" authorId="0" shapeId="0" xr:uid="{87068E4D-7D44-4533-B9D3-D59096D80647}">
      <text>
        <r>
          <rPr>
            <b/>
            <sz val="9"/>
            <color indexed="81"/>
            <rFont val="Tahoma"/>
            <family val="2"/>
          </rPr>
          <t>&lt;[[TCDeals] - [TC Property Current Stage (Seq: 1)] - [Buildings (Seq: 87)] Constr PIS Date - Both]&gt;</t>
        </r>
      </text>
    </comment>
    <comment ref="L1268" authorId="0" shapeId="0" xr:uid="{E1940F46-5FEF-4212-AAD0-4193B1CE9255}">
      <text>
        <r>
          <rPr>
            <b/>
            <sz val="9"/>
            <color indexed="81"/>
            <rFont val="Tahoma"/>
            <family val="2"/>
          </rPr>
          <t>&lt;[[TCDeals] - [TC Property Current Stage (Seq: 1)] - [Buildings (Seq: 87)] Constr Applicable Percentage - Both]&gt;</t>
        </r>
      </text>
    </comment>
    <comment ref="M1268" authorId="0" shapeId="0" xr:uid="{A8485A7F-86CB-4E14-89B7-3AEA1F334F41}">
      <text>
        <r>
          <rPr>
            <b/>
            <sz val="9"/>
            <color indexed="81"/>
            <rFont val="Tahoma"/>
            <family val="2"/>
          </rPr>
          <t>&lt;[[TCDeals] - [TC Property Current Stage (Seq: 1)] - [Buildings (Seq: 87)] Constr Est Qual Basis - Both]&gt;</t>
        </r>
      </text>
    </comment>
    <comment ref="N1268" authorId="0" shapeId="0" xr:uid="{7FDA5EDC-3EB3-46D3-885C-1C76A7CA9E07}">
      <text>
        <r>
          <rPr>
            <b/>
            <sz val="9"/>
            <color indexed="81"/>
            <rFont val="Tahoma"/>
            <family val="2"/>
          </rPr>
          <t>&lt;[[TCDeals] - [TC Property Current Stage (Seq: 1)] - [Buildings (Seq: 87)] Constr 8609 Basis - Both]&gt;</t>
        </r>
      </text>
    </comment>
    <comment ref="O1268" authorId="0" shapeId="0" xr:uid="{9C3ABD5C-C428-4012-B718-751B3882E39B}">
      <text>
        <r>
          <rPr>
            <b/>
            <sz val="9"/>
            <color indexed="81"/>
            <rFont val="Tahoma"/>
            <family val="2"/>
          </rPr>
          <t>&lt;[[TCDeals] - [TC Property Current Stage (Seq: 1)] - [Buildings (Seq: 87)] Constr 8609 Credit - Both]&gt;</t>
        </r>
      </text>
    </comment>
    <comment ref="P1268" authorId="0" shapeId="0" xr:uid="{D16E5CD9-411F-4179-B6DC-C9F82344DD47}">
      <text>
        <r>
          <rPr>
            <b/>
            <sz val="9"/>
            <color indexed="81"/>
            <rFont val="Tahoma"/>
            <family val="2"/>
          </rPr>
          <t>&lt;[[TCDeals] - [TC Property Current Stage (Seq: 1)] - [Buildings (Seq: 87)] Acq PIS Date - Both]&gt;</t>
        </r>
      </text>
    </comment>
    <comment ref="Q1268" authorId="0" shapeId="0" xr:uid="{0B5ACEB4-221F-4D74-B9D6-C67CFA96B0BE}">
      <text>
        <r>
          <rPr>
            <b/>
            <sz val="9"/>
            <color indexed="81"/>
            <rFont val="Tahoma"/>
            <family val="2"/>
          </rPr>
          <t>&lt;[[TCDeals] - [TC Property Current Stage (Seq: 1)] - [Buildings (Seq: 87)] Acq Applicable Percentage - Both]&gt;</t>
        </r>
      </text>
    </comment>
    <comment ref="R1268" authorId="0" shapeId="0" xr:uid="{AB0EEBA1-B2CE-4D38-935E-A02A54F00F92}">
      <text>
        <r>
          <rPr>
            <b/>
            <sz val="9"/>
            <color indexed="81"/>
            <rFont val="Tahoma"/>
            <family val="2"/>
          </rPr>
          <t>&lt;[[TCDeals] - [TC Property Current Stage (Seq: 1)] - [Buildings (Seq: 87)] Acq Est Qual Basis - Both]&gt;</t>
        </r>
      </text>
    </comment>
    <comment ref="S1268" authorId="0" shapeId="0" xr:uid="{2ED0F8B9-7D59-4C36-9D84-7B4FDFC443F5}">
      <text>
        <r>
          <rPr>
            <b/>
            <sz val="9"/>
            <color indexed="81"/>
            <rFont val="Tahoma"/>
            <family val="2"/>
          </rPr>
          <t>&lt;[[TCDeals] - [TC Property Current Stage (Seq: 1)] - [Buildings (Seq: 87)] Acq 8609 Basis - Both]&gt;</t>
        </r>
      </text>
    </comment>
    <comment ref="T1268" authorId="0" shapeId="0" xr:uid="{F5597D03-95DC-45D4-9AA6-76BC9F5811E8}">
      <text>
        <r>
          <rPr>
            <b/>
            <sz val="9"/>
            <color indexed="81"/>
            <rFont val="Tahoma"/>
            <family val="2"/>
          </rPr>
          <t>&lt;[[TCDeals] - [TC Property Current Stage (Seq: 1)] - [Buildings (Seq: 87)] Acq 8609 Credit - Both]&gt;</t>
        </r>
      </text>
    </comment>
    <comment ref="C1269" authorId="0" shapeId="0" xr:uid="{EB7A2224-DFDA-415D-80D3-7190DB31C092}">
      <text>
        <r>
          <rPr>
            <b/>
            <sz val="9"/>
            <color indexed="81"/>
            <rFont val="Tahoma"/>
            <family val="2"/>
          </rPr>
          <t>&lt;[[TCDeals] - [TC Property Current Stage (Seq: 1)] - [Buildings (Seq: 88)] BIN - Both]&gt;</t>
        </r>
      </text>
    </comment>
    <comment ref="D1269" authorId="0" shapeId="0" xr:uid="{D97493E4-5488-44A0-ABC7-535FAB1013E6}">
      <text>
        <r>
          <rPr>
            <b/>
            <sz val="9"/>
            <color indexed="81"/>
            <rFont val="Tahoma"/>
            <family val="2"/>
          </rPr>
          <t>&lt;[[TCDeals] - [TC Property Current Stage (Seq: 1)] - [Buildings (Seq: 88)] Address 1 - Both]&gt;</t>
        </r>
      </text>
    </comment>
    <comment ref="E1269" authorId="0" shapeId="0" xr:uid="{C8B172EE-AA87-4886-9886-39EF31DF97CC}">
      <text>
        <r>
          <rPr>
            <b/>
            <sz val="9"/>
            <color indexed="81"/>
            <rFont val="Tahoma"/>
            <family val="2"/>
          </rPr>
          <t>&lt;[[TCDeals] - [TC Property Current Stage (Seq: 1)] - [Buildings (Seq: 88)] Num TC Units - Both]&gt;</t>
        </r>
      </text>
    </comment>
    <comment ref="F1269" authorId="0" shapeId="0" xr:uid="{84C6FAE7-24FD-4395-9F26-0B8BA31D1B4C}">
      <text>
        <r>
          <rPr>
            <b/>
            <sz val="9"/>
            <color indexed="81"/>
            <rFont val="Tahoma"/>
            <family val="2"/>
          </rPr>
          <t>&lt;[[TCDeals] - [TC Property Current Stage (Seq: 1)] - [Buildings (Seq: 88)] PVC PIS Date - Both]&gt;</t>
        </r>
      </text>
    </comment>
    <comment ref="G1269" authorId="0" shapeId="0" xr:uid="{012D48F0-4A4D-4F78-9A76-8748ABC41844}">
      <text>
        <r>
          <rPr>
            <b/>
            <sz val="9"/>
            <color indexed="81"/>
            <rFont val="Tahoma"/>
            <family val="2"/>
          </rPr>
          <t>&lt;[[TCDeals] - [TC Property Current Stage (Seq: 1)] - [Buildings (Seq: 88)] PVC Applicable Percentage - Both]&gt;</t>
        </r>
      </text>
    </comment>
    <comment ref="H1269" authorId="0" shapeId="0" xr:uid="{EAD692E5-BA7F-4347-9697-1F4662F5887D}">
      <text>
        <r>
          <rPr>
            <b/>
            <sz val="9"/>
            <color indexed="81"/>
            <rFont val="Tahoma"/>
            <family val="2"/>
          </rPr>
          <t>&lt;[[TCDeals] - [TC Property Current Stage (Seq: 1)] - [Buildings (Seq: 88)] PVC Est Qual Basis - Both]&gt;</t>
        </r>
      </text>
    </comment>
    <comment ref="I1269" authorId="0" shapeId="0" xr:uid="{17688E08-FBFF-451F-8088-441B191BE62A}">
      <text>
        <r>
          <rPr>
            <b/>
            <sz val="9"/>
            <color indexed="81"/>
            <rFont val="Tahoma"/>
            <family val="2"/>
          </rPr>
          <t>&lt;[[TCDeals] - [TC Property Current Stage (Seq: 1)] - [Buildings (Seq: 88)] PVC8609 Basis - Both]&gt;</t>
        </r>
      </text>
    </comment>
    <comment ref="J1269" authorId="0" shapeId="0" xr:uid="{05F640E1-D0BC-4809-AEFB-E92496590F7D}">
      <text>
        <r>
          <rPr>
            <b/>
            <sz val="9"/>
            <color indexed="81"/>
            <rFont val="Tahoma"/>
            <family val="2"/>
          </rPr>
          <t>&lt;[[TCDeals] - [TC Property Current Stage (Seq: 1)] - [Buildings (Seq: 88)] PVC8609 Credit - Both]&gt;</t>
        </r>
      </text>
    </comment>
    <comment ref="K1269" authorId="0" shapeId="0" xr:uid="{92848728-1B01-46FE-B515-B0E7F319015C}">
      <text>
        <r>
          <rPr>
            <b/>
            <sz val="9"/>
            <color indexed="81"/>
            <rFont val="Tahoma"/>
            <family val="2"/>
          </rPr>
          <t>&lt;[[TCDeals] - [TC Property Current Stage (Seq: 1)] - [Buildings (Seq: 88)] Constr PIS Date - Both]&gt;</t>
        </r>
      </text>
    </comment>
    <comment ref="L1269" authorId="0" shapeId="0" xr:uid="{4FB80CD4-E668-4443-B5BF-D3A8D47924E9}">
      <text>
        <r>
          <rPr>
            <b/>
            <sz val="9"/>
            <color indexed="81"/>
            <rFont val="Tahoma"/>
            <family val="2"/>
          </rPr>
          <t>&lt;[[TCDeals] - [TC Property Current Stage (Seq: 1)] - [Buildings (Seq: 88)] Constr Applicable Percentage - Both]&gt;</t>
        </r>
      </text>
    </comment>
    <comment ref="M1269" authorId="0" shapeId="0" xr:uid="{95CB4D51-8EA6-44DB-879A-0BF7C316F547}">
      <text>
        <r>
          <rPr>
            <b/>
            <sz val="9"/>
            <color indexed="81"/>
            <rFont val="Tahoma"/>
            <family val="2"/>
          </rPr>
          <t>&lt;[[TCDeals] - [TC Property Current Stage (Seq: 1)] - [Buildings (Seq: 88)] Constr Est Qual Basis - Both]&gt;</t>
        </r>
      </text>
    </comment>
    <comment ref="N1269" authorId="0" shapeId="0" xr:uid="{5D3F23CA-9E3B-435F-AAB1-3D18FB899E44}">
      <text>
        <r>
          <rPr>
            <b/>
            <sz val="9"/>
            <color indexed="81"/>
            <rFont val="Tahoma"/>
            <family val="2"/>
          </rPr>
          <t>&lt;[[TCDeals] - [TC Property Current Stage (Seq: 1)] - [Buildings (Seq: 88)] Constr 8609 Basis - Both]&gt;</t>
        </r>
      </text>
    </comment>
    <comment ref="O1269" authorId="0" shapeId="0" xr:uid="{3B92B827-63E2-46AA-B8FE-97125C408FFF}">
      <text>
        <r>
          <rPr>
            <b/>
            <sz val="9"/>
            <color indexed="81"/>
            <rFont val="Tahoma"/>
            <family val="2"/>
          </rPr>
          <t>&lt;[[TCDeals] - [TC Property Current Stage (Seq: 1)] - [Buildings (Seq: 88)] Constr 8609 Credit - Both]&gt;</t>
        </r>
      </text>
    </comment>
    <comment ref="P1269" authorId="0" shapeId="0" xr:uid="{559F05A8-50FB-46B7-8489-ED2F1D13A5FC}">
      <text>
        <r>
          <rPr>
            <b/>
            <sz val="9"/>
            <color indexed="81"/>
            <rFont val="Tahoma"/>
            <family val="2"/>
          </rPr>
          <t>&lt;[[TCDeals] - [TC Property Current Stage (Seq: 1)] - [Buildings (Seq: 88)] Acq PIS Date - Both]&gt;</t>
        </r>
      </text>
    </comment>
    <comment ref="Q1269" authorId="0" shapeId="0" xr:uid="{D478C8AA-B128-4089-9CF6-EAC5A25FE13D}">
      <text>
        <r>
          <rPr>
            <b/>
            <sz val="9"/>
            <color indexed="81"/>
            <rFont val="Tahoma"/>
            <family val="2"/>
          </rPr>
          <t>&lt;[[TCDeals] - [TC Property Current Stage (Seq: 1)] - [Buildings (Seq: 88)] Acq Applicable Percentage - Both]&gt;</t>
        </r>
      </text>
    </comment>
    <comment ref="R1269" authorId="0" shapeId="0" xr:uid="{81713430-8CD4-4368-BA73-EB6EA8AE3CD7}">
      <text>
        <r>
          <rPr>
            <b/>
            <sz val="9"/>
            <color indexed="81"/>
            <rFont val="Tahoma"/>
            <family val="2"/>
          </rPr>
          <t>&lt;[[TCDeals] - [TC Property Current Stage (Seq: 1)] - [Buildings (Seq: 88)] Acq Est Qual Basis - Both]&gt;</t>
        </r>
      </text>
    </comment>
    <comment ref="S1269" authorId="0" shapeId="0" xr:uid="{1B3D4C67-D752-4D98-BA8F-34EC9A188B64}">
      <text>
        <r>
          <rPr>
            <b/>
            <sz val="9"/>
            <color indexed="81"/>
            <rFont val="Tahoma"/>
            <family val="2"/>
          </rPr>
          <t>&lt;[[TCDeals] - [TC Property Current Stage (Seq: 1)] - [Buildings (Seq: 88)] Acq 8609 Basis - Both]&gt;</t>
        </r>
      </text>
    </comment>
    <comment ref="T1269" authorId="0" shapeId="0" xr:uid="{67D73430-E76A-44D9-952F-747237EDD9EF}">
      <text>
        <r>
          <rPr>
            <b/>
            <sz val="9"/>
            <color indexed="81"/>
            <rFont val="Tahoma"/>
            <family val="2"/>
          </rPr>
          <t>&lt;[[TCDeals] - [TC Property Current Stage (Seq: 1)] - [Buildings (Seq: 88)] Acq 8609 Credit - Both]&gt;</t>
        </r>
      </text>
    </comment>
    <comment ref="C1270" authorId="0" shapeId="0" xr:uid="{3EB38E23-7344-4306-ABF0-3580C7B1687B}">
      <text>
        <r>
          <rPr>
            <b/>
            <sz val="9"/>
            <color indexed="81"/>
            <rFont val="Tahoma"/>
            <family val="2"/>
          </rPr>
          <t>&lt;[[TCDeals] - [TC Property Current Stage (Seq: 1)] - [Buildings (Seq: 89)] BIN - Both]&gt;</t>
        </r>
      </text>
    </comment>
    <comment ref="D1270" authorId="0" shapeId="0" xr:uid="{63007EDC-6885-46F0-8613-3CEC375691FA}">
      <text>
        <r>
          <rPr>
            <b/>
            <sz val="9"/>
            <color indexed="81"/>
            <rFont val="Tahoma"/>
            <family val="2"/>
          </rPr>
          <t>&lt;[[TCDeals] - [TC Property Current Stage (Seq: 1)] - [Buildings (Seq: 89)] Address 1 - Both]&gt;</t>
        </r>
      </text>
    </comment>
    <comment ref="E1270" authorId="0" shapeId="0" xr:uid="{B6B8D8AB-E97A-41AC-B64B-235D1A3EAA78}">
      <text>
        <r>
          <rPr>
            <b/>
            <sz val="9"/>
            <color indexed="81"/>
            <rFont val="Tahoma"/>
            <family val="2"/>
          </rPr>
          <t>&lt;[[TCDeals] - [TC Property Current Stage (Seq: 1)] - [Buildings (Seq: 89)] Num TC Units - Both]&gt;</t>
        </r>
      </text>
    </comment>
    <comment ref="F1270" authorId="0" shapeId="0" xr:uid="{C5C7DD28-3E19-4C2D-A36F-B891FC5AFA5D}">
      <text>
        <r>
          <rPr>
            <b/>
            <sz val="9"/>
            <color indexed="81"/>
            <rFont val="Tahoma"/>
            <family val="2"/>
          </rPr>
          <t>&lt;[[TCDeals] - [TC Property Current Stage (Seq: 1)] - [Buildings (Seq: 89)] PVC PIS Date - Both]&gt;</t>
        </r>
      </text>
    </comment>
    <comment ref="G1270" authorId="0" shapeId="0" xr:uid="{5CEDB06E-37D9-41A7-9015-94C7ED003F28}">
      <text>
        <r>
          <rPr>
            <b/>
            <sz val="9"/>
            <color indexed="81"/>
            <rFont val="Tahoma"/>
            <family val="2"/>
          </rPr>
          <t>&lt;[[TCDeals] - [TC Property Current Stage (Seq: 1)] - [Buildings (Seq: 89)] PVC Applicable Percentage - Both]&gt;</t>
        </r>
      </text>
    </comment>
    <comment ref="H1270" authorId="0" shapeId="0" xr:uid="{7F6830FB-73DB-466F-B54F-82040762CCFA}">
      <text>
        <r>
          <rPr>
            <b/>
            <sz val="9"/>
            <color indexed="81"/>
            <rFont val="Tahoma"/>
            <family val="2"/>
          </rPr>
          <t>&lt;[[TCDeals] - [TC Property Current Stage (Seq: 1)] - [Buildings (Seq: 89)] PVC Est Qual Basis - Both]&gt;</t>
        </r>
      </text>
    </comment>
    <comment ref="I1270" authorId="0" shapeId="0" xr:uid="{4E447410-C4CC-4DD9-A833-3C70ADFAA862}">
      <text>
        <r>
          <rPr>
            <b/>
            <sz val="9"/>
            <color indexed="81"/>
            <rFont val="Tahoma"/>
            <family val="2"/>
          </rPr>
          <t>&lt;[[TCDeals] - [TC Property Current Stage (Seq: 1)] - [Buildings (Seq: 89)] PVC8609 Basis - Both]&gt;</t>
        </r>
      </text>
    </comment>
    <comment ref="J1270" authorId="0" shapeId="0" xr:uid="{65157996-B111-4BB7-87A5-D8EFCBB58377}">
      <text>
        <r>
          <rPr>
            <b/>
            <sz val="9"/>
            <color indexed="81"/>
            <rFont val="Tahoma"/>
            <family val="2"/>
          </rPr>
          <t>&lt;[[TCDeals] - [TC Property Current Stage (Seq: 1)] - [Buildings (Seq: 89)] PVC8609 Credit - Both]&gt;</t>
        </r>
      </text>
    </comment>
    <comment ref="K1270" authorId="0" shapeId="0" xr:uid="{20381A84-2BA2-4B4A-A2AC-5845DAB4DE71}">
      <text>
        <r>
          <rPr>
            <b/>
            <sz val="9"/>
            <color indexed="81"/>
            <rFont val="Tahoma"/>
            <family val="2"/>
          </rPr>
          <t>&lt;[[TCDeals] - [TC Property Current Stage (Seq: 1)] - [Buildings (Seq: 89)] Constr PIS Date - Both]&gt;</t>
        </r>
      </text>
    </comment>
    <comment ref="L1270" authorId="0" shapeId="0" xr:uid="{B910CFDB-9F84-4DC1-B0A9-6A8FEF7339E1}">
      <text>
        <r>
          <rPr>
            <b/>
            <sz val="9"/>
            <color indexed="81"/>
            <rFont val="Tahoma"/>
            <family val="2"/>
          </rPr>
          <t>&lt;[[TCDeals] - [TC Property Current Stage (Seq: 1)] - [Buildings (Seq: 89)] Constr Applicable Percentage - Both]&gt;</t>
        </r>
      </text>
    </comment>
    <comment ref="M1270" authorId="0" shapeId="0" xr:uid="{59628DBB-5630-4B44-8D0E-5C5AD11ED750}">
      <text>
        <r>
          <rPr>
            <b/>
            <sz val="9"/>
            <color indexed="81"/>
            <rFont val="Tahoma"/>
            <family val="2"/>
          </rPr>
          <t>&lt;[[TCDeals] - [TC Property Current Stage (Seq: 1)] - [Buildings (Seq: 89)] Constr Est Qual Basis - Both]&gt;</t>
        </r>
      </text>
    </comment>
    <comment ref="N1270" authorId="0" shapeId="0" xr:uid="{C0A3E015-B353-426A-BFC9-84310C4664A1}">
      <text>
        <r>
          <rPr>
            <b/>
            <sz val="9"/>
            <color indexed="81"/>
            <rFont val="Tahoma"/>
            <family val="2"/>
          </rPr>
          <t>&lt;[[TCDeals] - [TC Property Current Stage (Seq: 1)] - [Buildings (Seq: 89)] Constr 8609 Basis - Both]&gt;</t>
        </r>
      </text>
    </comment>
    <comment ref="O1270" authorId="0" shapeId="0" xr:uid="{67215241-FB69-44A7-9B65-DACA78A70494}">
      <text>
        <r>
          <rPr>
            <b/>
            <sz val="9"/>
            <color indexed="81"/>
            <rFont val="Tahoma"/>
            <family val="2"/>
          </rPr>
          <t>&lt;[[TCDeals] - [TC Property Current Stage (Seq: 1)] - [Buildings (Seq: 89)] Constr 8609 Credit - Both]&gt;</t>
        </r>
      </text>
    </comment>
    <comment ref="P1270" authorId="0" shapeId="0" xr:uid="{D18FBF6C-AB84-4BAA-A618-8A8643D0FC09}">
      <text>
        <r>
          <rPr>
            <b/>
            <sz val="9"/>
            <color indexed="81"/>
            <rFont val="Tahoma"/>
            <family val="2"/>
          </rPr>
          <t>&lt;[[TCDeals] - [TC Property Current Stage (Seq: 1)] - [Buildings (Seq: 89)] Acq PIS Date - Both]&gt;</t>
        </r>
      </text>
    </comment>
    <comment ref="Q1270" authorId="0" shapeId="0" xr:uid="{5C628FEE-1085-43FA-8428-28FBB70F62F3}">
      <text>
        <r>
          <rPr>
            <b/>
            <sz val="9"/>
            <color indexed="81"/>
            <rFont val="Tahoma"/>
            <family val="2"/>
          </rPr>
          <t>&lt;[[TCDeals] - [TC Property Current Stage (Seq: 1)] - [Buildings (Seq: 89)] Acq Applicable Percentage - Both]&gt;</t>
        </r>
      </text>
    </comment>
    <comment ref="R1270" authorId="0" shapeId="0" xr:uid="{45E72957-F600-4C8F-9603-3C6533439348}">
      <text>
        <r>
          <rPr>
            <b/>
            <sz val="9"/>
            <color indexed="81"/>
            <rFont val="Tahoma"/>
            <family val="2"/>
          </rPr>
          <t>&lt;[[TCDeals] - [TC Property Current Stage (Seq: 1)] - [Buildings (Seq: 89)] Acq Est Qual Basis - Both]&gt;</t>
        </r>
      </text>
    </comment>
    <comment ref="S1270" authorId="0" shapeId="0" xr:uid="{3CFC4D0F-27A2-4144-8665-392611BB4A9C}">
      <text>
        <r>
          <rPr>
            <b/>
            <sz val="9"/>
            <color indexed="81"/>
            <rFont val="Tahoma"/>
            <family val="2"/>
          </rPr>
          <t>&lt;[[TCDeals] - [TC Property Current Stage (Seq: 1)] - [Buildings (Seq: 89)] Acq 8609 Basis - Both]&gt;</t>
        </r>
      </text>
    </comment>
    <comment ref="T1270" authorId="0" shapeId="0" xr:uid="{76B2D24F-C057-4F70-9C57-D3C3E1E2ADF3}">
      <text>
        <r>
          <rPr>
            <b/>
            <sz val="9"/>
            <color indexed="81"/>
            <rFont val="Tahoma"/>
            <family val="2"/>
          </rPr>
          <t>&lt;[[TCDeals] - [TC Property Current Stage (Seq: 1)] - [Buildings (Seq: 89)] Acq 8609 Credit - Both]&gt;</t>
        </r>
      </text>
    </comment>
    <comment ref="C1271" authorId="0" shapeId="0" xr:uid="{94625E14-DCC1-4365-AC73-D8DFF01CE84C}">
      <text>
        <r>
          <rPr>
            <b/>
            <sz val="9"/>
            <color indexed="81"/>
            <rFont val="Tahoma"/>
            <family val="2"/>
          </rPr>
          <t>&lt;[[TCDeals] - [TC Property Current Stage (Seq: 1)] - [Buildings (Seq: 90)] BIN - Both]&gt;</t>
        </r>
      </text>
    </comment>
    <comment ref="D1271" authorId="0" shapeId="0" xr:uid="{4D1C91AB-C6D8-4388-9D3A-6D5ED2433319}">
      <text>
        <r>
          <rPr>
            <b/>
            <sz val="9"/>
            <color indexed="81"/>
            <rFont val="Tahoma"/>
            <family val="2"/>
          </rPr>
          <t>&lt;[[TCDeals] - [TC Property Current Stage (Seq: 1)] - [Buildings (Seq: 90)] Address 1 - Both]&gt;</t>
        </r>
      </text>
    </comment>
    <comment ref="E1271" authorId="0" shapeId="0" xr:uid="{4DD4BC51-DFC0-4DCA-8A72-70ADB18B34FE}">
      <text>
        <r>
          <rPr>
            <b/>
            <sz val="9"/>
            <color indexed="81"/>
            <rFont val="Tahoma"/>
            <family val="2"/>
          </rPr>
          <t>&lt;[[TCDeals] - [TC Property Current Stage (Seq: 1)] - [Buildings (Seq: 90)] Num TC Units - Both]&gt;</t>
        </r>
      </text>
    </comment>
    <comment ref="F1271" authorId="0" shapeId="0" xr:uid="{3B8FBFFB-75E1-4A4B-8698-60A12BF7C0DF}">
      <text>
        <r>
          <rPr>
            <b/>
            <sz val="9"/>
            <color indexed="81"/>
            <rFont val="Tahoma"/>
            <family val="2"/>
          </rPr>
          <t>&lt;[[TCDeals] - [TC Property Current Stage (Seq: 1)] - [Buildings (Seq: 90)] PVC PIS Date - Both]&gt;</t>
        </r>
      </text>
    </comment>
    <comment ref="G1271" authorId="0" shapeId="0" xr:uid="{9CC0276F-8B91-4437-9A91-C127AE8459D9}">
      <text>
        <r>
          <rPr>
            <b/>
            <sz val="9"/>
            <color indexed="81"/>
            <rFont val="Tahoma"/>
            <family val="2"/>
          </rPr>
          <t>&lt;[[TCDeals] - [TC Property Current Stage (Seq: 1)] - [Buildings (Seq: 90)] PVC Applicable Percentage - Both]&gt;</t>
        </r>
      </text>
    </comment>
    <comment ref="H1271" authorId="0" shapeId="0" xr:uid="{7864A3BC-9E05-4631-BFC4-69A0401584DC}">
      <text>
        <r>
          <rPr>
            <b/>
            <sz val="9"/>
            <color indexed="81"/>
            <rFont val="Tahoma"/>
            <family val="2"/>
          </rPr>
          <t>&lt;[[TCDeals] - [TC Property Current Stage (Seq: 1)] - [Buildings (Seq: 90)] PVC Est Qual Basis - Both]&gt;</t>
        </r>
      </text>
    </comment>
    <comment ref="I1271" authorId="0" shapeId="0" xr:uid="{5CC9967F-64EE-4AAB-A69C-1C488FE31071}">
      <text>
        <r>
          <rPr>
            <b/>
            <sz val="9"/>
            <color indexed="81"/>
            <rFont val="Tahoma"/>
            <family val="2"/>
          </rPr>
          <t>&lt;[[TCDeals] - [TC Property Current Stage (Seq: 1)] - [Buildings (Seq: 90)] PVC8609 Basis - Both]&gt;</t>
        </r>
      </text>
    </comment>
    <comment ref="J1271" authorId="0" shapeId="0" xr:uid="{6F6079BD-5E3C-46F7-BF7A-A1139B2A7B6F}">
      <text>
        <r>
          <rPr>
            <b/>
            <sz val="9"/>
            <color indexed="81"/>
            <rFont val="Tahoma"/>
            <family val="2"/>
          </rPr>
          <t>&lt;[[TCDeals] - [TC Property Current Stage (Seq: 1)] - [Buildings (Seq: 90)] PVC8609 Credit - Both]&gt;</t>
        </r>
      </text>
    </comment>
    <comment ref="K1271" authorId="0" shapeId="0" xr:uid="{917B5103-638B-4D6D-BC4C-6BF79EDA4176}">
      <text>
        <r>
          <rPr>
            <b/>
            <sz val="9"/>
            <color indexed="81"/>
            <rFont val="Tahoma"/>
            <family val="2"/>
          </rPr>
          <t>&lt;[[TCDeals] - [TC Property Current Stage (Seq: 1)] - [Buildings (Seq: 90)] Constr PIS Date - Both]&gt;</t>
        </r>
      </text>
    </comment>
    <comment ref="L1271" authorId="0" shapeId="0" xr:uid="{2A9B8271-0B1A-4B4D-8DAF-94F03A4F0BE7}">
      <text>
        <r>
          <rPr>
            <b/>
            <sz val="9"/>
            <color indexed="81"/>
            <rFont val="Tahoma"/>
            <family val="2"/>
          </rPr>
          <t>&lt;[[TCDeals] - [TC Property Current Stage (Seq: 1)] - [Buildings (Seq: 90)] Constr Applicable Percentage - Both]&gt;</t>
        </r>
      </text>
    </comment>
    <comment ref="M1271" authorId="0" shapeId="0" xr:uid="{8530CF49-5F3C-4672-A54F-E789EBCFEC89}">
      <text>
        <r>
          <rPr>
            <b/>
            <sz val="9"/>
            <color indexed="81"/>
            <rFont val="Tahoma"/>
            <family val="2"/>
          </rPr>
          <t>&lt;[[TCDeals] - [TC Property Current Stage (Seq: 1)] - [Buildings (Seq: 90)] Constr Est Qual Basis - Both]&gt;</t>
        </r>
      </text>
    </comment>
    <comment ref="N1271" authorId="0" shapeId="0" xr:uid="{1EB51E03-CA10-4431-858B-441CE18A3F9A}">
      <text>
        <r>
          <rPr>
            <b/>
            <sz val="9"/>
            <color indexed="81"/>
            <rFont val="Tahoma"/>
            <family val="2"/>
          </rPr>
          <t>&lt;[[TCDeals] - [TC Property Current Stage (Seq: 1)] - [Buildings (Seq: 90)] Constr 8609 Basis - Both]&gt;</t>
        </r>
      </text>
    </comment>
    <comment ref="O1271" authorId="0" shapeId="0" xr:uid="{154BA934-DC2F-46B4-BB85-E99E002B6EAC}">
      <text>
        <r>
          <rPr>
            <b/>
            <sz val="9"/>
            <color indexed="81"/>
            <rFont val="Tahoma"/>
            <family val="2"/>
          </rPr>
          <t>&lt;[[TCDeals] - [TC Property Current Stage (Seq: 1)] - [Buildings (Seq: 90)] Constr 8609 Credit - Both]&gt;</t>
        </r>
      </text>
    </comment>
    <comment ref="P1271" authorId="0" shapeId="0" xr:uid="{878A6C8E-794B-4974-AFED-69A9E4E2375C}">
      <text>
        <r>
          <rPr>
            <b/>
            <sz val="9"/>
            <color indexed="81"/>
            <rFont val="Tahoma"/>
            <family val="2"/>
          </rPr>
          <t>&lt;[[TCDeals] - [TC Property Current Stage (Seq: 1)] - [Buildings (Seq: 90)] Acq PIS Date - Both]&gt;</t>
        </r>
      </text>
    </comment>
    <comment ref="Q1271" authorId="0" shapeId="0" xr:uid="{2EB5D714-91B1-4493-92BC-D9EA1B4E8085}">
      <text>
        <r>
          <rPr>
            <b/>
            <sz val="9"/>
            <color indexed="81"/>
            <rFont val="Tahoma"/>
            <family val="2"/>
          </rPr>
          <t>&lt;[[TCDeals] - [TC Property Current Stage (Seq: 1)] - [Buildings (Seq: 90)] Acq Applicable Percentage - Both]&gt;</t>
        </r>
      </text>
    </comment>
    <comment ref="R1271" authorId="0" shapeId="0" xr:uid="{648F9B42-8226-4008-85EA-4B2D2C771969}">
      <text>
        <r>
          <rPr>
            <b/>
            <sz val="9"/>
            <color indexed="81"/>
            <rFont val="Tahoma"/>
            <family val="2"/>
          </rPr>
          <t>&lt;[[TCDeals] - [TC Property Current Stage (Seq: 1)] - [Buildings (Seq: 90)] Acq Est Qual Basis - Both]&gt;</t>
        </r>
      </text>
    </comment>
    <comment ref="S1271" authorId="0" shapeId="0" xr:uid="{1F364D05-7DB5-4CCE-AC80-744FEF678D82}">
      <text>
        <r>
          <rPr>
            <b/>
            <sz val="9"/>
            <color indexed="81"/>
            <rFont val="Tahoma"/>
            <family val="2"/>
          </rPr>
          <t>&lt;[[TCDeals] - [TC Property Current Stage (Seq: 1)] - [Buildings (Seq: 90)] Acq 8609 Basis - Both]&gt;</t>
        </r>
      </text>
    </comment>
    <comment ref="T1271" authorId="0" shapeId="0" xr:uid="{152A6F50-BB13-45E6-8960-4950927A33A8}">
      <text>
        <r>
          <rPr>
            <b/>
            <sz val="9"/>
            <color indexed="81"/>
            <rFont val="Tahoma"/>
            <family val="2"/>
          </rPr>
          <t>&lt;[[TCDeals] - [TC Property Current Stage (Seq: 1)] - [Buildings (Seq: 90)] Acq 8609 Credit - Both]&gt;</t>
        </r>
      </text>
    </comment>
    <comment ref="C1272" authorId="0" shapeId="0" xr:uid="{1EE60B07-9F67-46CE-9F1B-F3DBD6E478FC}">
      <text>
        <r>
          <rPr>
            <b/>
            <sz val="9"/>
            <color indexed="81"/>
            <rFont val="Tahoma"/>
            <family val="2"/>
          </rPr>
          <t>&lt;[[TCDeals] - [TC Property Current Stage (Seq: 1)] - [Buildings (Seq: 91)] BIN - Both]&gt;</t>
        </r>
      </text>
    </comment>
    <comment ref="D1272" authorId="0" shapeId="0" xr:uid="{FFDE5714-3DBB-4A3C-9099-D6BEAEF5DC69}">
      <text>
        <r>
          <rPr>
            <b/>
            <sz val="9"/>
            <color indexed="81"/>
            <rFont val="Tahoma"/>
            <family val="2"/>
          </rPr>
          <t>&lt;[[TCDeals] - [TC Property Current Stage (Seq: 1)] - [Buildings (Seq: 91)] Address 1 - Both]&gt;</t>
        </r>
      </text>
    </comment>
    <comment ref="E1272" authorId="0" shapeId="0" xr:uid="{FFEE1BC4-4A2B-4B13-B6D7-C4C82DE64EDE}">
      <text>
        <r>
          <rPr>
            <b/>
            <sz val="9"/>
            <color indexed="81"/>
            <rFont val="Tahoma"/>
            <family val="2"/>
          </rPr>
          <t>&lt;[[TCDeals] - [TC Property Current Stage (Seq: 1)] - [Buildings (Seq: 91)] Num TC Units - Both]&gt;</t>
        </r>
      </text>
    </comment>
    <comment ref="F1272" authorId="0" shapeId="0" xr:uid="{2751DE9C-CF93-46E1-A432-0F28F45B56C1}">
      <text>
        <r>
          <rPr>
            <b/>
            <sz val="9"/>
            <color indexed="81"/>
            <rFont val="Tahoma"/>
            <family val="2"/>
          </rPr>
          <t>&lt;[[TCDeals] - [TC Property Current Stage (Seq: 1)] - [Buildings (Seq: 91)] PVC PIS Date - Both]&gt;</t>
        </r>
      </text>
    </comment>
    <comment ref="G1272" authorId="0" shapeId="0" xr:uid="{96439C90-96D0-4322-A083-9DF0569F3CCD}">
      <text>
        <r>
          <rPr>
            <b/>
            <sz val="9"/>
            <color indexed="81"/>
            <rFont val="Tahoma"/>
            <family val="2"/>
          </rPr>
          <t>&lt;[[TCDeals] - [TC Property Current Stage (Seq: 1)] - [Buildings (Seq: 91)] PVC Applicable Percentage - Both]&gt;</t>
        </r>
      </text>
    </comment>
    <comment ref="H1272" authorId="0" shapeId="0" xr:uid="{C6F241A6-091C-4ACE-831B-69FE45444776}">
      <text>
        <r>
          <rPr>
            <b/>
            <sz val="9"/>
            <color indexed="81"/>
            <rFont val="Tahoma"/>
            <family val="2"/>
          </rPr>
          <t>&lt;[[TCDeals] - [TC Property Current Stage (Seq: 1)] - [Buildings (Seq: 91)] PVC Est Qual Basis - Both]&gt;</t>
        </r>
      </text>
    </comment>
    <comment ref="I1272" authorId="0" shapeId="0" xr:uid="{C4A2CFF5-6F96-46A4-9341-2E3C035B1E76}">
      <text>
        <r>
          <rPr>
            <b/>
            <sz val="9"/>
            <color indexed="81"/>
            <rFont val="Tahoma"/>
            <family val="2"/>
          </rPr>
          <t>&lt;[[TCDeals] - [TC Property Current Stage (Seq: 1)] - [Buildings (Seq: 91)] PVC8609 Basis - Both]&gt;</t>
        </r>
      </text>
    </comment>
    <comment ref="J1272" authorId="0" shapeId="0" xr:uid="{C7A81ADA-BF66-4F86-8367-4FDE11985C2D}">
      <text>
        <r>
          <rPr>
            <b/>
            <sz val="9"/>
            <color indexed="81"/>
            <rFont val="Tahoma"/>
            <family val="2"/>
          </rPr>
          <t>&lt;[[TCDeals] - [TC Property Current Stage (Seq: 1)] - [Buildings (Seq: 91)] PVC8609 Credit - Both]&gt;</t>
        </r>
      </text>
    </comment>
    <comment ref="K1272" authorId="0" shapeId="0" xr:uid="{6DB83F62-060F-482C-92BD-E3F2F234C895}">
      <text>
        <r>
          <rPr>
            <b/>
            <sz val="9"/>
            <color indexed="81"/>
            <rFont val="Tahoma"/>
            <family val="2"/>
          </rPr>
          <t>&lt;[[TCDeals] - [TC Property Current Stage (Seq: 1)] - [Buildings (Seq: 91)] Constr PIS Date - Both]&gt;</t>
        </r>
      </text>
    </comment>
    <comment ref="L1272" authorId="0" shapeId="0" xr:uid="{0766CF08-0527-4B27-8CE5-DE988101DABA}">
      <text>
        <r>
          <rPr>
            <b/>
            <sz val="9"/>
            <color indexed="81"/>
            <rFont val="Tahoma"/>
            <family val="2"/>
          </rPr>
          <t>&lt;[[TCDeals] - [TC Property Current Stage (Seq: 1)] - [Buildings (Seq: 91)] Constr Applicable Percentage - Both]&gt;</t>
        </r>
      </text>
    </comment>
    <comment ref="M1272" authorId="0" shapeId="0" xr:uid="{C5D9ADBA-ABA2-4732-B25D-AFDB011EFB3F}">
      <text>
        <r>
          <rPr>
            <b/>
            <sz val="9"/>
            <color indexed="81"/>
            <rFont val="Tahoma"/>
            <family val="2"/>
          </rPr>
          <t>&lt;[[TCDeals] - [TC Property Current Stage (Seq: 1)] - [Buildings (Seq: 91)] Constr Est Qual Basis - Both]&gt;</t>
        </r>
      </text>
    </comment>
    <comment ref="N1272" authorId="0" shapeId="0" xr:uid="{FD0BFFE1-D457-4F41-BB71-CC55C245616B}">
      <text>
        <r>
          <rPr>
            <b/>
            <sz val="9"/>
            <color indexed="81"/>
            <rFont val="Tahoma"/>
            <family val="2"/>
          </rPr>
          <t>&lt;[[TCDeals] - [TC Property Current Stage (Seq: 1)] - [Buildings (Seq: 91)] Constr 8609 Basis - Both]&gt;</t>
        </r>
      </text>
    </comment>
    <comment ref="O1272" authorId="0" shapeId="0" xr:uid="{BB098F60-D977-4E2D-8C25-B2ABFDB1CBA7}">
      <text>
        <r>
          <rPr>
            <b/>
            <sz val="9"/>
            <color indexed="81"/>
            <rFont val="Tahoma"/>
            <family val="2"/>
          </rPr>
          <t>&lt;[[TCDeals] - [TC Property Current Stage (Seq: 1)] - [Buildings (Seq: 91)] Constr 8609 Credit - Both]&gt;</t>
        </r>
      </text>
    </comment>
    <comment ref="P1272" authorId="0" shapeId="0" xr:uid="{2DE0C1D3-58B8-496B-B95A-8826BB739833}">
      <text>
        <r>
          <rPr>
            <b/>
            <sz val="9"/>
            <color indexed="81"/>
            <rFont val="Tahoma"/>
            <family val="2"/>
          </rPr>
          <t>&lt;[[TCDeals] - [TC Property Current Stage (Seq: 1)] - [Buildings (Seq: 91)] Acq PIS Date - Both]&gt;</t>
        </r>
      </text>
    </comment>
    <comment ref="Q1272" authorId="0" shapeId="0" xr:uid="{A7B9A92F-C52D-45E8-A691-16EB265E3002}">
      <text>
        <r>
          <rPr>
            <b/>
            <sz val="9"/>
            <color indexed="81"/>
            <rFont val="Tahoma"/>
            <family val="2"/>
          </rPr>
          <t>&lt;[[TCDeals] - [TC Property Current Stage (Seq: 1)] - [Buildings (Seq: 91)] Acq Applicable Percentage - Both]&gt;</t>
        </r>
      </text>
    </comment>
    <comment ref="R1272" authorId="0" shapeId="0" xr:uid="{ACF08FAB-353A-4DD1-8413-B5396DA1D178}">
      <text>
        <r>
          <rPr>
            <b/>
            <sz val="9"/>
            <color indexed="81"/>
            <rFont val="Tahoma"/>
            <family val="2"/>
          </rPr>
          <t>&lt;[[TCDeals] - [TC Property Current Stage (Seq: 1)] - [Buildings (Seq: 91)] Acq Est Qual Basis - Both]&gt;</t>
        </r>
      </text>
    </comment>
    <comment ref="S1272" authorId="0" shapeId="0" xr:uid="{3E3D8422-B687-4B87-8A34-24CF8D660D01}">
      <text>
        <r>
          <rPr>
            <b/>
            <sz val="9"/>
            <color indexed="81"/>
            <rFont val="Tahoma"/>
            <family val="2"/>
          </rPr>
          <t>&lt;[[TCDeals] - [TC Property Current Stage (Seq: 1)] - [Buildings (Seq: 91)] Acq 8609 Basis - Both]&gt;</t>
        </r>
      </text>
    </comment>
    <comment ref="T1272" authorId="0" shapeId="0" xr:uid="{DF323ED5-F098-4C1C-84FF-1BE3C4CF789C}">
      <text>
        <r>
          <rPr>
            <b/>
            <sz val="9"/>
            <color indexed="81"/>
            <rFont val="Tahoma"/>
            <family val="2"/>
          </rPr>
          <t>&lt;[[TCDeals] - [TC Property Current Stage (Seq: 1)] - [Buildings (Seq: 91)] Acq 8609 Credit - Both]&gt;</t>
        </r>
      </text>
    </comment>
    <comment ref="C1273" authorId="0" shapeId="0" xr:uid="{F13B4EEE-5779-465D-ACAE-27EC5CF689A8}">
      <text>
        <r>
          <rPr>
            <b/>
            <sz val="9"/>
            <color indexed="81"/>
            <rFont val="Tahoma"/>
            <family val="2"/>
          </rPr>
          <t>&lt;[[TCDeals] - [TC Property Current Stage (Seq: 1)] - [Buildings (Seq: 92)] BIN - Both]&gt;</t>
        </r>
      </text>
    </comment>
    <comment ref="D1273" authorId="0" shapeId="0" xr:uid="{0DD899AE-595C-4B09-B15F-D8CBC26DEF4F}">
      <text>
        <r>
          <rPr>
            <b/>
            <sz val="9"/>
            <color indexed="81"/>
            <rFont val="Tahoma"/>
            <family val="2"/>
          </rPr>
          <t>&lt;[[TCDeals] - [TC Property Current Stage (Seq: 1)] - [Buildings (Seq: 92)] Address 1 - Both]&gt;</t>
        </r>
      </text>
    </comment>
    <comment ref="E1273" authorId="0" shapeId="0" xr:uid="{1A924A75-19D3-4D8E-885B-53CB889D0809}">
      <text>
        <r>
          <rPr>
            <b/>
            <sz val="9"/>
            <color indexed="81"/>
            <rFont val="Tahoma"/>
            <family val="2"/>
          </rPr>
          <t>&lt;[[TCDeals] - [TC Property Current Stage (Seq: 1)] - [Buildings (Seq: 92)] Num TC Units - Both]&gt;</t>
        </r>
      </text>
    </comment>
    <comment ref="F1273" authorId="0" shapeId="0" xr:uid="{544D7543-861C-4460-AB39-99AB21168F4B}">
      <text>
        <r>
          <rPr>
            <b/>
            <sz val="9"/>
            <color indexed="81"/>
            <rFont val="Tahoma"/>
            <family val="2"/>
          </rPr>
          <t>&lt;[[TCDeals] - [TC Property Current Stage (Seq: 1)] - [Buildings (Seq: 92)] PVC PIS Date - Both]&gt;</t>
        </r>
      </text>
    </comment>
    <comment ref="G1273" authorId="0" shapeId="0" xr:uid="{3095706A-E16A-46F7-9EC4-79A99EB11375}">
      <text>
        <r>
          <rPr>
            <b/>
            <sz val="9"/>
            <color indexed="81"/>
            <rFont val="Tahoma"/>
            <family val="2"/>
          </rPr>
          <t>&lt;[[TCDeals] - [TC Property Current Stage (Seq: 1)] - [Buildings (Seq: 92)] PVC Applicable Percentage - Both]&gt;</t>
        </r>
      </text>
    </comment>
    <comment ref="H1273" authorId="0" shapeId="0" xr:uid="{E1D8ED21-E64D-4CBE-9EB3-0DF4D19B589A}">
      <text>
        <r>
          <rPr>
            <b/>
            <sz val="9"/>
            <color indexed="81"/>
            <rFont val="Tahoma"/>
            <family val="2"/>
          </rPr>
          <t>&lt;[[TCDeals] - [TC Property Current Stage (Seq: 1)] - [Buildings (Seq: 92)] PVC Est Qual Basis - Both]&gt;</t>
        </r>
      </text>
    </comment>
    <comment ref="I1273" authorId="0" shapeId="0" xr:uid="{F2DFBA9D-C460-4887-8BAE-4C84E520A976}">
      <text>
        <r>
          <rPr>
            <b/>
            <sz val="9"/>
            <color indexed="81"/>
            <rFont val="Tahoma"/>
            <family val="2"/>
          </rPr>
          <t>&lt;[[TCDeals] - [TC Property Current Stage (Seq: 1)] - [Buildings (Seq: 92)] PVC8609 Basis - Both]&gt;</t>
        </r>
      </text>
    </comment>
    <comment ref="J1273" authorId="0" shapeId="0" xr:uid="{199AF1F4-6755-4DF9-AD3A-E3518758AF47}">
      <text>
        <r>
          <rPr>
            <b/>
            <sz val="9"/>
            <color indexed="81"/>
            <rFont val="Tahoma"/>
            <family val="2"/>
          </rPr>
          <t>&lt;[[TCDeals] - [TC Property Current Stage (Seq: 1)] - [Buildings (Seq: 92)] PVC8609 Credit - Both]&gt;</t>
        </r>
      </text>
    </comment>
    <comment ref="K1273" authorId="0" shapeId="0" xr:uid="{2904B1E4-C30B-44AC-9ED5-3F2C4A548E12}">
      <text>
        <r>
          <rPr>
            <b/>
            <sz val="9"/>
            <color indexed="81"/>
            <rFont val="Tahoma"/>
            <family val="2"/>
          </rPr>
          <t>&lt;[[TCDeals] - [TC Property Current Stage (Seq: 1)] - [Buildings (Seq: 92)] Constr PIS Date - Both]&gt;</t>
        </r>
      </text>
    </comment>
    <comment ref="L1273" authorId="0" shapeId="0" xr:uid="{22F11456-80B9-4913-B20C-54FAD58BC68C}">
      <text>
        <r>
          <rPr>
            <b/>
            <sz val="9"/>
            <color indexed="81"/>
            <rFont val="Tahoma"/>
            <family val="2"/>
          </rPr>
          <t>&lt;[[TCDeals] - [TC Property Current Stage (Seq: 1)] - [Buildings (Seq: 92)] Constr Applicable Percentage - Both]&gt;</t>
        </r>
      </text>
    </comment>
    <comment ref="M1273" authorId="0" shapeId="0" xr:uid="{87C09018-88B5-4884-A5AF-BF2AC96F5EB1}">
      <text>
        <r>
          <rPr>
            <b/>
            <sz val="9"/>
            <color indexed="81"/>
            <rFont val="Tahoma"/>
            <family val="2"/>
          </rPr>
          <t>&lt;[[TCDeals] - [TC Property Current Stage (Seq: 1)] - [Buildings (Seq: 92)] Constr Est Qual Basis - Both]&gt;</t>
        </r>
      </text>
    </comment>
    <comment ref="N1273" authorId="0" shapeId="0" xr:uid="{0468BBBC-844D-49B3-8DF8-41D832EAC20E}">
      <text>
        <r>
          <rPr>
            <b/>
            <sz val="9"/>
            <color indexed="81"/>
            <rFont val="Tahoma"/>
            <family val="2"/>
          </rPr>
          <t>&lt;[[TCDeals] - [TC Property Current Stage (Seq: 1)] - [Buildings (Seq: 92)] Constr 8609 Basis - Both]&gt;</t>
        </r>
      </text>
    </comment>
    <comment ref="O1273" authorId="0" shapeId="0" xr:uid="{7F9B2352-871F-467B-AAE9-ED4EBD247323}">
      <text>
        <r>
          <rPr>
            <b/>
            <sz val="9"/>
            <color indexed="81"/>
            <rFont val="Tahoma"/>
            <family val="2"/>
          </rPr>
          <t>&lt;[[TCDeals] - [TC Property Current Stage (Seq: 1)] - [Buildings (Seq: 92)] Constr 8609 Credit - Both]&gt;</t>
        </r>
      </text>
    </comment>
    <comment ref="P1273" authorId="0" shapeId="0" xr:uid="{78C584AC-964A-4E3C-AC8B-961EFED462F0}">
      <text>
        <r>
          <rPr>
            <b/>
            <sz val="9"/>
            <color indexed="81"/>
            <rFont val="Tahoma"/>
            <family val="2"/>
          </rPr>
          <t>&lt;[[TCDeals] - [TC Property Current Stage (Seq: 1)] - [Buildings (Seq: 92)] Acq PIS Date - Both]&gt;</t>
        </r>
      </text>
    </comment>
    <comment ref="Q1273" authorId="0" shapeId="0" xr:uid="{853B68B4-8068-40EF-8899-A118B26E93CA}">
      <text>
        <r>
          <rPr>
            <b/>
            <sz val="9"/>
            <color indexed="81"/>
            <rFont val="Tahoma"/>
            <family val="2"/>
          </rPr>
          <t>&lt;[[TCDeals] - [TC Property Current Stage (Seq: 1)] - [Buildings (Seq: 92)] Acq Applicable Percentage - Both]&gt;</t>
        </r>
      </text>
    </comment>
    <comment ref="R1273" authorId="0" shapeId="0" xr:uid="{56B84BFE-76CF-4C57-B644-9DA0B6C5BAF9}">
      <text>
        <r>
          <rPr>
            <b/>
            <sz val="9"/>
            <color indexed="81"/>
            <rFont val="Tahoma"/>
            <family val="2"/>
          </rPr>
          <t>&lt;[[TCDeals] - [TC Property Current Stage (Seq: 1)] - [Buildings (Seq: 92)] Acq Est Qual Basis - Both]&gt;</t>
        </r>
      </text>
    </comment>
    <comment ref="S1273" authorId="0" shapeId="0" xr:uid="{62C2B384-9936-42E6-B0B0-2AA2D992E46A}">
      <text>
        <r>
          <rPr>
            <b/>
            <sz val="9"/>
            <color indexed="81"/>
            <rFont val="Tahoma"/>
            <family val="2"/>
          </rPr>
          <t>&lt;[[TCDeals] - [TC Property Current Stage (Seq: 1)] - [Buildings (Seq: 92)] Acq 8609 Basis - Both]&gt;</t>
        </r>
      </text>
    </comment>
    <comment ref="T1273" authorId="0" shapeId="0" xr:uid="{7E71B847-5E42-4C3E-93DC-0D65BC05757A}">
      <text>
        <r>
          <rPr>
            <b/>
            <sz val="9"/>
            <color indexed="81"/>
            <rFont val="Tahoma"/>
            <family val="2"/>
          </rPr>
          <t>&lt;[[TCDeals] - [TC Property Current Stage (Seq: 1)] - [Buildings (Seq: 92)] Acq 8609 Credit - Both]&gt;</t>
        </r>
      </text>
    </comment>
    <comment ref="C1274" authorId="0" shapeId="0" xr:uid="{A9A048A9-30BC-4744-BFDE-ECBD0D169690}">
      <text>
        <r>
          <rPr>
            <b/>
            <sz val="9"/>
            <color indexed="81"/>
            <rFont val="Tahoma"/>
            <family val="2"/>
          </rPr>
          <t>&lt;[[TCDeals] - [TC Property Current Stage (Seq: 1)] - [Buildings (Seq: 93)] BIN - Both]&gt;</t>
        </r>
      </text>
    </comment>
    <comment ref="D1274" authorId="0" shapeId="0" xr:uid="{D7315EF9-7230-4FC7-97C9-BAAA9EC3F57F}">
      <text>
        <r>
          <rPr>
            <b/>
            <sz val="9"/>
            <color indexed="81"/>
            <rFont val="Tahoma"/>
            <family val="2"/>
          </rPr>
          <t>&lt;[[TCDeals] - [TC Property Current Stage (Seq: 1)] - [Buildings (Seq: 93)] Address 1 - Both]&gt;</t>
        </r>
      </text>
    </comment>
    <comment ref="E1274" authorId="0" shapeId="0" xr:uid="{1DB24936-7F38-4428-846C-2E2706174D87}">
      <text>
        <r>
          <rPr>
            <b/>
            <sz val="9"/>
            <color indexed="81"/>
            <rFont val="Tahoma"/>
            <family val="2"/>
          </rPr>
          <t>&lt;[[TCDeals] - [TC Property Current Stage (Seq: 1)] - [Buildings (Seq: 93)] Num TC Units - Both]&gt;</t>
        </r>
      </text>
    </comment>
    <comment ref="F1274" authorId="0" shapeId="0" xr:uid="{94C9459F-D4FD-44AD-A4FF-CDD1DA2E0D76}">
      <text>
        <r>
          <rPr>
            <b/>
            <sz val="9"/>
            <color indexed="81"/>
            <rFont val="Tahoma"/>
            <family val="2"/>
          </rPr>
          <t>&lt;[[TCDeals] - [TC Property Current Stage (Seq: 1)] - [Buildings (Seq: 93)] PVC PIS Date - Both]&gt;</t>
        </r>
      </text>
    </comment>
    <comment ref="G1274" authorId="0" shapeId="0" xr:uid="{918115D7-841D-49C1-8DFF-FF86110E205F}">
      <text>
        <r>
          <rPr>
            <b/>
            <sz val="9"/>
            <color indexed="81"/>
            <rFont val="Tahoma"/>
            <family val="2"/>
          </rPr>
          <t>&lt;[[TCDeals] - [TC Property Current Stage (Seq: 1)] - [Buildings (Seq: 93)] PVC Applicable Percentage - Both]&gt;</t>
        </r>
      </text>
    </comment>
    <comment ref="H1274" authorId="0" shapeId="0" xr:uid="{3FDCFC41-D8BA-4CA0-9980-B86A1BA51F58}">
      <text>
        <r>
          <rPr>
            <b/>
            <sz val="9"/>
            <color indexed="81"/>
            <rFont val="Tahoma"/>
            <family val="2"/>
          </rPr>
          <t>&lt;[[TCDeals] - [TC Property Current Stage (Seq: 1)] - [Buildings (Seq: 93)] PVC Est Qual Basis - Both]&gt;</t>
        </r>
      </text>
    </comment>
    <comment ref="I1274" authorId="0" shapeId="0" xr:uid="{93E7420B-C9CB-485E-BAA0-562F21F59B29}">
      <text>
        <r>
          <rPr>
            <b/>
            <sz val="9"/>
            <color indexed="81"/>
            <rFont val="Tahoma"/>
            <family val="2"/>
          </rPr>
          <t>&lt;[[TCDeals] - [TC Property Current Stage (Seq: 1)] - [Buildings (Seq: 93)] PVC8609 Basis - Both]&gt;</t>
        </r>
      </text>
    </comment>
    <comment ref="J1274" authorId="0" shapeId="0" xr:uid="{B26A430A-0604-4D89-9D2E-AA7D6A360A3F}">
      <text>
        <r>
          <rPr>
            <b/>
            <sz val="9"/>
            <color indexed="81"/>
            <rFont val="Tahoma"/>
            <family val="2"/>
          </rPr>
          <t>&lt;[[TCDeals] - [TC Property Current Stage (Seq: 1)] - [Buildings (Seq: 93)] PVC8609 Credit - Both]&gt;</t>
        </r>
      </text>
    </comment>
    <comment ref="K1274" authorId="0" shapeId="0" xr:uid="{AD2485DC-BE96-4E78-8118-1DC1C0B37A86}">
      <text>
        <r>
          <rPr>
            <b/>
            <sz val="9"/>
            <color indexed="81"/>
            <rFont val="Tahoma"/>
            <family val="2"/>
          </rPr>
          <t>&lt;[[TCDeals] - [TC Property Current Stage (Seq: 1)] - [Buildings (Seq: 93)] Constr PIS Date - Both]&gt;</t>
        </r>
      </text>
    </comment>
    <comment ref="L1274" authorId="0" shapeId="0" xr:uid="{F1438543-2588-44E7-B345-D4492E7CD8BF}">
      <text>
        <r>
          <rPr>
            <b/>
            <sz val="9"/>
            <color indexed="81"/>
            <rFont val="Tahoma"/>
            <family val="2"/>
          </rPr>
          <t>&lt;[[TCDeals] - [TC Property Current Stage (Seq: 1)] - [Buildings (Seq: 93)] Constr Applicable Percentage - Both]&gt;</t>
        </r>
      </text>
    </comment>
    <comment ref="M1274" authorId="0" shapeId="0" xr:uid="{DF2CBF18-B819-4792-BF8E-039171137BA9}">
      <text>
        <r>
          <rPr>
            <b/>
            <sz val="9"/>
            <color indexed="81"/>
            <rFont val="Tahoma"/>
            <family val="2"/>
          </rPr>
          <t>&lt;[[TCDeals] - [TC Property Current Stage (Seq: 1)] - [Buildings (Seq: 93)] Constr Est Qual Basis - Both]&gt;</t>
        </r>
      </text>
    </comment>
    <comment ref="N1274" authorId="0" shapeId="0" xr:uid="{19A06019-2138-4F62-9B4C-D5EB0BA35A44}">
      <text>
        <r>
          <rPr>
            <b/>
            <sz val="9"/>
            <color indexed="81"/>
            <rFont val="Tahoma"/>
            <family val="2"/>
          </rPr>
          <t>&lt;[[TCDeals] - [TC Property Current Stage (Seq: 1)] - [Buildings (Seq: 93)] Constr 8609 Basis - Both]&gt;</t>
        </r>
      </text>
    </comment>
    <comment ref="O1274" authorId="0" shapeId="0" xr:uid="{4EBE88F8-12A6-4A30-9E86-BA154521DED8}">
      <text>
        <r>
          <rPr>
            <b/>
            <sz val="9"/>
            <color indexed="81"/>
            <rFont val="Tahoma"/>
            <family val="2"/>
          </rPr>
          <t>&lt;[[TCDeals] - [TC Property Current Stage (Seq: 1)] - [Buildings (Seq: 93)] Constr 8609 Credit - Both]&gt;</t>
        </r>
      </text>
    </comment>
    <comment ref="P1274" authorId="0" shapeId="0" xr:uid="{0A114A35-E3B2-4971-B93D-024A2E94EE12}">
      <text>
        <r>
          <rPr>
            <b/>
            <sz val="9"/>
            <color indexed="81"/>
            <rFont val="Tahoma"/>
            <family val="2"/>
          </rPr>
          <t>&lt;[[TCDeals] - [TC Property Current Stage (Seq: 1)] - [Buildings (Seq: 93)] Acq PIS Date - Both]&gt;</t>
        </r>
      </text>
    </comment>
    <comment ref="Q1274" authorId="0" shapeId="0" xr:uid="{B88EBCAD-2097-43DB-A477-AFA25F6E02B7}">
      <text>
        <r>
          <rPr>
            <b/>
            <sz val="9"/>
            <color indexed="81"/>
            <rFont val="Tahoma"/>
            <family val="2"/>
          </rPr>
          <t>&lt;[[TCDeals] - [TC Property Current Stage (Seq: 1)] - [Buildings (Seq: 93)] Acq Applicable Percentage - Both]&gt;</t>
        </r>
      </text>
    </comment>
    <comment ref="R1274" authorId="0" shapeId="0" xr:uid="{55F605F2-99BA-4DA3-B1D8-0715CF50781A}">
      <text>
        <r>
          <rPr>
            <b/>
            <sz val="9"/>
            <color indexed="81"/>
            <rFont val="Tahoma"/>
            <family val="2"/>
          </rPr>
          <t>&lt;[[TCDeals] - [TC Property Current Stage (Seq: 1)] - [Buildings (Seq: 93)] Acq Est Qual Basis - Both]&gt;</t>
        </r>
      </text>
    </comment>
    <comment ref="S1274" authorId="0" shapeId="0" xr:uid="{F6BC8AD7-73C1-4A05-869B-7328FC993DFA}">
      <text>
        <r>
          <rPr>
            <b/>
            <sz val="9"/>
            <color indexed="81"/>
            <rFont val="Tahoma"/>
            <family val="2"/>
          </rPr>
          <t>&lt;[[TCDeals] - [TC Property Current Stage (Seq: 1)] - [Buildings (Seq: 93)] Acq 8609 Basis - Both]&gt;</t>
        </r>
      </text>
    </comment>
    <comment ref="T1274" authorId="0" shapeId="0" xr:uid="{77EEC402-533F-4617-BBAA-BE0577998D7B}">
      <text>
        <r>
          <rPr>
            <b/>
            <sz val="9"/>
            <color indexed="81"/>
            <rFont val="Tahoma"/>
            <family val="2"/>
          </rPr>
          <t>&lt;[[TCDeals] - [TC Property Current Stage (Seq: 1)] - [Buildings (Seq: 93)] Acq 8609 Credit - Both]&gt;</t>
        </r>
      </text>
    </comment>
    <comment ref="C1275" authorId="0" shapeId="0" xr:uid="{0D4CFEE8-877B-440E-B7A1-3E54D6B985BD}">
      <text>
        <r>
          <rPr>
            <b/>
            <sz val="9"/>
            <color indexed="81"/>
            <rFont val="Tahoma"/>
            <family val="2"/>
          </rPr>
          <t>&lt;[[TCDeals] - [TC Property Current Stage (Seq: 1)] - [Buildings (Seq: 94)] BIN - Both]&gt;</t>
        </r>
      </text>
    </comment>
    <comment ref="D1275" authorId="0" shapeId="0" xr:uid="{02E08F0E-E87B-4901-9254-E044FFD7F951}">
      <text>
        <r>
          <rPr>
            <b/>
            <sz val="9"/>
            <color indexed="81"/>
            <rFont val="Tahoma"/>
            <family val="2"/>
          </rPr>
          <t>&lt;[[TCDeals] - [TC Property Current Stage (Seq: 1)] - [Buildings (Seq: 94)] Address 1 - Both]&gt;</t>
        </r>
      </text>
    </comment>
    <comment ref="E1275" authorId="0" shapeId="0" xr:uid="{515329B6-C7CF-4A78-8165-3AF4D2BF2FF3}">
      <text>
        <r>
          <rPr>
            <b/>
            <sz val="9"/>
            <color indexed="81"/>
            <rFont val="Tahoma"/>
            <family val="2"/>
          </rPr>
          <t>&lt;[[TCDeals] - [TC Property Current Stage (Seq: 1)] - [Buildings (Seq: 94)] Num TC Units - Both]&gt;</t>
        </r>
      </text>
    </comment>
    <comment ref="F1275" authorId="0" shapeId="0" xr:uid="{D6150B99-A191-4B73-9060-0E2DCB73EE4F}">
      <text>
        <r>
          <rPr>
            <b/>
            <sz val="9"/>
            <color indexed="81"/>
            <rFont val="Tahoma"/>
            <family val="2"/>
          </rPr>
          <t>&lt;[[TCDeals] - [TC Property Current Stage (Seq: 1)] - [Buildings (Seq: 94)] PVC PIS Date - Both]&gt;</t>
        </r>
      </text>
    </comment>
    <comment ref="G1275" authorId="0" shapeId="0" xr:uid="{E9AF5F0C-5142-4344-B118-B174645CE94A}">
      <text>
        <r>
          <rPr>
            <b/>
            <sz val="9"/>
            <color indexed="81"/>
            <rFont val="Tahoma"/>
            <family val="2"/>
          </rPr>
          <t>&lt;[[TCDeals] - [TC Property Current Stage (Seq: 1)] - [Buildings (Seq: 94)] PVC Applicable Percentage - Both]&gt;</t>
        </r>
      </text>
    </comment>
    <comment ref="H1275" authorId="0" shapeId="0" xr:uid="{ECDF3DFE-6BD4-44A3-B684-0854C5A760EA}">
      <text>
        <r>
          <rPr>
            <b/>
            <sz val="9"/>
            <color indexed="81"/>
            <rFont val="Tahoma"/>
            <family val="2"/>
          </rPr>
          <t>&lt;[[TCDeals] - [TC Property Current Stage (Seq: 1)] - [Buildings (Seq: 94)] PVC Est Qual Basis - Both]&gt;</t>
        </r>
      </text>
    </comment>
    <comment ref="I1275" authorId="0" shapeId="0" xr:uid="{0B4AC87E-1BB0-4F88-B071-598933CA3B01}">
      <text>
        <r>
          <rPr>
            <b/>
            <sz val="9"/>
            <color indexed="81"/>
            <rFont val="Tahoma"/>
            <family val="2"/>
          </rPr>
          <t>&lt;[[TCDeals] - [TC Property Current Stage (Seq: 1)] - [Buildings (Seq: 94)] PVC8609 Basis - Both]&gt;</t>
        </r>
      </text>
    </comment>
    <comment ref="J1275" authorId="0" shapeId="0" xr:uid="{B88C74F6-8A4D-4DDD-9F3F-9A7BC20EE2D1}">
      <text>
        <r>
          <rPr>
            <b/>
            <sz val="9"/>
            <color indexed="81"/>
            <rFont val="Tahoma"/>
            <family val="2"/>
          </rPr>
          <t>&lt;[[TCDeals] - [TC Property Current Stage (Seq: 1)] - [Buildings (Seq: 94)] PVC8609 Credit - Both]&gt;</t>
        </r>
      </text>
    </comment>
    <comment ref="K1275" authorId="0" shapeId="0" xr:uid="{CDED9EC0-3324-49C9-9834-0FDF17BC73E8}">
      <text>
        <r>
          <rPr>
            <b/>
            <sz val="9"/>
            <color indexed="81"/>
            <rFont val="Tahoma"/>
            <family val="2"/>
          </rPr>
          <t>&lt;[[TCDeals] - [TC Property Current Stage (Seq: 1)] - [Buildings (Seq: 94)] Constr PIS Date - Both]&gt;</t>
        </r>
      </text>
    </comment>
    <comment ref="L1275" authorId="0" shapeId="0" xr:uid="{84F1CEB5-B8C7-4A33-90C6-D2C7A75D6109}">
      <text>
        <r>
          <rPr>
            <b/>
            <sz val="9"/>
            <color indexed="81"/>
            <rFont val="Tahoma"/>
            <family val="2"/>
          </rPr>
          <t>&lt;[[TCDeals] - [TC Property Current Stage (Seq: 1)] - [Buildings (Seq: 94)] Constr Applicable Percentage - Both]&gt;</t>
        </r>
      </text>
    </comment>
    <comment ref="M1275" authorId="0" shapeId="0" xr:uid="{4966B184-3D3B-4F7C-95BC-E6185697A848}">
      <text>
        <r>
          <rPr>
            <b/>
            <sz val="9"/>
            <color indexed="81"/>
            <rFont val="Tahoma"/>
            <family val="2"/>
          </rPr>
          <t>&lt;[[TCDeals] - [TC Property Current Stage (Seq: 1)] - [Buildings (Seq: 94)] Constr Est Qual Basis - Both]&gt;</t>
        </r>
      </text>
    </comment>
    <comment ref="N1275" authorId="0" shapeId="0" xr:uid="{EC0CD307-A3D9-4E30-B4D0-3291BFDE5BA8}">
      <text>
        <r>
          <rPr>
            <b/>
            <sz val="9"/>
            <color indexed="81"/>
            <rFont val="Tahoma"/>
            <family val="2"/>
          </rPr>
          <t>&lt;[[TCDeals] - [TC Property Current Stage (Seq: 1)] - [Buildings (Seq: 94)] Constr 8609 Basis - Both]&gt;</t>
        </r>
      </text>
    </comment>
    <comment ref="O1275" authorId="0" shapeId="0" xr:uid="{B4AEB952-21A9-4320-8615-69A1BDAD6E5D}">
      <text>
        <r>
          <rPr>
            <b/>
            <sz val="9"/>
            <color indexed="81"/>
            <rFont val="Tahoma"/>
            <family val="2"/>
          </rPr>
          <t>&lt;[[TCDeals] - [TC Property Current Stage (Seq: 1)] - [Buildings (Seq: 94)] Constr 8609 Credit - Both]&gt;</t>
        </r>
      </text>
    </comment>
    <comment ref="P1275" authorId="0" shapeId="0" xr:uid="{27225D8E-521E-42BA-A4EA-D1397F4EBC7C}">
      <text>
        <r>
          <rPr>
            <b/>
            <sz val="9"/>
            <color indexed="81"/>
            <rFont val="Tahoma"/>
            <family val="2"/>
          </rPr>
          <t>&lt;[[TCDeals] - [TC Property Current Stage (Seq: 1)] - [Buildings (Seq: 94)] Acq PIS Date - Both]&gt;</t>
        </r>
      </text>
    </comment>
    <comment ref="Q1275" authorId="0" shapeId="0" xr:uid="{D696493E-06B9-4938-A015-74ADC19757A7}">
      <text>
        <r>
          <rPr>
            <b/>
            <sz val="9"/>
            <color indexed="81"/>
            <rFont val="Tahoma"/>
            <family val="2"/>
          </rPr>
          <t>&lt;[[TCDeals] - [TC Property Current Stage (Seq: 1)] - [Buildings (Seq: 94)] Acq Applicable Percentage - Both]&gt;</t>
        </r>
      </text>
    </comment>
    <comment ref="R1275" authorId="0" shapeId="0" xr:uid="{499F86A3-CD04-43FF-A191-DA32B8130916}">
      <text>
        <r>
          <rPr>
            <b/>
            <sz val="9"/>
            <color indexed="81"/>
            <rFont val="Tahoma"/>
            <family val="2"/>
          </rPr>
          <t>&lt;[[TCDeals] - [TC Property Current Stage (Seq: 1)] - [Buildings (Seq: 94)] Acq Est Qual Basis - Both]&gt;</t>
        </r>
      </text>
    </comment>
    <comment ref="S1275" authorId="0" shapeId="0" xr:uid="{7AEEB7AA-6022-47AD-8480-AC1CC31F6F07}">
      <text>
        <r>
          <rPr>
            <b/>
            <sz val="9"/>
            <color indexed="81"/>
            <rFont val="Tahoma"/>
            <family val="2"/>
          </rPr>
          <t>&lt;[[TCDeals] - [TC Property Current Stage (Seq: 1)] - [Buildings (Seq: 94)] Acq 8609 Basis - Both]&gt;</t>
        </r>
      </text>
    </comment>
    <comment ref="T1275" authorId="0" shapeId="0" xr:uid="{61FAB5FB-7265-4B07-9C9A-33DF675729CE}">
      <text>
        <r>
          <rPr>
            <b/>
            <sz val="9"/>
            <color indexed="81"/>
            <rFont val="Tahoma"/>
            <family val="2"/>
          </rPr>
          <t>&lt;[[TCDeals] - [TC Property Current Stage (Seq: 1)] - [Buildings (Seq: 94)] Acq 8609 Credit - Both]&gt;</t>
        </r>
      </text>
    </comment>
    <comment ref="C1276" authorId="0" shapeId="0" xr:uid="{803E3B02-A4FE-4A8E-A030-D3FF380CCD21}">
      <text>
        <r>
          <rPr>
            <b/>
            <sz val="9"/>
            <color indexed="81"/>
            <rFont val="Tahoma"/>
            <family val="2"/>
          </rPr>
          <t>&lt;[[TCDeals] - [TC Property Current Stage (Seq: 1)] - [Buildings (Seq: 95)] BIN - Both]&gt;</t>
        </r>
      </text>
    </comment>
    <comment ref="D1276" authorId="0" shapeId="0" xr:uid="{3D1E478D-3A31-4A95-8E64-0F97EB5B16B9}">
      <text>
        <r>
          <rPr>
            <b/>
            <sz val="9"/>
            <color indexed="81"/>
            <rFont val="Tahoma"/>
            <family val="2"/>
          </rPr>
          <t>&lt;[[TCDeals] - [TC Property Current Stage (Seq: 1)] - [Buildings (Seq: 95)] Address 1 - Both]&gt;</t>
        </r>
      </text>
    </comment>
    <comment ref="E1276" authorId="0" shapeId="0" xr:uid="{1933D158-CF8B-4355-985A-6C173ECE4FC1}">
      <text>
        <r>
          <rPr>
            <b/>
            <sz val="9"/>
            <color indexed="81"/>
            <rFont val="Tahoma"/>
            <family val="2"/>
          </rPr>
          <t>&lt;[[TCDeals] - [TC Property Current Stage (Seq: 1)] - [Buildings (Seq: 95)] Num TC Units - Both]&gt;</t>
        </r>
      </text>
    </comment>
    <comment ref="F1276" authorId="0" shapeId="0" xr:uid="{E2B00684-EA7E-4111-9EDA-70AEAD8EC08C}">
      <text>
        <r>
          <rPr>
            <b/>
            <sz val="9"/>
            <color indexed="81"/>
            <rFont val="Tahoma"/>
            <family val="2"/>
          </rPr>
          <t>&lt;[[TCDeals] - [TC Property Current Stage (Seq: 1)] - [Buildings (Seq: 95)] PVC PIS Date - Both]&gt;</t>
        </r>
      </text>
    </comment>
    <comment ref="G1276" authorId="0" shapeId="0" xr:uid="{C235EF55-924A-4F45-B4B1-5E0F51FF9519}">
      <text>
        <r>
          <rPr>
            <b/>
            <sz val="9"/>
            <color indexed="81"/>
            <rFont val="Tahoma"/>
            <family val="2"/>
          </rPr>
          <t>&lt;[[TCDeals] - [TC Property Current Stage (Seq: 1)] - [Buildings (Seq: 95)] PVC Applicable Percentage - Both]&gt;</t>
        </r>
      </text>
    </comment>
    <comment ref="H1276" authorId="0" shapeId="0" xr:uid="{D5381186-D2A1-4BC6-8FDE-D874B0CC16EB}">
      <text>
        <r>
          <rPr>
            <b/>
            <sz val="9"/>
            <color indexed="81"/>
            <rFont val="Tahoma"/>
            <family val="2"/>
          </rPr>
          <t>&lt;[[TCDeals] - [TC Property Current Stage (Seq: 1)] - [Buildings (Seq: 95)] PVC Est Qual Basis - Both]&gt;</t>
        </r>
      </text>
    </comment>
    <comment ref="I1276" authorId="0" shapeId="0" xr:uid="{0EB3A952-D408-44BB-9435-993FDC0F5274}">
      <text>
        <r>
          <rPr>
            <b/>
            <sz val="9"/>
            <color indexed="81"/>
            <rFont val="Tahoma"/>
            <family val="2"/>
          </rPr>
          <t>&lt;[[TCDeals] - [TC Property Current Stage (Seq: 1)] - [Buildings (Seq: 95)] PVC8609 Basis - Both]&gt;</t>
        </r>
      </text>
    </comment>
    <comment ref="J1276" authorId="0" shapeId="0" xr:uid="{E346362E-1B8F-4E2A-B19F-38B07D65EACD}">
      <text>
        <r>
          <rPr>
            <b/>
            <sz val="9"/>
            <color indexed="81"/>
            <rFont val="Tahoma"/>
            <family val="2"/>
          </rPr>
          <t>&lt;[[TCDeals] - [TC Property Current Stage (Seq: 1)] - [Buildings (Seq: 95)] PVC8609 Credit - Both]&gt;</t>
        </r>
      </text>
    </comment>
    <comment ref="K1276" authorId="0" shapeId="0" xr:uid="{27BBE89B-0492-4F2E-BC8C-2023B4C2B686}">
      <text>
        <r>
          <rPr>
            <b/>
            <sz val="9"/>
            <color indexed="81"/>
            <rFont val="Tahoma"/>
            <family val="2"/>
          </rPr>
          <t>&lt;[[TCDeals] - [TC Property Current Stage (Seq: 1)] - [Buildings (Seq: 95)] Constr PIS Date - Both]&gt;</t>
        </r>
      </text>
    </comment>
    <comment ref="L1276" authorId="0" shapeId="0" xr:uid="{7563D8D9-115F-4245-B624-AC62724167DD}">
      <text>
        <r>
          <rPr>
            <b/>
            <sz val="9"/>
            <color indexed="81"/>
            <rFont val="Tahoma"/>
            <family val="2"/>
          </rPr>
          <t>&lt;[[TCDeals] - [TC Property Current Stage (Seq: 1)] - [Buildings (Seq: 95)] Constr Applicable Percentage - Both]&gt;</t>
        </r>
      </text>
    </comment>
    <comment ref="M1276" authorId="0" shapeId="0" xr:uid="{EAA0496B-1BD4-4D67-A0DE-6BC98C2061A2}">
      <text>
        <r>
          <rPr>
            <b/>
            <sz val="9"/>
            <color indexed="81"/>
            <rFont val="Tahoma"/>
            <family val="2"/>
          </rPr>
          <t>&lt;[[TCDeals] - [TC Property Current Stage (Seq: 1)] - [Buildings (Seq: 95)] Constr Est Qual Basis - Both]&gt;</t>
        </r>
      </text>
    </comment>
    <comment ref="N1276" authorId="0" shapeId="0" xr:uid="{E483FF67-615B-4C84-861A-48613B35F9A8}">
      <text>
        <r>
          <rPr>
            <b/>
            <sz val="9"/>
            <color indexed="81"/>
            <rFont val="Tahoma"/>
            <family val="2"/>
          </rPr>
          <t>&lt;[[TCDeals] - [TC Property Current Stage (Seq: 1)] - [Buildings (Seq: 95)] Constr 8609 Basis - Both]&gt;</t>
        </r>
      </text>
    </comment>
    <comment ref="O1276" authorId="0" shapeId="0" xr:uid="{88C27901-ED89-4D1A-9E6F-9F546320E099}">
      <text>
        <r>
          <rPr>
            <b/>
            <sz val="9"/>
            <color indexed="81"/>
            <rFont val="Tahoma"/>
            <family val="2"/>
          </rPr>
          <t>&lt;[[TCDeals] - [TC Property Current Stage (Seq: 1)] - [Buildings (Seq: 95)] Constr 8609 Credit - Both]&gt;</t>
        </r>
      </text>
    </comment>
    <comment ref="P1276" authorId="0" shapeId="0" xr:uid="{B2845161-375A-4CB3-AD1C-79CC56F5C140}">
      <text>
        <r>
          <rPr>
            <b/>
            <sz val="9"/>
            <color indexed="81"/>
            <rFont val="Tahoma"/>
            <family val="2"/>
          </rPr>
          <t>&lt;[[TCDeals] - [TC Property Current Stage (Seq: 1)] - [Buildings (Seq: 95)] Acq PIS Date - Both]&gt;</t>
        </r>
      </text>
    </comment>
    <comment ref="Q1276" authorId="0" shapeId="0" xr:uid="{81E7CDAB-3E4B-48F4-B656-11DF9CFF3596}">
      <text>
        <r>
          <rPr>
            <b/>
            <sz val="9"/>
            <color indexed="81"/>
            <rFont val="Tahoma"/>
            <family val="2"/>
          </rPr>
          <t>&lt;[[TCDeals] - [TC Property Current Stage (Seq: 1)] - [Buildings (Seq: 95)] Acq Applicable Percentage - Both]&gt;</t>
        </r>
      </text>
    </comment>
    <comment ref="R1276" authorId="0" shapeId="0" xr:uid="{07F2D447-D45D-425D-993E-4B7403B048EB}">
      <text>
        <r>
          <rPr>
            <b/>
            <sz val="9"/>
            <color indexed="81"/>
            <rFont val="Tahoma"/>
            <family val="2"/>
          </rPr>
          <t>&lt;[[TCDeals] - [TC Property Current Stage (Seq: 1)] - [Buildings (Seq: 95)] Acq Est Qual Basis - Both]&gt;</t>
        </r>
      </text>
    </comment>
    <comment ref="S1276" authorId="0" shapeId="0" xr:uid="{D0A14B32-3EED-4F2E-936C-5C28C8AF62ED}">
      <text>
        <r>
          <rPr>
            <b/>
            <sz val="9"/>
            <color indexed="81"/>
            <rFont val="Tahoma"/>
            <family val="2"/>
          </rPr>
          <t>&lt;[[TCDeals] - [TC Property Current Stage (Seq: 1)] - [Buildings (Seq: 95)] Acq 8609 Basis - Both]&gt;</t>
        </r>
      </text>
    </comment>
    <comment ref="T1276" authorId="0" shapeId="0" xr:uid="{880F748B-3527-4C27-A30D-9BD71A89CC1E}">
      <text>
        <r>
          <rPr>
            <b/>
            <sz val="9"/>
            <color indexed="81"/>
            <rFont val="Tahoma"/>
            <family val="2"/>
          </rPr>
          <t>&lt;[[TCDeals] - [TC Property Current Stage (Seq: 1)] - [Buildings (Seq: 95)] Acq 8609 Credit - Both]&gt;</t>
        </r>
      </text>
    </comment>
    <comment ref="C1277" authorId="0" shapeId="0" xr:uid="{211ED4A7-6DBE-4E9B-9E8D-A6749DFDFD7B}">
      <text>
        <r>
          <rPr>
            <b/>
            <sz val="9"/>
            <color indexed="81"/>
            <rFont val="Tahoma"/>
            <family val="2"/>
          </rPr>
          <t>&lt;[[TCDeals] - [TC Property Current Stage (Seq: 1)] - [Buildings (Seq: 96)] BIN - Both]&gt;</t>
        </r>
      </text>
    </comment>
    <comment ref="D1277" authorId="0" shapeId="0" xr:uid="{C9387245-0630-4E9D-9A7F-D085A3B0542C}">
      <text>
        <r>
          <rPr>
            <b/>
            <sz val="9"/>
            <color indexed="81"/>
            <rFont val="Tahoma"/>
            <family val="2"/>
          </rPr>
          <t>&lt;[[TCDeals] - [TC Property Current Stage (Seq: 1)] - [Buildings (Seq: 96)] Address 1 - Both]&gt;</t>
        </r>
      </text>
    </comment>
    <comment ref="E1277" authorId="0" shapeId="0" xr:uid="{2CEBD076-DD04-4C76-B37A-B13C77987BA0}">
      <text>
        <r>
          <rPr>
            <b/>
            <sz val="9"/>
            <color indexed="81"/>
            <rFont val="Tahoma"/>
            <family val="2"/>
          </rPr>
          <t>&lt;[[TCDeals] - [TC Property Current Stage (Seq: 1)] - [Buildings (Seq: 96)] Num TC Units - Both]&gt;</t>
        </r>
      </text>
    </comment>
    <comment ref="F1277" authorId="0" shapeId="0" xr:uid="{5EEFC742-630A-4795-A3D5-55CE568892E1}">
      <text>
        <r>
          <rPr>
            <b/>
            <sz val="9"/>
            <color indexed="81"/>
            <rFont val="Tahoma"/>
            <family val="2"/>
          </rPr>
          <t>&lt;[[TCDeals] - [TC Property Current Stage (Seq: 1)] - [Buildings (Seq: 96)] PVC PIS Date - Both]&gt;</t>
        </r>
      </text>
    </comment>
    <comment ref="G1277" authorId="0" shapeId="0" xr:uid="{E1259557-903E-46A1-A75B-AFBB208D42DA}">
      <text>
        <r>
          <rPr>
            <b/>
            <sz val="9"/>
            <color indexed="81"/>
            <rFont val="Tahoma"/>
            <family val="2"/>
          </rPr>
          <t>&lt;[[TCDeals] - [TC Property Current Stage (Seq: 1)] - [Buildings (Seq: 96)] PVC Applicable Percentage - Both]&gt;</t>
        </r>
      </text>
    </comment>
    <comment ref="H1277" authorId="0" shapeId="0" xr:uid="{94A9E055-F8AF-4959-921A-A59D529E420B}">
      <text>
        <r>
          <rPr>
            <b/>
            <sz val="9"/>
            <color indexed="81"/>
            <rFont val="Tahoma"/>
            <family val="2"/>
          </rPr>
          <t>&lt;[[TCDeals] - [TC Property Current Stage (Seq: 1)] - [Buildings (Seq: 96)] PVC Est Qual Basis - Both]&gt;</t>
        </r>
      </text>
    </comment>
    <comment ref="I1277" authorId="0" shapeId="0" xr:uid="{A7132B85-0E18-4852-A9BB-FFE590811F51}">
      <text>
        <r>
          <rPr>
            <b/>
            <sz val="9"/>
            <color indexed="81"/>
            <rFont val="Tahoma"/>
            <family val="2"/>
          </rPr>
          <t>&lt;[[TCDeals] - [TC Property Current Stage (Seq: 1)] - [Buildings (Seq: 96)] PVC8609 Basis - Both]&gt;</t>
        </r>
      </text>
    </comment>
    <comment ref="J1277" authorId="0" shapeId="0" xr:uid="{C3BA07CE-49FA-4E0E-8F37-4BEECA8EE4D1}">
      <text>
        <r>
          <rPr>
            <b/>
            <sz val="9"/>
            <color indexed="81"/>
            <rFont val="Tahoma"/>
            <family val="2"/>
          </rPr>
          <t>&lt;[[TCDeals] - [TC Property Current Stage (Seq: 1)] - [Buildings (Seq: 96)] PVC8609 Credit - Both]&gt;</t>
        </r>
      </text>
    </comment>
    <comment ref="K1277" authorId="0" shapeId="0" xr:uid="{A05C72DB-AEDA-4BA6-A31C-795324B1308A}">
      <text>
        <r>
          <rPr>
            <b/>
            <sz val="9"/>
            <color indexed="81"/>
            <rFont val="Tahoma"/>
            <family val="2"/>
          </rPr>
          <t>&lt;[[TCDeals] - [TC Property Current Stage (Seq: 1)] - [Buildings (Seq: 96)] Constr PIS Date - Both]&gt;</t>
        </r>
      </text>
    </comment>
    <comment ref="L1277" authorId="0" shapeId="0" xr:uid="{D6EE1DB6-BEEC-4960-8EE8-CFEC5414CB49}">
      <text>
        <r>
          <rPr>
            <b/>
            <sz val="9"/>
            <color indexed="81"/>
            <rFont val="Tahoma"/>
            <family val="2"/>
          </rPr>
          <t>&lt;[[TCDeals] - [TC Property Current Stage (Seq: 1)] - [Buildings (Seq: 96)] Constr Applicable Percentage - Both]&gt;</t>
        </r>
      </text>
    </comment>
    <comment ref="M1277" authorId="0" shapeId="0" xr:uid="{EDABF115-2062-43E4-BA58-D70E92D2ED90}">
      <text>
        <r>
          <rPr>
            <b/>
            <sz val="9"/>
            <color indexed="81"/>
            <rFont val="Tahoma"/>
            <family val="2"/>
          </rPr>
          <t>&lt;[[TCDeals] - [TC Property Current Stage (Seq: 1)] - [Buildings (Seq: 96)] Constr Est Qual Basis - Both]&gt;</t>
        </r>
      </text>
    </comment>
    <comment ref="N1277" authorId="0" shapeId="0" xr:uid="{DF7F3E6F-FE7A-4A9B-B373-399B517E4BC7}">
      <text>
        <r>
          <rPr>
            <b/>
            <sz val="9"/>
            <color indexed="81"/>
            <rFont val="Tahoma"/>
            <family val="2"/>
          </rPr>
          <t>&lt;[[TCDeals] - [TC Property Current Stage (Seq: 1)] - [Buildings (Seq: 96)] Constr 8609 Basis - Both]&gt;</t>
        </r>
      </text>
    </comment>
    <comment ref="O1277" authorId="0" shapeId="0" xr:uid="{9D494055-C8D7-4614-8121-BB957DB36B79}">
      <text>
        <r>
          <rPr>
            <b/>
            <sz val="9"/>
            <color indexed="81"/>
            <rFont val="Tahoma"/>
            <family val="2"/>
          </rPr>
          <t>&lt;[[TCDeals] - [TC Property Current Stage (Seq: 1)] - [Buildings (Seq: 96)] Constr 8609 Credit - Both]&gt;</t>
        </r>
      </text>
    </comment>
    <comment ref="P1277" authorId="0" shapeId="0" xr:uid="{46EDABF8-CCE0-4E70-8BC0-AEB3928B603F}">
      <text>
        <r>
          <rPr>
            <b/>
            <sz val="9"/>
            <color indexed="81"/>
            <rFont val="Tahoma"/>
            <family val="2"/>
          </rPr>
          <t>&lt;[[TCDeals] - [TC Property Current Stage (Seq: 1)] - [Buildings (Seq: 96)] Acq PIS Date - Both]&gt;</t>
        </r>
      </text>
    </comment>
    <comment ref="Q1277" authorId="0" shapeId="0" xr:uid="{6121D6F3-145D-43D9-BC10-8886957F133A}">
      <text>
        <r>
          <rPr>
            <b/>
            <sz val="9"/>
            <color indexed="81"/>
            <rFont val="Tahoma"/>
            <family val="2"/>
          </rPr>
          <t>&lt;[[TCDeals] - [TC Property Current Stage (Seq: 1)] - [Buildings (Seq: 96)] Acq Applicable Percentage - Both]&gt;</t>
        </r>
      </text>
    </comment>
    <comment ref="R1277" authorId="0" shapeId="0" xr:uid="{96A7153D-5DAD-44E9-BEE7-1756691876DA}">
      <text>
        <r>
          <rPr>
            <b/>
            <sz val="9"/>
            <color indexed="81"/>
            <rFont val="Tahoma"/>
            <family val="2"/>
          </rPr>
          <t>&lt;[[TCDeals] - [TC Property Current Stage (Seq: 1)] - [Buildings (Seq: 96)] Acq Est Qual Basis - Both]&gt;</t>
        </r>
      </text>
    </comment>
    <comment ref="S1277" authorId="0" shapeId="0" xr:uid="{15D45CB9-2163-460C-A0AB-03FFF518AA86}">
      <text>
        <r>
          <rPr>
            <b/>
            <sz val="9"/>
            <color indexed="81"/>
            <rFont val="Tahoma"/>
            <family val="2"/>
          </rPr>
          <t>&lt;[[TCDeals] - [TC Property Current Stage (Seq: 1)] - [Buildings (Seq: 96)] Acq 8609 Basis - Both]&gt;</t>
        </r>
      </text>
    </comment>
    <comment ref="T1277" authorId="0" shapeId="0" xr:uid="{64065861-8710-48D0-AFB9-4F1706FB4234}">
      <text>
        <r>
          <rPr>
            <b/>
            <sz val="9"/>
            <color indexed="81"/>
            <rFont val="Tahoma"/>
            <family val="2"/>
          </rPr>
          <t>&lt;[[TCDeals] - [TC Property Current Stage (Seq: 1)] - [Buildings (Seq: 96)] Acq 8609 Credit - Both]&gt;</t>
        </r>
      </text>
    </comment>
    <comment ref="C1278" authorId="0" shapeId="0" xr:uid="{B9EDBFF3-95EF-43E2-9A66-00091F5AA823}">
      <text>
        <r>
          <rPr>
            <b/>
            <sz val="9"/>
            <color indexed="81"/>
            <rFont val="Tahoma"/>
            <family val="2"/>
          </rPr>
          <t>&lt;[[TCDeals] - [TC Property Current Stage (Seq: 1)] - [Buildings (Seq: 97)] BIN - Both]&gt;</t>
        </r>
      </text>
    </comment>
    <comment ref="D1278" authorId="0" shapeId="0" xr:uid="{43431E9C-849D-46C3-9BB9-7B4C3EE4A57F}">
      <text>
        <r>
          <rPr>
            <b/>
            <sz val="9"/>
            <color indexed="81"/>
            <rFont val="Tahoma"/>
            <family val="2"/>
          </rPr>
          <t>&lt;[[TCDeals] - [TC Property Current Stage (Seq: 1)] - [Buildings (Seq: 97)] Address 1 - Both]&gt;</t>
        </r>
      </text>
    </comment>
    <comment ref="E1278" authorId="0" shapeId="0" xr:uid="{A1855440-910E-4875-AF8A-2D63762967ED}">
      <text>
        <r>
          <rPr>
            <b/>
            <sz val="9"/>
            <color indexed="81"/>
            <rFont val="Tahoma"/>
            <family val="2"/>
          </rPr>
          <t>&lt;[[TCDeals] - [TC Property Current Stage (Seq: 1)] - [Buildings (Seq: 97)] Num TC Units - Both]&gt;</t>
        </r>
      </text>
    </comment>
    <comment ref="F1278" authorId="0" shapeId="0" xr:uid="{B38EDE63-3158-4892-8437-982EC0892ED8}">
      <text>
        <r>
          <rPr>
            <b/>
            <sz val="9"/>
            <color indexed="81"/>
            <rFont val="Tahoma"/>
            <family val="2"/>
          </rPr>
          <t>&lt;[[TCDeals] - [TC Property Current Stage (Seq: 1)] - [Buildings (Seq: 97)] PVC PIS Date - Both]&gt;</t>
        </r>
      </text>
    </comment>
    <comment ref="G1278" authorId="0" shapeId="0" xr:uid="{8FD60A67-BFFF-4944-9DBA-86F92840C2E1}">
      <text>
        <r>
          <rPr>
            <b/>
            <sz val="9"/>
            <color indexed="81"/>
            <rFont val="Tahoma"/>
            <family val="2"/>
          </rPr>
          <t>&lt;[[TCDeals] - [TC Property Current Stage (Seq: 1)] - [Buildings (Seq: 97)] PVC Applicable Percentage - Both]&gt;</t>
        </r>
      </text>
    </comment>
    <comment ref="H1278" authorId="0" shapeId="0" xr:uid="{10045B23-42F5-42B9-B601-6A335AFA0FA9}">
      <text>
        <r>
          <rPr>
            <b/>
            <sz val="9"/>
            <color indexed="81"/>
            <rFont val="Tahoma"/>
            <family val="2"/>
          </rPr>
          <t>&lt;[[TCDeals] - [TC Property Current Stage (Seq: 1)] - [Buildings (Seq: 97)] PVC Est Qual Basis - Both]&gt;</t>
        </r>
      </text>
    </comment>
    <comment ref="I1278" authorId="0" shapeId="0" xr:uid="{66AD054A-4559-4D90-AB79-F438883473BA}">
      <text>
        <r>
          <rPr>
            <b/>
            <sz val="9"/>
            <color indexed="81"/>
            <rFont val="Tahoma"/>
            <family val="2"/>
          </rPr>
          <t>&lt;[[TCDeals] - [TC Property Current Stage (Seq: 1)] - [Buildings (Seq: 97)] PVC8609 Basis - Both]&gt;</t>
        </r>
      </text>
    </comment>
    <comment ref="J1278" authorId="0" shapeId="0" xr:uid="{C72A48A5-731F-4921-A775-58EE44113DB9}">
      <text>
        <r>
          <rPr>
            <b/>
            <sz val="9"/>
            <color indexed="81"/>
            <rFont val="Tahoma"/>
            <family val="2"/>
          </rPr>
          <t>&lt;[[TCDeals] - [TC Property Current Stage (Seq: 1)] - [Buildings (Seq: 97)] PVC8609 Credit - Both]&gt;</t>
        </r>
      </text>
    </comment>
    <comment ref="K1278" authorId="0" shapeId="0" xr:uid="{EC34BCE6-9B9F-4296-8C2D-3D74383EE7E7}">
      <text>
        <r>
          <rPr>
            <b/>
            <sz val="9"/>
            <color indexed="81"/>
            <rFont val="Tahoma"/>
            <family val="2"/>
          </rPr>
          <t>&lt;[[TCDeals] - [TC Property Current Stage (Seq: 1)] - [Buildings (Seq: 97)] Constr PIS Date - Both]&gt;</t>
        </r>
      </text>
    </comment>
    <comment ref="L1278" authorId="0" shapeId="0" xr:uid="{5A33860D-CCC4-4810-91DF-8E386142FFE8}">
      <text>
        <r>
          <rPr>
            <b/>
            <sz val="9"/>
            <color indexed="81"/>
            <rFont val="Tahoma"/>
            <family val="2"/>
          </rPr>
          <t>&lt;[[TCDeals] - [TC Property Current Stage (Seq: 1)] - [Buildings (Seq: 97)] Constr Applicable Percentage - Both]&gt;</t>
        </r>
      </text>
    </comment>
    <comment ref="M1278" authorId="0" shapeId="0" xr:uid="{8180B6F2-D2D1-4E43-BC38-600511B9C0EB}">
      <text>
        <r>
          <rPr>
            <b/>
            <sz val="9"/>
            <color indexed="81"/>
            <rFont val="Tahoma"/>
            <family val="2"/>
          </rPr>
          <t>&lt;[[TCDeals] - [TC Property Current Stage (Seq: 1)] - [Buildings (Seq: 97)] Constr Est Qual Basis - Both]&gt;</t>
        </r>
      </text>
    </comment>
    <comment ref="N1278" authorId="0" shapeId="0" xr:uid="{562B0AA1-706D-47D4-9BF8-00A06BFDC084}">
      <text>
        <r>
          <rPr>
            <b/>
            <sz val="9"/>
            <color indexed="81"/>
            <rFont val="Tahoma"/>
            <family val="2"/>
          </rPr>
          <t>&lt;[[TCDeals] - [TC Property Current Stage (Seq: 1)] - [Buildings (Seq: 97)] Constr 8609 Basis - Both]&gt;</t>
        </r>
      </text>
    </comment>
    <comment ref="O1278" authorId="0" shapeId="0" xr:uid="{7B0461CD-9F19-4A2B-A7E3-6A7AF0727D10}">
      <text>
        <r>
          <rPr>
            <b/>
            <sz val="9"/>
            <color indexed="81"/>
            <rFont val="Tahoma"/>
            <family val="2"/>
          </rPr>
          <t>&lt;[[TCDeals] - [TC Property Current Stage (Seq: 1)] - [Buildings (Seq: 97)] Constr 8609 Credit - Both]&gt;</t>
        </r>
      </text>
    </comment>
    <comment ref="P1278" authorId="0" shapeId="0" xr:uid="{6E478700-1654-4213-BA14-01FAB048E1E2}">
      <text>
        <r>
          <rPr>
            <b/>
            <sz val="9"/>
            <color indexed="81"/>
            <rFont val="Tahoma"/>
            <family val="2"/>
          </rPr>
          <t>&lt;[[TCDeals] - [TC Property Current Stage (Seq: 1)] - [Buildings (Seq: 97)] Acq PIS Date - Both]&gt;</t>
        </r>
      </text>
    </comment>
    <comment ref="Q1278" authorId="0" shapeId="0" xr:uid="{11CAA926-4E32-4257-9F90-E92013BAAB61}">
      <text>
        <r>
          <rPr>
            <b/>
            <sz val="9"/>
            <color indexed="81"/>
            <rFont val="Tahoma"/>
            <family val="2"/>
          </rPr>
          <t>&lt;[[TCDeals] - [TC Property Current Stage (Seq: 1)] - [Buildings (Seq: 97)] Acq Applicable Percentage - Both]&gt;</t>
        </r>
      </text>
    </comment>
    <comment ref="R1278" authorId="0" shapeId="0" xr:uid="{5394E0DC-7B8F-463F-872B-C2EDB2561605}">
      <text>
        <r>
          <rPr>
            <b/>
            <sz val="9"/>
            <color indexed="81"/>
            <rFont val="Tahoma"/>
            <family val="2"/>
          </rPr>
          <t>&lt;[[TCDeals] - [TC Property Current Stage (Seq: 1)] - [Buildings (Seq: 97)] Acq Est Qual Basis - Both]&gt;</t>
        </r>
      </text>
    </comment>
    <comment ref="S1278" authorId="0" shapeId="0" xr:uid="{545BB134-0D10-4E70-9873-D09613168959}">
      <text>
        <r>
          <rPr>
            <b/>
            <sz val="9"/>
            <color indexed="81"/>
            <rFont val="Tahoma"/>
            <family val="2"/>
          </rPr>
          <t>&lt;[[TCDeals] - [TC Property Current Stage (Seq: 1)] - [Buildings (Seq: 97)] Acq 8609 Basis - Both]&gt;</t>
        </r>
      </text>
    </comment>
    <comment ref="T1278" authorId="0" shapeId="0" xr:uid="{B03714BD-B407-473B-AD06-DDF5016ECA0F}">
      <text>
        <r>
          <rPr>
            <b/>
            <sz val="9"/>
            <color indexed="81"/>
            <rFont val="Tahoma"/>
            <family val="2"/>
          </rPr>
          <t>&lt;[[TCDeals] - [TC Property Current Stage (Seq: 1)] - [Buildings (Seq: 97)] Acq 8609 Credit - Both]&gt;</t>
        </r>
      </text>
    </comment>
    <comment ref="C1279" authorId="0" shapeId="0" xr:uid="{2DA24520-90F6-486E-BBEA-FB1D0B689CE3}">
      <text>
        <r>
          <rPr>
            <b/>
            <sz val="9"/>
            <color indexed="81"/>
            <rFont val="Tahoma"/>
            <family val="2"/>
          </rPr>
          <t>&lt;[[TCDeals] - [TC Property Current Stage (Seq: 1)] - [Buildings (Seq: 98)] BIN - Both]&gt;</t>
        </r>
      </text>
    </comment>
    <comment ref="D1279" authorId="0" shapeId="0" xr:uid="{B13548D6-4816-41E7-A38D-D7E21398F952}">
      <text>
        <r>
          <rPr>
            <b/>
            <sz val="9"/>
            <color indexed="81"/>
            <rFont val="Tahoma"/>
            <family val="2"/>
          </rPr>
          <t>&lt;[[TCDeals] - [TC Property Current Stage (Seq: 1)] - [Buildings (Seq: 98)] Address 1 - Both]&gt;</t>
        </r>
      </text>
    </comment>
    <comment ref="E1279" authorId="0" shapeId="0" xr:uid="{90B8B28A-EC92-493F-B0E0-ED5E5964A9E7}">
      <text>
        <r>
          <rPr>
            <b/>
            <sz val="9"/>
            <color indexed="81"/>
            <rFont val="Tahoma"/>
            <family val="2"/>
          </rPr>
          <t>&lt;[[TCDeals] - [TC Property Current Stage (Seq: 1)] - [Buildings (Seq: 98)] Num TC Units - Both]&gt;</t>
        </r>
      </text>
    </comment>
    <comment ref="F1279" authorId="0" shapeId="0" xr:uid="{3CE0335D-DE28-4819-882C-3A1DCC362C62}">
      <text>
        <r>
          <rPr>
            <b/>
            <sz val="9"/>
            <color indexed="81"/>
            <rFont val="Tahoma"/>
            <family val="2"/>
          </rPr>
          <t>&lt;[[TCDeals] - [TC Property Current Stage (Seq: 1)] - [Buildings (Seq: 98)] PVC PIS Date - Both]&gt;</t>
        </r>
      </text>
    </comment>
    <comment ref="G1279" authorId="0" shapeId="0" xr:uid="{2795DDE2-0A78-4318-9453-E5AF19FA560C}">
      <text>
        <r>
          <rPr>
            <b/>
            <sz val="9"/>
            <color indexed="81"/>
            <rFont val="Tahoma"/>
            <family val="2"/>
          </rPr>
          <t>&lt;[[TCDeals] - [TC Property Current Stage (Seq: 1)] - [Buildings (Seq: 98)] PVC Applicable Percentage - Both]&gt;</t>
        </r>
      </text>
    </comment>
    <comment ref="H1279" authorId="0" shapeId="0" xr:uid="{37E40422-8FBB-439F-BB3E-C6496A2DF92C}">
      <text>
        <r>
          <rPr>
            <b/>
            <sz val="9"/>
            <color indexed="81"/>
            <rFont val="Tahoma"/>
            <family val="2"/>
          </rPr>
          <t>&lt;[[TCDeals] - [TC Property Current Stage (Seq: 1)] - [Buildings (Seq: 98)] PVC Est Qual Basis - Both]&gt;</t>
        </r>
      </text>
    </comment>
    <comment ref="I1279" authorId="0" shapeId="0" xr:uid="{E6818EF1-BB1C-4876-AA04-365B7623B50F}">
      <text>
        <r>
          <rPr>
            <b/>
            <sz val="9"/>
            <color indexed="81"/>
            <rFont val="Tahoma"/>
            <family val="2"/>
          </rPr>
          <t>&lt;[[TCDeals] - [TC Property Current Stage (Seq: 1)] - [Buildings (Seq: 98)] PVC8609 Basis - Both]&gt;</t>
        </r>
      </text>
    </comment>
    <comment ref="J1279" authorId="0" shapeId="0" xr:uid="{B0457E5E-9EEC-4E60-B7E0-B3F978EE1025}">
      <text>
        <r>
          <rPr>
            <b/>
            <sz val="9"/>
            <color indexed="81"/>
            <rFont val="Tahoma"/>
            <family val="2"/>
          </rPr>
          <t>&lt;[[TCDeals] - [TC Property Current Stage (Seq: 1)] - [Buildings (Seq: 98)] PVC8609 Credit - Both]&gt;</t>
        </r>
      </text>
    </comment>
    <comment ref="K1279" authorId="0" shapeId="0" xr:uid="{8FD3A793-2981-44AF-95E4-E90BA9F27FCF}">
      <text>
        <r>
          <rPr>
            <b/>
            <sz val="9"/>
            <color indexed="81"/>
            <rFont val="Tahoma"/>
            <family val="2"/>
          </rPr>
          <t>&lt;[[TCDeals] - [TC Property Current Stage (Seq: 1)] - [Buildings (Seq: 98)] Constr PIS Date - Both]&gt;</t>
        </r>
      </text>
    </comment>
    <comment ref="L1279" authorId="0" shapeId="0" xr:uid="{2DE79876-FE78-4EB8-80F0-9C910793F258}">
      <text>
        <r>
          <rPr>
            <b/>
            <sz val="9"/>
            <color indexed="81"/>
            <rFont val="Tahoma"/>
            <family val="2"/>
          </rPr>
          <t>&lt;[[TCDeals] - [TC Property Current Stage (Seq: 1)] - [Buildings (Seq: 98)] Constr Applicable Percentage - Both]&gt;</t>
        </r>
      </text>
    </comment>
    <comment ref="M1279" authorId="0" shapeId="0" xr:uid="{492C7321-2942-465A-B33A-A926B3582A17}">
      <text>
        <r>
          <rPr>
            <b/>
            <sz val="9"/>
            <color indexed="81"/>
            <rFont val="Tahoma"/>
            <family val="2"/>
          </rPr>
          <t>&lt;[[TCDeals] - [TC Property Current Stage (Seq: 1)] - [Buildings (Seq: 98)] Constr Est Qual Basis - Both]&gt;</t>
        </r>
      </text>
    </comment>
    <comment ref="N1279" authorId="0" shapeId="0" xr:uid="{928E1F00-BBAE-4234-B912-50764AD8E63B}">
      <text>
        <r>
          <rPr>
            <b/>
            <sz val="9"/>
            <color indexed="81"/>
            <rFont val="Tahoma"/>
            <family val="2"/>
          </rPr>
          <t>&lt;[[TCDeals] - [TC Property Current Stage (Seq: 1)] - [Buildings (Seq: 98)] Constr 8609 Basis - Both]&gt;</t>
        </r>
      </text>
    </comment>
    <comment ref="O1279" authorId="0" shapeId="0" xr:uid="{3A1F03AB-4DC8-484B-AF85-4D85972366D6}">
      <text>
        <r>
          <rPr>
            <b/>
            <sz val="9"/>
            <color indexed="81"/>
            <rFont val="Tahoma"/>
            <family val="2"/>
          </rPr>
          <t>&lt;[[TCDeals] - [TC Property Current Stage (Seq: 1)] - [Buildings (Seq: 98)] Constr 8609 Credit - Both]&gt;</t>
        </r>
      </text>
    </comment>
    <comment ref="P1279" authorId="0" shapeId="0" xr:uid="{BEA8C426-525E-4F5F-B674-676B1681F516}">
      <text>
        <r>
          <rPr>
            <b/>
            <sz val="9"/>
            <color indexed="81"/>
            <rFont val="Tahoma"/>
            <family val="2"/>
          </rPr>
          <t>&lt;[[TCDeals] - [TC Property Current Stage (Seq: 1)] - [Buildings (Seq: 98)] Acq PIS Date - Both]&gt;</t>
        </r>
      </text>
    </comment>
    <comment ref="Q1279" authorId="0" shapeId="0" xr:uid="{52B440C9-8BD6-4779-9CC4-F6C194A50BAD}">
      <text>
        <r>
          <rPr>
            <b/>
            <sz val="9"/>
            <color indexed="81"/>
            <rFont val="Tahoma"/>
            <family val="2"/>
          </rPr>
          <t>&lt;[[TCDeals] - [TC Property Current Stage (Seq: 1)] - [Buildings (Seq: 98)] Acq Applicable Percentage - Both]&gt;</t>
        </r>
      </text>
    </comment>
    <comment ref="R1279" authorId="0" shapeId="0" xr:uid="{67F24016-7717-4815-BB81-2A69844F79F6}">
      <text>
        <r>
          <rPr>
            <b/>
            <sz val="9"/>
            <color indexed="81"/>
            <rFont val="Tahoma"/>
            <family val="2"/>
          </rPr>
          <t>&lt;[[TCDeals] - [TC Property Current Stage (Seq: 1)] - [Buildings (Seq: 98)] Acq Est Qual Basis - Both]&gt;</t>
        </r>
      </text>
    </comment>
    <comment ref="S1279" authorId="0" shapeId="0" xr:uid="{9F37FF21-B68D-4CB8-9D17-FDBB8D4EB1E1}">
      <text>
        <r>
          <rPr>
            <b/>
            <sz val="9"/>
            <color indexed="81"/>
            <rFont val="Tahoma"/>
            <family val="2"/>
          </rPr>
          <t>&lt;[[TCDeals] - [TC Property Current Stage (Seq: 1)] - [Buildings (Seq: 98)] Acq 8609 Basis - Both]&gt;</t>
        </r>
      </text>
    </comment>
    <comment ref="T1279" authorId="0" shapeId="0" xr:uid="{F8E80DBB-C3DA-4D42-9BD0-BF31E2D040AF}">
      <text>
        <r>
          <rPr>
            <b/>
            <sz val="9"/>
            <color indexed="81"/>
            <rFont val="Tahoma"/>
            <family val="2"/>
          </rPr>
          <t>&lt;[[TCDeals] - [TC Property Current Stage (Seq: 1)] - [Buildings (Seq: 98)] Acq 8609 Credit - Both]&gt;</t>
        </r>
      </text>
    </comment>
    <comment ref="C1280" authorId="0" shapeId="0" xr:uid="{DDACB7D3-229C-442A-BCBE-5422E915B43A}">
      <text>
        <r>
          <rPr>
            <b/>
            <sz val="9"/>
            <color indexed="81"/>
            <rFont val="Tahoma"/>
            <family val="2"/>
          </rPr>
          <t>&lt;[[TCDeals] - [TC Property Current Stage (Seq: 1)] - [Buildings (Seq: 99)] BIN - Both]&gt;</t>
        </r>
      </text>
    </comment>
    <comment ref="D1280" authorId="0" shapeId="0" xr:uid="{0414837C-C39E-4AB0-8063-6AD682321128}">
      <text>
        <r>
          <rPr>
            <b/>
            <sz val="9"/>
            <color indexed="81"/>
            <rFont val="Tahoma"/>
            <family val="2"/>
          </rPr>
          <t>&lt;[[TCDeals] - [TC Property Current Stage (Seq: 1)] - [Buildings (Seq: 99)] Address 1 - Both]&gt;</t>
        </r>
      </text>
    </comment>
    <comment ref="E1280" authorId="0" shapeId="0" xr:uid="{A8DA67FE-4B95-402D-8595-B75D65E23938}">
      <text>
        <r>
          <rPr>
            <b/>
            <sz val="9"/>
            <color indexed="81"/>
            <rFont val="Tahoma"/>
            <family val="2"/>
          </rPr>
          <t>&lt;[[TCDeals] - [TC Property Current Stage (Seq: 1)] - [Buildings (Seq: 99)] Num TC Units - Both]&gt;</t>
        </r>
      </text>
    </comment>
    <comment ref="F1280" authorId="0" shapeId="0" xr:uid="{54535C84-A336-470C-ABC6-2F82B59C6302}">
      <text>
        <r>
          <rPr>
            <b/>
            <sz val="9"/>
            <color indexed="81"/>
            <rFont val="Tahoma"/>
            <family val="2"/>
          </rPr>
          <t>&lt;[[TCDeals] - [TC Property Current Stage (Seq: 1)] - [Buildings (Seq: 99)] PVC PIS Date - Both]&gt;</t>
        </r>
      </text>
    </comment>
    <comment ref="G1280" authorId="0" shapeId="0" xr:uid="{CA5CFCE6-9FDB-4AE4-9EB3-50C0CFA8D7A3}">
      <text>
        <r>
          <rPr>
            <b/>
            <sz val="9"/>
            <color indexed="81"/>
            <rFont val="Tahoma"/>
            <family val="2"/>
          </rPr>
          <t>&lt;[[TCDeals] - [TC Property Current Stage (Seq: 1)] - [Buildings (Seq: 99)] PVC Applicable Percentage - Both]&gt;</t>
        </r>
      </text>
    </comment>
    <comment ref="H1280" authorId="0" shapeId="0" xr:uid="{8F570373-6B08-4D09-9B56-E03CFC5303E8}">
      <text>
        <r>
          <rPr>
            <b/>
            <sz val="9"/>
            <color indexed="81"/>
            <rFont val="Tahoma"/>
            <family val="2"/>
          </rPr>
          <t>&lt;[[TCDeals] - [TC Property Current Stage (Seq: 1)] - [Buildings (Seq: 99)] PVC Est Qual Basis - Both]&gt;</t>
        </r>
      </text>
    </comment>
    <comment ref="I1280" authorId="0" shapeId="0" xr:uid="{56348E6F-1C28-4FFC-BE7E-8D57843162AE}">
      <text>
        <r>
          <rPr>
            <b/>
            <sz val="9"/>
            <color indexed="81"/>
            <rFont val="Tahoma"/>
            <family val="2"/>
          </rPr>
          <t>&lt;[[TCDeals] - [TC Property Current Stage (Seq: 1)] - [Buildings (Seq: 99)] PVC8609 Basis - Both]&gt;</t>
        </r>
      </text>
    </comment>
    <comment ref="J1280" authorId="0" shapeId="0" xr:uid="{E83584B4-73DB-496E-ADA9-4A08D6C52B5B}">
      <text>
        <r>
          <rPr>
            <b/>
            <sz val="9"/>
            <color indexed="81"/>
            <rFont val="Tahoma"/>
            <family val="2"/>
          </rPr>
          <t>&lt;[[TCDeals] - [TC Property Current Stage (Seq: 1)] - [Buildings (Seq: 99)] PVC8609 Credit - Both]&gt;</t>
        </r>
      </text>
    </comment>
    <comment ref="K1280" authorId="0" shapeId="0" xr:uid="{74DB7A30-6788-4B5E-81D5-F4FBAB7B3DD8}">
      <text>
        <r>
          <rPr>
            <b/>
            <sz val="9"/>
            <color indexed="81"/>
            <rFont val="Tahoma"/>
            <family val="2"/>
          </rPr>
          <t>&lt;[[TCDeals] - [TC Property Current Stage (Seq: 1)] - [Buildings (Seq: 99)] Constr PIS Date - Both]&gt;</t>
        </r>
      </text>
    </comment>
    <comment ref="L1280" authorId="0" shapeId="0" xr:uid="{D6F43B23-DE66-404F-9519-871E317504D5}">
      <text>
        <r>
          <rPr>
            <b/>
            <sz val="9"/>
            <color indexed="81"/>
            <rFont val="Tahoma"/>
            <family val="2"/>
          </rPr>
          <t>&lt;[[TCDeals] - [TC Property Current Stage (Seq: 1)] - [Buildings (Seq: 99)] Constr Applicable Percentage - Both]&gt;</t>
        </r>
      </text>
    </comment>
    <comment ref="M1280" authorId="0" shapeId="0" xr:uid="{F1C85265-0441-4AA4-BA1C-3E3E6D6C4198}">
      <text>
        <r>
          <rPr>
            <b/>
            <sz val="9"/>
            <color indexed="81"/>
            <rFont val="Tahoma"/>
            <family val="2"/>
          </rPr>
          <t>&lt;[[TCDeals] - [TC Property Current Stage (Seq: 1)] - [Buildings (Seq: 99)] Constr Est Qual Basis - Both]&gt;</t>
        </r>
      </text>
    </comment>
    <comment ref="N1280" authorId="0" shapeId="0" xr:uid="{E908BEAF-AEE5-414C-B7C4-4CCB5123E340}">
      <text>
        <r>
          <rPr>
            <b/>
            <sz val="9"/>
            <color indexed="81"/>
            <rFont val="Tahoma"/>
            <family val="2"/>
          </rPr>
          <t>&lt;[[TCDeals] - [TC Property Current Stage (Seq: 1)] - [Buildings (Seq: 99)] Constr 8609 Basis - Both]&gt;</t>
        </r>
      </text>
    </comment>
    <comment ref="O1280" authorId="0" shapeId="0" xr:uid="{DB286BB1-DCA0-48A9-AAFA-D02D848397E2}">
      <text>
        <r>
          <rPr>
            <b/>
            <sz val="9"/>
            <color indexed="81"/>
            <rFont val="Tahoma"/>
            <family val="2"/>
          </rPr>
          <t>&lt;[[TCDeals] - [TC Property Current Stage (Seq: 1)] - [Buildings (Seq: 99)] Constr 8609 Credit - Both]&gt;</t>
        </r>
      </text>
    </comment>
    <comment ref="P1280" authorId="0" shapeId="0" xr:uid="{466BF326-86F5-443D-9E2E-5301380E46A6}">
      <text>
        <r>
          <rPr>
            <b/>
            <sz val="9"/>
            <color indexed="81"/>
            <rFont val="Tahoma"/>
            <family val="2"/>
          </rPr>
          <t>&lt;[[TCDeals] - [TC Property Current Stage (Seq: 1)] - [Buildings (Seq: 99)] Acq PIS Date - Both]&gt;</t>
        </r>
      </text>
    </comment>
    <comment ref="Q1280" authorId="0" shapeId="0" xr:uid="{F097D657-D442-47D3-BDED-58E79EFE27E9}">
      <text>
        <r>
          <rPr>
            <b/>
            <sz val="9"/>
            <color indexed="81"/>
            <rFont val="Tahoma"/>
            <family val="2"/>
          </rPr>
          <t>&lt;[[TCDeals] - [TC Property Current Stage (Seq: 1)] - [Buildings (Seq: 99)] Acq Applicable Percentage - Both]&gt;</t>
        </r>
      </text>
    </comment>
    <comment ref="R1280" authorId="0" shapeId="0" xr:uid="{881791E8-E010-4924-93DB-D78E870F58D9}">
      <text>
        <r>
          <rPr>
            <b/>
            <sz val="9"/>
            <color indexed="81"/>
            <rFont val="Tahoma"/>
            <family val="2"/>
          </rPr>
          <t>&lt;[[TCDeals] - [TC Property Current Stage (Seq: 1)] - [Buildings (Seq: 99)] Acq Est Qual Basis - Both]&gt;</t>
        </r>
      </text>
    </comment>
    <comment ref="S1280" authorId="0" shapeId="0" xr:uid="{7FE12F78-93B1-4FAF-B749-40818B080385}">
      <text>
        <r>
          <rPr>
            <b/>
            <sz val="9"/>
            <color indexed="81"/>
            <rFont val="Tahoma"/>
            <family val="2"/>
          </rPr>
          <t>&lt;[[TCDeals] - [TC Property Current Stage (Seq: 1)] - [Buildings (Seq: 99)] Acq 8609 Basis - Both]&gt;</t>
        </r>
      </text>
    </comment>
    <comment ref="T1280" authorId="0" shapeId="0" xr:uid="{6191CEDF-B08C-4D86-9648-BCED11940BA0}">
      <text>
        <r>
          <rPr>
            <b/>
            <sz val="9"/>
            <color indexed="81"/>
            <rFont val="Tahoma"/>
            <family val="2"/>
          </rPr>
          <t>&lt;[[TCDeals] - [TC Property Current Stage (Seq: 1)] - [Buildings (Seq: 99)] Acq 8609 Credit - Both]&gt;</t>
        </r>
      </text>
    </comment>
    <comment ref="D1354" authorId="0" shapeId="0" xr:uid="{9D1B2AF7-3F52-4CDA-8D4D-1651F9B67EA5}">
      <text>
        <r>
          <rPr>
            <b/>
            <sz val="9"/>
            <color indexed="81"/>
            <rFont val="Tahoma"/>
            <family val="2"/>
          </rPr>
          <t>&lt;[[TCDeals] - [TC Property Current Stage (Seq: 1)] - [Property Points (Seq: 1)] Is Window Coverings/Blinds - Both]&gt;</t>
        </r>
      </text>
    </comment>
    <comment ref="D1355" authorId="0" shapeId="0" xr:uid="{DE354E41-BA4A-4BC7-B81C-DFF21439D78A}">
      <text>
        <r>
          <rPr>
            <b/>
            <sz val="9"/>
            <color indexed="81"/>
            <rFont val="Tahoma"/>
            <family val="2"/>
          </rPr>
          <t>&lt;[[TCDeals] - [TC Property Current Stage (Seq: 1)] - [Property Points (Seq: 1)] Is Ceiling Fan E-star - Both]&gt;</t>
        </r>
      </text>
    </comment>
    <comment ref="D1356" authorId="0" shapeId="0" xr:uid="{043F9DE3-1207-4208-BFD1-4CBA0BB6CA18}">
      <text>
        <r>
          <rPr>
            <b/>
            <sz val="9"/>
            <color indexed="81"/>
            <rFont val="Tahoma"/>
            <family val="2"/>
          </rPr>
          <t>&lt;[[TCDeals] - [TC Property Current Stage (Seq: 1)] - [Property Points (Seq: 1)] Is Storage Closet/Shed - Both]&gt;</t>
        </r>
      </text>
    </comment>
    <comment ref="D1357" authorId="0" shapeId="0" xr:uid="{69F8EFCA-E689-421C-8962-E97F89CFDEAA}">
      <text>
        <r>
          <rPr>
            <b/>
            <sz val="9"/>
            <color indexed="81"/>
            <rFont val="Tahoma"/>
            <family val="2"/>
          </rPr>
          <t>&lt;[[TCDeals] - [TC Property Current Stage (Seq: 1)] - [Property Points (Seq: 1)] Is Coat Closet - Both]&gt;</t>
        </r>
      </text>
    </comment>
    <comment ref="D1358" authorId="0" shapeId="0" xr:uid="{60B55CDA-DB29-4E3F-8F08-E975634C944A}">
      <text>
        <r>
          <rPr>
            <b/>
            <sz val="9"/>
            <color indexed="81"/>
            <rFont val="Tahoma"/>
            <family val="2"/>
          </rPr>
          <t>&lt;[[TCDeals] - [TC Property Current Stage (Seq: 1)] - [Property Points (Seq: 1)] Is Walk-in Closet - Both]&gt;</t>
        </r>
      </text>
    </comment>
    <comment ref="D1359" authorId="0" shapeId="0" xr:uid="{D6DFB268-5593-4539-A5DF-C5ECF7650585}">
      <text>
        <r>
          <rPr>
            <b/>
            <sz val="9"/>
            <color indexed="81"/>
            <rFont val="Tahoma"/>
            <family val="2"/>
          </rPr>
          <t>&lt;[[TCDeals] - [TC Property Current Stage (Seq: 1)] - [Property Points (Seq: 1)] Is Fireplace - Both]&gt;</t>
        </r>
      </text>
    </comment>
    <comment ref="D1360" authorId="0" shapeId="0" xr:uid="{4C80FE39-10C4-4748-A89A-45B2B2E63DEE}">
      <text>
        <r>
          <rPr>
            <b/>
            <sz val="9"/>
            <color indexed="81"/>
            <rFont val="Tahoma"/>
            <family val="2"/>
          </rPr>
          <t>&lt;[[TCDeals] - [TC Property Current Stage (Seq: 1)] - [Property Points (Seq: 1)] Is Bathroom Fan E-star - Both]&gt;</t>
        </r>
      </text>
    </comment>
    <comment ref="D1361" authorId="0" shapeId="0" xr:uid="{AF5A6A88-FF53-427B-8D08-B2DE3401B4BA}">
      <text>
        <r>
          <rPr>
            <b/>
            <sz val="9"/>
            <color indexed="81"/>
            <rFont val="Tahoma"/>
            <family val="2"/>
          </rPr>
          <t>&lt;[[TCDeals] - [TC Property Current Stage (Seq: 1)] - [Property Points (Seq: 1)] Is Patio/Porch/Balcony - Both]&gt;</t>
        </r>
      </text>
    </comment>
    <comment ref="D1362" authorId="0" shapeId="0" xr:uid="{966FA2FC-E82E-4EFF-BA9D-0FCB41E86744}">
      <text>
        <r>
          <rPr>
            <b/>
            <sz val="9"/>
            <color indexed="81"/>
            <rFont val="Tahoma"/>
            <family val="2"/>
          </rPr>
          <t>&lt;[[TCDeals] - [TC Property Current Stage (Seq: 1)] - [Property Points (Seq: 1)] Is Cable Connection - Both]&gt;</t>
        </r>
      </text>
    </comment>
    <comment ref="D1363" authorId="0" shapeId="0" xr:uid="{398FC9BA-A9A7-4E30-B82C-0CE61E7F6AE8}">
      <text>
        <r>
          <rPr>
            <b/>
            <sz val="9"/>
            <color indexed="81"/>
            <rFont val="Tahoma"/>
            <family val="2"/>
          </rPr>
          <t>&lt;[[TCDeals] - [TC Property Current Stage (Seq: 1)] - [Property Points (Seq: 1)] Is Internet Connection - Both]&gt;</t>
        </r>
      </text>
    </comment>
    <comment ref="D1364" authorId="0" shapeId="0" xr:uid="{ECD535C5-A1C8-4AFF-9898-2B761E994351}">
      <text>
        <r>
          <rPr>
            <b/>
            <sz val="9"/>
            <color indexed="81"/>
            <rFont val="Tahoma"/>
            <family val="2"/>
          </rPr>
          <t>&lt;[[TCDeals] - [TC Property Current Stage (Seq: 1)] - [Property Points (Seq: 1)] Is Units individually metered - Both]&gt;</t>
        </r>
      </text>
    </comment>
    <comment ref="D1366" authorId="0" shapeId="0" xr:uid="{413C59E2-8F90-4324-BE69-59B0CBF7D727}">
      <text>
        <r>
          <rPr>
            <b/>
            <sz val="9"/>
            <color indexed="81"/>
            <rFont val="Tahoma"/>
            <family val="2"/>
          </rPr>
          <t>&lt;[[TCDeals] - [TC Property Current Stage (Seq: 1)] - [Property Points (Seq: 1)] Is Refrigerator E-star - Both]&gt;</t>
        </r>
      </text>
    </comment>
    <comment ref="D1367" authorId="0" shapeId="0" xr:uid="{63C83FB0-6A2D-46EF-BDF2-5759BF3E69A4}">
      <text>
        <r>
          <rPr>
            <b/>
            <sz val="9"/>
            <color indexed="81"/>
            <rFont val="Tahoma"/>
            <family val="2"/>
          </rPr>
          <t>&lt;[[TCDeals] - [TC Property Current Stage (Seq: 1)] - [Property Points (Seq: 1)] Is Stove/Oven - Both]&gt;</t>
        </r>
      </text>
    </comment>
    <comment ref="D1368" authorId="0" shapeId="0" xr:uid="{F71853F9-3F34-4C66-9082-6049FB00C263}">
      <text>
        <r>
          <rPr>
            <b/>
            <sz val="9"/>
            <color indexed="81"/>
            <rFont val="Tahoma"/>
            <family val="2"/>
          </rPr>
          <t>&lt;[[TCDeals] - [TC Property Current Stage (Seq: 1)] - [Property Points (Seq: 1)] Is Optional Field 375 - Both]&gt;</t>
        </r>
      </text>
    </comment>
    <comment ref="D1369" authorId="0" shapeId="0" xr:uid="{A9BE3D72-9011-405A-9B0C-82EDFE3977F9}">
      <text>
        <r>
          <rPr>
            <b/>
            <sz val="9"/>
            <color indexed="81"/>
            <rFont val="Tahoma"/>
            <family val="2"/>
          </rPr>
          <t>&lt;[[TCDeals] - [TC Property Current Stage (Seq: 1)] - [Property Points (Seq: 1)] Is Optional Field 376 - Both]&gt;</t>
        </r>
      </text>
    </comment>
    <comment ref="D1370" authorId="0" shapeId="0" xr:uid="{9791A7B3-7876-42CD-ADA6-01F4FBE7CA4C}">
      <text>
        <r>
          <rPr>
            <b/>
            <sz val="9"/>
            <color indexed="81"/>
            <rFont val="Tahoma"/>
            <family val="2"/>
          </rPr>
          <t>&lt;[[TCDeals] - [TC Property Current Stage (Seq: 1)] - [Property Points (Seq: 1)] Is Optional Field 377 - Both]&gt;</t>
        </r>
      </text>
    </comment>
    <comment ref="D1371" authorId="0" shapeId="0" xr:uid="{8EBDD31A-636A-4E61-B64C-96AEDA4831D8}">
      <text>
        <r>
          <rPr>
            <b/>
            <sz val="9"/>
            <color indexed="81"/>
            <rFont val="Tahoma"/>
            <family val="2"/>
          </rPr>
          <t>&lt;[[TCDeals] - [TC Property Current Stage (Seq: 1)] - [Property Points (Seq: 1)] Is Optional Field 439 - Both]&gt;</t>
        </r>
      </text>
    </comment>
    <comment ref="D1372" authorId="0" shapeId="0" xr:uid="{12A94D66-D727-48F6-9BB6-3F2B7819BCBA}">
      <text>
        <r>
          <rPr>
            <b/>
            <sz val="9"/>
            <color indexed="81"/>
            <rFont val="Tahoma"/>
            <family val="2"/>
          </rPr>
          <t>&lt;[[TCDeals] - [TC Property Current Stage (Seq: 1)] - [Property Points (Seq: 1)] Is Optional Field 440 - Both]&gt;</t>
        </r>
      </text>
    </comment>
    <comment ref="D1373" authorId="0" shapeId="0" xr:uid="{49801124-4AC4-4EA8-B7EF-258F23AB334A}">
      <text>
        <r>
          <rPr>
            <b/>
            <sz val="9"/>
            <color indexed="81"/>
            <rFont val="Tahoma"/>
            <family val="2"/>
          </rPr>
          <t>&lt;[[TCDeals] - [TC Property Current Stage (Seq: 1)] - [Property Points (Seq: 1)] Is Optional Field 380 - Both]&gt;</t>
        </r>
      </text>
    </comment>
    <comment ref="D1375" authorId="0" shapeId="0" xr:uid="{3445CA28-4459-4AB5-86C9-3F0B8C498C93}">
      <text>
        <r>
          <rPr>
            <b/>
            <sz val="9"/>
            <color indexed="81"/>
            <rFont val="Tahoma"/>
            <family val="2"/>
          </rPr>
          <t>&lt;[[TCDeals] - [TC Property Current Stage (Seq: 1)] - [Property Points (Seq: 1)] Is Optional Field 381 - Both]&gt;</t>
        </r>
      </text>
    </comment>
    <comment ref="D1376" authorId="0" shapeId="0" xr:uid="{79067203-301B-4777-9EA8-91D9E161F5F5}">
      <text>
        <r>
          <rPr>
            <b/>
            <sz val="9"/>
            <color indexed="81"/>
            <rFont val="Tahoma"/>
            <family val="2"/>
          </rPr>
          <t>&lt;[[TCDeals] - [TC Property Current Stage (Seq: 1)] - [Property Points (Seq: 1)] Is Optional Field 382 - Both]&gt;</t>
        </r>
      </text>
    </comment>
    <comment ref="D1377" authorId="0" shapeId="0" xr:uid="{A2ADC5E7-4689-45E2-A5DC-ABB33ABC5DE0}">
      <text>
        <r>
          <rPr>
            <b/>
            <sz val="9"/>
            <color indexed="81"/>
            <rFont val="Tahoma"/>
            <family val="2"/>
          </rPr>
          <t>&lt;[[TCDeals] - [TC Property Current Stage (Seq: 1)] - [Property Points (Seq: 1)] Is Optional Field 383 - Both]&gt;</t>
        </r>
      </text>
    </comment>
    <comment ref="D1378" authorId="0" shapeId="0" xr:uid="{054E9C9A-43E9-46B5-B70D-718D41802A80}">
      <text>
        <r>
          <rPr>
            <b/>
            <sz val="9"/>
            <color indexed="81"/>
            <rFont val="Tahoma"/>
            <family val="2"/>
          </rPr>
          <t>&lt;[[TCDeals] - [TC Property Current Stage (Seq: 1)] - [Property Points (Seq: 1)] Is Optional Field 384 - Both]&gt;</t>
        </r>
      </text>
    </comment>
    <comment ref="D1379" authorId="0" shapeId="0" xr:uid="{3268C538-2576-4797-BE16-759E525AAFF2}">
      <text>
        <r>
          <rPr>
            <b/>
            <sz val="9"/>
            <color indexed="81"/>
            <rFont val="Tahoma"/>
            <family val="2"/>
          </rPr>
          <t>&lt;[[TCDeals] - [TC Property Current Stage (Seq: 1)] - [Property Points (Seq: 1)] Is Optional Field 385 - Both]&gt;</t>
        </r>
      </text>
    </comment>
    <comment ref="D1380" authorId="0" shapeId="0" xr:uid="{5261D9C7-F67C-4A46-AB72-5211D49DB41F}">
      <text>
        <r>
          <rPr>
            <b/>
            <sz val="9"/>
            <color indexed="81"/>
            <rFont val="Tahoma"/>
            <family val="2"/>
          </rPr>
          <t>&lt;[[TCDeals] - [TC Property Current Stage (Seq: 1)] - [Property Points (Seq: 1)] Is Optional Field 386 - Both]&gt;</t>
        </r>
      </text>
    </comment>
    <comment ref="D1381" authorId="1" shapeId="0" xr:uid="{835C9182-1A4A-4DDA-9CDE-5062AD2E9A83}">
      <text>
        <r>
          <rPr>
            <b/>
            <sz val="9"/>
            <color indexed="81"/>
            <rFont val="Tahoma"/>
            <family val="2"/>
          </rPr>
          <t>&lt;[[TCDeals] - [TC Property Current Stage (Seq: 1)] - [Property Points (Seq: 1)] Number of Laundry Rooms - Both]&gt;</t>
        </r>
      </text>
    </comment>
    <comment ref="D1382"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383" authorId="1" shapeId="0" xr:uid="{E95E3881-582A-4921-9CE5-C7AC522D2B79}">
      <text>
        <r>
          <rPr>
            <b/>
            <sz val="9"/>
            <color indexed="81"/>
            <rFont val="Tahoma"/>
            <family val="2"/>
          </rPr>
          <t>&lt;[[TCDeals] - [TC Property Current Stage (Seq: 1)] - [Property Points (Seq: 1)] Laundry Room on each floor - Both]&gt;</t>
        </r>
      </text>
    </comment>
    <comment ref="D1384" authorId="0" shapeId="0" xr:uid="{114A08C0-DCB5-41E2-B2D3-EC1223FD0202}">
      <text>
        <r>
          <rPr>
            <b/>
            <sz val="9"/>
            <color indexed="81"/>
            <rFont val="Tahoma"/>
            <family val="2"/>
          </rPr>
          <t>&lt;[[TCDeals] - [TC Property Current Stage (Seq: 1)] - [Property Points (Seq: 1)] Is Optional Field 387 - Both]&gt;</t>
        </r>
      </text>
    </comment>
    <comment ref="D1385" authorId="0" shapeId="0" xr:uid="{945860F3-0327-48CD-ADA2-FBC30650C63F}">
      <text>
        <r>
          <rPr>
            <b/>
            <sz val="9"/>
            <color indexed="81"/>
            <rFont val="Tahoma"/>
            <family val="2"/>
          </rPr>
          <t>&lt;[[TCDeals] - [TC Property Current Stage (Seq: 1)] - [Property Points (Seq: 1)] Is Optional Field 388 - Both]&gt;</t>
        </r>
      </text>
    </comment>
    <comment ref="D1386" authorId="0" shapeId="0" xr:uid="{EB2503FA-D2A1-4FA2-B8E6-25D521093B73}">
      <text>
        <r>
          <rPr>
            <b/>
            <sz val="9"/>
            <color indexed="81"/>
            <rFont val="Tahoma"/>
            <family val="2"/>
          </rPr>
          <t>&lt;[[TCDeals] - [TC Property Current Stage (Seq: 1)] - [Property Points (Seq: 1)] Is Optional Field 389 - Both]&gt;</t>
        </r>
      </text>
    </comment>
    <comment ref="D1387" authorId="0" shapeId="0" xr:uid="{55A9B383-D832-4E6D-B09F-7DA6CDF3DAE3}">
      <text>
        <r>
          <rPr>
            <b/>
            <sz val="9"/>
            <color indexed="81"/>
            <rFont val="Tahoma"/>
            <family val="2"/>
          </rPr>
          <t>&lt;[[TCDeals] - [TC Property Current Stage (Seq: 1)] - [Property Points (Seq: 1)] Is Optional Field 441 - Both]&gt;</t>
        </r>
      </text>
    </comment>
    <comment ref="D1388" authorId="0" shapeId="0" xr:uid="{A18F2C59-E6D7-4403-A951-63C450E35CD1}">
      <text>
        <r>
          <rPr>
            <b/>
            <sz val="9"/>
            <color indexed="81"/>
            <rFont val="Tahoma"/>
            <family val="2"/>
          </rPr>
          <t>&lt;[[TCDeals] - [TC Property Current Stage (Seq: 1)] - [Property Points (Seq: 1)] Optional Field 390 - Both]&gt;</t>
        </r>
      </text>
    </comment>
    <comment ref="D1389" authorId="0" shapeId="0" xr:uid="{58C31C33-08E4-449A-8E09-2F3674EA1536}">
      <text>
        <r>
          <rPr>
            <b/>
            <sz val="9"/>
            <color indexed="81"/>
            <rFont val="Tahoma"/>
            <family val="2"/>
          </rPr>
          <t>&lt;[[TCDeals] - [TC Property Current Stage (Seq: 1)] - [Property Points (Seq: 1)] Is Optional Field 391 - Both]&gt;</t>
        </r>
      </text>
    </comment>
    <comment ref="D1390" authorId="0" shapeId="0" xr:uid="{A98CF101-EC04-4E17-89E1-DB93313C82AA}">
      <text>
        <r>
          <rPr>
            <b/>
            <sz val="9"/>
            <color indexed="81"/>
            <rFont val="Tahoma"/>
            <family val="2"/>
          </rPr>
          <t>&lt;[[TCDeals] - [TC Property Current Stage (Seq: 1)] - [Property Points (Seq: 1)] Is Optional Field 392 - Both]&gt;</t>
        </r>
      </text>
    </comment>
    <comment ref="D1391" authorId="0" shapeId="0" xr:uid="{1DDD5111-1FBC-4503-AFBC-482EDCE8B27B}">
      <text>
        <r>
          <rPr>
            <b/>
            <sz val="9"/>
            <color indexed="81"/>
            <rFont val="Tahoma"/>
            <family val="2"/>
          </rPr>
          <t>&lt;[[TCDeals] - [TC Property Current Stage (Seq: 1)] - [Property Points (Seq: 1)] Is Optional Field 393 - Both]&gt;</t>
        </r>
      </text>
    </comment>
    <comment ref="D1392" authorId="0" shapeId="0" xr:uid="{DE2D1F58-12EB-40B4-BF39-3558851AE01A}">
      <text>
        <r>
          <rPr>
            <b/>
            <sz val="9"/>
            <color indexed="81"/>
            <rFont val="Tahoma"/>
            <family val="2"/>
          </rPr>
          <t>&lt;[[TCDeals] - [TC Property Current Stage (Seq: 1)] - [Property Points (Seq: 1)] Is Optional Field 442 - Both]&gt;</t>
        </r>
      </text>
    </comment>
    <comment ref="D1393" authorId="0" shapeId="0" xr:uid="{A71C404C-43FD-48DC-BFF6-25E4522C4542}">
      <text>
        <r>
          <rPr>
            <b/>
            <sz val="9"/>
            <color indexed="81"/>
            <rFont val="Tahoma"/>
            <family val="2"/>
          </rPr>
          <t>&lt;[[TCDeals] - [TC Property Current Stage (Seq: 1)] - [Property Points (Seq: 1)] Is Optional Field 394 - Both]&gt;</t>
        </r>
      </text>
    </comment>
    <comment ref="D1394" authorId="0" shapeId="0" xr:uid="{37D8FE52-3249-4407-A6D6-D364D277028E}">
      <text>
        <r>
          <rPr>
            <b/>
            <sz val="9"/>
            <color indexed="81"/>
            <rFont val="Tahoma"/>
            <family val="2"/>
          </rPr>
          <t>&lt;[[TCDeals] - [TC Property Current Stage (Seq: 1)] - [Property Points (Seq: 1)] Is Optional Field 395 - Both]&gt;</t>
        </r>
      </text>
    </comment>
    <comment ref="D1395" authorId="1" shapeId="0" xr:uid="{AF6AEB33-788E-48AB-A328-C21B816F326D}">
      <text>
        <r>
          <rPr>
            <b/>
            <sz val="9"/>
            <color indexed="81"/>
            <rFont val="Tahoma"/>
            <family val="2"/>
          </rPr>
          <t>&lt;[[TCDeals] - [TC Property Current Stage (Seq: 1)] - [Property Points (Seq: 1)] Is Bike Storage - Both]&gt;</t>
        </r>
      </text>
    </comment>
    <comment ref="D1396" authorId="1" shapeId="0" xr:uid="{8F8E5EF0-5D76-44BF-BA12-87DF91E2A1D9}">
      <text>
        <r>
          <rPr>
            <b/>
            <sz val="9"/>
            <color indexed="81"/>
            <rFont val="Tahoma"/>
            <family val="2"/>
          </rPr>
          <t>&lt;[[TCDeals] - [TC Property Current Stage (Seq: 1)] - [Property Points (Seq: 1)] Is Bike Maintenance - Both]&gt;</t>
        </r>
      </text>
    </comment>
    <comment ref="D1397" authorId="1" shapeId="0" xr:uid="{B434EE67-4CCF-4BF8-B9D4-33174889B2B9}">
      <text>
        <r>
          <rPr>
            <b/>
            <sz val="9"/>
            <color indexed="81"/>
            <rFont val="Tahoma"/>
            <family val="2"/>
          </rPr>
          <t>&lt;[[TCDeals] - [TC Property Current Stage (Seq: 1)] - [Property Points (Seq: 1)] Is Pet Wash Area - Both]&gt;</t>
        </r>
      </text>
    </comment>
    <comment ref="D1398" authorId="1" shapeId="0" xr:uid="{4E776CC6-D937-47DE-B86B-FE1029DB5445}">
      <text>
        <r>
          <rPr>
            <b/>
            <sz val="9"/>
            <color indexed="81"/>
            <rFont val="Tahoma"/>
            <family val="2"/>
          </rPr>
          <t>&lt;[[TCDeals] - [TC Property Current Stage (Seq: 1)] - [Property Points (Seq: 1)] Is Pet Relief Area - Both]&gt;</t>
        </r>
      </text>
    </comment>
    <comment ref="D1399" authorId="1" shapeId="0" xr:uid="{4D7C7EF8-3B03-4DE3-BFF0-4C5716B9DDC2}">
      <text>
        <r>
          <rPr>
            <b/>
            <sz val="9"/>
            <color indexed="81"/>
            <rFont val="Tahoma"/>
            <family val="2"/>
          </rPr>
          <t>&lt;[[TCDeals] - [TC Property Current Stage (Seq: 1)] - [Property Points (Seq: 1)] Is Dog Run - Both]&gt;</t>
        </r>
      </text>
    </comment>
    <comment ref="D1400" authorId="0" shapeId="0" xr:uid="{F6393C81-17F2-4DC9-AFA6-E645ABAD6887}">
      <text>
        <r>
          <rPr>
            <b/>
            <sz val="9"/>
            <color indexed="81"/>
            <rFont val="Tahoma"/>
            <family val="2"/>
          </rPr>
          <t>&lt;[[TCDeals] - [TC Property Current Stage (Seq: 1)] - [Property Points (Seq: 1)] Is Optional Field 396 - Both]&gt;</t>
        </r>
      </text>
    </comment>
    <comment ref="D1402" authorId="0" shapeId="0" xr:uid="{2DBADDA4-A2B8-48AC-88E0-F86BEB7904DC}">
      <text>
        <r>
          <rPr>
            <b/>
            <sz val="9"/>
            <color indexed="81"/>
            <rFont val="Tahoma"/>
            <family val="2"/>
          </rPr>
          <t>&lt;[[TCDeals] - [TC Property Current Stage (Seq: 1)] - [Property Points (Seq: 1)] Is Optional Field 397 - Both]&gt;</t>
        </r>
      </text>
    </comment>
    <comment ref="D1403" authorId="0" shapeId="0" xr:uid="{1699FA3B-4C0C-4554-A29A-A0B72FA4CB82}">
      <text>
        <r>
          <rPr>
            <b/>
            <sz val="9"/>
            <color indexed="81"/>
            <rFont val="Tahoma"/>
            <family val="2"/>
          </rPr>
          <t>&lt;[[TCDeals] - [TC Property Current Stage (Seq: 1)] - [Property Points (Seq: 1)] Is Optional Field 398 - Both]&gt;</t>
        </r>
      </text>
    </comment>
    <comment ref="D1404" authorId="0" shapeId="0" xr:uid="{AABB3DFB-039B-4A3A-BE4F-EBF5B3D84FC2}">
      <text>
        <r>
          <rPr>
            <b/>
            <sz val="9"/>
            <color indexed="81"/>
            <rFont val="Tahoma"/>
            <family val="2"/>
          </rPr>
          <t>&lt;[[TCDeals] - [TC Property Current Stage (Seq: 1)] - [Property Points (Seq: 1)] Is Optional Field 399 - Both]&gt;</t>
        </r>
      </text>
    </comment>
    <comment ref="D1405" authorId="0" shapeId="0" xr:uid="{10C669D9-A394-485C-B178-B65F38A3F685}">
      <text>
        <r>
          <rPr>
            <b/>
            <sz val="9"/>
            <color indexed="81"/>
            <rFont val="Tahoma"/>
            <family val="2"/>
          </rPr>
          <t>&lt;[[TCDeals] - [TC Property Current Stage (Seq: 1)] - [Property Points (Seq: 1)] Is Optional Field 400 - Both]&gt;</t>
        </r>
      </text>
    </comment>
    <comment ref="D1406" authorId="0" shapeId="0" xr:uid="{D362B6DD-DAE3-4CE0-83D4-4B0CF4A362AE}">
      <text>
        <r>
          <rPr>
            <b/>
            <sz val="9"/>
            <color indexed="81"/>
            <rFont val="Tahoma"/>
            <family val="2"/>
          </rPr>
          <t>&lt;[[TCDeals] - [TC Property Current Stage (Seq: 1)] - [Property Points (Seq: 1)] Is Optional Field 401 - Both]&gt;</t>
        </r>
      </text>
    </comment>
    <comment ref="D1408" authorId="0" shapeId="0" xr:uid="{C24075BC-66C1-465C-8DAF-D298BE8DD8AA}">
      <text>
        <r>
          <rPr>
            <b/>
            <sz val="9"/>
            <color indexed="81"/>
            <rFont val="Tahoma"/>
            <family val="2"/>
          </rPr>
          <t>&lt;[[TCDeals] - [TC Property Current Stage (Seq: 1)] - [Property Points (Seq: 1)] Optional Field 402 - Both]&gt;</t>
        </r>
      </text>
    </comment>
    <comment ref="D1409" authorId="0" shapeId="0" xr:uid="{8D2E918D-528C-4558-B000-A4029249584F}">
      <text>
        <r>
          <rPr>
            <b/>
            <sz val="9"/>
            <color indexed="81"/>
            <rFont val="Tahoma"/>
            <family val="2"/>
          </rPr>
          <t>&lt;[[TCDeals] - [TC Property Current Stage (Seq: 1)] - [Property Points (Seq: 1)] Surface Parking (# per unit) - Both]&gt;</t>
        </r>
      </text>
    </comment>
    <comment ref="D1410" authorId="0" shapeId="0" xr:uid="{70F54ADA-A91B-43B9-B715-892B9CBEC8B1}">
      <text>
        <r>
          <rPr>
            <b/>
            <sz val="9"/>
            <color indexed="81"/>
            <rFont val="Tahoma"/>
            <family val="2"/>
          </rPr>
          <t>&lt;[[TCDeals] - [TC Property Current Stage (Seq: 1)] - [Property Points (Seq: 1)] Optional Field 443 - Both]&gt;</t>
        </r>
      </text>
    </comment>
    <comment ref="D1411" authorId="0" shapeId="0" xr:uid="{EF03B62A-A96A-4120-BD20-32C12AFAA811}">
      <text>
        <r>
          <rPr>
            <b/>
            <sz val="9"/>
            <color indexed="81"/>
            <rFont val="Tahoma"/>
            <family val="2"/>
          </rPr>
          <t>&lt;[[TCDeals] - [TC Property Current Stage (Seq: 1)] - [Property Points (Seq: 1)] Optional Field 404 - Both]&gt;</t>
        </r>
      </text>
    </comment>
    <comment ref="D1412" authorId="0" shapeId="0" xr:uid="{EA55BA56-075C-4479-9ABA-A658ABDE4410}">
      <text>
        <r>
          <rPr>
            <b/>
            <sz val="9"/>
            <color indexed="81"/>
            <rFont val="Tahoma"/>
            <family val="2"/>
          </rPr>
          <t>&lt;[[TCDeals] - [TC Property Current Stage (Seq: 1)] - [Property Points (Seq: 1)] Optional Field 444 - Both]&gt;</t>
        </r>
      </text>
    </comment>
    <comment ref="D1413" authorId="0" shapeId="0" xr:uid="{24398ED1-BE4C-4A64-983F-B2864A4C8F25}">
      <text>
        <r>
          <rPr>
            <b/>
            <sz val="9"/>
            <color indexed="81"/>
            <rFont val="Tahoma"/>
            <family val="2"/>
          </rPr>
          <t>&lt;[[TCDeals] - [TC Property Current Stage (Seq: 1)] - [Property Points (Seq: 1)] Optional Field 445 - Both]&gt;</t>
        </r>
      </text>
    </comment>
    <comment ref="D1414" authorId="0" shapeId="0" xr:uid="{6A99237D-0201-4EF8-AB84-D64717C3279D}">
      <text>
        <r>
          <rPr>
            <b/>
            <sz val="9"/>
            <color indexed="81"/>
            <rFont val="Tahoma"/>
            <family val="2"/>
          </rPr>
          <t>&lt;[[TCDeals] - [TC Property Current Stage (Seq: 1)] - [Property Points (Seq: 1)] Optional Field 446 - Both]&gt;</t>
        </r>
      </text>
    </comment>
    <comment ref="D1415" authorId="0" shapeId="0" xr:uid="{80CA012F-0A2D-4E20-B081-B095E69CF823}">
      <text>
        <r>
          <rPr>
            <b/>
            <sz val="9"/>
            <color indexed="81"/>
            <rFont val="Tahoma"/>
            <family val="2"/>
          </rPr>
          <t>&lt;[[TCDeals] - [TC Property Current Stage (Seq: 1)] - [Property Points (Seq: 1)] Is Optional Field 416 - Both]&gt;</t>
        </r>
      </text>
    </comment>
    <comment ref="D1416" authorId="0" shapeId="0" xr:uid="{EEB9BB1A-5824-4F03-82D3-94AD60319CAC}">
      <text>
        <r>
          <rPr>
            <b/>
            <sz val="9"/>
            <color indexed="81"/>
            <rFont val="Tahoma"/>
            <family val="2"/>
          </rPr>
          <t>&lt;[[TCDeals] - [TC Property Current Stage (Seq: 1)] - [Property Points (Seq: 1)] Is Optional Field 448 - Both]&gt;</t>
        </r>
      </text>
    </comment>
    <comment ref="D1417" authorId="0" shapeId="0" xr:uid="{C005A2D6-F591-4D1C-B211-ABCB24AC93BC}">
      <text>
        <r>
          <rPr>
            <b/>
            <sz val="9"/>
            <color indexed="81"/>
            <rFont val="Tahoma"/>
            <family val="2"/>
          </rPr>
          <t>&lt;[[TCDeals] - [TC Property Current Stage (Seq: 1)] - [Property Points (Seq: 1)] Optional Field 447 - Both]&gt;</t>
        </r>
      </text>
    </comment>
    <comment ref="D1418" authorId="0" shapeId="0" xr:uid="{74C263D6-1529-448F-B48C-00BCB3719F35}">
      <text>
        <r>
          <rPr>
            <b/>
            <sz val="9"/>
            <color indexed="81"/>
            <rFont val="Tahoma"/>
            <family val="2"/>
          </rPr>
          <t>&lt;[[TCDeals] - [TC Property Current Stage (Seq: 1)] - [Property Points (Seq: 1)] Is Optional Field 409 - Both]&gt;</t>
        </r>
      </text>
    </comment>
    <comment ref="D1419" authorId="0" shapeId="0" xr:uid="{7D2C040E-4CEF-4942-9B86-864FC2058C78}">
      <text>
        <r>
          <rPr>
            <b/>
            <sz val="9"/>
            <color indexed="81"/>
            <rFont val="Tahoma"/>
            <family val="2"/>
          </rPr>
          <t>&lt;[[TCDeals] - [TC Property Current Stage (Seq: 1)] - [Property Points (Seq: 1)] Is Optional Field 419 - Both]&gt;</t>
        </r>
      </text>
    </comment>
    <comment ref="D1420" authorId="0" shapeId="0" xr:uid="{4C065C2B-BA68-4530-A97A-ABB462D9DCFB}">
      <text>
        <r>
          <rPr>
            <b/>
            <sz val="9"/>
            <color indexed="81"/>
            <rFont val="Tahoma"/>
            <family val="2"/>
          </rPr>
          <t>&lt;[[TCDeals] - [TC Property Current Stage (Seq: 1)] - [Property Points (Seq: 1)] Optional Field 420 - Both]&gt;</t>
        </r>
      </text>
    </comment>
    <comment ref="D1421" authorId="1" shapeId="0" xr:uid="{AB76D9BD-04C5-4A7B-B1A2-A6C0203B650F}">
      <text>
        <r>
          <rPr>
            <b/>
            <sz val="9"/>
            <color indexed="81"/>
            <rFont val="Tahoma"/>
            <family val="2"/>
          </rPr>
          <t>&lt;[[TCDeals] - [TC Property Current Stage (Seq: 1)] - [Property Points (Seq: 1)] Is Electric Vehicle (EV) Ready - Both]&gt;</t>
        </r>
      </text>
    </comment>
    <comment ref="D1422" authorId="1" shapeId="0" xr:uid="{6A975A53-9850-4310-B6E2-9CA8392ABBB3}">
      <text>
        <r>
          <rPr>
            <b/>
            <sz val="9"/>
            <color indexed="81"/>
            <rFont val="Tahoma"/>
            <family val="2"/>
          </rPr>
          <t>&lt;[[TCDeals] - [TC Property Current Stage (Seq: 1)] - [Property Points (Seq: 1)] # of EV Charging Stations - Both]&gt;</t>
        </r>
      </text>
    </comment>
    <comment ref="D1423"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24" authorId="1" shapeId="0" xr:uid="{884474F3-9E8D-4654-B99B-52A805615B17}">
      <text>
        <r>
          <rPr>
            <b/>
            <sz val="9"/>
            <color indexed="81"/>
            <rFont val="Tahoma"/>
            <family val="2"/>
          </rPr>
          <t>&lt;[[TCDeals] - [TC Property Current Stage (Seq: 1)] - [Property Points (Seq: 1)] Is Transit Passes - Both]&gt;</t>
        </r>
      </text>
    </comment>
    <comment ref="D1425" authorId="1" shapeId="0" xr:uid="{04FDC09F-6626-4406-87B1-53665D7C78AE}">
      <text>
        <r>
          <rPr>
            <b/>
            <sz val="9"/>
            <color indexed="81"/>
            <rFont val="Tahoma"/>
            <family val="2"/>
          </rPr>
          <t>&lt;[[TCDeals] - [TC Property Current Stage (Seq: 1)] - [Property Points (Seq: 1)] Number of Transit Passes - Both]&gt;</t>
        </r>
      </text>
    </comment>
    <comment ref="D1426"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27" authorId="0" shapeId="0" xr:uid="{9CEC6113-EE05-434D-88B0-E56837EE76EE}">
      <text>
        <r>
          <rPr>
            <b/>
            <sz val="9"/>
            <color indexed="81"/>
            <rFont val="Tahoma"/>
            <family val="2"/>
          </rPr>
          <t>&lt;[[TCDeals] - [TC Property Current Stage (Seq: 1)] - [Property Points (Seq: 1)] Is Optional Field 421 - Both]&gt;</t>
        </r>
      </text>
    </comment>
    <comment ref="D1428" authorId="0" shapeId="0" xr:uid="{C0862731-07F8-48C9-84E6-2CCBB14B8F61}">
      <text>
        <r>
          <rPr>
            <b/>
            <sz val="9"/>
            <color indexed="81"/>
            <rFont val="Tahoma"/>
            <family val="2"/>
          </rPr>
          <t>&lt;[[TCDeals] - [TC Property Current Stage (Seq: 1)] - [Property Points (Seq: 1)] Is Optional Field 422 - Both]&gt;</t>
        </r>
      </text>
    </comment>
    <comment ref="D1429" authorId="0" shapeId="0" xr:uid="{BC70BE8F-6EC4-4B99-9621-04666C895415}">
      <text>
        <r>
          <rPr>
            <b/>
            <sz val="9"/>
            <color indexed="81"/>
            <rFont val="Tahoma"/>
            <family val="2"/>
          </rPr>
          <t>&lt;[[TCDeals] - [TC Property Current Stage (Seq: 1)] - [Property Points (Seq: 1)] Is Optional Field 423 - Both]&gt;</t>
        </r>
      </text>
    </comment>
    <comment ref="D1430" authorId="0" shapeId="0" xr:uid="{A0E3F7A4-AD24-4293-881D-E2706329CB99}">
      <text>
        <r>
          <rPr>
            <b/>
            <sz val="9"/>
            <color indexed="81"/>
            <rFont val="Tahoma"/>
            <family val="2"/>
          </rPr>
          <t>&lt;[[TCDeals] - [TC Property Current Stage (Seq: 1)] - [Property Points (Seq: 1)] Is Optional Field 424 - Both]&gt;</t>
        </r>
      </text>
    </comment>
    <comment ref="D1432" authorId="2" shapeId="0" xr:uid="{54599CBE-C66C-4EC2-9E2D-4803C42B2807}">
      <text>
        <r>
          <rPr>
            <b/>
            <sz val="9"/>
            <color indexed="81"/>
            <rFont val="Tahoma"/>
            <family val="2"/>
          </rPr>
          <t>&lt;[[TCDeals] - [TC Property Current Stage (Seq: 1)] - [Property Points (Seq: 1)] Number of Type A Units - Both]&gt;</t>
        </r>
      </text>
    </comment>
    <comment ref="D1433" authorId="2" shapeId="0" xr:uid="{351C4406-635E-49C3-A95D-C6DC169A0BDD}">
      <text>
        <r>
          <rPr>
            <b/>
            <sz val="9"/>
            <color indexed="81"/>
            <rFont val="Tahoma"/>
            <family val="2"/>
          </rPr>
          <t>&lt;[[TCDeals] - [TC Property Current Stage (Seq: 1)] - [Property Points (Seq: 1)] Number of Type B Units - Both]&gt;</t>
        </r>
      </text>
    </comment>
    <comment ref="D1435" authorId="0" shapeId="0" xr:uid="{287BCBA3-0381-42A2-9406-DCA6E3E18BC0}">
      <text>
        <r>
          <rPr>
            <b/>
            <sz val="9"/>
            <color indexed="81"/>
            <rFont val="Tahoma"/>
            <family val="2"/>
          </rPr>
          <t>&lt;[[TCDeals] - [TC Property Current Stage (Seq: 1)] - [Property Points (Seq: 1)] Optional Field 425 - Both]&gt;</t>
        </r>
      </text>
    </comment>
    <comment ref="D1436" authorId="0" shapeId="0" xr:uid="{6AEDC6E3-8AEE-4111-8832-02D0F699569B}">
      <text>
        <r>
          <rPr>
            <b/>
            <sz val="9"/>
            <color indexed="81"/>
            <rFont val="Tahoma"/>
            <family val="2"/>
          </rPr>
          <t>&lt;[[TCDeals] - [TC Property Current Stage (Seq: 1)] - [Property Points (Seq: 1)] Optional Field 426 - Both]&gt;</t>
        </r>
      </text>
    </comment>
    <comment ref="D1438" authorId="0" shapeId="0" xr:uid="{387A5D0D-2047-443C-A62A-E0C961E30998}">
      <text>
        <r>
          <rPr>
            <b/>
            <sz val="9"/>
            <color indexed="81"/>
            <rFont val="Tahoma"/>
            <family val="2"/>
          </rPr>
          <t>&lt;[[TCDeals] - [TC Property Current Stage (Seq: 1)] - [Property Points (Seq: 1)] Is Optional Field 427 - Both]&gt;</t>
        </r>
      </text>
    </comment>
    <comment ref="D1439" authorId="0" shapeId="0" xr:uid="{C6EA5605-84E2-4EA3-BB68-5DD52E098D0E}">
      <text>
        <r>
          <rPr>
            <b/>
            <sz val="9"/>
            <color indexed="81"/>
            <rFont val="Tahoma"/>
            <family val="2"/>
          </rPr>
          <t>&lt;[[TCDeals] - [TC Property Current Stage (Seq: 1)] - [Property Points (Seq: 1)] Is Optional Field 428 - Both]&gt;</t>
        </r>
      </text>
    </comment>
    <comment ref="D1440" authorId="0" shapeId="0" xr:uid="{2F966F08-2F19-481B-9801-931534C51D7B}">
      <text>
        <r>
          <rPr>
            <b/>
            <sz val="9"/>
            <color indexed="81"/>
            <rFont val="Tahoma"/>
            <family val="2"/>
          </rPr>
          <t>&lt;[[TCDeals] - [TC Property Current Stage (Seq: 1)] - [Property Points (Seq: 1)] Is Optional Field 429 - Both]&gt;</t>
        </r>
      </text>
    </comment>
    <comment ref="D1441" authorId="0" shapeId="0" xr:uid="{8A468850-73C3-470D-AC35-A050DBFDA8FF}">
      <text>
        <r>
          <rPr>
            <b/>
            <sz val="9"/>
            <color indexed="81"/>
            <rFont val="Tahoma"/>
            <family val="2"/>
          </rPr>
          <t>&lt;[[TCDeals] - [TC Property Current Stage (Seq: 1)] - [Property Points (Seq: 1)] Is Optional Field 430 - Both]&gt;</t>
        </r>
      </text>
    </comment>
    <comment ref="D1442" authorId="0" shapeId="0" xr:uid="{6B58AD04-C35C-406C-A8F5-812EFE6AA16A}">
      <text>
        <r>
          <rPr>
            <b/>
            <sz val="9"/>
            <color indexed="81"/>
            <rFont val="Tahoma"/>
            <family val="2"/>
          </rPr>
          <t>&lt;[[TCDeals] - [TC Property Current Stage (Seq: 1)] - [Property Points (Seq: 1)] Is Optional Field 431 - Both]&gt;</t>
        </r>
      </text>
    </comment>
    <comment ref="D1443" authorId="1" shapeId="0" xr:uid="{9E1005E1-2A43-4ACD-B073-AEBE3C031650}">
      <text>
        <r>
          <rPr>
            <b/>
            <sz val="9"/>
            <color indexed="81"/>
            <rFont val="Tahoma"/>
            <family val="2"/>
          </rPr>
          <t>&lt;[[TCDeals] - [TC Property Current Stage (Seq: 1)] - [Property Points (Seq: 1)] Is owner cable - Both]&gt;</t>
        </r>
      </text>
    </comment>
    <comment ref="D1444" authorId="1" shapeId="0" xr:uid="{340BA53B-F2E6-46A1-89F1-DBFE7DD8D90A}">
      <text>
        <r>
          <rPr>
            <b/>
            <sz val="9"/>
            <color indexed="81"/>
            <rFont val="Tahoma"/>
            <family val="2"/>
          </rPr>
          <t>&lt;[[TCDeals] - [TC Property Current Stage (Seq: 1)] - [Property Points (Seq: 1)] Is owner WiFi in Unit - Both]&gt;</t>
        </r>
      </text>
    </comment>
    <comment ref="D1446" authorId="0" shapeId="0" xr:uid="{1172BB82-51E9-4FF3-99C0-FBCA90AA51CD}">
      <text>
        <r>
          <rPr>
            <b/>
            <sz val="9"/>
            <color indexed="81"/>
            <rFont val="Tahoma"/>
            <family val="2"/>
          </rPr>
          <t>&lt;[[TCDeals] - [TC Property Current Stage (Seq: 1)] - [Property Points (Seq: 1)] Is Optional Field 433 - Both]&gt;</t>
        </r>
      </text>
    </comment>
    <comment ref="D1447" authorId="0" shapeId="0" xr:uid="{67EDD0A9-5F22-42F1-B427-B9A96FB730E2}">
      <text>
        <r>
          <rPr>
            <b/>
            <sz val="9"/>
            <color indexed="81"/>
            <rFont val="Tahoma"/>
            <family val="2"/>
          </rPr>
          <t>&lt;[[TCDeals] - [TC Property Current Stage (Seq: 1)] - [Property Points (Seq: 1)] Is Optional Field 434 - Both]&gt;</t>
        </r>
      </text>
    </comment>
    <comment ref="D1448" authorId="0" shapeId="0" xr:uid="{C2C48EF3-65C1-4D6A-9439-3640DA38AC3B}">
      <text>
        <r>
          <rPr>
            <b/>
            <sz val="9"/>
            <color indexed="81"/>
            <rFont val="Tahoma"/>
            <family val="2"/>
          </rPr>
          <t>&lt;[[TCDeals] - [TC Property Current Stage (Seq: 1)] - [Property Points (Seq: 1)] Is Optional Field 435 - Both]&gt;</t>
        </r>
      </text>
    </comment>
    <comment ref="D1449" authorId="0" shapeId="0" xr:uid="{6661031E-C262-4E88-98AE-E248F342730B}">
      <text>
        <r>
          <rPr>
            <b/>
            <sz val="9"/>
            <color indexed="81"/>
            <rFont val="Tahoma"/>
            <family val="2"/>
          </rPr>
          <t>&lt;[[TCDeals] - [TC Property Current Stage (Seq: 1)] - [Property Points (Seq: 1)] Is Optional Field 436 - Both]&gt;</t>
        </r>
      </text>
    </comment>
    <comment ref="D1450" authorId="0" shapeId="0" xr:uid="{9FD361C7-E602-4A26-B203-FE77A843CA2C}">
      <text>
        <r>
          <rPr>
            <b/>
            <sz val="9"/>
            <color indexed="81"/>
            <rFont val="Tahoma"/>
            <family val="2"/>
          </rPr>
          <t>&lt;[[TCDeals] - [TC Property Current Stage (Seq: 1)] - [Property Points (Seq: 1)] Is Optional Field 437 - Both]&gt;</t>
        </r>
      </text>
    </comment>
    <comment ref="D1451" authorId="1" shapeId="0" xr:uid="{8471645E-3160-4B07-B6A5-A5614DFAD7B6}">
      <text>
        <r>
          <rPr>
            <b/>
            <sz val="9"/>
            <color indexed="81"/>
            <rFont val="Tahoma"/>
            <family val="2"/>
          </rPr>
          <t>&lt;[[TCDeals] - [TC Property Current Stage (Seq: 1)] - [Property Points (Seq: 1)] Is rental paid cable - Both]&gt;</t>
        </r>
      </text>
    </comment>
    <comment ref="D1452"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106"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<sst xmlns="http://schemas.openxmlformats.org/spreadsheetml/2006/main" count="6975" uniqueCount="4233">
  <si>
    <t>2024 Housing Tax Credit Application V6.2 Instructions</t>
  </si>
  <si>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</si>
  <si>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</si>
  <si>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</si>
  <si>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</si>
  <si>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</si>
  <si>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</si>
  <si>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</si>
  <si>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</si>
  <si>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</si>
  <si>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</si>
  <si>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</si>
  <si>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</si>
  <si>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</si>
  <si>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</si>
  <si>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</si>
  <si>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</si>
  <si>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</si>
  <si>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</si>
  <si>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</si>
  <si>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</si>
  <si>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</si>
  <si>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</si>
  <si>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</si>
  <si>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</si>
  <si>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</si>
  <si>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</si>
  <si>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</si>
  <si>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</si>
  <si>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</si>
  <si>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</si>
  <si>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</si>
  <si>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</si>
  <si>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</si>
  <si>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</si>
  <si>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</si>
  <si>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</si>
  <si>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</si>
  <si>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</si>
  <si>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</si>
  <si>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</si>
  <si>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</si>
  <si>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</si>
  <si>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</si>
  <si>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</si>
  <si>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</si>
  <si>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</si>
  <si>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</si>
  <si>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</si>
  <si>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</si>
  <si>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</si>
  <si>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</si>
  <si>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</si>
  <si>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</si>
  <si>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</si>
  <si>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</si>
  <si>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</si>
  <si>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</si>
  <si>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</si>
  <si>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</si>
  <si>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</si>
  <si>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</si>
  <si>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</si>
  <si>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</si>
  <si>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</si>
  <si>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</si>
  <si>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</si>
  <si>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</si>
  <si>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</si>
  <si>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</si>
  <si>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</si>
  <si>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</si>
  <si>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</si>
  <si>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</si>
  <si>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</si>
  <si>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</si>
  <si>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</si>
  <si>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</si>
  <si>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</si>
  <si>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</si>
  <si>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</si>
  <si>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</si>
  <si>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</si>
  <si>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</si>
  <si>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</si>
  <si>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CDOH Worksheets (DevCosts, OpPro, Financing CDOH)</t>
  </si>
  <si>
    <t>Only relevant when applying for CDOH funds (light blue tabs)</t>
  </si>
  <si>
    <t>Data will populate once the application is complete.</t>
  </si>
  <si>
    <t xml:space="preserve">RELEASE NOTES: </t>
  </si>
  <si>
    <t>01/02/2018 - 2018 v 1.0:  New Application Release</t>
  </si>
  <si>
    <t>01/09/2018 - 2018 v 1.1:  New Application Release</t>
  </si>
  <si>
    <t>02/08/2018 - 2018 v 1.2:  New Application Release</t>
  </si>
  <si>
    <t>03/23/2018 - 2018 v 1.3.: New Application Release</t>
  </si>
  <si>
    <t>05/04/2018 - 2018 v 2.: New Application Release</t>
  </si>
  <si>
    <t>5/30/2018- 2018 v 2.1.1: New Application Release</t>
  </si>
  <si>
    <t>08/01/2018 - 2018 v. 2.2: New Application Release</t>
  </si>
  <si>
    <t>12/2/2019 - 2020 v.2.1: New Application Release</t>
  </si>
  <si>
    <t>12/11/2020 2021 V.3: New Application Release</t>
  </si>
  <si>
    <t>4/16/2021 - 2021 V.3.2: New Application Release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</si>
  <si>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</si>
  <si>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</si>
  <si>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</si>
  <si>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</si>
  <si>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</si>
  <si>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</si>
  <si>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</si>
  <si>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</si>
  <si>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</si>
  <si>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</si>
  <si>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</si>
  <si>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</si>
  <si>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Project Contacts</t>
  </si>
  <si>
    <t xml:space="preserve">If a Development team member hasn't been selected, 
please leave blank.  </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</si>
  <si>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</si>
  <si>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</si>
  <si>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</si>
  <si>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</si>
  <si>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</si>
  <si>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</si>
  <si>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</si>
  <si>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</si>
  <si>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</si>
  <si>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</si>
  <si>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</si>
  <si>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</si>
  <si>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</si>
  <si>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</si>
  <si>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</si>
  <si>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</si>
  <si>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</si>
  <si>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</si>
  <si>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</si>
  <si>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</si>
  <si>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</si>
  <si>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</si>
  <si>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</si>
  <si>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</si>
  <si>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</si>
  <si>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</si>
  <si>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</si>
  <si>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</si>
  <si>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</si>
  <si>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</si>
  <si>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</si>
  <si>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</si>
  <si>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</si>
  <si>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</si>
  <si>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</si>
  <si>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</si>
  <si>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</si>
  <si>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</si>
  <si>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</si>
  <si>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</si>
  <si>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</si>
  <si>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</si>
  <si>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</si>
  <si>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</si>
  <si>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</si>
  <si>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t>Additional Participating Non-Profit or PHA Questions</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</si>
  <si>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</si>
  <si>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</si>
  <si>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</si>
  <si>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</si>
  <si>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</si>
  <si>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</si>
  <si>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</si>
  <si>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</si>
  <si>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</si>
  <si>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</si>
  <si>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</si>
  <si>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</si>
  <si>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</si>
  <si>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</si>
  <si>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</si>
  <si>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</si>
  <si>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</si>
  <si>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</si>
  <si>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</si>
  <si>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</si>
  <si>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</si>
  <si>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</si>
  <si>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</si>
  <si>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</si>
  <si>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</si>
  <si>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</si>
  <si>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</si>
  <si>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</si>
  <si>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</si>
  <si>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</si>
  <si>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</si>
  <si>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</si>
  <si>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</si>
  <si>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</si>
  <si>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</si>
  <si>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</si>
  <si>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</si>
  <si>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</si>
  <si>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</si>
  <si>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Council Member</t>
  </si>
  <si>
    <t>Jurisdiction Name</t>
  </si>
  <si>
    <t>City Manager (if applicable)</t>
  </si>
  <si>
    <t>City Planner</t>
  </si>
  <si>
    <t>Local Housing Authortity</t>
  </si>
  <si>
    <t>Executive Director Contact First Name</t>
  </si>
  <si>
    <t>Executive Director Contact Last Name</t>
  </si>
  <si>
    <t>Guarantees</t>
  </si>
  <si>
    <t>Construction/Completion Guarantee</t>
  </si>
  <si>
    <t>Lease Up Guarantee</t>
  </si>
  <si>
    <t xml:space="preserve">Operating Deficit Guarantee </t>
  </si>
  <si>
    <t xml:space="preserve">Compliance Guarantee </t>
  </si>
  <si>
    <t>2024 Housing Tax Credit Application</t>
  </si>
  <si>
    <t>Application Version</t>
  </si>
  <si>
    <t>2024 V6.2 - release date June 2024</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</si>
  <si>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</si>
  <si>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</si>
  <si>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</si>
  <si>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</si>
  <si>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</si>
  <si>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</si>
  <si>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</si>
  <si>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</si>
  <si>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</si>
  <si>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</si>
  <si>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Type of State Tax Credit (if applicable)</t>
  </si>
  <si>
    <t>Project Type</t>
  </si>
  <si>
    <t>Is this an existing LIHTC property</t>
  </si>
  <si>
    <t>Locking Applicable Percentage?</t>
  </si>
  <si>
    <t>Only applicable for carryover or final applications</t>
  </si>
  <si>
    <t>Federal Equity Factor</t>
  </si>
  <si>
    <t>State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</si>
  <si>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</si>
  <si>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</si>
  <si>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</si>
  <si>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</si>
  <si>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</si>
  <si>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</si>
  <si>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</si>
  <si>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</si>
  <si>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</si>
  <si>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</si>
  <si>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</si>
  <si>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</si>
  <si>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</si>
  <si>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</si>
  <si>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</si>
  <si>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</si>
  <si>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</si>
  <si>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</si>
  <si>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</si>
  <si>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</si>
  <si>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</si>
  <si>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</si>
  <si>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</si>
  <si>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</si>
  <si>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</si>
  <si>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</si>
  <si>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</si>
  <si>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</si>
  <si>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</si>
  <si>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</si>
  <si>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</si>
  <si>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</si>
  <si>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</si>
  <si>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</si>
  <si>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</si>
  <si>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</si>
  <si>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</si>
  <si>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</si>
  <si>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</si>
  <si>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</si>
  <si>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</si>
  <si>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</si>
  <si>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</si>
  <si>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</si>
  <si>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</si>
  <si>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</si>
  <si>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</si>
  <si>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</si>
  <si>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</si>
  <si>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</si>
  <si>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</si>
  <si>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</si>
  <si>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</si>
  <si>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</si>
  <si>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</si>
  <si>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</si>
  <si>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</si>
  <si>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</si>
  <si>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</si>
  <si>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</si>
  <si>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</si>
  <si>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</si>
  <si>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</si>
  <si>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</si>
  <si>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</si>
  <si>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</si>
  <si>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</si>
  <si>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</si>
  <si>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Solar Tax Credits/ETC</t>
  </si>
  <si>
    <t>Enter the Amount of the Solar Tax Credit</t>
  </si>
  <si>
    <t>45L Energy Efficiency Home Credit</t>
  </si>
  <si>
    <t>Enter the Amount of the 45L EEH Credit</t>
  </si>
  <si>
    <t>Investment Tax Credit (ITC)</t>
  </si>
  <si>
    <t>Enter the Amount of the ITC</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</si>
  <si>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</si>
  <si>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</si>
  <si>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</si>
  <si>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</si>
  <si>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</si>
  <si>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</si>
  <si>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</si>
  <si>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</si>
  <si>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</si>
  <si>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</si>
  <si>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</si>
  <si>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</si>
  <si>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</si>
  <si>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</si>
  <si>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</si>
  <si>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</si>
  <si>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</si>
  <si>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Targeting of Units</t>
  </si>
  <si>
    <t>Number of Units (must equal total units)</t>
  </si>
  <si>
    <t>Assisted Living</t>
  </si>
  <si>
    <t>Special Populations</t>
  </si>
  <si>
    <t>Family</t>
  </si>
  <si>
    <t>Homeless (not PSH)</t>
  </si>
  <si>
    <t>Older Adult</t>
  </si>
  <si>
    <t>Veterans</t>
  </si>
  <si>
    <t xml:space="preserve">Permanent Supportive Housing </t>
  </si>
  <si>
    <t>For Projects with both New Construction and Acq/Rehab or Rehab</t>
  </si>
  <si>
    <t>New Construction</t>
  </si>
  <si>
    <t>Acq/Rehab or Rehab</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</si>
  <si>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</si>
  <si>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</si>
  <si>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</si>
  <si>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</si>
  <si>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</si>
  <si>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</si>
  <si>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</si>
  <si>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</si>
  <si>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</si>
  <si>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</si>
  <si>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</si>
  <si>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</si>
  <si>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</si>
  <si>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</si>
  <si>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</si>
  <si>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</si>
  <si>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</si>
  <si>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</si>
  <si>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</si>
  <si>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</si>
  <si>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</si>
  <si>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</si>
  <si>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</si>
  <si>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</si>
  <si>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</si>
  <si>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</si>
  <si>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</si>
  <si>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</si>
  <si>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</si>
  <si>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</si>
  <si>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</si>
  <si>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</si>
  <si>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</si>
  <si>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</si>
  <si>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</si>
  <si>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</si>
  <si>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</si>
  <si>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</si>
  <si>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</si>
  <si>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</si>
  <si>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</si>
  <si>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</si>
  <si>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</si>
  <si>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</si>
  <si>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</si>
  <si>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</si>
  <si>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</si>
  <si>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</si>
  <si>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</si>
  <si>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</si>
  <si>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</si>
  <si>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</si>
  <si>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</si>
  <si>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</si>
  <si>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</si>
  <si>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</si>
  <si>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</si>
  <si>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</si>
  <si>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</si>
  <si>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</si>
  <si>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Residential Grants</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</si>
  <si>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</si>
  <si>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</si>
  <si>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</si>
  <si>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</si>
  <si>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</si>
  <si>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</si>
  <si>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</si>
  <si>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</si>
  <si>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</si>
  <si>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</si>
  <si>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</si>
  <si>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</si>
  <si>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</si>
  <si>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</si>
  <si>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</si>
  <si>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</si>
  <si>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</si>
  <si>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</si>
  <si>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</si>
  <si>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</si>
  <si>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</si>
  <si>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</si>
  <si>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</si>
  <si>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</si>
  <si>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</si>
  <si>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</si>
  <si>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</si>
  <si>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</si>
  <si>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</si>
  <si>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</si>
  <si>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</si>
  <si>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</si>
  <si>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</si>
  <si>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 (CSF, storage, garage(s))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</si>
  <si>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</si>
  <si>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</si>
  <si>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</si>
  <si>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</si>
  <si>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</si>
  <si>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</si>
  <si>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</si>
  <si>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</si>
  <si>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</si>
  <si>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</si>
  <si>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</si>
  <si>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</si>
  <si>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</si>
  <si>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</si>
  <si>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</si>
  <si>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</si>
  <si>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</si>
  <si>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</si>
  <si>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</si>
  <si>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</si>
  <si>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</si>
  <si>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</si>
  <si>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</si>
  <si>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</si>
  <si>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</si>
  <si>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</si>
  <si>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</si>
  <si>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</si>
  <si>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</si>
  <si>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</si>
  <si>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</si>
  <si>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</si>
  <si>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</si>
  <si>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</si>
  <si>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Bond Issuance Costs amortized during construction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</si>
  <si>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</si>
  <si>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</si>
  <si>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</si>
  <si>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</si>
  <si>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</si>
  <si>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</si>
  <si>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</si>
  <si>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</si>
  <si>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</si>
  <si>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</si>
  <si>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</si>
  <si>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</si>
  <si>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</si>
  <si>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</si>
  <si>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</si>
  <si>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</si>
  <si>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</si>
  <si>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</si>
  <si>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</si>
  <si>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</si>
  <si>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</si>
  <si>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</si>
  <si>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</si>
  <si>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</si>
  <si>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</si>
  <si>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</si>
  <si>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</si>
  <si>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</si>
  <si>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</si>
  <si>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</si>
  <si>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</si>
  <si>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</si>
  <si>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</si>
  <si>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</si>
  <si>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</si>
  <si>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</si>
  <si>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</si>
  <si>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</si>
  <si>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</si>
  <si>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</si>
  <si>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</si>
  <si>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</si>
  <si>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</si>
  <si>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</si>
  <si>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</si>
  <si>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</si>
  <si>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</si>
  <si>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Accessory Structures</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</si>
  <si>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</si>
  <si>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</si>
  <si>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</si>
  <si>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</si>
  <si>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</si>
  <si>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</si>
  <si>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</si>
  <si>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</si>
  <si>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</si>
  <si>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</si>
  <si>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</si>
  <si>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</si>
  <si>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</si>
  <si>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</si>
  <si>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</si>
  <si>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</si>
  <si>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</si>
  <si>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</si>
  <si>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</si>
  <si>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</si>
  <si>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</si>
  <si>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Waiver: 15 year = 30 points, 25 year = 38 points</t>
  </si>
  <si>
    <t>Community Revitalization Plan (See Section 5.A.4. of the Allocation Plan for CHFA requirements under this Criteria.)</t>
  </si>
  <si>
    <t>Development is located in a qualified census tract, the development of which contributes to a concerted Community Revitalization Plan. (A community revitalization plan is defined in Section 5.A.4. of the Allocation Plan for CHFA requirements under this Criteria)</t>
  </si>
  <si>
    <t>Yes = 1 point</t>
  </si>
  <si>
    <t xml:space="preserve">Note: Additional points will be awarded for "Score related to Household Percentage below 51% AMI with Housing Problems" (refer to C1 Table) and "Score related to the number of All Households with Housing Problems"  (refer to C2 Table). To view points awarded for each please see Tax Credit Details sheet. </t>
  </si>
  <si>
    <t>Section 2: Secondary Selection Criteria (See Section 5.B.2. of the Allocation Plan for CHFA requirements under this Criteria.)</t>
  </si>
  <si>
    <t>Development Location (Please select Option A or B as described below)</t>
  </si>
  <si>
    <r>
      <rPr>
        <b/>
        <u/>
        <sz val="11"/>
        <color theme="1"/>
        <rFont val="Calibri"/>
        <family val="2"/>
        <scheme val="minor"/>
      </rPr>
      <t>OPTION A</t>
    </r>
    <r>
      <rPr>
        <b/>
        <sz val="11"/>
        <color theme="1"/>
        <rFont val="Calibri"/>
        <family val="2"/>
        <scheme val="minor"/>
      </rPr>
      <t>:</t>
    </r>
    <r>
      <rPr>
        <sz val="11"/>
        <color theme="1"/>
        <rFont val="Calibri"/>
        <family val="2"/>
        <scheme val="minor"/>
      </rPr>
      <t xml:space="preserve"> Development is located in a community that has an identified community housing priority; e.g. supports a local, regional or state plan, a neighborhood plan, or some other community-sponsored needs assessment, master plan, etc. Applicant must provide that the project fits into the community's needs and provide evidence, clearly demonstrating the project fits into the community's needs.
</t>
    </r>
    <r>
      <rPr>
        <b/>
        <u/>
        <sz val="11"/>
        <color theme="1"/>
        <rFont val="Calibri"/>
        <family val="2"/>
        <scheme val="minor"/>
      </rPr>
      <t>OPTION B</t>
    </r>
    <r>
      <rPr>
        <b/>
        <sz val="11"/>
        <color theme="1"/>
        <rFont val="Calibri"/>
        <family val="2"/>
        <scheme val="minor"/>
      </rPr>
      <t>:</t>
    </r>
    <r>
      <rPr>
        <sz val="11"/>
        <color theme="1"/>
        <rFont val="Calibri"/>
        <family val="2"/>
        <scheme val="minor"/>
      </rPr>
      <t xml:space="preserve"> To be located at an existing or under construction Transit Oriented Design (TOD) site, which is defined as a site which is within one half mile walk distance of public transportation such as bus, rail and light rail.</t>
    </r>
  </si>
  <si>
    <t>OPTION A = 5 points, OPTION B = 5 points</t>
  </si>
  <si>
    <t>Development Characteristics</t>
  </si>
  <si>
    <t>Development that provides housing for a mix of incomes by having no more than 80% tax credit-eligible units.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</si>
  <si>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</si>
  <si>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</si>
  <si>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</si>
  <si>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</si>
  <si>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</si>
  <si>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No Smoking Policy. Projects that will institute a no smoking policy for 100% of the project, which includes anywhere inside the building or on the grounds of the property. The policy needs to be provided at time of application.</t>
  </si>
  <si>
    <t>Projects maximizing construction efficiency by utilizing factory-built construction, prefabricated components.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</si>
  <si>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</si>
  <si>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</si>
  <si>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</si>
  <si>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</si>
  <si>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</si>
  <si>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</si>
  <si>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</si>
  <si>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</si>
  <si>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</si>
  <si>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</si>
  <si>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</si>
  <si>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</si>
  <si>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</si>
  <si>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</si>
  <si>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</si>
  <si>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</si>
  <si>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</si>
  <si>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</si>
  <si>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</si>
  <si>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</si>
  <si>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</si>
  <si>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</si>
  <si>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</si>
  <si>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</si>
  <si>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</si>
  <si>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</si>
  <si>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</si>
  <si>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</si>
  <si>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</si>
  <si>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</si>
  <si>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Miscellaneous Monthly 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</si>
  <si>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</si>
  <si>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</si>
  <si>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</si>
  <si>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</si>
  <si>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</si>
  <si>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</si>
  <si>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</si>
  <si>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</si>
  <si>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</si>
  <si>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</si>
  <si>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</si>
  <si>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</si>
  <si>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</si>
  <si>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</si>
  <si>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</si>
  <si>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</si>
  <si>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</si>
  <si>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</si>
  <si>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</si>
  <si>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</si>
  <si>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</si>
  <si>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</si>
  <si>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</si>
  <si>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</si>
  <si>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</si>
  <si>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</si>
  <si>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</si>
  <si>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</si>
  <si>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</si>
  <si>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</si>
  <si>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</si>
  <si>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</si>
  <si>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</si>
  <si>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</si>
  <si>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</si>
  <si>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</si>
  <si>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</si>
  <si>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</si>
  <si>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</si>
  <si>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</si>
  <si>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</si>
  <si>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</si>
  <si>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</si>
  <si>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</si>
  <si>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</si>
  <si>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</si>
  <si>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</si>
  <si>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No</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</si>
  <si>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</si>
  <si>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</si>
  <si>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</si>
  <si>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</si>
  <si>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</si>
  <si>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</si>
  <si>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</si>
  <si>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</si>
  <si>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</si>
  <si>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</si>
  <si>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</si>
  <si>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</si>
  <si>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</si>
  <si>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</si>
  <si>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</si>
  <si>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</si>
  <si>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</si>
  <si>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</si>
  <si>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</si>
  <si>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</si>
  <si>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</si>
  <si>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</si>
  <si>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</si>
  <si>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</si>
  <si>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</si>
  <si>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</si>
  <si>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</si>
  <si>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</si>
  <si>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</si>
  <si>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</si>
  <si>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</si>
  <si>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</si>
  <si>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</si>
  <si>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</si>
  <si>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</si>
  <si>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</si>
  <si>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</si>
  <si>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</si>
  <si>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</si>
  <si>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</si>
  <si>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</si>
  <si>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</si>
  <si>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</si>
  <si>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</si>
  <si>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</si>
  <si>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</si>
  <si>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</si>
  <si>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</si>
  <si>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</si>
  <si>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</si>
  <si>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</si>
  <si>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</si>
  <si>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</si>
  <si>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</si>
  <si>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</si>
  <si>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</si>
  <si>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</si>
  <si>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</si>
  <si>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</si>
  <si>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</si>
  <si>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</si>
  <si>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</si>
  <si>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</si>
  <si>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</si>
  <si>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</si>
  <si>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</si>
  <si>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</si>
  <si>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</si>
  <si>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</si>
  <si>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</si>
  <si>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</si>
  <si>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</si>
  <si>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</si>
  <si>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</si>
  <si>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</si>
  <si>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</si>
  <si>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</si>
  <si>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</si>
  <si>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</si>
  <si>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</si>
  <si>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Accessible Units</t>
  </si>
  <si>
    <t>Number of Type A units</t>
  </si>
  <si>
    <t>Number of Type B units</t>
  </si>
  <si>
    <t>No more than 1 occupant per unit unless related</t>
  </si>
  <si>
    <t>Rent charged per household composition</t>
  </si>
  <si>
    <t>Rent charged per bed</t>
  </si>
  <si>
    <t>Additional fees for services charged to tenant in addition to monthly rent</t>
  </si>
  <si>
    <t>If yes, list fees</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</si>
  <si>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</si>
  <si>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</si>
  <si>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</si>
  <si>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</si>
  <si>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</si>
  <si>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</si>
  <si>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</si>
  <si>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</si>
  <si>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</si>
  <si>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</si>
  <si>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</si>
  <si>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</si>
  <si>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</si>
  <si>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</si>
  <si>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</si>
  <si>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</si>
  <si>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</si>
  <si>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</si>
  <si>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</si>
  <si>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</si>
  <si>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</si>
  <si>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</si>
  <si>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</si>
  <si>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</si>
  <si>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</si>
  <si>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</si>
  <si>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</si>
  <si>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</si>
  <si>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</si>
  <si>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</si>
  <si>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</si>
  <si>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</si>
  <si>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</si>
  <si>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</si>
  <si>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</si>
  <si>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</si>
  <si>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</si>
  <si>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</si>
  <si>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</si>
  <si>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</si>
  <si>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</si>
  <si>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</si>
  <si>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</si>
  <si>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</si>
  <si>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</si>
  <si>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</si>
  <si>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</si>
  <si>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</si>
  <si>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</si>
  <si>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</si>
  <si>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</si>
  <si>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</si>
  <si>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</si>
  <si>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</si>
  <si>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</si>
  <si>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</si>
  <si>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</si>
  <si>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</si>
  <si>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</si>
  <si>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</si>
  <si>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</si>
  <si>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</si>
  <si>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</si>
  <si>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</si>
  <si>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</si>
  <si>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</si>
  <si>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</si>
  <si>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</si>
  <si>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</si>
  <si>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</si>
  <si>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</si>
  <si>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</si>
  <si>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</si>
  <si>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</si>
  <si>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</si>
  <si>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</si>
  <si>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</si>
  <si>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</si>
  <si>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</si>
  <si>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</si>
  <si>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</si>
  <si>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</si>
  <si>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</si>
  <si>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Complete at Final only</t>
  </si>
  <si>
    <t>BIN Number</t>
  </si>
  <si>
    <t>Building Street Address Only 
(DO NOT ENTER CITY, STATE, OR ZIP)</t>
  </si>
  <si>
    <t>Total Units in Building*</t>
  </si>
  <si>
    <t>Employee Units</t>
  </si>
  <si>
    <t>Low-Income Units</t>
  </si>
  <si>
    <t>Residential Square Footage**</t>
  </si>
  <si>
    <t>Square Footage of Employee Units</t>
  </si>
  <si>
    <t>Square Footage of Low-Income Units</t>
  </si>
  <si>
    <t>Placed-In-Service Date</t>
  </si>
  <si>
    <t>New Construction/ Rehab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</si>
  <si>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</si>
  <si>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</si>
  <si>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</si>
  <si>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</si>
  <si>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</si>
  <si>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</si>
  <si>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</si>
  <si>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</si>
  <si>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</si>
  <si>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</si>
  <si>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</si>
  <si>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</si>
  <si>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</si>
  <si>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</si>
  <si>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</si>
  <si>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</si>
  <si>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</si>
  <si>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</si>
  <si>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</si>
  <si>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</si>
  <si>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 xml:space="preserve">ROW OF ORG NAME + </t>
  </si>
  <si>
    <t xml:space="preserve">THIS IS THE ORG NAME </t>
  </si>
  <si>
    <t>Applicant Contact to be Published</t>
  </si>
  <si>
    <t xml:space="preserve">Applicant </t>
  </si>
  <si>
    <t>Developer (if different from Applicant)</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</si>
  <si>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</si>
  <si>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</si>
  <si>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</si>
  <si>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</si>
  <si>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</si>
  <si>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</si>
  <si>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</si>
  <si>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</si>
  <si>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</si>
  <si>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</si>
  <si>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</si>
  <si>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</si>
  <si>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</si>
  <si>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</si>
  <si>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</si>
  <si>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</si>
  <si>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</si>
  <si>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</si>
  <si>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</si>
  <si>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</si>
  <si>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</si>
  <si>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</si>
  <si>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</si>
  <si>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</si>
  <si>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</si>
  <si>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</si>
  <si>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</si>
  <si>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</si>
  <si>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</si>
  <si>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Property Information</t>
  </si>
  <si>
    <t>Number of Parking Spaces:</t>
  </si>
  <si>
    <t>Parking Ratio:</t>
  </si>
  <si>
    <t>Scoring Details</t>
  </si>
  <si>
    <t>Primary Selection Criteria</t>
  </si>
  <si>
    <t>% of Median Income</t>
  </si>
  <si>
    <t># of Rent Restricted Units</t>
  </si>
  <si>
    <t>% of Rent Restricted Units</t>
  </si>
  <si>
    <t>Weight</t>
  </si>
  <si>
    <t>Points</t>
  </si>
  <si>
    <t>70% and 80% units only eligible for credits when Average Income is selected</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</si>
  <si>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</si>
  <si>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</si>
  <si>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</si>
  <si>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</si>
  <si>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</si>
  <si>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</si>
  <si>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</si>
  <si>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</si>
  <si>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</si>
  <si>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</si>
  <si>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</si>
  <si>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</si>
  <si>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</si>
  <si>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</si>
  <si>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</si>
  <si>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</si>
  <si>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</si>
  <si>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Eligible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</si>
  <si>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</si>
  <si>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</si>
  <si>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</si>
  <si>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</si>
  <si>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</si>
  <si>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</si>
  <si>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</si>
  <si>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</si>
  <si>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</si>
  <si>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</si>
  <si>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</si>
  <si>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</si>
  <si>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</si>
  <si>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</si>
  <si>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</si>
  <si>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</si>
  <si>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</si>
  <si>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</si>
  <si>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</si>
  <si>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</si>
  <si>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</si>
  <si>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</si>
  <si>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</si>
  <si>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</si>
  <si>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</si>
  <si>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</si>
  <si>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Assisted Elderly (Only)</t>
  </si>
  <si>
    <t>Special Population</t>
  </si>
  <si>
    <t>Homeless</t>
  </si>
  <si>
    <t>Permanent Supportive Housing (PSH)</t>
  </si>
  <si>
    <t>Total Units</t>
  </si>
  <si>
    <t>Application Fee</t>
  </si>
  <si>
    <t>all fees are non-refundable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</si>
  <si>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</si>
  <si>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</si>
  <si>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</si>
  <si>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</si>
  <si>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</si>
  <si>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</si>
  <si>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</si>
  <si>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</si>
  <si>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</si>
  <si>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</si>
  <si>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</si>
  <si>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</si>
  <si>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</si>
  <si>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</si>
  <si>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</si>
  <si>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</si>
  <si>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</si>
  <si>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</si>
  <si>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</si>
  <si>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</si>
  <si>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PAB 50% Test (Aggregate Basis)</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</si>
  <si>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</si>
  <si>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</si>
  <si>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</si>
  <si>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</si>
  <si>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</si>
  <si>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</si>
  <si>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</si>
  <si>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</si>
  <si>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</si>
  <si>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</si>
  <si>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 of CHFA Designated DDA Boost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</si>
  <si>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</si>
  <si>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</si>
  <si>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</si>
  <si>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</si>
  <si>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</si>
  <si>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</si>
  <si>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</si>
  <si>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</si>
  <si>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</si>
  <si>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</si>
  <si>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</si>
  <si>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State TC Equity</t>
  </si>
  <si>
    <t>Federal Tax Credit Equity</t>
  </si>
  <si>
    <t>Federal TC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</si>
  <si>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</si>
  <si>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</si>
  <si>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</si>
  <si>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</si>
  <si>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</si>
  <si>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</si>
  <si>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</si>
  <si>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</si>
  <si>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</si>
  <si>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</si>
  <si>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</si>
  <si>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</si>
  <si>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</si>
  <si>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</si>
  <si>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</si>
  <si>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</si>
  <si>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</si>
  <si>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</si>
  <si>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</si>
  <si>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</si>
  <si>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</si>
  <si>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</si>
  <si>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</si>
  <si>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</si>
  <si>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</si>
  <si>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</si>
  <si>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</si>
  <si>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</si>
  <si>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</si>
  <si>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</si>
  <si>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</si>
  <si>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</si>
  <si>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</si>
  <si>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</si>
  <si>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</si>
  <si>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</si>
  <si>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</si>
  <si>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</si>
  <si>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</si>
  <si>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</si>
  <si>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</si>
  <si>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</si>
  <si>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</si>
  <si>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</si>
  <si>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</si>
  <si>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</si>
  <si>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</si>
  <si>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</si>
  <si>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</si>
  <si>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</si>
  <si>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</si>
  <si>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</si>
  <si>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</si>
  <si>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</si>
  <si>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</si>
  <si>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</si>
  <si>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</si>
  <si>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</si>
  <si>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</si>
  <si>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</si>
  <si>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</si>
  <si>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</si>
  <si>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</si>
  <si>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</si>
  <si>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</si>
  <si>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</si>
  <si>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</si>
  <si>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</si>
  <si>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</si>
  <si>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</si>
  <si>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</si>
  <si>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</si>
  <si>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</si>
  <si>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</si>
  <si>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</si>
  <si>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</si>
  <si>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</si>
  <si>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</si>
  <si>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Note: 70% and 80% units only eligible for credits when Average Income is selected.</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</si>
  <si>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</si>
  <si>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</si>
  <si>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</si>
  <si>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</si>
  <si>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</si>
  <si>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</si>
  <si>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</si>
  <si>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</si>
  <si>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</si>
  <si>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Housing Development &amp; Preservation Application Spreadsheet</t>
  </si>
  <si>
    <t>Development Costs</t>
  </si>
  <si>
    <t>Project Name:</t>
  </si>
  <si>
    <t>Date:</t>
  </si>
  <si>
    <t>Applicant:</t>
  </si>
  <si>
    <t>Spreadsheet Version:</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</si>
  <si>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</si>
  <si>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</si>
  <si>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</si>
  <si>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</si>
  <si>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</si>
  <si>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</si>
  <si>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</si>
  <si>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</si>
  <si>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</si>
  <si>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</si>
  <si>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</si>
  <si>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</si>
  <si>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</si>
  <si>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</si>
  <si>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</si>
  <si>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</si>
  <si>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 of construction</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</si>
  <si>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</si>
  <si>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</si>
  <si>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</si>
  <si>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</si>
  <si>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</si>
  <si>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</si>
  <si>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</si>
  <si>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</si>
  <si>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</si>
  <si>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</si>
  <si>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</si>
  <si>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</si>
  <si>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</si>
  <si>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</si>
  <si>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</si>
  <si>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</si>
  <si>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</si>
  <si>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</si>
  <si>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</si>
  <si>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</si>
  <si>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</si>
  <si>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</si>
  <si>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</si>
  <si>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</si>
  <si>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</si>
  <si>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</si>
  <si>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</si>
  <si>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</si>
  <si>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</si>
  <si>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</si>
  <si>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</si>
  <si>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</si>
  <si>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PSH Developer Fee Boost</t>
  </si>
  <si>
    <t>(up to 5%, LIHTC only)</t>
  </si>
  <si>
    <t>Third Party Development/Management/Owners Rep</t>
  </si>
  <si>
    <t>Consultants</t>
  </si>
  <si>
    <t>SUBTOTAL (i.e. - maximum developer fee)</t>
  </si>
  <si>
    <t>% of Total (less Dev. Fee, Reserves and acquisition)</t>
  </si>
  <si>
    <t>RESERVES</t>
  </si>
  <si>
    <t>Operating Reserve</t>
  </si>
  <si>
    <t>Months of expenses &amp; debt</t>
  </si>
  <si>
    <t>Debt Service Reserve</t>
  </si>
  <si>
    <t>Months of debt</t>
  </si>
  <si>
    <t>Lease-up Reserve</t>
  </si>
  <si>
    <t>Replacement Reserve</t>
  </si>
  <si>
    <t>TOTAL DEVELOPMENT EXPENSES</t>
  </si>
  <si>
    <t>per unit</t>
  </si>
  <si>
    <t>per SF</t>
  </si>
  <si>
    <t>Hard Costs</t>
  </si>
  <si>
    <t>*costs included in hard cost evaluation.</t>
  </si>
  <si>
    <t>Housing Development &amp; Preservation Application</t>
  </si>
  <si>
    <t>Income + Expenses</t>
  </si>
  <si>
    <t>STABILIZED FIRST YEAR INCOME</t>
  </si>
  <si>
    <t>EXPENSES</t>
  </si>
  <si>
    <t xml:space="preserve"> Type of Unit (Bd/Bath)</t>
  </si>
  <si>
    <t>Income Level (% AMI)</t>
  </si>
  <si>
    <t># of units</t>
  </si>
  <si>
    <t>Unit Size (Sq. Ft.)</t>
  </si>
  <si>
    <t>Monthly Rent</t>
  </si>
  <si>
    <t>Total Annual Rent</t>
  </si>
  <si>
    <t>Max Rent (DOH Specific)</t>
  </si>
  <si>
    <t>Administrative Expenses</t>
  </si>
  <si>
    <t>Management Fee</t>
  </si>
  <si>
    <t>Salaries</t>
  </si>
  <si>
    <t># FTE</t>
  </si>
  <si>
    <t>Benefits</t>
  </si>
  <si>
    <t>Audit</t>
  </si>
  <si>
    <t>Other (Misc expenses: contingency)</t>
  </si>
  <si>
    <t>Total Administrative</t>
  </si>
  <si>
    <t>Operating Expenses</t>
  </si>
  <si>
    <t>PUPM Utilities:</t>
  </si>
  <si>
    <t>Trash Removal</t>
  </si>
  <si>
    <t>Resident Transportation</t>
  </si>
  <si>
    <t>Wifi</t>
  </si>
  <si>
    <t>Total Operating</t>
  </si>
  <si>
    <t>Maintenance Expenses</t>
  </si>
  <si>
    <t>Maint. Salaries</t>
  </si>
  <si>
    <t>Maint. Contracts</t>
  </si>
  <si>
    <t>Total units:</t>
  </si>
  <si>
    <t>Total Rent Income</t>
  </si>
  <si>
    <t>Total rental sq ft:</t>
  </si>
  <si>
    <t>Ave. Affordability (% AMI):</t>
  </si>
  <si>
    <t>Parking Income</t>
  </si>
  <si>
    <t>Units at or Below 60% AMI:</t>
  </si>
  <si>
    <t>Laundry Income</t>
  </si>
  <si>
    <t xml:space="preserve">  </t>
  </si>
  <si>
    <t>Vending, Application, Late Fees</t>
  </si>
  <si>
    <t>Total Income</t>
  </si>
  <si>
    <t>Vac. Rate</t>
  </si>
  <si>
    <t>Less Vacancy</t>
  </si>
  <si>
    <t>Total Maintenance</t>
  </si>
  <si>
    <t>Effective Gross Income</t>
  </si>
  <si>
    <t>Other Expenses</t>
  </si>
  <si>
    <t>DEBT SERVICE</t>
  </si>
  <si>
    <t>1st Mortgage</t>
  </si>
  <si>
    <t>Property Insurance</t>
  </si>
  <si>
    <t>2nd Mortgage</t>
  </si>
  <si>
    <t>unit avg.=</t>
  </si>
  <si>
    <t>3rd Mortgage</t>
  </si>
  <si>
    <t>TOTAL DEBT SERVICE</t>
  </si>
  <si>
    <t>Total Other</t>
  </si>
  <si>
    <t>Break Even Point</t>
  </si>
  <si>
    <t>Poss D/S @ 1.15 DCR</t>
  </si>
  <si>
    <t>TOTAL ANNUAL EXPENSES</t>
  </si>
  <si>
    <t>'(Annual Ex.w/out RR)</t>
  </si>
  <si>
    <t>Project Debt Coverage Ratio</t>
  </si>
  <si>
    <t>NET OPERATING INCOME</t>
  </si>
  <si>
    <t>P.U.P.A. Expenses*</t>
  </si>
  <si>
    <t>Exp Ratio</t>
  </si>
  <si>
    <t xml:space="preserve">     *P.U.P.A = Per Unit Per Annum Expenses</t>
  </si>
  <si>
    <t>Tenant Paid Utilities:</t>
  </si>
  <si>
    <t>Owner Paid Utilities:</t>
  </si>
  <si>
    <t>Utility Allowances:</t>
  </si>
  <si>
    <t>0 Bed*</t>
  </si>
  <si>
    <t>1 Bed*</t>
  </si>
  <si>
    <t>2 Bed*</t>
  </si>
  <si>
    <t>3 Bed*</t>
  </si>
  <si>
    <t>4 Bed*</t>
  </si>
  <si>
    <t>Permanent Financing Sources</t>
  </si>
  <si>
    <t>Total Development Costs (from Dev. Budget tab):</t>
  </si>
  <si>
    <t>Select</t>
  </si>
  <si>
    <t>SOURCES OF FUNDS</t>
  </si>
  <si>
    <t>Types of Loans:</t>
  </si>
  <si>
    <t>Conventional</t>
  </si>
  <si>
    <t>HARD DEBT</t>
  </si>
  <si>
    <t>FIRST MORTGAGE</t>
  </si>
  <si>
    <t>Tax-Exempt</t>
  </si>
  <si>
    <t>Lender</t>
  </si>
  <si>
    <t>Federal Financing</t>
  </si>
  <si>
    <t>Type of Loan</t>
  </si>
  <si>
    <t>Select Grant or Loan</t>
  </si>
  <si>
    <t>Principal</t>
  </si>
  <si>
    <t>Grant</t>
  </si>
  <si>
    <t>Loan</t>
  </si>
  <si>
    <t>Term (#Years)</t>
  </si>
  <si>
    <t>Amortization</t>
  </si>
  <si>
    <t>Annual Payment</t>
  </si>
  <si>
    <t>DCR</t>
  </si>
  <si>
    <t>SECOND MORTGAGE</t>
  </si>
  <si>
    <t>THIRD MORTGAGE</t>
  </si>
  <si>
    <t>TC EQUITY</t>
  </si>
  <si>
    <t>TAX CREDIT EQUITY</t>
  </si>
  <si>
    <t>9% LIHTC Proceeds</t>
  </si>
  <si>
    <t>4% LIHTC Proceeds</t>
  </si>
  <si>
    <t>State AHTC Proceeds</t>
  </si>
  <si>
    <t>Historic Tax Credits (Fed. or State)</t>
  </si>
  <si>
    <r>
      <rPr>
        <sz val="12"/>
        <color rgb="FF0000FF"/>
        <rFont val="Arial"/>
        <family val="2"/>
      </rPr>
      <t>Other Tax Credits (</t>
    </r>
    <r>
      <rPr>
        <i/>
        <sz val="12"/>
        <color rgb="FF0000FF"/>
        <rFont val="Arial"/>
        <family val="2"/>
      </rPr>
      <t>describe)</t>
    </r>
  </si>
  <si>
    <t>GRANTS / SOFT DEBT</t>
  </si>
  <si>
    <t>GOVERNMENT GRANTS AND SOFT DEBT</t>
  </si>
  <si>
    <t>DOH Grant/Loan</t>
  </si>
  <si>
    <r>
      <rPr>
        <sz val="12"/>
        <color rgb="FF0000FF"/>
        <rFont val="Arial"/>
        <family val="2"/>
      </rPr>
      <t>Other Grants/Loans (</t>
    </r>
    <r>
      <rPr>
        <i/>
        <sz val="12"/>
        <color rgb="FF0000FF"/>
        <rFont val="Arial"/>
        <family val="2"/>
      </rPr>
      <t>describe)</t>
    </r>
  </si>
  <si>
    <t>OTHER GRANTS (NON-GOVERNMENTAL)</t>
  </si>
  <si>
    <r>
      <rPr>
        <sz val="12"/>
        <color rgb="FF0000FF"/>
        <rFont val="Arial"/>
        <family val="2"/>
      </rPr>
      <t>Other Grants (</t>
    </r>
    <r>
      <rPr>
        <i/>
        <sz val="12"/>
        <color rgb="FF0000FF"/>
        <rFont val="Arial"/>
        <family val="2"/>
      </rPr>
      <t>describe)</t>
    </r>
  </si>
  <si>
    <t>OWNER</t>
  </si>
  <si>
    <t>OWNER EQUITY</t>
  </si>
  <si>
    <t>Deferred Dev. Fee</t>
  </si>
  <si>
    <r>
      <rPr>
        <sz val="12"/>
        <color rgb="FF0000FF"/>
        <rFont val="Arial"/>
        <family val="2"/>
      </rPr>
      <t>Other Owner Equity (</t>
    </r>
    <r>
      <rPr>
        <i/>
        <sz val="12"/>
        <color rgb="FF0000FF"/>
        <rFont val="Arial"/>
        <family val="2"/>
      </rPr>
      <t>describe)</t>
    </r>
  </si>
  <si>
    <t>TOTAL SOURCES</t>
  </si>
  <si>
    <t>GAP (SURPLUS)</t>
  </si>
  <si>
    <t>Poss Debt Service @ 1.15 DCR</t>
  </si>
  <si>
    <t>Debt Coverage Ratio</t>
  </si>
  <si>
    <t>Max Loan Amount @ 1.15 DCR</t>
  </si>
  <si>
    <t>COLORADO HOUSING AND FINANCE AUTHORITY</t>
  </si>
  <si>
    <t>2024 Income Limit and Maximum Rent Tables for all Colorado Counties</t>
  </si>
  <si>
    <t>20% to 120% of Area Median Income (AMI)</t>
  </si>
  <si>
    <t>Note: These Limits Are Used for Low-Income Housing Tax Credit</t>
  </si>
  <si>
    <t>and CHFA Rental Programs Only</t>
  </si>
  <si>
    <t>HUD Effective Date: April 1, 2024</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</si>
  <si>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</si>
  <si>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</si>
  <si>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</si>
  <si>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</si>
  <si>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</si>
  <si>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</si>
  <si>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</si>
  <si>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</si>
  <si>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</si>
  <si>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</si>
  <si>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</si>
  <si>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</si>
  <si>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</si>
  <si>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</si>
  <si>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</si>
  <si>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</si>
  <si>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</si>
  <si>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</si>
  <si>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</si>
  <si>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</si>
  <si>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</si>
  <si>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</si>
  <si>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</si>
  <si>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</si>
  <si>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</si>
  <si>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</si>
  <si>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</si>
  <si>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</si>
  <si>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</si>
  <si>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</si>
  <si>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</si>
  <si>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</si>
  <si>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</si>
  <si>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</si>
  <si>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</si>
  <si>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</si>
  <si>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</si>
  <si>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</si>
  <si>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</si>
  <si>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</si>
  <si>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</si>
  <si>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</si>
  <si>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</si>
  <si>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</si>
  <si>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</si>
  <si>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</si>
  <si>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</si>
  <si>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</si>
  <si>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</si>
  <si>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</si>
  <si>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</si>
  <si>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</si>
  <si>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</si>
  <si>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</si>
  <si>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</si>
  <si>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</si>
  <si>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</si>
  <si>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</si>
  <si>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</si>
  <si>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</si>
  <si>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</si>
  <si>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</si>
  <si>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</si>
  <si>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</si>
  <si>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</si>
  <si>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</si>
  <si>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</si>
  <si>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</si>
  <si>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</si>
  <si>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</si>
  <si>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</si>
  <si>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</si>
  <si>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</si>
  <si>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</si>
  <si>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</si>
  <si>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</si>
  <si>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</si>
  <si>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 The IRS allows Housing Tax Credit projects that placed in service as of 12.31.2008 to use higher HERA Special limits. 
- All Housing Tax Credit and CHFA Loan projects are “held harmless” from limit decreases. To be “held harmless,” a project must be in service before 05.16.2024. 
- Housing Tax Credit and CHFA Multifamily Loan projects whose counties experienced a decrease in 2023 limits and that place in service before  05.16.2024 may continue to apply.</t>
  </si>
  <si>
    <t>Final Building Profile Totals</t>
  </si>
  <si>
    <t>VACANCY STRESS TEST / RENT SENSITIVITY ANALYSIS</t>
  </si>
  <si>
    <t>Vacancy Stress Test</t>
  </si>
  <si>
    <t>Gross Rental Income</t>
  </si>
  <si>
    <t>Expenses</t>
  </si>
  <si>
    <t>Net Operating Income</t>
  </si>
  <si>
    <t>Debt Service</t>
  </si>
  <si>
    <t>Net Cash Flow</t>
  </si>
  <si>
    <t>Max Supportable Vacancy</t>
  </si>
  <si>
    <t>Rent Sensitivity Analysis</t>
  </si>
  <si>
    <t>Rental Income Less Vacancy</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</si>
  <si>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</si>
  <si>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</si>
  <si>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</si>
  <si>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</si>
  <si>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</si>
  <si>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</si>
  <si>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</si>
  <si>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</si>
  <si>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</si>
  <si>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</si>
  <si>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</si>
  <si>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</si>
  <si>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</si>
  <si>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</si>
  <si>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</si>
  <si>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</si>
  <si>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</si>
  <si>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</si>
  <si>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</si>
  <si>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</si>
  <si>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</si>
  <si>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</si>
  <si>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</si>
  <si>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</si>
  <si>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</si>
  <si>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</si>
  <si>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</si>
  <si>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</si>
  <si>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</si>
  <si>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</si>
  <si>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</si>
  <si>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</si>
  <si>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</si>
  <si>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</si>
  <si>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</si>
  <si>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</si>
  <si>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</si>
  <si>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</si>
  <si>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</si>
  <si>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</si>
  <si>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</si>
  <si>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</si>
  <si>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</si>
  <si>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</si>
  <si>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</si>
  <si>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</si>
  <si>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</si>
  <si>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</si>
  <si>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</si>
  <si>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</si>
  <si>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</si>
  <si>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</si>
  <si>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</si>
  <si>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</si>
  <si>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</si>
  <si>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</si>
  <si>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</si>
  <si>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</si>
  <si>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</si>
  <si>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</si>
  <si>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</si>
  <si>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</si>
  <si>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</si>
  <si>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</si>
  <si>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</si>
  <si>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</si>
  <si>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</si>
  <si>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</si>
  <si>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</si>
  <si>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</si>
  <si>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</si>
  <si>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</si>
  <si>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</si>
  <si>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</si>
  <si>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</si>
  <si>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</si>
  <si>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</si>
  <si>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</si>
  <si>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</si>
  <si>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</si>
  <si>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</si>
  <si>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</si>
  <si>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</si>
  <si>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</si>
  <si>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</si>
  <si>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</si>
  <si>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</si>
  <si>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</si>
  <si>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</si>
  <si>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</si>
  <si>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</si>
  <si>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</si>
  <si>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</si>
  <si>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</si>
  <si>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</si>
  <si>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</si>
  <si>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</si>
  <si>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</si>
  <si>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</si>
  <si>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</si>
  <si>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</si>
  <si>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</si>
  <si>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</si>
  <si>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</si>
  <si>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</si>
  <si>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</si>
  <si>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</si>
  <si>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</si>
  <si>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</si>
  <si>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</si>
  <si>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</si>
  <si>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</si>
  <si>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</si>
  <si>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</si>
  <si>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</si>
  <si>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</si>
  <si>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</si>
  <si>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</si>
  <si>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</si>
  <si>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</si>
  <si>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</si>
  <si>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</si>
  <si>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</si>
  <si>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</si>
  <si>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</si>
  <si>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</si>
  <si>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</si>
  <si>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</si>
  <si>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</si>
  <si>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</si>
  <si>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</si>
  <si>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</si>
  <si>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</si>
  <si>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</si>
  <si>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</si>
  <si>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</si>
  <si>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</si>
  <si>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</si>
  <si>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</si>
  <si>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</si>
  <si>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</si>
  <si>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</si>
  <si>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</si>
  <si>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</si>
  <si>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</si>
  <si>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</si>
  <si>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</si>
  <si>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</si>
  <si>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</si>
  <si>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</si>
  <si>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</si>
  <si>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</si>
  <si>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</si>
  <si>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</si>
  <si>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</si>
  <si>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</si>
  <si>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</si>
  <si>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</si>
  <si>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</si>
  <si>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</si>
  <si>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</si>
  <si>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</si>
  <si>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</si>
  <si>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</si>
  <si>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</si>
  <si>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</si>
  <si>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</si>
  <si>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</si>
  <si>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</si>
  <si>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</si>
  <si>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</si>
  <si>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</si>
  <si>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</si>
  <si>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</si>
  <si>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</si>
  <si>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</si>
  <si>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</si>
  <si>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</si>
  <si>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</si>
  <si>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</si>
  <si>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</si>
  <si>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</si>
  <si>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</si>
  <si>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</si>
  <si>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</si>
  <si>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</si>
  <si>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</si>
  <si>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</si>
  <si>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</si>
  <si>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</si>
  <si>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</si>
  <si>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</si>
  <si>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</si>
  <si>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</si>
  <si>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</si>
  <si>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</si>
  <si>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</si>
  <si>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</si>
  <si>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</si>
  <si>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</si>
  <si>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</si>
  <si>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</si>
  <si>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</si>
  <si>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</si>
  <si>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</si>
  <si>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</si>
  <si>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</si>
  <si>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</si>
  <si>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</si>
  <si>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</si>
  <si>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</si>
  <si>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</si>
  <si>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</si>
  <si>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</si>
  <si>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</si>
  <si>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</si>
  <si>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</si>
  <si>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</si>
  <si>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</si>
  <si>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</si>
  <si>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</si>
  <si>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</si>
  <si>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</si>
  <si>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</si>
  <si>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</si>
  <si>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</si>
  <si>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</si>
  <si>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</si>
  <si>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</si>
  <si>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</si>
  <si>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</si>
  <si>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</si>
  <si>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</si>
  <si>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</si>
  <si>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</si>
  <si>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</si>
  <si>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</si>
  <si>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</si>
  <si>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</si>
  <si>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</si>
  <si>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</si>
  <si>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</si>
  <si>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</si>
  <si>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</si>
  <si>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</si>
  <si>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</si>
  <si>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</si>
  <si>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</si>
  <si>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</si>
  <si>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</si>
  <si>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</si>
  <si>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</si>
  <si>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</si>
  <si>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</si>
  <si>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</si>
  <si>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</si>
  <si>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</si>
  <si>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</si>
  <si>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</si>
  <si>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</si>
  <si>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</si>
  <si>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</si>
  <si>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</si>
  <si>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</si>
  <si>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</si>
  <si>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</si>
  <si>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</si>
  <si>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</si>
  <si>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</si>
  <si>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</si>
  <si>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</si>
  <si>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</si>
  <si>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</si>
  <si>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</si>
  <si>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</si>
  <si>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</si>
  <si>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</si>
  <si>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</si>
  <si>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</si>
  <si>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</si>
  <si>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</si>
  <si>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</si>
  <si>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</si>
  <si>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</si>
  <si>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</si>
  <si>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</si>
  <si>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</si>
  <si>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</si>
  <si>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</si>
  <si>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</si>
  <si>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</si>
  <si>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</si>
  <si>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</si>
  <si>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</si>
  <si>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</si>
  <si>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</si>
  <si>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</si>
  <si>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</si>
  <si>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</si>
  <si>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</si>
  <si>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</si>
  <si>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</si>
  <si>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</si>
  <si>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</si>
  <si>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</si>
  <si>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</si>
  <si>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</si>
  <si>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</si>
  <si>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</si>
  <si>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</si>
  <si>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</si>
  <si>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</si>
  <si>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</si>
  <si>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</si>
  <si>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</si>
  <si>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</si>
  <si>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</si>
  <si>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</si>
  <si>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</si>
  <si>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</si>
  <si>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</si>
  <si>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</si>
  <si>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</si>
  <si>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</si>
  <si>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</si>
  <si>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</si>
  <si>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</si>
  <si>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CO</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</si>
  <si>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</si>
  <si>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</si>
  <si>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</si>
  <si>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</si>
  <si>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</si>
  <si>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</si>
  <si>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</si>
  <si>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</si>
  <si>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</si>
  <si>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</si>
  <si>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</si>
  <si>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</si>
  <si>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</si>
  <si>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</si>
  <si>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</si>
  <si>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</si>
  <si>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</si>
  <si>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</si>
  <si>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</si>
  <si>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</si>
  <si>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</si>
  <si>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</si>
  <si>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</si>
  <si>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</si>
  <si>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</si>
  <si>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</si>
  <si>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</si>
  <si>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</si>
  <si>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</si>
  <si>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</si>
  <si>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</si>
  <si>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</si>
  <si>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</si>
  <si>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</si>
  <si>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</si>
  <si>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</si>
  <si>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</si>
  <si>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</si>
  <si>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</si>
  <si>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</si>
  <si>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</si>
  <si>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</si>
  <si>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</si>
  <si>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</si>
  <si>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</si>
  <si>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</si>
  <si>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</si>
  <si>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</si>
  <si>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</si>
  <si>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</si>
  <si>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</si>
  <si>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</si>
  <si>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</si>
  <si>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</si>
  <si>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</si>
  <si>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</si>
  <si>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</si>
  <si>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</si>
  <si>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</si>
  <si>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</si>
  <si>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</si>
  <si>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</si>
  <si>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</si>
  <si>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</si>
  <si>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</si>
  <si>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</si>
  <si>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</si>
  <si>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</si>
  <si>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</si>
  <si>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</si>
  <si>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</si>
  <si>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</si>
  <si>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</si>
  <si>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</si>
  <si>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</si>
  <si>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</si>
  <si>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</si>
  <si>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</si>
  <si>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</si>
  <si>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</si>
  <si>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</si>
  <si>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</si>
  <si>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15</t>
  </si>
  <si>
    <t>=' Development Information'!$P$102</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</si>
  <si>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</si>
  <si>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</si>
  <si>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</si>
  <si>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</si>
  <si>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</si>
  <si>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</si>
  <si>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</si>
  <si>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</si>
  <si>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</si>
  <si>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</si>
  <si>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</si>
  <si>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</si>
  <si>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</si>
  <si>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</si>
  <si>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</si>
  <si>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</si>
  <si>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</si>
  <si>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</si>
  <si>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</si>
  <si>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</si>
  <si>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</si>
  <si>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</si>
  <si>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</si>
  <si>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</si>
  <si>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</si>
  <si>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</si>
  <si>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</si>
  <si>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</si>
  <si>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</si>
  <si>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</si>
  <si>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</si>
  <si>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</si>
  <si>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</si>
  <si>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</si>
  <si>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</si>
  <si>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</si>
  <si>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</si>
  <si>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</si>
  <si>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</si>
  <si>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</si>
  <si>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</si>
  <si>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</si>
  <si>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</si>
  <si>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</si>
  <si>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</si>
  <si>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</si>
  <si>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</si>
  <si>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</si>
  <si>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</si>
  <si>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</si>
  <si>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</si>
  <si>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</si>
  <si>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</si>
  <si>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</si>
  <si>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</si>
  <si>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</si>
  <si>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</si>
  <si>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</si>
  <si>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</si>
  <si>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</si>
  <si>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</si>
  <si>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</si>
  <si>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</si>
  <si>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</si>
  <si>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</si>
  <si>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</si>
  <si>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</si>
  <si>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</si>
  <si>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</si>
  <si>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</si>
  <si>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</si>
  <si>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</si>
  <si>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</si>
  <si>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</si>
  <si>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</si>
  <si>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</si>
  <si>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</si>
  <si>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</si>
  <si>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</si>
  <si>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</si>
  <si>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</si>
  <si>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</si>
  <si>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</si>
  <si>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</si>
  <si>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</si>
  <si>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</si>
  <si>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</si>
  <si>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</si>
  <si>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</si>
  <si>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</si>
  <si>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</si>
  <si>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</si>
  <si>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</si>
  <si>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</si>
  <si>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</si>
  <si>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</si>
  <si>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</si>
  <si>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</si>
  <si>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</si>
  <si>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</si>
  <si>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</si>
  <si>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</si>
  <si>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</si>
  <si>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</si>
  <si>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</si>
  <si>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</si>
  <si>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</si>
  <si>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</si>
  <si>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</si>
  <si>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</si>
  <si>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</si>
  <si>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</si>
  <si>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</si>
  <si>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</si>
  <si>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</si>
  <si>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</si>
  <si>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</si>
  <si>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</si>
  <si>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</si>
  <si>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</si>
  <si>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</si>
  <si>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</si>
  <si>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</si>
  <si>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</si>
  <si>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</si>
  <si>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</si>
  <si>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</si>
  <si>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</si>
  <si>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</si>
  <si>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</si>
  <si>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</si>
  <si>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</si>
  <si>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</si>
  <si>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</si>
  <si>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</si>
  <si>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</si>
  <si>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</si>
  <si>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</si>
  <si>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</si>
  <si>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</si>
  <si>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</si>
  <si>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</si>
  <si>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</si>
  <si>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</si>
  <si>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</si>
  <si>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</si>
  <si>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</si>
  <si>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</si>
  <si>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</si>
  <si>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</si>
  <si>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</si>
  <si>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</si>
  <si>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</si>
  <si>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</si>
  <si>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</si>
  <si>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</si>
  <si>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</si>
  <si>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</si>
  <si>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</si>
  <si>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</si>
  <si>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</si>
  <si>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</si>
  <si>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</si>
  <si>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</si>
  <si>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</si>
  <si>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</si>
  <si>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</si>
  <si>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</si>
  <si>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</si>
  <si>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</si>
  <si>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</si>
  <si>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</si>
  <si>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</si>
  <si>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</si>
  <si>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</si>
  <si>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</si>
  <si>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</si>
  <si>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</si>
  <si>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</si>
  <si>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</si>
  <si>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</si>
  <si>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</si>
  <si>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</si>
  <si>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</si>
  <si>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</si>
  <si>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</si>
  <si>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</si>
  <si>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</si>
  <si>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</si>
  <si>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</si>
  <si>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</si>
  <si>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</si>
  <si>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</si>
  <si>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</si>
  <si>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</si>
  <si>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</si>
  <si>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</si>
  <si>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</si>
  <si>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</si>
  <si>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</si>
  <si>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</si>
  <si>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</si>
  <si>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</si>
  <si>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</si>
  <si>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</si>
  <si>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</si>
  <si>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</si>
  <si>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</si>
  <si>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</si>
  <si>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</si>
  <si>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</si>
  <si>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</si>
  <si>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</si>
  <si>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</si>
  <si>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</si>
  <si>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</si>
  <si>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</si>
  <si>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</si>
  <si>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</si>
  <si>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</si>
  <si>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</si>
  <si>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</si>
  <si>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</si>
  <si>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</si>
  <si>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</si>
  <si>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</si>
  <si>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</si>
  <si>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</si>
  <si>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</si>
  <si>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</si>
  <si>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</si>
  <si>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</si>
  <si>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</si>
  <si>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</si>
  <si>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</si>
  <si>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</si>
  <si>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</si>
  <si>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</si>
  <si>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</si>
  <si>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</si>
  <si>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</si>
  <si>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</si>
  <si>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</si>
  <si>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</si>
  <si>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</si>
  <si>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</si>
  <si>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</si>
  <si>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</si>
  <si>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</si>
  <si>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</si>
  <si>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</si>
  <si>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</si>
  <si>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</si>
  <si>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</si>
  <si>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</si>
  <si>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</si>
  <si>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</si>
  <si>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</si>
  <si>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</si>
  <si>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</si>
  <si>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</si>
  <si>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</si>
  <si>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</si>
  <si>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</si>
  <si>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</si>
  <si>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</si>
  <si>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</si>
  <si>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</si>
  <si>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</si>
  <si>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</si>
  <si>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</si>
  <si>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</si>
  <si>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</si>
  <si>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</si>
  <si>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</si>
  <si>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</si>
  <si>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</si>
  <si>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</si>
  <si>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</si>
  <si>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</si>
  <si>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</si>
  <si>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</si>
  <si>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</si>
  <si>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</si>
  <si>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</si>
  <si>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</si>
  <si>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</si>
  <si>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</si>
  <si>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</si>
  <si>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</si>
  <si>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</si>
  <si>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</si>
  <si>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</si>
  <si>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</si>
  <si>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</si>
  <si>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</si>
  <si>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</si>
  <si>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</si>
  <si>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</si>
  <si>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</si>
  <si>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</si>
  <si>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</si>
  <si>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</si>
  <si>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</si>
  <si>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</si>
  <si>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</si>
  <si>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</si>
  <si>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</si>
  <si>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</si>
  <si>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</si>
  <si>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</si>
  <si>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</si>
  <si>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</si>
  <si>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</si>
  <si>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</si>
  <si>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</si>
  <si>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</si>
  <si>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</si>
  <si>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</si>
  <si>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</si>
  <si>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</si>
  <si>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</si>
  <si>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</si>
  <si>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</si>
  <si>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</si>
  <si>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</si>
  <si>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</si>
  <si>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</si>
  <si>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</si>
  <si>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</si>
  <si>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</si>
  <si>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</si>
  <si>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</si>
  <si>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</si>
  <si>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</si>
  <si>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</si>
  <si>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</si>
  <si>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</si>
  <si>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</si>
  <si>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</si>
  <si>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</si>
  <si>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</si>
  <si>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</si>
  <si>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</si>
  <si>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</si>
  <si>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</si>
  <si>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</si>
  <si>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</si>
  <si>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</si>
  <si>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</si>
  <si>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</si>
  <si>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</si>
  <si>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</si>
  <si>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</si>
  <si>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</si>
  <si>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</si>
  <si>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</si>
  <si>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</si>
  <si>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</si>
  <si>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</si>
  <si>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</si>
  <si>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</si>
  <si>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</si>
  <si>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</si>
  <si>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</si>
  <si>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</si>
  <si>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</si>
  <si>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</si>
  <si>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</si>
  <si>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</si>
  <si>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</si>
  <si>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</si>
  <si>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</si>
  <si>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</si>
  <si>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</si>
  <si>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</si>
  <si>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</si>
  <si>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</si>
  <si>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</si>
  <si>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</si>
  <si>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</si>
  <si>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</si>
  <si>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</si>
  <si>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</si>
  <si>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</si>
  <si>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</si>
  <si>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</si>
  <si>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</si>
  <si>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</si>
  <si>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</si>
  <si>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</si>
  <si>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</si>
  <si>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</si>
  <si>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</si>
  <si>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</si>
  <si>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</si>
  <si>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</si>
  <si>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</si>
  <si>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</si>
  <si>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</si>
  <si>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</si>
  <si>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</si>
  <si>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</si>
  <si>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</si>
  <si>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</si>
  <si>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</si>
  <si>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</si>
  <si>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</si>
  <si>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</si>
  <si>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</si>
  <si>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</si>
  <si>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</si>
  <si>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</si>
  <si>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DevCharA</t>
  </si>
  <si>
    <t>=Scoring!$I$62</t>
  </si>
  <si>
    <t>Development Location: OPTION A</t>
  </si>
  <si>
    <t>DevCharB</t>
  </si>
  <si>
    <t>=Scoring!$I$85</t>
  </si>
  <si>
    <t>Development Location: OPTION B</t>
  </si>
  <si>
    <t>DevCharC</t>
  </si>
  <si>
    <t>=Scoring!$I$90</t>
  </si>
  <si>
    <t>Development Characteristics 1</t>
  </si>
  <si>
    <t>DevCharD</t>
  </si>
  <si>
    <t>=Scoring!$I$99</t>
  </si>
  <si>
    <t>Development Characteristics 2</t>
  </si>
  <si>
    <t>DevCharE</t>
  </si>
  <si>
    <t>=Scoring!$I$102</t>
  </si>
  <si>
    <t>Development Characteristics 3</t>
  </si>
  <si>
    <t>DevCharF</t>
  </si>
  <si>
    <t>=Scoring!$I$104</t>
  </si>
  <si>
    <t>Development Characteristics 4</t>
  </si>
  <si>
    <t>DevCharG</t>
  </si>
  <si>
    <t>=Scoring!$I$107</t>
  </si>
  <si>
    <t>Development Characteristics 5</t>
  </si>
  <si>
    <t>DevCharH</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</si>
  <si>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</si>
  <si>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</si>
  <si>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</si>
  <si>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</si>
  <si>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</si>
  <si>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</si>
  <si>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</si>
  <si>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</si>
  <si>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</si>
  <si>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</si>
  <si>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</si>
  <si>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</si>
  <si>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</si>
  <si>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</si>
  <si>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</si>
  <si>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</si>
  <si>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</si>
  <si>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</si>
  <si>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</si>
  <si>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</si>
  <si>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</si>
  <si>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</si>
  <si>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</si>
  <si>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</si>
  <si>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</si>
  <si>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</si>
  <si>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</si>
  <si>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</si>
  <si>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</si>
  <si>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</si>
  <si>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</si>
  <si>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</si>
  <si>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</si>
  <si>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</si>
  <si>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</si>
  <si>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</si>
  <si>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</si>
  <si>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</si>
  <si>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</si>
  <si>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</si>
  <si>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</si>
  <si>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</si>
  <si>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</si>
  <si>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</si>
  <si>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</si>
  <si>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</si>
  <si>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</si>
  <si>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</si>
  <si>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</si>
  <si>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</si>
  <si>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</si>
  <si>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</si>
  <si>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</si>
  <si>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</si>
  <si>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</si>
  <si>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</si>
  <si>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</si>
  <si>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</si>
  <si>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</si>
  <si>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</si>
  <si>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</si>
  <si>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</si>
  <si>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</si>
  <si>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</si>
  <si>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</si>
  <si>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</si>
  <si>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</si>
  <si>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</si>
  <si>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</si>
  <si>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</si>
  <si>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</si>
  <si>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</si>
  <si>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</si>
  <si>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</si>
  <si>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</si>
  <si>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</si>
  <si>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</si>
  <si>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</si>
  <si>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</si>
  <si>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</si>
  <si>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</si>
  <si>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</si>
  <si>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</si>
  <si>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</si>
  <si>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</si>
  <si>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</si>
  <si>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</si>
  <si>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</si>
  <si>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</si>
  <si>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</si>
  <si>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</si>
  <si>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</si>
  <si>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</si>
  <si>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</si>
  <si>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</si>
  <si>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</si>
  <si>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</si>
  <si>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</si>
  <si>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</si>
  <si>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</si>
  <si>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</si>
  <si>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</si>
  <si>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</si>
  <si>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</si>
  <si>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</si>
  <si>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</si>
  <si>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</si>
  <si>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</si>
  <si>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</si>
  <si>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</si>
  <si>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</si>
  <si>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</si>
  <si>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</si>
  <si>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</si>
  <si>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</si>
  <si>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</si>
  <si>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</si>
  <si>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</si>
  <si>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</si>
  <si>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</si>
  <si>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</si>
  <si>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</si>
  <si>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</si>
  <si>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</si>
  <si>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Mayor</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</si>
  <si>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</si>
  <si>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</si>
  <si>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</si>
  <si>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</si>
  <si>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</si>
  <si>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</si>
  <si>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</si>
  <si>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</si>
  <si>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</si>
  <si>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</si>
  <si>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</si>
  <si>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</si>
  <si>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</si>
  <si>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</si>
  <si>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</si>
  <si>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</si>
  <si>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</si>
  <si>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</si>
  <si>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</si>
  <si>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</si>
  <si>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</si>
  <si>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</si>
  <si>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</si>
  <si>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</si>
  <si>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</si>
  <si>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</si>
  <si>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</si>
  <si>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</si>
  <si>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</si>
  <si>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</si>
  <si>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</si>
  <si>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</si>
  <si>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</si>
  <si>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</si>
  <si>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</si>
  <si>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</si>
  <si>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</si>
  <si>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</si>
  <si>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</si>
  <si>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</si>
  <si>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</si>
  <si>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</si>
  <si>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</si>
  <si>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</si>
  <si>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</si>
  <si>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</si>
  <si>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</si>
  <si>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</si>
  <si>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</si>
  <si>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</si>
  <si>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</si>
  <si>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</si>
  <si>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</si>
  <si>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</si>
  <si>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</si>
  <si>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</si>
  <si>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</si>
  <si>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</si>
  <si>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</si>
  <si>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</si>
  <si>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</si>
  <si>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</si>
  <si>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</si>
  <si>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</si>
  <si>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</si>
  <si>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</si>
  <si>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</si>
  <si>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</si>
  <si>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</si>
  <si>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</si>
  <si>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</si>
  <si>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</si>
  <si>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</si>
  <si>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</si>
  <si>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</si>
  <si>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</si>
  <si>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</si>
  <si>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</si>
  <si>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</si>
  <si>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</si>
  <si>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</si>
  <si>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</si>
  <si>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</si>
  <si>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</si>
  <si>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</si>
  <si>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</si>
  <si>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</si>
  <si>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</si>
  <si>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</si>
  <si>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</si>
  <si>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</si>
  <si>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</si>
  <si>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</si>
  <si>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</si>
  <si>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</si>
  <si>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</si>
  <si>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</si>
  <si>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</si>
  <si>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</si>
  <si>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</si>
  <si>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</si>
  <si>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</si>
  <si>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</si>
  <si>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</si>
  <si>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</si>
  <si>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</si>
  <si>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</si>
  <si>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</si>
  <si>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</si>
  <si>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</si>
  <si>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</si>
  <si>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</si>
  <si>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</si>
  <si>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</si>
  <si>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</si>
  <si>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</si>
  <si>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</si>
  <si>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</si>
  <si>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</si>
  <si>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</si>
  <si>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</si>
  <si>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</si>
  <si>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</si>
  <si>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</si>
  <si>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</si>
  <si>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</si>
  <si>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</si>
  <si>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</si>
  <si>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</si>
  <si>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</si>
  <si>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</si>
  <si>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</si>
  <si>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</si>
  <si>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</si>
  <si>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</si>
  <si>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</si>
  <si>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</si>
  <si>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</si>
  <si>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</si>
  <si>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</si>
  <si>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</si>
  <si>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</si>
  <si>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</si>
  <si>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</si>
  <si>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</si>
  <si>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</si>
  <si>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</si>
  <si>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</si>
  <si>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</si>
  <si>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</si>
  <si>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</si>
  <si>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</si>
  <si>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</si>
  <si>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</si>
  <si>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</si>
  <si>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</si>
  <si>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</si>
  <si>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</si>
  <si>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</si>
  <si>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</si>
  <si>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</si>
  <si>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</si>
  <si>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</si>
  <si>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</si>
  <si>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</si>
  <si>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</si>
  <si>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</si>
  <si>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</si>
  <si>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</si>
  <si>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</si>
  <si>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</si>
  <si>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</si>
  <si>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</si>
  <si>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</si>
  <si>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</si>
  <si>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</si>
  <si>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</si>
  <si>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</si>
  <si>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</si>
  <si>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</si>
  <si>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</si>
  <si>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</si>
  <si>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</si>
  <si>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</si>
  <si>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</si>
  <si>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</si>
  <si>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</si>
  <si>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</si>
  <si>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</si>
  <si>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</si>
  <si>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</si>
  <si>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</si>
  <si>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</si>
  <si>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</si>
  <si>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</si>
  <si>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</si>
  <si>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</si>
  <si>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</si>
  <si>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</si>
  <si>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</si>
  <si>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</si>
  <si>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</si>
  <si>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</si>
  <si>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</si>
  <si>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</si>
  <si>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</si>
  <si>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</si>
  <si>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</si>
  <si>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</si>
  <si>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</si>
  <si>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</si>
  <si>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</si>
  <si>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</si>
  <si>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</si>
  <si>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</si>
  <si>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</si>
  <si>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</si>
  <si>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</si>
  <si>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</si>
  <si>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</si>
  <si>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</si>
  <si>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</si>
  <si>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</si>
  <si>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</si>
  <si>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</si>
  <si>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</si>
  <si>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</si>
  <si>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</si>
  <si>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</si>
  <si>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</si>
  <si>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</si>
  <si>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</si>
  <si>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</si>
  <si>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</si>
  <si>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</si>
  <si>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</si>
  <si>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0 Bed 1 Bath Assisted Living</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</si>
  <si>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</si>
  <si>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</si>
  <si>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</si>
  <si>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</si>
  <si>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</si>
  <si>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</si>
  <si>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</si>
  <si>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</si>
  <si>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</si>
  <si>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</si>
  <si>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</si>
  <si>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</si>
  <si>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</si>
  <si>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</si>
  <si>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</si>
  <si>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</si>
  <si>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</si>
  <si>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</si>
  <si>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</si>
  <si>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</si>
  <si>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</si>
  <si>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</si>
  <si>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</si>
  <si>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</si>
  <si>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</si>
  <si>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</si>
  <si>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</si>
  <si>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</si>
  <si>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</si>
  <si>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</si>
  <si>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</si>
  <si>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</si>
  <si>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</si>
  <si>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</si>
  <si>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</si>
  <si>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</si>
  <si>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</si>
  <si>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</si>
  <si>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</si>
  <si>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</si>
  <si>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</si>
  <si>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</si>
  <si>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</si>
  <si>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</si>
  <si>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</si>
  <si>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</si>
  <si>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</si>
  <si>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</si>
  <si>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</si>
  <si>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</si>
  <si>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</si>
  <si>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</si>
  <si>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</si>
  <si>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</si>
  <si>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</si>
  <si>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</si>
  <si>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</si>
  <si>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</si>
  <si>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</si>
  <si>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</si>
  <si>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</si>
  <si>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</si>
  <si>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</si>
  <si>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</si>
  <si>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</si>
  <si>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</si>
  <si>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</si>
  <si>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</si>
  <si>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</si>
  <si>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</si>
  <si>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</si>
  <si>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</si>
  <si>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</si>
  <si>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</si>
  <si>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</si>
  <si>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</si>
  <si>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</si>
  <si>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</si>
  <si>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</si>
  <si>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</si>
  <si>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</si>
  <si>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</si>
  <si>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</si>
  <si>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</si>
  <si>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</si>
  <si>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</si>
  <si>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</si>
  <si>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</si>
  <si>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</si>
  <si>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</si>
  <si>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</si>
  <si>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</si>
  <si>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</si>
  <si>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</si>
  <si>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</si>
  <si>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</si>
  <si>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</si>
  <si>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</si>
  <si>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</si>
  <si>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</si>
  <si>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</si>
  <si>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</si>
  <si>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</si>
  <si>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</si>
  <si>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</si>
  <si>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</si>
  <si>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</si>
  <si>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</si>
  <si>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</si>
  <si>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</si>
  <si>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On Site Manager</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</si>
  <si>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</si>
  <si>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</si>
  <si>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</si>
  <si>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</si>
  <si>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</si>
  <si>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</si>
  <si>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</si>
  <si>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</si>
  <si>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</si>
  <si>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</si>
  <si>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</si>
  <si>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</si>
  <si>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</si>
  <si>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</si>
  <si>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</si>
  <si>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</si>
  <si>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</si>
  <si>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</si>
  <si>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</si>
  <si>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</si>
  <si>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</si>
  <si>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</si>
  <si>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</si>
  <si>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</si>
  <si>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</si>
  <si>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</si>
  <si>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</si>
  <si>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</si>
  <si>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</si>
  <si>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Number of Type A Units</t>
  </si>
  <si>
    <t>Number of Type B Units</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</si>
  <si>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</si>
  <si>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</si>
  <si>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</si>
  <si>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</si>
  <si>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</si>
  <si>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</si>
  <si>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</si>
  <si>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</si>
  <si>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</si>
  <si>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</si>
  <si>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</si>
  <si>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</si>
  <si>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</si>
  <si>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</si>
  <si>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</si>
  <si>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</si>
  <si>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</si>
  <si>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Needs mapping</t>
  </si>
  <si>
    <t>Is Initial Application</t>
  </si>
  <si>
    <t>Is Carryover Application</t>
  </si>
  <si>
    <t>Number of Parking Spaces in Eligible Basis</t>
  </si>
  <si>
    <t>Is Final Application</t>
  </si>
  <si>
    <t>Has 4%</t>
  </si>
  <si>
    <t>Has 9%</t>
  </si>
  <si>
    <t>Has Acq/Rehab</t>
  </si>
  <si>
    <t>Has New Construction</t>
  </si>
  <si>
    <t>Has Rehab</t>
  </si>
  <si>
    <t>Has State Tax Credit</t>
  </si>
  <si>
    <t>State Credit Tax Type</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</si>
  <si>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</si>
  <si>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</si>
  <si>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</si>
  <si>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</si>
  <si>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</si>
  <si>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</si>
  <si>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</si>
  <si>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</si>
  <si>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</si>
  <si>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</si>
  <si>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</si>
  <si>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</si>
  <si>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</si>
  <si>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</si>
  <si>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</si>
  <si>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</si>
  <si>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</si>
  <si>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</si>
  <si>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</si>
  <si>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</si>
  <si>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</si>
  <si>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</si>
  <si>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</si>
  <si>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</si>
  <si>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</si>
  <si>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</si>
  <si>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</si>
  <si>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</si>
  <si>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</si>
  <si>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</si>
  <si>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</si>
  <si>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</si>
  <si>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</si>
  <si>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</si>
  <si>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</si>
  <si>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</si>
  <si>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</si>
  <si>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</si>
  <si>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</si>
  <si>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</si>
  <si>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</si>
  <si>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</si>
  <si>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</si>
  <si>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</si>
  <si>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</si>
  <si>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</si>
  <si>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</si>
  <si>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</si>
  <si>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</si>
  <si>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</si>
  <si>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</si>
  <si>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</si>
  <si>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</si>
  <si>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</si>
  <si>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</si>
  <si>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</si>
  <si>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</si>
  <si>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</si>
  <si>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</si>
  <si>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</si>
  <si>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</si>
  <si>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</si>
  <si>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</si>
  <si>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</si>
  <si>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</si>
  <si>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</si>
  <si>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</si>
  <si>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</si>
  <si>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</si>
  <si>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</si>
  <si>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</si>
  <si>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</si>
  <si>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</si>
  <si>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</si>
  <si>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</si>
  <si>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</si>
  <si>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</si>
  <si>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</si>
  <si>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</si>
  <si>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</si>
  <si>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</si>
  <si>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</si>
  <si>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</si>
  <si>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</si>
  <si>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</si>
  <si>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Assisted Living</t>
  </si>
  <si>
    <t>Is Section 8</t>
  </si>
  <si>
    <t>Other</t>
  </si>
  <si>
    <t>Max of above</t>
  </si>
  <si>
    <t>Is Elderly Independent</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</si>
  <si>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</si>
  <si>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</si>
  <si>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</si>
  <si>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</si>
  <si>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</si>
  <si>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</si>
  <si>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</si>
  <si>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</si>
  <si>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</si>
  <si>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</si>
  <si>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</si>
  <si>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</si>
  <si>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</si>
  <si>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</si>
  <si>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</si>
  <si>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</si>
  <si>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</si>
  <si>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</si>
  <si>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</si>
  <si>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</si>
  <si>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</si>
  <si>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</si>
  <si>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</si>
  <si>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</si>
  <si>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Paid off</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</si>
  <si>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</si>
  <si>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</si>
  <si>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</si>
  <si>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</si>
  <si>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</si>
  <si>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</si>
  <si>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</si>
  <si>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</si>
  <si>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</si>
  <si>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</si>
  <si>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</si>
  <si>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</si>
  <si>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</si>
  <si>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</si>
  <si>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</si>
  <si>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</si>
  <si>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</si>
  <si>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</si>
  <si>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</si>
  <si>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</si>
  <si>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</si>
  <si>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</si>
  <si>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</si>
  <si>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</si>
  <si>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</si>
  <si>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</si>
  <si>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</si>
  <si>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</si>
  <si>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</si>
  <si>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</si>
  <si>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</si>
  <si>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</si>
  <si>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</si>
  <si>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</si>
  <si>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</si>
  <si>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</si>
  <si>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</si>
  <si>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</si>
  <si>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</si>
  <si>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</si>
  <si>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</si>
  <si>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</si>
  <si>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</si>
  <si>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</si>
  <si>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</si>
  <si>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</si>
  <si>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</si>
  <si>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</si>
  <si>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</si>
  <si>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</si>
  <si>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</si>
  <si>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</si>
  <si>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</si>
  <si>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</si>
  <si>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</si>
  <si>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</si>
  <si>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</si>
  <si>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</si>
  <si>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</si>
  <si>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</si>
  <si>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</si>
  <si>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</si>
  <si>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</si>
  <si>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</si>
  <si>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</si>
  <si>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</si>
  <si>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</si>
  <si>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</si>
  <si>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</si>
  <si>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</si>
  <si>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Alternate Credit Calculation (Basis/Unit)</t>
  </si>
  <si>
    <t>Is Allowed</t>
  </si>
  <si>
    <t>State Credit per Unit Basis</t>
  </si>
  <si>
    <t>Maximum Allowed</t>
  </si>
  <si>
    <t>Adjusted Annual Credit (Max Credit Applied)</t>
  </si>
  <si>
    <t>Special APR Calculation</t>
  </si>
  <si>
    <t xml:space="preserve">Total Qualified Basis Annual Credit </t>
  </si>
  <si>
    <t>Desired Annual Credit</t>
  </si>
  <si>
    <t>Method Two</t>
  </si>
  <si>
    <t>Desired APR</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</si>
  <si>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</si>
  <si>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</si>
  <si>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</si>
  <si>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</si>
  <si>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</si>
  <si>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</si>
  <si>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</si>
  <si>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</si>
  <si>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</si>
  <si>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</si>
  <si>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</si>
  <si>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</si>
  <si>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</si>
  <si>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</si>
  <si>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</si>
  <si>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</si>
  <si>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</si>
  <si>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</si>
  <si>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</si>
  <si>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</si>
  <si>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</si>
  <si>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</si>
  <si>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</si>
  <si>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</si>
  <si>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</si>
  <si>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</si>
  <si>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</si>
  <si>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</si>
  <si>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</si>
  <si>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</si>
  <si>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</si>
  <si>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</si>
  <si>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</si>
  <si>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</si>
  <si>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</si>
  <si>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</si>
  <si>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</si>
  <si>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</si>
  <si>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</si>
  <si>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</si>
  <si>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</si>
  <si>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</si>
  <si>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</si>
  <si>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</si>
  <si>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</si>
  <si>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</si>
  <si>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</si>
  <si>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</si>
  <si>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</si>
  <si>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</si>
  <si>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</si>
  <si>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</si>
  <si>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</si>
  <si>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</si>
  <si>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</si>
  <si>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</si>
  <si>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</si>
  <si>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</si>
  <si>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</si>
  <si>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</si>
  <si>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</si>
  <si>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</si>
  <si>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</si>
  <si>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</si>
  <si>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</si>
  <si>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</si>
  <si>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</si>
  <si>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</si>
  <si>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</si>
  <si>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</si>
  <si>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</si>
  <si>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</si>
  <si>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</si>
  <si>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</si>
  <si>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</si>
  <si>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</si>
  <si>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</si>
  <si>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</si>
  <si>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</si>
  <si>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</si>
  <si>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</si>
  <si>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</si>
  <si>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</si>
  <si>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</si>
  <si>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</si>
  <si>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</si>
  <si>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</si>
  <si>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</si>
  <si>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</si>
  <si>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</si>
  <si>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</si>
  <si>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</si>
  <si>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</si>
  <si>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</si>
  <si>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</si>
  <si>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</si>
  <si>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</si>
  <si>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</si>
  <si>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</si>
  <si>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</si>
  <si>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</si>
  <si>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</si>
  <si>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</si>
  <si>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</si>
  <si>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</si>
  <si>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</si>
  <si>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</si>
  <si>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</si>
  <si>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</si>
  <si>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</si>
  <si>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</si>
  <si>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</si>
  <si>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</si>
  <si>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</si>
  <si>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PAB Mortgage % (50% test)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</si>
  <si>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</si>
  <si>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</si>
  <si>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</si>
  <si>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</si>
  <si>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</si>
  <si>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</si>
  <si>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</si>
  <si>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</si>
  <si>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</si>
  <si>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</si>
  <si>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</si>
  <si>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Minimum 4%  Non-Competitive Score</t>
  </si>
  <si>
    <t>9% Maximum Credit Amount</t>
  </si>
  <si>
    <t>State Maximum Credit Amount</t>
  </si>
  <si>
    <t>Perform Method 1 State Calculation</t>
  </si>
  <si>
    <t>Perform Method 2 State Calculation</t>
  </si>
  <si>
    <t>Perform Method 3 State Calculation</t>
  </si>
  <si>
    <t>STATE Annual Credit Overide</t>
  </si>
  <si>
    <t>Use this to set the final credit amont for mthod one - this will adjust the APR so that it proved this credit amount</t>
  </si>
  <si>
    <t>Maximum State Credit per Unit Amount</t>
  </si>
  <si>
    <t>FEDERAL Method 2 Total Funds Override</t>
  </si>
  <si>
    <t>STATE Method 2 Total Funds Override</t>
  </si>
  <si>
    <t>FEDERAL Method 3 Adjusted Eligible Basis Override</t>
  </si>
  <si>
    <t>STATE Method 3 Adjusted Eligible Basis Override</t>
  </si>
  <si>
    <t>Dev Fee Existing Structures Override</t>
  </si>
  <si>
    <t>enter yes if override is being granted</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</si>
  <si>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</si>
  <si>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</si>
  <si>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</si>
  <si>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</si>
  <si>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</si>
  <si>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</si>
  <si>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</si>
  <si>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</si>
  <si>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Elderly Independent/New Construction</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</si>
  <si>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</si>
  <si>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</si>
  <si>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</si>
  <si>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</si>
  <si>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</si>
  <si>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</si>
  <si>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</si>
  <si>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</si>
  <si>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</si>
  <si>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</si>
  <si>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</si>
  <si>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</si>
  <si>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</si>
  <si>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</si>
  <si>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</si>
  <si>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</si>
  <si>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</si>
  <si>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</si>
  <si>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</si>
  <si>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Basis Limit Test</t>
  </si>
  <si>
    <t>updated 11/28/23</t>
  </si>
  <si>
    <t>Bedrooms</t>
  </si>
  <si>
    <t>Elevator Base</t>
  </si>
  <si>
    <t>Non-Elevator Base</t>
  </si>
  <si>
    <t>Zone Factors</t>
  </si>
  <si>
    <t>reviewed in Nov 2023, no changes</t>
  </si>
  <si>
    <t>updated 11/9/22, reviewed in 2023, no changes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</si>
  <si>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</si>
  <si>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</si>
  <si>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</si>
  <si>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</si>
  <si>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</si>
  <si>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</si>
  <si>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</si>
  <si>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</si>
  <si>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</si>
  <si>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</si>
  <si>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</si>
  <si>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</si>
  <si>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</si>
  <si>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</si>
  <si>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</si>
  <si>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Updated 11/1/22-updated rural QCT numbers 4/10/23, 10/20/23</t>
  </si>
  <si>
    <t>Metro Statistical Area (MSA)</t>
  </si>
  <si>
    <t>Updated 9/28/23 and 10/20/23</t>
  </si>
  <si>
    <t>Low income Score</t>
  </si>
  <si>
    <t>Score related to Household Percentage below 51%</t>
  </si>
  <si>
    <t>IS DDA</t>
  </si>
  <si>
    <t>QCT Census Tract Lookup List</t>
  </si>
  <si>
    <t>Denver</t>
  </si>
  <si>
    <t>Pueblo</t>
  </si>
  <si>
    <t>Updated 9/28/23</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</si>
  <si>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</si>
  <si>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</si>
  <si>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</si>
  <si>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</si>
  <si>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</si>
  <si>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</si>
  <si>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</si>
  <si>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</si>
  <si>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</si>
  <si>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</si>
  <si>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</si>
  <si>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</si>
  <si>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</si>
  <si>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</si>
  <si>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</si>
  <si>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</si>
  <si>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</si>
  <si>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</si>
  <si>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</si>
  <si>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</si>
  <si>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</si>
  <si>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</si>
  <si>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</si>
  <si>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</si>
  <si>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</si>
  <si>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</si>
  <si>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</si>
  <si>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</si>
  <si>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</si>
  <si>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</si>
  <si>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</si>
  <si>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</si>
  <si>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</si>
  <si>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</si>
  <si>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</si>
  <si>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</si>
  <si>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</si>
  <si>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</si>
  <si>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</si>
  <si>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</si>
  <si>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</si>
  <si>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</si>
  <si>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</si>
  <si>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</si>
  <si>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</si>
  <si>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</si>
  <si>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</si>
  <si>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</si>
  <si>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</si>
  <si>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</si>
  <si>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</si>
  <si>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</si>
  <si>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</si>
  <si>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</si>
  <si>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</si>
  <si>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</si>
  <si>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</si>
  <si>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</si>
  <si>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</si>
  <si>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</si>
  <si>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</si>
  <si>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</si>
  <si>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</si>
  <si>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</si>
  <si>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</si>
  <si>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</si>
  <si>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</si>
  <si>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</si>
  <si>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</si>
  <si>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</si>
  <si>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</si>
  <si>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</si>
  <si>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</si>
  <si>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</si>
  <si>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</si>
  <si>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</si>
  <si>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</si>
  <si>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</si>
  <si>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</si>
  <si>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</si>
  <si>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</si>
  <si>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</si>
  <si>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</si>
  <si>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</si>
  <si>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</si>
  <si>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</si>
  <si>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</si>
  <si>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</si>
  <si>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</si>
  <si>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</si>
  <si>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</si>
  <si>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</si>
  <si>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</si>
  <si>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</si>
  <si>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</si>
  <si>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</si>
  <si>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</si>
  <si>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</si>
  <si>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</si>
  <si>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</si>
  <si>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</si>
  <si>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</si>
  <si>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</si>
  <si>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</si>
  <si>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</si>
  <si>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</si>
  <si>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</si>
  <si>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</si>
  <si>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</si>
  <si>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</si>
  <si>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</si>
  <si>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</si>
  <si>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</si>
  <si>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</si>
  <si>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</si>
  <si>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</si>
  <si>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</si>
  <si>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</si>
  <si>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</si>
  <si>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</si>
  <si>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</si>
  <si>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</si>
  <si>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</si>
  <si>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</si>
  <si>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</si>
  <si>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</si>
  <si>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</si>
  <si>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</si>
  <si>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</si>
  <si>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</si>
  <si>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</si>
  <si>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</si>
  <si>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</si>
  <si>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</si>
  <si>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</si>
  <si>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</si>
  <si>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</si>
  <si>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</si>
  <si>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</si>
  <si>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</si>
  <si>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</si>
  <si>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</si>
  <si>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</si>
  <si>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</si>
  <si>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</si>
  <si>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</si>
  <si>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</si>
  <si>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</si>
  <si>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</si>
  <si>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</si>
  <si>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</si>
  <si>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</si>
  <si>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</si>
  <si>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</si>
  <si>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</si>
  <si>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</si>
  <si>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</si>
  <si>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</si>
  <si>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</si>
  <si>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</si>
  <si>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</si>
  <si>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</si>
  <si>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</si>
  <si>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</si>
  <si>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</si>
  <si>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</si>
  <si>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</si>
  <si>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</si>
  <si>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</si>
  <si>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</si>
  <si>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</si>
  <si>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</si>
  <si>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</si>
  <si>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</si>
  <si>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</si>
  <si>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</si>
  <si>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</si>
  <si>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</si>
  <si>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</si>
  <si>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</si>
  <si>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</si>
  <si>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</si>
  <si>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</si>
  <si>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</si>
  <si>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</si>
  <si>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</si>
  <si>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</si>
  <si>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</si>
  <si>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</si>
  <si>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</si>
  <si>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</si>
  <si>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</si>
  <si>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</si>
  <si>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</si>
  <si>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</si>
  <si>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</si>
  <si>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</si>
  <si>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</si>
  <si>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</si>
  <si>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</si>
  <si>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</si>
  <si>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</si>
  <si>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</si>
  <si>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</si>
  <si>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</si>
  <si>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</si>
  <si>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</si>
  <si>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</si>
  <si>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</si>
  <si>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</si>
  <si>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</si>
  <si>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</si>
  <si>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</si>
  <si>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</si>
  <si>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</si>
  <si>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</si>
  <si>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</si>
  <si>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</si>
  <si>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</si>
  <si>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</si>
  <si>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</si>
  <si>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</si>
  <si>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</si>
  <si>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</si>
  <si>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</si>
  <si>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</si>
  <si>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</si>
  <si>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</si>
  <si>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</si>
  <si>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</si>
  <si>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</si>
  <si>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</si>
  <si>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</si>
  <si>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</si>
  <si>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</si>
  <si>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</si>
  <si>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</si>
  <si>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</si>
  <si>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</si>
  <si>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</si>
  <si>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</si>
  <si>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</si>
  <si>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</si>
  <si>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</si>
  <si>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</si>
  <si>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</si>
  <si>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</si>
  <si>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</si>
  <si>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</si>
  <si>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</si>
  <si>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</si>
  <si>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</si>
  <si>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</si>
  <si>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</si>
  <si>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</si>
  <si>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</si>
  <si>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</si>
  <si>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</si>
  <si>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</si>
  <si>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</si>
  <si>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</si>
  <si>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</si>
  <si>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</si>
  <si>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</si>
  <si>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</si>
  <si>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</si>
  <si>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</si>
  <si>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</si>
  <si>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</si>
  <si>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</si>
  <si>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</si>
  <si>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</si>
  <si>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</si>
  <si>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</si>
  <si>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</si>
  <si>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</si>
  <si>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</si>
  <si>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</si>
  <si>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</si>
  <si>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</si>
  <si>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</si>
  <si>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</si>
  <si>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</si>
  <si>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</si>
  <si>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</si>
  <si>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</si>
  <si>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</si>
  <si>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</si>
  <si>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</si>
  <si>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</si>
  <si>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</si>
  <si>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</si>
  <si>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</si>
  <si>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</si>
  <si>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</si>
  <si>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</si>
  <si>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</si>
  <si>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</si>
  <si>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</si>
  <si>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</si>
  <si>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</si>
  <si>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</si>
  <si>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</si>
  <si>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</si>
  <si>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</si>
  <si>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</si>
  <si>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</si>
  <si>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</si>
  <si>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</si>
  <si>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</si>
  <si>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</si>
  <si>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</si>
  <si>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</si>
  <si>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</si>
  <si>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</si>
  <si>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</si>
  <si>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</si>
  <si>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</si>
  <si>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</si>
  <si>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</si>
  <si>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</si>
  <si>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</si>
  <si>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</si>
  <si>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</si>
  <si>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</si>
  <si>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</si>
  <si>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</si>
  <si>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</si>
  <si>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</si>
  <si>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</si>
  <si>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</si>
  <si>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</si>
  <si>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</si>
  <si>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</si>
  <si>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</si>
  <si>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</si>
  <si>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</si>
  <si>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</si>
  <si>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</si>
  <si>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</si>
  <si>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</si>
  <si>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</si>
  <si>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</si>
  <si>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</si>
  <si>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</si>
  <si>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</si>
  <si>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</si>
  <si>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</si>
  <si>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</si>
  <si>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</si>
  <si>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</si>
  <si>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</si>
  <si>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</si>
  <si>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</si>
  <si>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</si>
  <si>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</si>
  <si>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</si>
  <si>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</si>
  <si>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</si>
  <si>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</si>
  <si>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</si>
  <si>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</si>
  <si>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</si>
  <si>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</si>
  <si>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</si>
  <si>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</si>
  <si>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</si>
  <si>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</si>
  <si>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</si>
  <si>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</si>
  <si>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</si>
  <si>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</si>
  <si>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</si>
  <si>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</si>
  <si>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</si>
  <si>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</si>
  <si>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</si>
  <si>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</si>
  <si>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</si>
  <si>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</si>
  <si>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</si>
  <si>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</si>
  <si>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</si>
  <si>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</si>
  <si>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</si>
  <si>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</si>
  <si>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</si>
  <si>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</si>
  <si>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</si>
  <si>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</si>
  <si>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</si>
  <si>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</si>
  <si>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</si>
  <si>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</si>
  <si>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</si>
  <si>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</si>
  <si>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</si>
  <si>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</si>
  <si>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</si>
  <si>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</si>
  <si>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</si>
  <si>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</si>
  <si>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</si>
  <si>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</si>
  <si>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</si>
  <si>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</si>
  <si>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</si>
  <si>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</si>
  <si>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</si>
  <si>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</si>
  <si>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</si>
  <si>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</si>
  <si>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</si>
  <si>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</si>
  <si>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</si>
  <si>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</si>
  <si>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</si>
  <si>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</si>
  <si>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</si>
  <si>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</si>
  <si>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</si>
  <si>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</si>
  <si>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</si>
  <si>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</si>
  <si>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</si>
  <si>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</si>
  <si>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</si>
  <si>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</si>
  <si>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</si>
  <si>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</si>
  <si>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</si>
  <si>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</si>
  <si>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</si>
  <si>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</si>
  <si>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</si>
  <si>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</si>
  <si>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</si>
  <si>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</si>
  <si>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</si>
  <si>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</si>
  <si>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</si>
  <si>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</si>
  <si>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</si>
  <si>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</si>
  <si>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</si>
  <si>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</si>
  <si>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</si>
  <si>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</si>
  <si>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</si>
  <si>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</si>
  <si>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</si>
  <si>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</si>
  <si>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</si>
  <si>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</si>
  <si>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</si>
  <si>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</si>
  <si>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</si>
  <si>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</si>
  <si>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</si>
  <si>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</si>
  <si>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</si>
  <si>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</si>
  <si>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</si>
  <si>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</si>
  <si>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</si>
  <si>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</si>
  <si>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</si>
  <si>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</si>
  <si>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</si>
  <si>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</si>
  <si>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</si>
  <si>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</si>
  <si>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</si>
  <si>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</si>
  <si>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</si>
  <si>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</si>
  <si>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</si>
  <si>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</si>
  <si>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</si>
  <si>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</si>
  <si>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</si>
  <si>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</si>
  <si>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</si>
  <si>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</si>
  <si>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</si>
  <si>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</si>
  <si>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</si>
  <si>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</si>
  <si>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</si>
  <si>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</si>
  <si>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</si>
  <si>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</si>
  <si>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</si>
  <si>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</si>
  <si>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</si>
  <si>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</si>
  <si>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</si>
  <si>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</si>
  <si>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</si>
  <si>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</si>
  <si>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</si>
  <si>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</si>
  <si>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</si>
  <si>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</si>
  <si>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</si>
  <si>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</si>
  <si>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</si>
  <si>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</si>
  <si>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</si>
  <si>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</si>
  <si>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</si>
  <si>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</si>
  <si>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</si>
  <si>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</si>
  <si>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</si>
  <si>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</si>
  <si>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</si>
  <si>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</si>
  <si>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</si>
  <si>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</si>
  <si>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</si>
  <si>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</si>
  <si>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</si>
  <si>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</si>
  <si>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</si>
  <si>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</si>
  <si>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</si>
  <si>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</si>
  <si>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</si>
  <si>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</si>
  <si>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</si>
  <si>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</si>
  <si>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</si>
  <si>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</si>
  <si>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</si>
  <si>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</si>
  <si>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</si>
  <si>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</si>
  <si>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</si>
  <si>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</si>
  <si>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</si>
  <si>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</si>
  <si>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</si>
  <si>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</si>
  <si>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</si>
  <si>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</si>
  <si>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</si>
  <si>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</si>
  <si>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</si>
  <si>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</si>
  <si>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</si>
  <si>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</si>
  <si>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</si>
  <si>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</si>
  <si>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</si>
  <si>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</si>
  <si>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</si>
  <si>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</si>
  <si>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</si>
  <si>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</si>
  <si>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</si>
  <si>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</si>
  <si>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</si>
  <si>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</si>
  <si>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</si>
  <si>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</si>
  <si>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</si>
  <si>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</si>
  <si>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</si>
  <si>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</si>
  <si>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</si>
  <si>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</si>
  <si>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</si>
  <si>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</si>
  <si>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</si>
  <si>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</si>
  <si>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</si>
  <si>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</si>
  <si>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</si>
  <si>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</si>
  <si>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</si>
  <si>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</si>
  <si>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</si>
  <si>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</si>
  <si>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</si>
  <si>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</si>
  <si>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</si>
  <si>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</si>
  <si>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</si>
  <si>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</si>
  <si>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</si>
  <si>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</si>
  <si>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</si>
  <si>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</si>
  <si>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</si>
  <si>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</si>
  <si>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</si>
  <si>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</si>
  <si>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</si>
  <si>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</si>
  <si>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</si>
  <si>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</si>
  <si>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</si>
  <si>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</si>
  <si>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</si>
  <si>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</si>
  <si>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</si>
  <si>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</si>
  <si>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</si>
  <si>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</si>
  <si>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</si>
  <si>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</si>
  <si>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</si>
  <si>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</si>
  <si>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</si>
  <si>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</si>
  <si>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</si>
  <si>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</si>
  <si>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</si>
  <si>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</si>
  <si>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</si>
  <si>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</si>
  <si>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</si>
  <si>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</si>
  <si>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</si>
  <si>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</si>
  <si>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</si>
  <si>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</si>
  <si>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</si>
  <si>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</si>
  <si>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</si>
  <si>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</si>
  <si>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</si>
  <si>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</si>
  <si>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</si>
  <si>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</si>
  <si>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</si>
  <si>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</si>
  <si>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</si>
  <si>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</si>
  <si>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</si>
  <si>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</si>
  <si>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</si>
  <si>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</si>
  <si>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</si>
  <si>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</si>
  <si>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</si>
  <si>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</si>
  <si>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</si>
  <si>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</si>
  <si>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</si>
  <si>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</si>
  <si>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</si>
  <si>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</si>
  <si>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</si>
  <si>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</si>
  <si>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</si>
  <si>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</si>
  <si>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</si>
  <si>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</si>
  <si>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</si>
  <si>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</si>
  <si>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</si>
  <si>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</si>
  <si>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</si>
  <si>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</si>
  <si>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</si>
  <si>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</si>
  <si>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</si>
  <si>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</si>
  <si>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</si>
  <si>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</si>
  <si>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</si>
  <si>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</si>
  <si>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</si>
  <si>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</si>
  <si>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</si>
  <si>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</si>
  <si>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</si>
  <si>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</si>
  <si>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</si>
  <si>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</si>
  <si>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</si>
  <si>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</si>
  <si>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</si>
  <si>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</si>
  <si>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</si>
  <si>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</si>
  <si>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</si>
  <si>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</si>
  <si>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</si>
  <si>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</si>
  <si>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</si>
  <si>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</si>
  <si>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</si>
  <si>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</si>
  <si>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</si>
  <si>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</si>
  <si>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</si>
  <si>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</si>
  <si>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</si>
  <si>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</si>
  <si>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 xml:space="preserve">10/27/23: V5.3: Application: Added 45L Energy Efficiency Home Credit and and the yes/no dropdown. Also added in ProLink and Validation tabs. </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</si>
  <si>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</si>
  <si>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</si>
  <si>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11/13/23: V5.3: Prolink: Added rows for all added amenities named above.</t>
  </si>
  <si>
    <t>11/14/23: V5.3: Amenities A78, B78, added "Number of spaces for commerical or nonresidential"</t>
  </si>
  <si>
    <t xml:space="preserve">11/14/23: V5.3:  Application row 88, added amount for 45L Credit; row 89 added Investment Tax Credit and row 90 added ITC amount. Added in Prolink and Validation tabs. </t>
  </si>
  <si>
    <t xml:space="preserve">11/14/23: V5.3: Application rows 102-104, added "Voucher Administrator(s)" "Number of Vouchers" and "Type of Vouchers" </t>
  </si>
  <si>
    <r>
      <t xml:space="preserve">11/14/23: V5.3: Contact: </t>
    </r>
    <r>
      <rPr>
        <sz val="11"/>
        <rFont val="Calibri"/>
        <family val="2"/>
        <scheme val="minor"/>
      </rPr>
      <t>made notes for names of properties fields to be rebuilt as text fields and 5,000 character limit - Kaylen</t>
    </r>
  </si>
  <si>
    <t>12/21/23: V5.3: ProLink tab - remapped and fixed entities - Kaylen</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</si>
  <si>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</si>
  <si>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</si>
  <si>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</si>
  <si>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</si>
  <si>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</si>
  <si>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</si>
  <si>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</si>
  <si>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</si>
  <si>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</si>
  <si>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</si>
  <si>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</si>
  <si>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</si>
  <si>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</si>
  <si>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</si>
  <si>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</si>
  <si>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</si>
  <si>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</si>
  <si>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</si>
  <si>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</si>
  <si>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</si>
  <si>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</si>
  <si>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</si>
  <si>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</si>
  <si>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</si>
  <si>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</si>
  <si>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</si>
  <si>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</si>
  <si>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</si>
  <si>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</si>
  <si>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</si>
  <si>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</si>
  <si>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</si>
  <si>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</si>
  <si>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</si>
  <si>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</si>
  <si>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</si>
  <si>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</si>
  <si>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</si>
  <si>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</si>
  <si>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</si>
  <si>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</si>
  <si>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</si>
  <si>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</si>
  <si>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</si>
  <si>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</si>
  <si>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</si>
  <si>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</si>
  <si>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</si>
  <si>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</si>
  <si>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</si>
  <si>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</si>
  <si>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</si>
  <si>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</si>
  <si>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</si>
  <si>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</si>
  <si>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</si>
  <si>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</si>
  <si>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</si>
  <si>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</si>
  <si>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</si>
  <si>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</si>
  <si>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</si>
  <si>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</si>
  <si>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</si>
  <si>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</si>
  <si>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</si>
  <si>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</si>
  <si>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</si>
  <si>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</si>
  <si>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</si>
  <si>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</si>
  <si>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</si>
  <si>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</si>
  <si>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</si>
  <si>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Passive</t>
  </si>
  <si>
    <t>New Construction &amp; Acquisition/Rehabilitation</t>
  </si>
  <si>
    <t>Active</t>
  </si>
  <si>
    <t>New Construction &amp; Rehab Only</t>
  </si>
  <si>
    <t>None</t>
  </si>
  <si>
    <t>Acquisition/Rehabilitation</t>
  </si>
  <si>
    <t>Rehab Only</t>
  </si>
  <si>
    <t>Has State</t>
  </si>
  <si>
    <t>Fee</t>
  </si>
  <si>
    <t>Type of State Tax Credit</t>
  </si>
  <si>
    <t>Use Alternate Credit Calculation</t>
  </si>
  <si>
    <t>4% Noncompetitive Tax Credit</t>
  </si>
  <si>
    <t>9% Competitive Tax Credit</t>
  </si>
  <si>
    <t>9% / 4% Competitive Tax Credit</t>
  </si>
  <si>
    <t>Accelerated</t>
  </si>
  <si>
    <t>4% Noncompetitive and State Tax Credit</t>
  </si>
  <si>
    <t>9% Competitive and State Tax Credit</t>
  </si>
  <si>
    <t>Standard</t>
  </si>
  <si>
    <t xml:space="preserve">4% Noncompetitive and Noncompetitive State Tax Credit </t>
  </si>
  <si>
    <t>9% / 4% and State Tax Credit</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</si>
  <si>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</si>
  <si>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</si>
  <si>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</si>
  <si>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</si>
  <si>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</si>
  <si>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</si>
  <si>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</si>
  <si>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</si>
  <si>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</si>
  <si>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</si>
  <si>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</si>
  <si>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</si>
  <si>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</si>
  <si>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</si>
  <si>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</si>
  <si>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</si>
  <si>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</si>
  <si>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</si>
  <si>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</si>
  <si>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</si>
  <si>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</si>
  <si>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</si>
  <si>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</si>
  <si>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</si>
  <si>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</si>
  <si>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</si>
  <si>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</si>
  <si>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</si>
  <si>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</si>
  <si>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</si>
  <si>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</si>
  <si>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</si>
  <si>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</si>
  <si>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</si>
  <si>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</si>
  <si>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</si>
  <si>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</si>
  <si>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</si>
  <si>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</si>
  <si>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</si>
  <si>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</si>
  <si>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</si>
  <si>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</si>
  <si>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</si>
  <si>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</si>
  <si>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</si>
  <si>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</si>
  <si>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</si>
  <si>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</si>
  <si>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</si>
  <si>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</si>
  <si>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</si>
  <si>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</si>
  <si>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</si>
  <si>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</si>
  <si>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</si>
  <si>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</si>
  <si>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</si>
  <si>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</si>
  <si>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</si>
  <si>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</si>
  <si>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</si>
  <si>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ZERH</t>
  </si>
  <si>
    <t>Scoring Weight</t>
  </si>
  <si>
    <t>Unit Mix Type</t>
  </si>
  <si>
    <t>Has Max Rent</t>
  </si>
  <si>
    <t>0 Bed 1 Bath</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</si>
  <si>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</si>
  <si>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</si>
  <si>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</si>
  <si>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</si>
  <si>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</si>
  <si>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</si>
  <si>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</si>
  <si>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</si>
  <si>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</si>
  <si>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</si>
  <si>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</si>
  <si>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</si>
  <si>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</si>
  <si>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</si>
  <si>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</si>
  <si>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</si>
  <si>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</si>
  <si>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</si>
  <si>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</si>
  <si>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</si>
  <si>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</si>
  <si>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</si>
  <si>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</si>
  <si>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</si>
  <si>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</si>
  <si>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</si>
  <si>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</si>
  <si>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</si>
  <si>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</si>
  <si>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</si>
  <si>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Scoring Development Location</t>
  </si>
  <si>
    <t>OPTION A</t>
  </si>
  <si>
    <t>Development is located in a community that has an identified community housing priority; e.g. supports a local, regional or state plan, a neighborhood plan, or some other community-sponsored needs assessment, master plan, etc.  Applicant must provide the project fits into the community's needs.evidence, clearly demonstrating the project fits into the community's needs.</t>
  </si>
  <si>
    <t>OPTION B</t>
  </si>
  <si>
    <t>To be located at an existing or under construction Transit Oriented Design (TOD) site, which is defined as a site which is within one half mile walk distance of public transportation such as bus, rail and light rail.</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</si>
  <si>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</si>
  <si>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</si>
  <si>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</si>
  <si>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</si>
  <si>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</si>
  <si>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</si>
  <si>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</si>
  <si>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</si>
  <si>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</si>
  <si>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</si>
  <si>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</si>
  <si>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</si>
  <si>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</si>
  <si>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</si>
  <si>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</si>
  <si>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</si>
  <si>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</si>
  <si>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</si>
  <si>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</si>
  <si>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</si>
  <si>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</si>
  <si>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</si>
  <si>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</si>
  <si>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</si>
  <si>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</si>
  <si>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</si>
  <si>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</si>
  <si>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</si>
  <si>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</si>
  <si>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</si>
  <si>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</si>
  <si>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</si>
  <si>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</si>
  <si>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</si>
  <si>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</si>
  <si>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</si>
  <si>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</si>
  <si>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</si>
  <si>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</si>
  <si>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</si>
  <si>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</si>
  <si>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</si>
  <si>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</si>
  <si>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</si>
  <si>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</si>
  <si>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</si>
  <si>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</si>
  <si>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</si>
  <si>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</si>
  <si>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</si>
  <si>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</si>
  <si>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</si>
  <si>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</si>
  <si>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</si>
  <si>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</si>
  <si>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</si>
  <si>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</si>
  <si>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</si>
  <si>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</si>
  <si>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</si>
  <si>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</si>
  <si>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</si>
  <si>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</si>
  <si>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</si>
  <si>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</si>
  <si>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</si>
  <si>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Total Funds for Development equals Total Development Budget</t>
  </si>
  <si>
    <t>The minimum development operating reserves requirement has NOT been met</t>
  </si>
  <si>
    <t>Total Funds for Development do not equal Total Development Budget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</si>
  <si>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</si>
  <si>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</si>
  <si>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</si>
  <si>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</si>
  <si>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</si>
  <si>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</si>
  <si>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</si>
  <si>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</si>
  <si>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</si>
  <si>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</si>
  <si>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</si>
  <si>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</si>
  <si>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</si>
  <si>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</si>
  <si>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</si>
  <si>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</si>
  <si>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</si>
  <si>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</si>
  <si>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</si>
  <si>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</si>
  <si>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</si>
  <si>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</si>
  <si>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</si>
  <si>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</si>
  <si>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</si>
  <si>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To be Formed</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</si>
  <si>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</si>
  <si>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</si>
  <si>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</si>
  <si>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</si>
  <si>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</si>
  <si>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</si>
  <si>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</si>
  <si>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</si>
  <si>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</si>
  <si>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</si>
  <si>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</si>
  <si>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</si>
  <si>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</si>
  <si>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</si>
  <si>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</si>
  <si>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</si>
  <si>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</si>
  <si>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</si>
  <si>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</si>
  <si>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</si>
  <si>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</si>
  <si>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</si>
  <si>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</si>
  <si>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</si>
  <si>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</si>
  <si>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</si>
  <si>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</si>
  <si>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</si>
  <si>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</si>
  <si>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</si>
  <si>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</si>
  <si>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</si>
  <si>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</si>
  <si>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</si>
  <si>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</si>
  <si>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</si>
  <si>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</si>
  <si>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</si>
  <si>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</si>
  <si>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</si>
  <si>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</si>
  <si>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</si>
  <si>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</si>
  <si>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</si>
  <si>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</si>
  <si>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</si>
  <si>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</si>
  <si>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</si>
  <si>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</si>
  <si>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</si>
  <si>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</si>
  <si>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</si>
  <si>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</si>
  <si>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</si>
  <si>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</si>
  <si>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</si>
  <si>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</si>
  <si>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</si>
  <si>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</si>
  <si>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</si>
  <si>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</si>
  <si>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</si>
  <si>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</si>
  <si>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</si>
  <si>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</si>
  <si>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Individual</t>
  </si>
  <si>
    <t>AM Special Activity</t>
  </si>
  <si>
    <t xml:space="preserve">Supplemental/Additional Credit Fee </t>
  </si>
  <si>
    <t>Mixed</t>
  </si>
  <si>
    <t>30</t>
  </si>
  <si>
    <t>1 Story 1BR - Elderly</t>
  </si>
  <si>
    <t>40%</t>
  </si>
  <si>
    <t>Applicant</t>
  </si>
  <si>
    <t>35</t>
  </si>
  <si>
    <t>Purchase Contract</t>
  </si>
  <si>
    <t>1 Story 2BR - Elderly</t>
  </si>
  <si>
    <t>50%</t>
  </si>
  <si>
    <t>Business Relationship</t>
  </si>
  <si>
    <t>40</t>
  </si>
  <si>
    <t>New Const w/Fed Subsidies</t>
  </si>
  <si>
    <t>Eff - Elderly</t>
  </si>
  <si>
    <t>60%</t>
  </si>
  <si>
    <t>Disabled</t>
  </si>
  <si>
    <t>1BR Elderly</t>
  </si>
  <si>
    <t>70%</t>
  </si>
  <si>
    <t>Construction Inspector</t>
  </si>
  <si>
    <t>Rehabilitation w/Fed Subsidies</t>
  </si>
  <si>
    <t>2BR Elderly</t>
  </si>
  <si>
    <t>80%</t>
  </si>
  <si>
    <t>DC</t>
  </si>
  <si>
    <t>Rehabilitation w/out Fed Subsidies</t>
  </si>
  <si>
    <t>Eff - Garden</t>
  </si>
  <si>
    <t>100%</t>
  </si>
  <si>
    <t>1BR Garden</t>
  </si>
  <si>
    <t>2BR Garden</t>
  </si>
  <si>
    <t>Recording Fee</t>
  </si>
  <si>
    <t>3BR Garden</t>
  </si>
  <si>
    <t>Subsidy Layering Review Fee</t>
  </si>
  <si>
    <t>4BR Garden</t>
  </si>
  <si>
    <t>Insurance Broker</t>
  </si>
  <si>
    <t>2+ Story 2BR Townhouse</t>
  </si>
  <si>
    <t>Insurance Carrier</t>
  </si>
  <si>
    <t>2+ Story 3BR Townhouse</t>
  </si>
  <si>
    <t>2+ Story 4BR Townhouse</t>
  </si>
  <si>
    <t>Mortgagor</t>
  </si>
  <si>
    <t>Partner</t>
  </si>
  <si>
    <t>Sponsor</t>
  </si>
  <si>
    <t>Title Company</t>
  </si>
  <si>
    <t>Owner</t>
  </si>
  <si>
    <t>Management Entity</t>
  </si>
  <si>
    <t>Mortgage Banker</t>
  </si>
  <si>
    <t>Partnership</t>
  </si>
  <si>
    <t>Sedwick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</si>
</sst>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000_);\(#,##0.0000\)"/>
    <numFmt numFmtId="181" formatCode="#,##0.0_);\(#,##0.0\)"/>
    <numFmt numFmtId="182" formatCode="0.000000"/>
    <numFmt numFmtId="183" formatCode="mm/dd/yy;@"/>
  </numFmts>
  <fonts count="13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b/>
      <sz val="14"/>
      <name val="Arial"/>
      <family val="2"/>
    </font>
    <font>
      <sz val="12"/>
      <name val="Arial"/>
      <family val="2"/>
    </font>
    <font>
      <sz val="12"/>
      <color theme="1"/>
      <name val="Arial"/>
      <family val="2"/>
    </font>
    <font>
      <sz val="12"/>
      <name val="Arial"/>
      <family val="2"/>
    </font>
    <font>
      <b/>
      <sz val="14"/>
      <color theme="0"/>
      <name val="Arial"/>
      <family val="2"/>
    </font>
    <font>
      <b/>
      <sz val="12"/>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6"/>
      <color theme="1"/>
      <name val="Arial"/>
      <family val="2"/>
    </font>
    <font>
      <b/>
      <sz val="12"/>
      <color rgb="FF0000FF"/>
      <name val="Arial"/>
      <family val="2"/>
    </font>
    <font>
      <sz val="14"/>
      <color theme="1"/>
      <name val="Arial"/>
      <family val="2"/>
    </font>
    <font>
      <sz val="12"/>
      <color rgb="FFFF0000"/>
      <name val="Arial"/>
      <family val="2"/>
    </font>
    <font>
      <b/>
      <sz val="12"/>
      <color theme="1"/>
      <name val="Arial"/>
      <family val="2"/>
    </font>
    <font>
      <i/>
      <sz val="12"/>
      <color rgb="FFFF0000"/>
      <name val="Arial"/>
      <family val="2"/>
    </font>
    <font>
      <sz val="12"/>
      <color rgb="FF0000FF"/>
      <name val="Arial"/>
      <family val="2"/>
    </font>
    <font>
      <strike/>
      <sz val="12"/>
      <color theme="1"/>
      <name val="Arial"/>
      <family val="2"/>
    </font>
    <font>
      <b/>
      <i/>
      <sz val="12"/>
      <color theme="1"/>
      <name val="Arial"/>
      <family val="2"/>
    </font>
    <font>
      <b/>
      <sz val="12"/>
      <color rgb="FFFF0000"/>
      <name val="Arial"/>
      <family val="2"/>
    </font>
    <font>
      <sz val="10"/>
      <color theme="1"/>
      <name val="Arial"/>
      <family val="2"/>
    </font>
    <font>
      <b/>
      <sz val="10"/>
      <color theme="1"/>
      <name val="Arial"/>
      <family val="2"/>
    </font>
    <font>
      <i/>
      <sz val="10"/>
      <color theme="1"/>
      <name val="Arial"/>
      <family val="2"/>
    </font>
    <font>
      <i/>
      <sz val="12"/>
      <color theme="1"/>
      <name val="Arial"/>
      <family val="2"/>
    </font>
    <font>
      <strike/>
      <sz val="12"/>
      <color rgb="FFFF0000"/>
      <name val="Arial"/>
      <family val="2"/>
    </font>
    <font>
      <i/>
      <sz val="12"/>
      <color rgb="FF0000FF"/>
      <name val="Arial"/>
      <family val="2"/>
    </font>
    <font>
      <sz val="12"/>
      <color theme="1"/>
      <name val="Calibri"/>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Arial"/>
      <family val="2"/>
    </font>
    <font>
      <sz val="8"/>
      <color theme="1"/>
      <name val="Calibri"/>
      <family val="2"/>
      <scheme val="minor"/>
    </font>
    <font>
      <sz val="7.5"/>
      <color theme="1"/>
      <name val="Calibri"/>
      <family val="2"/>
      <scheme val="minor"/>
    </font>
    <font>
      <b/>
      <sz val="11"/>
      <color theme="1"/>
      <name val="Calibri"/>
      <scheme val="minor"/>
    </font>
    <font>
      <b/>
      <u/>
      <sz val="11"/>
      <color rgb="FF000000"/>
      <name val="Calibri"/>
      <family val="2"/>
    </font>
  </fonts>
  <fills count="61">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rgb="FFFFFFCC"/>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FCF7D1"/>
        <bgColor rgb="FFCCFFFF"/>
      </patternFill>
    </fill>
    <fill>
      <patternFill patternType="solid">
        <fgColor theme="1"/>
        <bgColor indexed="64"/>
      </patternFill>
    </fill>
    <fill>
      <patternFill patternType="solid">
        <fgColor theme="9" tint="0.59999389629810485"/>
        <bgColor indexed="64"/>
      </patternFill>
    </fill>
  </fills>
  <borders count="128">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style="double">
        <color indexed="64"/>
      </left>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style="thin">
        <color rgb="FF000000"/>
      </top>
      <bottom/>
      <diagonal/>
    </border>
    <border>
      <left style="thin">
        <color rgb="FF000000"/>
      </left>
      <right/>
      <top style="thin">
        <color rgb="FF000000"/>
      </top>
      <bottom/>
      <diagonal/>
    </border>
    <border>
      <left style="double">
        <color rgb="FF000000"/>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style="double">
        <color indexed="64"/>
      </right>
      <top style="double">
        <color indexed="64"/>
      </top>
      <bottom/>
      <diagonal/>
    </border>
    <border>
      <left/>
      <right style="double">
        <color auto="1"/>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right style="double">
        <color rgb="FF000000"/>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4" fillId="0" borderId="0">
      <alignment vertical="top"/>
    </xf>
    <xf numFmtId="4" fontId="54" fillId="0" borderId="0" applyFont="0" applyFill="0" applyBorder="0" applyAlignment="0" applyProtection="0"/>
    <xf numFmtId="0" fontId="54" fillId="0" borderId="0">
      <alignment vertical="top"/>
    </xf>
    <xf numFmtId="0" fontId="56" fillId="0" borderId="0">
      <alignment vertical="top"/>
    </xf>
    <xf numFmtId="10" fontId="54" fillId="0" borderId="0" applyFont="0" applyFill="0" applyBorder="0" applyAlignment="0" applyProtection="0"/>
    <xf numFmtId="7" fontId="54" fillId="0" borderId="0" applyFont="0" applyFill="0" applyBorder="0" applyAlignment="0" applyProtection="0"/>
    <xf numFmtId="0" fontId="54" fillId="0" borderId="0">
      <alignment vertical="top"/>
    </xf>
    <xf numFmtId="0" fontId="54" fillId="0" borderId="0">
      <alignment vertical="top"/>
    </xf>
    <xf numFmtId="0" fontId="60" fillId="0" borderId="0">
      <alignment vertical="top"/>
    </xf>
    <xf numFmtId="0" fontId="54" fillId="0" borderId="0">
      <alignment vertical="top"/>
    </xf>
    <xf numFmtId="0" fontId="68"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41" borderId="0" applyNumberFormat="0" applyBorder="0" applyAlignment="0" applyProtection="0"/>
    <xf numFmtId="0" fontId="75" fillId="25" borderId="0" applyNumberFormat="0" applyBorder="0" applyAlignment="0" applyProtection="0"/>
    <xf numFmtId="0" fontId="76" fillId="42" borderId="32" applyNumberFormat="0" applyAlignment="0" applyProtection="0"/>
    <xf numFmtId="0" fontId="77" fillId="43" borderId="3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8" fillId="0" borderId="0" applyNumberFormat="0" applyFill="0" applyBorder="0" applyAlignment="0" applyProtection="0"/>
    <xf numFmtId="0" fontId="79" fillId="26" borderId="0" applyNumberFormat="0" applyBorder="0" applyAlignment="0" applyProtection="0"/>
    <xf numFmtId="0" fontId="80" fillId="0" borderId="34"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0" applyNumberFormat="0" applyFill="0" applyBorder="0" applyAlignment="0" applyProtection="0"/>
    <xf numFmtId="0" fontId="83" fillId="29" borderId="32" applyNumberFormat="0" applyAlignment="0" applyProtection="0"/>
    <xf numFmtId="0" fontId="84" fillId="0" borderId="37" applyNumberFormat="0" applyFill="0" applyAlignment="0" applyProtection="0"/>
    <xf numFmtId="0" fontId="85"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86" fillId="42"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7" fillId="0" borderId="0" applyNumberFormat="0" applyFill="0" applyBorder="0" applyAlignment="0" applyProtection="0"/>
    <xf numFmtId="0" fontId="50" fillId="0" borderId="40" applyNumberFormat="0" applyFill="0" applyAlignment="0" applyProtection="0"/>
    <xf numFmtId="0" fontId="88"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9" fillId="45" borderId="0" applyNumberFormat="0" applyBorder="0" applyAlignment="0" applyProtection="0"/>
  </cellStyleXfs>
  <cellXfs count="958">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44" fontId="0" fillId="4" borderId="1" xfId="0" applyNumberFormat="1" applyFill="1" applyBorder="1" applyProtection="1">
      <protection locked="0"/>
    </xf>
    <xf numFmtId="0" fontId="0" fillId="4" borderId="1" xfId="0" applyFill="1" applyBorder="1" applyProtection="1">
      <protection locked="0"/>
    </xf>
    <xf numFmtId="9" fontId="0" fillId="4" borderId="1" xfId="1" applyFont="1" applyFill="1" applyBorder="1" applyAlignment="1" applyProtection="1">
      <alignment horizontal="left"/>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2"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0" borderId="0" xfId="0" applyAlignment="1">
      <alignment vertical="center"/>
    </xf>
    <xf numFmtId="183" fontId="0" fillId="4" borderId="1" xfId="0" applyNumberFormat="1" applyFill="1" applyBorder="1" applyAlignment="1" applyProtection="1">
      <alignment horizontal="left"/>
      <protection locked="0"/>
    </xf>
    <xf numFmtId="183"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56" fillId="0" borderId="0" xfId="28" applyAlignment="1"/>
    <xf numFmtId="0" fontId="3" fillId="0" borderId="0" xfId="28" applyFont="1" applyAlignment="1"/>
    <xf numFmtId="0" fontId="54" fillId="0" borderId="0" xfId="28" applyFont="1" applyAlignment="1"/>
    <xf numFmtId="0" fontId="3" fillId="0" borderId="30" xfId="28" applyFont="1" applyBorder="1" applyAlignment="1"/>
    <xf numFmtId="0" fontId="45" fillId="0" borderId="0" xfId="28" applyFont="1" applyAlignment="1"/>
    <xf numFmtId="5" fontId="56" fillId="0" borderId="0" xfId="28" applyNumberFormat="1" applyAlignment="1"/>
    <xf numFmtId="0" fontId="56" fillId="0" borderId="0" xfId="28" applyAlignment="1">
      <alignment horizontal="left"/>
    </xf>
    <xf numFmtId="0" fontId="66"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9" fillId="0" borderId="0" xfId="35" applyFont="1" applyFill="1"/>
    <xf numFmtId="168" fontId="0" fillId="0" borderId="0" xfId="3" applyNumberFormat="1" applyFont="1"/>
    <xf numFmtId="0" fontId="70" fillId="0" borderId="0" xfId="0" applyFont="1" applyAlignment="1">
      <alignment vertical="center"/>
    </xf>
    <xf numFmtId="0" fontId="71" fillId="0" borderId="0" xfId="0" applyFont="1"/>
    <xf numFmtId="0" fontId="72" fillId="0" borderId="0" xfId="0" applyFont="1" applyAlignment="1">
      <alignment vertical="center"/>
    </xf>
    <xf numFmtId="0" fontId="39" fillId="0" borderId="0" xfId="0" applyFont="1"/>
    <xf numFmtId="0" fontId="73" fillId="0" borderId="0" xfId="0" applyFont="1" applyAlignment="1">
      <alignment vertical="center"/>
    </xf>
    <xf numFmtId="0" fontId="71" fillId="0" borderId="26" xfId="0" applyFont="1" applyBorder="1"/>
    <xf numFmtId="0" fontId="72"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1" xfId="0" applyFont="1" applyFill="1" applyBorder="1"/>
    <xf numFmtId="0" fontId="0" fillId="16" borderId="41" xfId="0" applyFill="1" applyBorder="1"/>
    <xf numFmtId="0" fontId="0" fillId="0" borderId="41"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90"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7" fillId="0" borderId="0" xfId="0" applyFont="1" applyAlignment="1">
      <alignment horizontal="right"/>
    </xf>
    <xf numFmtId="166" fontId="43" fillId="0" borderId="0" xfId="3" applyNumberFormat="1" applyFont="1"/>
    <xf numFmtId="42" fontId="67"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2" xfId="1" applyNumberFormat="1" applyFont="1" applyBorder="1"/>
    <xf numFmtId="10" fontId="0" fillId="0" borderId="43"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8"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4"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2"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5"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4" fillId="0" borderId="0" xfId="0" applyFont="1"/>
    <xf numFmtId="0" fontId="2" fillId="8" borderId="0" xfId="0" applyFont="1" applyFill="1" applyAlignment="1">
      <alignment horizontal="left" indent="2"/>
    </xf>
    <xf numFmtId="49" fontId="68"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0" fontId="52" fillId="0" borderId="0" xfId="35" quotePrefix="1" applyFont="1" applyFill="1"/>
    <xf numFmtId="2" fontId="1" fillId="0" borderId="0" xfId="1" applyNumberFormat="1" applyBorder="1" applyAlignment="1">
      <alignment vertical="top"/>
    </xf>
    <xf numFmtId="42" fontId="1" fillId="0" borderId="0" xfId="11" applyNumberFormat="1" applyBorder="1" applyAlignment="1">
      <alignment vertical="top"/>
    </xf>
    <xf numFmtId="0" fontId="0" fillId="0" borderId="48" xfId="0" applyBorder="1"/>
    <xf numFmtId="0" fontId="0" fillId="8" borderId="48" xfId="0" applyFill="1" applyBorder="1"/>
    <xf numFmtId="10" fontId="0" fillId="8" borderId="0" xfId="0" applyNumberFormat="1" applyFill="1"/>
    <xf numFmtId="2" fontId="0" fillId="8" borderId="48" xfId="0" applyNumberFormat="1" applyFill="1" applyBorder="1"/>
    <xf numFmtId="9" fontId="0" fillId="8" borderId="48" xfId="1" applyFont="1" applyFill="1" applyBorder="1"/>
    <xf numFmtId="14" fontId="38" fillId="4" borderId="1" xfId="1019" applyNumberFormat="1" applyFont="1" applyFill="1" applyBorder="1" applyAlignment="1" applyProtection="1">
      <alignment horizontal="left"/>
      <protection locked="0"/>
    </xf>
    <xf numFmtId="10" fontId="0" fillId="0" borderId="49" xfId="0" applyNumberFormat="1" applyBorder="1"/>
    <xf numFmtId="0" fontId="68"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1" xfId="13" applyFill="1" applyBorder="1"/>
    <xf numFmtId="170" fontId="34" fillId="5" borderId="31"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50" xfId="0" applyFill="1" applyBorder="1"/>
    <xf numFmtId="0" fontId="0" fillId="0" borderId="50" xfId="0" applyBorder="1"/>
    <xf numFmtId="0" fontId="0" fillId="0" borderId="51" xfId="0" applyBorder="1"/>
    <xf numFmtId="0" fontId="36" fillId="46" borderId="50"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7"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7"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6" fontId="0" fillId="0" borderId="0" xfId="0" applyNumberFormat="1"/>
    <xf numFmtId="2" fontId="1" fillId="4" borderId="1" xfId="0" applyNumberFormat="1" applyFont="1" applyFill="1" applyBorder="1" applyAlignment="1" applyProtection="1">
      <alignment horizontal="left"/>
      <protection locked="0"/>
    </xf>
    <xf numFmtId="42" fontId="0" fillId="0" borderId="0" xfId="11" applyNumberFormat="1" applyFont="1" applyAlignment="1">
      <alignment horizontal="center" vertical="top"/>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2" xfId="8" applyNumberFormat="1" applyFont="1" applyBorder="1" applyAlignment="1">
      <alignment horizontal="center"/>
    </xf>
    <xf numFmtId="0" fontId="3" fillId="5" borderId="53" xfId="13" applyFill="1" applyBorder="1"/>
    <xf numFmtId="3" fontId="25" fillId="0" borderId="54" xfId="0" applyNumberFormat="1" applyFont="1" applyBorder="1" applyAlignment="1">
      <alignment horizontal="right"/>
    </xf>
    <xf numFmtId="3" fontId="25" fillId="0" borderId="54"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6"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0" fontId="0" fillId="4" borderId="1" xfId="1" applyNumberFormat="1" applyFont="1" applyFill="1" applyBorder="1" applyAlignment="1" applyProtection="1">
      <alignment horizontal="left"/>
      <protection locked="0"/>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9" fillId="48" borderId="0" xfId="0" applyFont="1" applyFill="1"/>
    <xf numFmtId="0" fontId="47" fillId="48" borderId="0" xfId="0" applyFont="1" applyFill="1"/>
    <xf numFmtId="0" fontId="99"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100" fillId="48" borderId="0" xfId="0" applyFont="1" applyFill="1"/>
    <xf numFmtId="0" fontId="99" fillId="2" borderId="0" xfId="0" applyFont="1" applyFill="1"/>
    <xf numFmtId="0" fontId="47" fillId="2" borderId="0" xfId="0" applyFont="1" applyFill="1"/>
    <xf numFmtId="0" fontId="2" fillId="3" borderId="0" xfId="0" applyFont="1" applyFill="1"/>
    <xf numFmtId="0" fontId="0" fillId="11" borderId="1" xfId="0" applyFill="1" applyBorder="1" applyProtection="1">
      <protection hidden="1"/>
    </xf>
    <xf numFmtId="0" fontId="0" fillId="0" borderId="1" xfId="0" applyBorder="1" applyProtection="1">
      <protection hidden="1"/>
    </xf>
    <xf numFmtId="1" fontId="0" fillId="0" borderId="1" xfId="0" applyNumberFormat="1" applyBorder="1" applyProtection="1">
      <protection hidden="1"/>
    </xf>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3" borderId="0" xfId="0" applyFont="1" applyFill="1" applyProtection="1">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3" fillId="0" borderId="0" xfId="0" applyFont="1"/>
    <xf numFmtId="0" fontId="53" fillId="0" borderId="0" xfId="0" applyFont="1" applyProtection="1">
      <protection locked="0"/>
    </xf>
    <xf numFmtId="0" fontId="104" fillId="0" borderId="0" xfId="0" applyFont="1"/>
    <xf numFmtId="0" fontId="107" fillId="0" borderId="0" xfId="0" applyFont="1"/>
    <xf numFmtId="0" fontId="108" fillId="0" borderId="0" xfId="0" applyFont="1" applyAlignment="1">
      <alignment horizontal="right"/>
    </xf>
    <xf numFmtId="14" fontId="55" fillId="0" borderId="0" xfId="0" applyNumberFormat="1" applyFont="1" applyAlignment="1">
      <alignment horizontal="left"/>
    </xf>
    <xf numFmtId="0" fontId="103" fillId="0" borderId="0" xfId="0" applyFont="1" applyAlignment="1">
      <alignment horizontal="left"/>
    </xf>
    <xf numFmtId="0" fontId="109" fillId="0" borderId="0" xfId="0" applyFont="1"/>
    <xf numFmtId="0" fontId="57" fillId="52" borderId="57" xfId="0" applyFont="1" applyFill="1" applyBorder="1"/>
    <xf numFmtId="0" fontId="57" fillId="52" borderId="58" xfId="0" applyFont="1" applyFill="1" applyBorder="1"/>
    <xf numFmtId="0" fontId="57" fillId="52" borderId="58" xfId="0" applyFont="1" applyFill="1" applyBorder="1" applyAlignment="1">
      <alignment horizontal="right"/>
    </xf>
    <xf numFmtId="0" fontId="57" fillId="52" borderId="59" xfId="0" applyFont="1" applyFill="1" applyBorder="1" applyAlignment="1">
      <alignment horizontal="right"/>
    </xf>
    <xf numFmtId="0" fontId="58" fillId="53" borderId="0" xfId="0" applyFont="1" applyFill="1"/>
    <xf numFmtId="0" fontId="59" fillId="53" borderId="0" xfId="0" applyFont="1" applyFill="1"/>
    <xf numFmtId="0" fontId="59" fillId="53" borderId="61" xfId="0" applyFont="1" applyFill="1" applyBorder="1"/>
    <xf numFmtId="3" fontId="106" fillId="51" borderId="61" xfId="0" applyNumberFormat="1" applyFont="1" applyFill="1" applyBorder="1"/>
    <xf numFmtId="0" fontId="55" fillId="0" borderId="60" xfId="0" applyFont="1" applyBorder="1"/>
    <xf numFmtId="0" fontId="55" fillId="0" borderId="0" xfId="0" applyFont="1"/>
    <xf numFmtId="3" fontId="55" fillId="0" borderId="0" xfId="0" applyNumberFormat="1" applyFont="1"/>
    <xf numFmtId="4" fontId="55" fillId="0" borderId="61" xfId="0" applyNumberFormat="1" applyFont="1" applyBorder="1"/>
    <xf numFmtId="3" fontId="55" fillId="0" borderId="61" xfId="0" applyNumberFormat="1" applyFont="1" applyBorder="1"/>
    <xf numFmtId="0" fontId="108" fillId="0" borderId="0" xfId="0" applyFont="1"/>
    <xf numFmtId="10" fontId="55" fillId="0" borderId="60" xfId="0" applyNumberFormat="1" applyFont="1" applyBorder="1" applyAlignment="1">
      <alignment horizontal="center"/>
    </xf>
    <xf numFmtId="0" fontId="55" fillId="0" borderId="0" xfId="0" quotePrefix="1" applyFont="1"/>
    <xf numFmtId="7" fontId="55" fillId="0" borderId="0" xfId="0" applyNumberFormat="1" applyFont="1" applyAlignment="1">
      <alignment horizontal="right"/>
    </xf>
    <xf numFmtId="0" fontId="55" fillId="0" borderId="0" xfId="0" applyFont="1" applyAlignment="1">
      <alignment horizontal="left"/>
    </xf>
    <xf numFmtId="0" fontId="110" fillId="0" borderId="0" xfId="0" applyFont="1"/>
    <xf numFmtId="0" fontId="111" fillId="0" borderId="60" xfId="0" applyFont="1" applyBorder="1"/>
    <xf numFmtId="0" fontId="55" fillId="0" borderId="0" xfId="0" applyFont="1" applyAlignment="1">
      <alignment horizontal="right"/>
    </xf>
    <xf numFmtId="7" fontId="55" fillId="0" borderId="0" xfId="0" applyNumberFormat="1" applyFont="1" applyAlignment="1">
      <alignment horizontal="left"/>
    </xf>
    <xf numFmtId="0" fontId="112" fillId="0" borderId="0" xfId="0" applyFont="1"/>
    <xf numFmtId="5" fontId="55" fillId="0" borderId="0" xfId="0" applyNumberFormat="1" applyFont="1" applyAlignment="1">
      <alignment horizontal="left"/>
    </xf>
    <xf numFmtId="176" fontId="55" fillId="0" borderId="0" xfId="0" applyNumberFormat="1" applyFont="1"/>
    <xf numFmtId="180" fontId="55" fillId="0" borderId="0" xfId="0" applyNumberFormat="1" applyFont="1"/>
    <xf numFmtId="5" fontId="55" fillId="0" borderId="0" xfId="0" applyNumberFormat="1" applyFont="1"/>
    <xf numFmtId="0" fontId="113" fillId="0" borderId="0" xfId="0" applyFont="1"/>
    <xf numFmtId="0" fontId="114" fillId="0" borderId="0" xfId="0" applyFont="1"/>
    <xf numFmtId="0" fontId="115" fillId="0" borderId="0" xfId="0" applyFont="1"/>
    <xf numFmtId="0" fontId="103" fillId="0" borderId="64" xfId="0" applyFont="1" applyBorder="1"/>
    <xf numFmtId="0" fontId="109" fillId="53" borderId="74" xfId="0" applyFont="1" applyFill="1" applyBorder="1" applyAlignment="1">
      <alignment horizontal="center"/>
    </xf>
    <xf numFmtId="0" fontId="109" fillId="0" borderId="74" xfId="0" applyFont="1" applyBorder="1" applyAlignment="1">
      <alignment horizontal="right"/>
    </xf>
    <xf numFmtId="0" fontId="109" fillId="0" borderId="73" xfId="0" applyFont="1" applyBorder="1"/>
    <xf numFmtId="0" fontId="109" fillId="0" borderId="76" xfId="0" applyFont="1" applyBorder="1"/>
    <xf numFmtId="0" fontId="109" fillId="0" borderId="76" xfId="0" applyFont="1" applyBorder="1" applyAlignment="1">
      <alignment horizontal="right"/>
    </xf>
    <xf numFmtId="0" fontId="109" fillId="53" borderId="60" xfId="0" applyFont="1" applyFill="1" applyBorder="1" applyAlignment="1">
      <alignment horizontal="left"/>
    </xf>
    <xf numFmtId="0" fontId="109" fillId="53" borderId="0" xfId="0" applyFont="1" applyFill="1" applyAlignment="1">
      <alignment horizontal="left"/>
    </xf>
    <xf numFmtId="0" fontId="109" fillId="53" borderId="84" xfId="0" applyFont="1" applyFill="1" applyBorder="1" applyAlignment="1">
      <alignment horizontal="left"/>
    </xf>
    <xf numFmtId="0" fontId="0" fillId="0" borderId="61" xfId="0" applyBorder="1"/>
    <xf numFmtId="0" fontId="109" fillId="53" borderId="76" xfId="0" applyFont="1" applyFill="1" applyBorder="1" applyAlignment="1">
      <alignment horizontal="left"/>
    </xf>
    <xf numFmtId="0" fontId="109" fillId="52" borderId="76" xfId="0" applyFont="1" applyFill="1" applyBorder="1" applyAlignment="1">
      <alignment horizontal="left"/>
    </xf>
    <xf numFmtId="0" fontId="109" fillId="0" borderId="76" xfId="0" applyFont="1" applyBorder="1" applyAlignment="1">
      <alignment horizontal="left"/>
    </xf>
    <xf numFmtId="0" fontId="116" fillId="0" borderId="0" xfId="0" applyFont="1"/>
    <xf numFmtId="0" fontId="117" fillId="0" borderId="0" xfId="0" applyFont="1"/>
    <xf numFmtId="0" fontId="118" fillId="0" borderId="0" xfId="0" applyFont="1"/>
    <xf numFmtId="0" fontId="59" fillId="0" borderId="0" xfId="0" applyFont="1"/>
    <xf numFmtId="0" fontId="58" fillId="52" borderId="94" xfId="0" applyFont="1" applyFill="1" applyBorder="1"/>
    <xf numFmtId="0" fontId="58" fillId="52" borderId="95" xfId="0" applyFont="1" applyFill="1" applyBorder="1"/>
    <xf numFmtId="0" fontId="58" fillId="52" borderId="96" xfId="0" applyFont="1" applyFill="1" applyBorder="1"/>
    <xf numFmtId="0" fontId="55" fillId="0" borderId="59" xfId="0" applyFont="1" applyBorder="1"/>
    <xf numFmtId="0" fontId="55" fillId="0" borderId="79" xfId="0" applyFont="1" applyBorder="1"/>
    <xf numFmtId="0" fontId="55" fillId="0" borderId="61" xfId="0" applyFont="1" applyBorder="1"/>
    <xf numFmtId="3" fontId="55" fillId="0" borderId="79" xfId="0" applyNumberFormat="1" applyFont="1" applyBorder="1"/>
    <xf numFmtId="0" fontId="55" fillId="0" borderId="79" xfId="0" applyFont="1" applyBorder="1" applyAlignment="1">
      <alignment horizontal="left" wrapText="1"/>
    </xf>
    <xf numFmtId="0" fontId="106" fillId="0" borderId="79" xfId="0" applyFont="1" applyBorder="1" applyAlignment="1">
      <alignment vertical="top"/>
    </xf>
    <xf numFmtId="0" fontId="111" fillId="0" borderId="79" xfId="0" applyFont="1" applyBorder="1" applyAlignment="1">
      <alignment vertical="top"/>
    </xf>
    <xf numFmtId="0" fontId="121" fillId="0" borderId="0" xfId="0" quotePrefix="1" applyFont="1"/>
    <xf numFmtId="0" fontId="55" fillId="53" borderId="75" xfId="0" applyFont="1" applyFill="1" applyBorder="1"/>
    <xf numFmtId="0" fontId="55" fillId="52" borderId="102" xfId="0" applyFont="1" applyFill="1" applyBorder="1"/>
    <xf numFmtId="0" fontId="58" fillId="52" borderId="92" xfId="0" applyFont="1" applyFill="1" applyBorder="1"/>
    <xf numFmtId="0" fontId="58" fillId="52" borderId="103" xfId="0" applyFont="1" applyFill="1" applyBorder="1"/>
    <xf numFmtId="165" fontId="58" fillId="52" borderId="90" xfId="0" applyNumberFormat="1" applyFont="1" applyFill="1" applyBorder="1"/>
    <xf numFmtId="0" fontId="55" fillId="0" borderId="64" xfId="0" applyFont="1" applyBorder="1"/>
    <xf numFmtId="0" fontId="55" fillId="0" borderId="58" xfId="0" applyFont="1" applyBorder="1"/>
    <xf numFmtId="0" fontId="7" fillId="2" borderId="0" xfId="0" applyFont="1" applyFill="1" applyAlignment="1">
      <alignment wrapText="1"/>
    </xf>
    <xf numFmtId="0" fontId="123" fillId="0" borderId="0" xfId="0" applyFont="1" applyAlignment="1" applyProtection="1">
      <alignment horizontal="right"/>
      <protection locked="0"/>
    </xf>
    <xf numFmtId="2" fontId="54" fillId="0" borderId="0" xfId="28" applyNumberFormat="1" applyFont="1" applyAlignment="1"/>
    <xf numFmtId="178" fontId="56" fillId="0" borderId="0" xfId="28" applyNumberFormat="1" applyAlignment="1"/>
    <xf numFmtId="0" fontId="55" fillId="0" borderId="97" xfId="0" applyFont="1" applyBorder="1"/>
    <xf numFmtId="0" fontId="55" fillId="0" borderId="99" xfId="0" applyFont="1" applyBorder="1"/>
    <xf numFmtId="0" fontId="119" fillId="0" borderId="99" xfId="0" applyFont="1" applyBorder="1"/>
    <xf numFmtId="2" fontId="55" fillId="0" borderId="99" xfId="0" applyNumberFormat="1" applyFont="1" applyBorder="1"/>
    <xf numFmtId="165" fontId="111" fillId="0" borderId="79" xfId="0" applyNumberFormat="1" applyFont="1" applyBorder="1"/>
    <xf numFmtId="3" fontId="55" fillId="0" borderId="99" xfId="0" applyNumberFormat="1" applyFont="1" applyBorder="1"/>
    <xf numFmtId="165" fontId="55" fillId="0" borderId="0" xfId="0" applyNumberFormat="1" applyFont="1"/>
    <xf numFmtId="10" fontId="55" fillId="0" borderId="99" xfId="0" applyNumberFormat="1" applyFont="1" applyBorder="1"/>
    <xf numFmtId="3" fontId="56" fillId="0" borderId="0" xfId="28" applyNumberFormat="1" applyAlignment="1"/>
    <xf numFmtId="169" fontId="105" fillId="0" borderId="0" xfId="11" applyNumberFormat="1" applyFont="1"/>
    <xf numFmtId="169" fontId="104" fillId="0" borderId="0" xfId="11" applyNumberFormat="1" applyFont="1"/>
    <xf numFmtId="169" fontId="57" fillId="52" borderId="58" xfId="11" applyNumberFormat="1" applyFont="1" applyFill="1" applyBorder="1" applyAlignment="1">
      <alignment horizontal="right"/>
    </xf>
    <xf numFmtId="169" fontId="59" fillId="53" borderId="0" xfId="11" applyNumberFormat="1" applyFont="1" applyFill="1"/>
    <xf numFmtId="169" fontId="109" fillId="0" borderId="0" xfId="11" applyNumberFormat="1" applyFont="1"/>
    <xf numFmtId="169" fontId="109" fillId="0" borderId="65" xfId="11" applyNumberFormat="1" applyFont="1" applyBorder="1"/>
    <xf numFmtId="169" fontId="109" fillId="0" borderId="68" xfId="11" applyNumberFormat="1" applyFont="1" applyBorder="1"/>
    <xf numFmtId="169" fontId="109" fillId="0" borderId="70" xfId="11" applyNumberFormat="1" applyFont="1" applyBorder="1"/>
    <xf numFmtId="169" fontId="56" fillId="0" borderId="0" xfId="11" applyNumberFormat="1" applyFont="1" applyAlignment="1"/>
    <xf numFmtId="0" fontId="34" fillId="0" borderId="0" xfId="28" applyFont="1" applyAlignment="1"/>
    <xf numFmtId="3" fontId="55" fillId="0" borderId="110" xfId="0" applyNumberFormat="1" applyFont="1" applyBorder="1"/>
    <xf numFmtId="3" fontId="55" fillId="0" borderId="111" xfId="0" applyNumberFormat="1" applyFont="1" applyBorder="1"/>
    <xf numFmtId="9" fontId="55" fillId="0" borderId="0" xfId="0" applyNumberFormat="1" applyFont="1" applyAlignment="1">
      <alignment horizontal="center"/>
    </xf>
    <xf numFmtId="0" fontId="100" fillId="0" borderId="0" xfId="0" applyFont="1"/>
    <xf numFmtId="0" fontId="111" fillId="51" borderId="0" xfId="0" applyFont="1" applyFill="1"/>
    <xf numFmtId="169" fontId="106" fillId="0" borderId="0" xfId="11" applyNumberFormat="1" applyFont="1" applyFill="1"/>
    <xf numFmtId="0" fontId="111" fillId="51" borderId="73" xfId="0" applyFont="1" applyFill="1" applyBorder="1" applyAlignment="1">
      <alignment horizontal="left"/>
    </xf>
    <xf numFmtId="9" fontId="111" fillId="0" borderId="74" xfId="0" applyNumberFormat="1" applyFont="1" applyBorder="1" applyAlignment="1">
      <alignment horizontal="right"/>
    </xf>
    <xf numFmtId="1" fontId="111" fillId="0" borderId="74" xfId="0" applyNumberFormat="1" applyFont="1" applyBorder="1" applyAlignment="1">
      <alignment horizontal="right"/>
    </xf>
    <xf numFmtId="3" fontId="111" fillId="0" borderId="74" xfId="0" applyNumberFormat="1" applyFont="1" applyBorder="1"/>
    <xf numFmtId="3" fontId="111" fillId="51" borderId="74" xfId="0" applyNumberFormat="1" applyFont="1" applyFill="1" applyBorder="1"/>
    <xf numFmtId="3" fontId="55" fillId="0" borderId="74" xfId="0" applyNumberFormat="1" applyFont="1" applyBorder="1"/>
    <xf numFmtId="0" fontId="55" fillId="53" borderId="74" xfId="0" applyFont="1" applyFill="1" applyBorder="1"/>
    <xf numFmtId="3" fontId="55" fillId="53" borderId="74" xfId="0" applyNumberFormat="1" applyFont="1" applyFill="1" applyBorder="1"/>
    <xf numFmtId="3" fontId="59" fillId="52" borderId="74" xfId="0" applyNumberFormat="1" applyFont="1" applyFill="1" applyBorder="1"/>
    <xf numFmtId="3" fontId="55" fillId="54" borderId="74" xfId="0" applyNumberFormat="1" applyFont="1" applyFill="1" applyBorder="1"/>
    <xf numFmtId="0" fontId="55" fillId="54" borderId="77" xfId="0" applyFont="1" applyFill="1" applyBorder="1"/>
    <xf numFmtId="3" fontId="111" fillId="51" borderId="89" xfId="0" applyNumberFormat="1" applyFont="1" applyFill="1" applyBorder="1"/>
    <xf numFmtId="0" fontId="98" fillId="0" borderId="0" xfId="0" quotePrefix="1" applyFont="1" applyAlignment="1">
      <alignment horizontal="right"/>
    </xf>
    <xf numFmtId="0" fontId="111" fillId="51" borderId="79" xfId="0" applyFont="1" applyFill="1" applyBorder="1" applyAlignment="1">
      <alignment horizontal="left" wrapText="1"/>
    </xf>
    <xf numFmtId="0" fontId="111" fillId="0" borderId="79" xfId="0" applyFont="1" applyBorder="1" applyAlignment="1">
      <alignment horizontal="left" wrapText="1"/>
    </xf>
    <xf numFmtId="3" fontId="111" fillId="0" borderId="79" xfId="0" applyNumberFormat="1" applyFont="1" applyBorder="1"/>
    <xf numFmtId="167" fontId="111" fillId="0" borderId="79" xfId="0" applyNumberFormat="1" applyFont="1" applyBorder="1"/>
    <xf numFmtId="1" fontId="111" fillId="0" borderId="79" xfId="0" applyNumberFormat="1" applyFont="1" applyBorder="1"/>
    <xf numFmtId="3" fontId="111" fillId="51" borderId="79" xfId="0" applyNumberFormat="1" applyFont="1" applyFill="1" applyBorder="1"/>
    <xf numFmtId="0" fontId="115" fillId="0" borderId="104" xfId="0" applyFont="1" applyBorder="1"/>
    <xf numFmtId="0" fontId="1" fillId="56" borderId="0" xfId="0" applyFont="1" applyFill="1"/>
    <xf numFmtId="0" fontId="31" fillId="56"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112" xfId="0" applyBorder="1"/>
    <xf numFmtId="14" fontId="0" fillId="8" borderId="112" xfId="0" applyNumberFormat="1" applyFill="1" applyBorder="1"/>
    <xf numFmtId="0" fontId="0" fillId="19" borderId="112" xfId="0" applyFill="1" applyBorder="1"/>
    <xf numFmtId="0" fontId="11" fillId="8" borderId="112" xfId="0" applyFont="1" applyFill="1" applyBorder="1" applyAlignment="1">
      <alignment vertical="center" wrapText="1"/>
    </xf>
    <xf numFmtId="0" fontId="11" fillId="8" borderId="112" xfId="0" applyFont="1" applyFill="1" applyBorder="1" applyAlignment="1">
      <alignment vertical="center"/>
    </xf>
    <xf numFmtId="0" fontId="103" fillId="0" borderId="0" xfId="0" applyFont="1" applyAlignment="1">
      <alignment horizontal="right"/>
    </xf>
    <xf numFmtId="0" fontId="105" fillId="0" borderId="0" xfId="0" applyFont="1"/>
    <xf numFmtId="0" fontId="107" fillId="0" borderId="0" xfId="0" applyFont="1" applyAlignment="1">
      <alignment vertical="top"/>
    </xf>
    <xf numFmtId="0" fontId="57" fillId="0" borderId="0" xfId="0" applyFont="1"/>
    <xf numFmtId="0" fontId="109" fillId="0" borderId="57" xfId="0" applyFont="1" applyBorder="1"/>
    <xf numFmtId="0" fontId="109" fillId="53" borderId="60" xfId="0" applyFont="1" applyFill="1" applyBorder="1"/>
    <xf numFmtId="0" fontId="109" fillId="0" borderId="60" xfId="0" applyFont="1" applyBorder="1"/>
    <xf numFmtId="0" fontId="109" fillId="0" borderId="62" xfId="0" applyFont="1" applyBorder="1"/>
    <xf numFmtId="3" fontId="109" fillId="0" borderId="0" xfId="0" applyNumberFormat="1" applyFont="1"/>
    <xf numFmtId="4" fontId="109" fillId="0" borderId="61" xfId="0" applyNumberFormat="1" applyFont="1" applyBorder="1"/>
    <xf numFmtId="169" fontId="109" fillId="54" borderId="0" xfId="11" applyNumberFormat="1" applyFont="1" applyFill="1"/>
    <xf numFmtId="3" fontId="109" fillId="54" borderId="0" xfId="0" applyNumberFormat="1" applyFont="1" applyFill="1"/>
    <xf numFmtId="4" fontId="109" fillId="54" borderId="61" xfId="0" applyNumberFormat="1" applyFont="1" applyFill="1" applyBorder="1"/>
    <xf numFmtId="0" fontId="109" fillId="53" borderId="62" xfId="0" applyFont="1" applyFill="1" applyBorder="1"/>
    <xf numFmtId="0" fontId="109" fillId="53" borderId="64" xfId="0" applyFont="1" applyFill="1" applyBorder="1"/>
    <xf numFmtId="169" fontId="109" fillId="53" borderId="64" xfId="11" applyNumberFormat="1" applyFont="1" applyFill="1" applyBorder="1"/>
    <xf numFmtId="5" fontId="109" fillId="53" borderId="64" xfId="0" applyNumberFormat="1" applyFont="1" applyFill="1" applyBorder="1"/>
    <xf numFmtId="7" fontId="109" fillId="53" borderId="63" xfId="0" applyNumberFormat="1" applyFont="1" applyFill="1" applyBorder="1"/>
    <xf numFmtId="169" fontId="55" fillId="0" borderId="0" xfId="11" applyNumberFormat="1" applyFont="1"/>
    <xf numFmtId="176" fontId="55" fillId="0" borderId="0" xfId="0" applyNumberFormat="1" applyFont="1" applyAlignment="1">
      <alignment horizontal="left"/>
    </xf>
    <xf numFmtId="9" fontId="55" fillId="0" borderId="0" xfId="0" applyNumberFormat="1" applyFont="1" applyAlignment="1">
      <alignment horizontal="left"/>
    </xf>
    <xf numFmtId="7" fontId="55" fillId="0" borderId="66" xfId="0" applyNumberFormat="1" applyFont="1" applyBorder="1"/>
    <xf numFmtId="7" fontId="55" fillId="0" borderId="67" xfId="0" applyNumberFormat="1" applyFont="1" applyBorder="1"/>
    <xf numFmtId="7" fontId="55" fillId="0" borderId="0" xfId="0" applyNumberFormat="1" applyFont="1"/>
    <xf numFmtId="7" fontId="55" fillId="0" borderId="69" xfId="0" applyNumberFormat="1" applyFont="1" applyBorder="1"/>
    <xf numFmtId="7" fontId="55" fillId="0" borderId="71" xfId="0" applyNumberFormat="1" applyFont="1" applyBorder="1"/>
    <xf numFmtId="7" fontId="55" fillId="0" borderId="72" xfId="0" applyNumberFormat="1" applyFont="1" applyBorder="1"/>
    <xf numFmtId="4" fontId="55" fillId="0" borderId="0" xfId="0" applyNumberFormat="1" applyFont="1"/>
    <xf numFmtId="0" fontId="58" fillId="52" borderId="60" xfId="0" applyFont="1" applyFill="1" applyBorder="1"/>
    <xf numFmtId="0" fontId="58" fillId="52" borderId="0" xfId="0" applyFont="1" applyFill="1"/>
    <xf numFmtId="0" fontId="58" fillId="52" borderId="0" xfId="0" applyFont="1" applyFill="1" applyAlignment="1">
      <alignment horizontal="left"/>
    </xf>
    <xf numFmtId="0" fontId="55" fillId="0" borderId="73" xfId="0" applyFont="1" applyBorder="1" applyAlignment="1">
      <alignment horizontal="center"/>
    </xf>
    <xf numFmtId="0" fontId="55" fillId="0" borderId="74" xfId="0" applyFont="1" applyBorder="1" applyAlignment="1">
      <alignment horizontal="center"/>
    </xf>
    <xf numFmtId="3" fontId="55" fillId="0" borderId="74" xfId="0" applyNumberFormat="1" applyFont="1" applyBorder="1" applyAlignment="1">
      <alignment horizontal="center"/>
    </xf>
    <xf numFmtId="0" fontId="55" fillId="0" borderId="74" xfId="0" applyFont="1" applyBorder="1" applyAlignment="1">
      <alignment horizontal="right" wrapText="1"/>
    </xf>
    <xf numFmtId="10" fontId="55" fillId="0" borderId="60" xfId="0" applyNumberFormat="1" applyFont="1" applyBorder="1"/>
    <xf numFmtId="0" fontId="111" fillId="0" borderId="74" xfId="0" applyFont="1" applyBorder="1" applyAlignment="1">
      <alignment horizontal="right" wrapText="1"/>
    </xf>
    <xf numFmtId="3" fontId="55" fillId="0" borderId="60" xfId="0" applyNumberFormat="1" applyFont="1" applyBorder="1"/>
    <xf numFmtId="0" fontId="55" fillId="0" borderId="75" xfId="0" applyFont="1" applyBorder="1"/>
    <xf numFmtId="0" fontId="55" fillId="0" borderId="76" xfId="0" applyFont="1" applyBorder="1" applyAlignment="1">
      <alignment horizontal="right"/>
    </xf>
    <xf numFmtId="1" fontId="55" fillId="0" borderId="76" xfId="0" applyNumberFormat="1" applyFont="1" applyBorder="1" applyAlignment="1">
      <alignment horizontal="center"/>
    </xf>
    <xf numFmtId="3" fontId="55" fillId="0" borderId="76" xfId="0" applyNumberFormat="1" applyFont="1" applyBorder="1" applyAlignment="1">
      <alignment horizontal="center"/>
    </xf>
    <xf numFmtId="0" fontId="55" fillId="0" borderId="76" xfId="0" applyFont="1" applyBorder="1"/>
    <xf numFmtId="0" fontId="55" fillId="0" borderId="73" xfId="0" applyFont="1" applyBorder="1"/>
    <xf numFmtId="176" fontId="55" fillId="0" borderId="76" xfId="0" applyNumberFormat="1" applyFont="1" applyBorder="1" applyAlignment="1">
      <alignment horizontal="center"/>
    </xf>
    <xf numFmtId="3" fontId="55" fillId="0" borderId="76" xfId="0" applyNumberFormat="1" applyFont="1" applyBorder="1"/>
    <xf numFmtId="0" fontId="111" fillId="0" borderId="76" xfId="0" applyFont="1" applyBorder="1"/>
    <xf numFmtId="0" fontId="55" fillId="0" borderId="77" xfId="0" applyFont="1" applyBorder="1"/>
    <xf numFmtId="0" fontId="55" fillId="0" borderId="74" xfId="0" applyFont="1" applyBorder="1"/>
    <xf numFmtId="37" fontId="55" fillId="0" borderId="79" xfId="0" applyNumberFormat="1" applyFont="1" applyBorder="1"/>
    <xf numFmtId="0" fontId="55" fillId="0" borderId="57" xfId="0" applyFont="1" applyBorder="1"/>
    <xf numFmtId="10" fontId="55" fillId="0" borderId="78" xfId="0" applyNumberFormat="1" applyFont="1" applyBorder="1"/>
    <xf numFmtId="0" fontId="55" fillId="0" borderId="80" xfId="0" applyFont="1" applyBorder="1"/>
    <xf numFmtId="0" fontId="55" fillId="0" borderId="80" xfId="0" applyFont="1" applyBorder="1" applyAlignment="1">
      <alignment horizontal="right"/>
    </xf>
    <xf numFmtId="0" fontId="58" fillId="52" borderId="77" xfId="0" applyFont="1" applyFill="1" applyBorder="1"/>
    <xf numFmtId="0" fontId="58" fillId="52" borderId="80" xfId="0" applyFont="1" applyFill="1" applyBorder="1" applyAlignment="1">
      <alignment horizontal="right"/>
    </xf>
    <xf numFmtId="0" fontId="58" fillId="52" borderId="75" xfId="0" applyFont="1" applyFill="1" applyBorder="1"/>
    <xf numFmtId="0" fontId="58" fillId="52" borderId="82" xfId="0" applyFont="1" applyFill="1" applyBorder="1"/>
    <xf numFmtId="0" fontId="58" fillId="52" borderId="83" xfId="0" applyFont="1" applyFill="1" applyBorder="1"/>
    <xf numFmtId="0" fontId="55" fillId="0" borderId="76" xfId="0" applyFont="1" applyBorder="1" applyAlignment="1">
      <alignment horizontal="right" wrapText="1"/>
    </xf>
    <xf numFmtId="0" fontId="55" fillId="0" borderId="84" xfId="0" applyFont="1" applyBorder="1"/>
    <xf numFmtId="0" fontId="55" fillId="0" borderId="91" xfId="0" applyFont="1" applyBorder="1"/>
    <xf numFmtId="0" fontId="55" fillId="0" borderId="92" xfId="0" applyFont="1" applyBorder="1" applyAlignment="1">
      <alignment horizontal="left" vertical="center"/>
    </xf>
    <xf numFmtId="39" fontId="55" fillId="0" borderId="0" xfId="0" applyNumberFormat="1" applyFont="1"/>
    <xf numFmtId="0" fontId="109" fillId="52" borderId="93" xfId="0" applyFont="1" applyFill="1" applyBorder="1"/>
    <xf numFmtId="0" fontId="109" fillId="0" borderId="0" xfId="0" applyFont="1" applyAlignment="1">
      <alignment horizontal="right"/>
    </xf>
    <xf numFmtId="0" fontId="109" fillId="0" borderId="79" xfId="0" applyFont="1" applyBorder="1"/>
    <xf numFmtId="0" fontId="108" fillId="0" borderId="61" xfId="0" applyFont="1" applyBorder="1" applyAlignment="1">
      <alignment horizontal="center"/>
    </xf>
    <xf numFmtId="0" fontId="108" fillId="0" borderId="61" xfId="0" applyFont="1" applyBorder="1"/>
    <xf numFmtId="0" fontId="109" fillId="53" borderId="82" xfId="0" applyFont="1" applyFill="1" applyBorder="1"/>
    <xf numFmtId="0" fontId="109" fillId="53" borderId="83" xfId="0" applyFont="1" applyFill="1" applyBorder="1"/>
    <xf numFmtId="165" fontId="109" fillId="53" borderId="79" xfId="0" applyNumberFormat="1" applyFont="1" applyFill="1" applyBorder="1"/>
    <xf numFmtId="0" fontId="109" fillId="0" borderId="104" xfId="0" applyFont="1" applyBorder="1"/>
    <xf numFmtId="0" fontId="109" fillId="0" borderId="63" xfId="0" applyFont="1" applyBorder="1"/>
    <xf numFmtId="0" fontId="115" fillId="0" borderId="105" xfId="0" applyFont="1" applyBorder="1"/>
    <xf numFmtId="2" fontId="115" fillId="0" borderId="59" xfId="0" applyNumberFormat="1" applyFont="1" applyBorder="1"/>
    <xf numFmtId="0" fontId="115" fillId="0" borderId="106" xfId="0" applyFont="1" applyBorder="1"/>
    <xf numFmtId="0" fontId="115" fillId="0" borderId="95" xfId="0" applyFont="1" applyBorder="1"/>
    <xf numFmtId="3" fontId="115" fillId="0" borderId="107" xfId="0" applyNumberFormat="1" applyFont="1" applyBorder="1"/>
    <xf numFmtId="0" fontId="115" fillId="0" borderId="108" xfId="0" applyFont="1" applyBorder="1"/>
    <xf numFmtId="178" fontId="115" fillId="0" borderId="109" xfId="0" applyNumberFormat="1" applyFont="1" applyBorder="1"/>
    <xf numFmtId="9" fontId="25" fillId="0" borderId="112" xfId="0" applyNumberFormat="1" applyFont="1" applyBorder="1" applyAlignment="1">
      <alignment horizontal="center"/>
    </xf>
    <xf numFmtId="3" fontId="25" fillId="0" borderId="112" xfId="0" applyNumberFormat="1" applyFont="1" applyBorder="1" applyAlignment="1">
      <alignment horizontal="right"/>
    </xf>
    <xf numFmtId="3" fontId="25" fillId="0" borderId="112" xfId="0" applyNumberFormat="1" applyFont="1" applyBorder="1" applyAlignment="1">
      <alignment horizontal="right" wrapText="1"/>
    </xf>
    <xf numFmtId="3" fontId="25" fillId="0" borderId="112" xfId="3" applyNumberFormat="1" applyFont="1" applyFill="1" applyBorder="1" applyAlignment="1" applyProtection="1">
      <alignment horizontal="right"/>
    </xf>
    <xf numFmtId="9" fontId="25" fillId="0" borderId="112" xfId="8" applyNumberFormat="1" applyFont="1" applyBorder="1" applyAlignment="1">
      <alignment horizontal="center"/>
    </xf>
    <xf numFmtId="0" fontId="24" fillId="0" borderId="116" xfId="4" applyFont="1" applyBorder="1" applyAlignment="1">
      <alignment horizontal="right"/>
    </xf>
    <xf numFmtId="0" fontId="34" fillId="5" borderId="112" xfId="13" applyFont="1" applyFill="1" applyBorder="1" applyAlignment="1">
      <alignment horizontal="center"/>
    </xf>
    <xf numFmtId="0" fontId="34" fillId="5" borderId="117" xfId="13" applyFont="1" applyFill="1" applyBorder="1" applyAlignment="1">
      <alignment horizontal="center"/>
    </xf>
    <xf numFmtId="0" fontId="24" fillId="0" borderId="116" xfId="4" applyFont="1" applyBorder="1" applyAlignment="1">
      <alignment horizontal="center"/>
    </xf>
    <xf numFmtId="14" fontId="11" fillId="8" borderId="112"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71" fillId="8" borderId="0" xfId="0" applyFont="1" applyFill="1"/>
    <xf numFmtId="0" fontId="72" fillId="8" borderId="0" xfId="0" applyFont="1" applyFill="1" applyAlignment="1">
      <alignment vertical="center"/>
    </xf>
    <xf numFmtId="9" fontId="0" fillId="0" borderId="0" xfId="1" applyFont="1" applyFill="1"/>
    <xf numFmtId="9" fontId="0" fillId="0" borderId="42" xfId="1" applyFont="1" applyBorder="1"/>
    <xf numFmtId="1" fontId="38" fillId="4" borderId="1" xfId="1019" applyNumberFormat="1" applyFont="1" applyFill="1" applyBorder="1" applyAlignment="1" applyProtection="1">
      <alignment horizontal="left"/>
      <protection locked="0"/>
    </xf>
    <xf numFmtId="169" fontId="111" fillId="51" borderId="0" xfId="11" applyNumberFormat="1" applyFont="1" applyFill="1"/>
    <xf numFmtId="9" fontId="55" fillId="0" borderId="0" xfId="1" applyFont="1"/>
    <xf numFmtId="0" fontId="111" fillId="55" borderId="60" xfId="0" applyFont="1" applyFill="1" applyBorder="1"/>
    <xf numFmtId="2" fontId="55" fillId="0" borderId="60" xfId="0" applyNumberFormat="1" applyFont="1" applyBorder="1"/>
    <xf numFmtId="2" fontId="58" fillId="52" borderId="77" xfId="0" applyNumberFormat="1" applyFont="1" applyFill="1" applyBorder="1"/>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118" xfId="4" applyFont="1" applyBorder="1" applyAlignment="1">
      <alignment horizontal="right"/>
    </xf>
    <xf numFmtId="0" fontId="34" fillId="5" borderId="118" xfId="13" applyFont="1" applyFill="1" applyBorder="1"/>
    <xf numFmtId="9" fontId="34" fillId="5" borderId="119" xfId="15" applyFont="1" applyFill="1" applyBorder="1"/>
    <xf numFmtId="9" fontId="34" fillId="5" borderId="120" xfId="15" applyFont="1" applyFill="1" applyBorder="1"/>
    <xf numFmtId="9" fontId="34" fillId="5" borderId="119" xfId="14" applyNumberFormat="1" applyFont="1" applyFill="1" applyBorder="1"/>
    <xf numFmtId="0" fontId="3" fillId="5" borderId="121" xfId="13" applyFill="1" applyBorder="1"/>
    <xf numFmtId="175" fontId="34" fillId="5" borderId="119" xfId="14" applyNumberFormat="1" applyFont="1" applyFill="1" applyBorder="1" applyAlignment="1">
      <alignment horizontal="right"/>
    </xf>
    <xf numFmtId="165" fontId="34" fillId="5" borderId="119" xfId="14" applyNumberFormat="1" applyFont="1" applyFill="1" applyBorder="1" applyAlignment="1">
      <alignment horizontal="right"/>
    </xf>
    <xf numFmtId="165" fontId="34" fillId="5" borderId="119" xfId="14" applyNumberFormat="1" applyFont="1" applyFill="1" applyBorder="1"/>
    <xf numFmtId="175" fontId="34" fillId="5" borderId="119" xfId="14" applyNumberFormat="1" applyFont="1" applyFill="1" applyBorder="1"/>
    <xf numFmtId="170" fontId="34" fillId="5" borderId="121" xfId="14" applyNumberFormat="1" applyFont="1" applyFill="1" applyBorder="1"/>
    <xf numFmtId="1" fontId="0" fillId="0" borderId="0" xfId="11" applyNumberFormat="1" applyFont="1" applyFill="1"/>
    <xf numFmtId="0" fontId="124" fillId="57" borderId="0" xfId="0" applyFont="1" applyFill="1"/>
    <xf numFmtId="0" fontId="124" fillId="57" borderId="0" xfId="0" quotePrefix="1" applyFont="1" applyFill="1"/>
    <xf numFmtId="0" fontId="124" fillId="0" borderId="0" xfId="0" applyFont="1"/>
    <xf numFmtId="0" fontId="125" fillId="0" borderId="0" xfId="0" applyFont="1"/>
    <xf numFmtId="0" fontId="6" fillId="49" borderId="0" xfId="0" applyFont="1" applyFill="1" applyAlignment="1">
      <alignment wrapText="1"/>
    </xf>
    <xf numFmtId="0" fontId="120" fillId="51" borderId="76" xfId="0" applyFont="1" applyFill="1" applyBorder="1" applyAlignment="1">
      <alignment horizontal="left" vertical="center" wrapText="1"/>
    </xf>
    <xf numFmtId="0" fontId="54" fillId="0" borderId="85" xfId="0" applyFont="1" applyBorder="1"/>
    <xf numFmtId="0" fontId="54" fillId="0" borderId="86" xfId="0" applyFont="1" applyBorder="1"/>
    <xf numFmtId="0" fontId="54" fillId="0" borderId="87" xfId="0" applyFont="1" applyBorder="1"/>
    <xf numFmtId="0" fontId="120" fillId="51" borderId="74" xfId="0" applyFont="1" applyFill="1" applyBorder="1" applyAlignment="1">
      <alignment horizontal="left" vertical="center" wrapText="1"/>
    </xf>
    <xf numFmtId="0" fontId="54" fillId="0" borderId="88" xfId="0" applyFont="1" applyBorder="1"/>
    <xf numFmtId="37" fontId="55" fillId="0" borderId="74" xfId="0" applyNumberFormat="1" applyFont="1" applyBorder="1"/>
    <xf numFmtId="3" fontId="55" fillId="0" borderId="0" xfId="0" applyNumberFormat="1" applyFont="1" applyAlignment="1">
      <alignment horizontal="left"/>
    </xf>
    <xf numFmtId="2" fontId="58" fillId="52" borderId="0" xfId="0" applyNumberFormat="1" applyFont="1" applyFill="1"/>
    <xf numFmtId="0" fontId="54" fillId="0" borderId="76" xfId="0" applyFont="1" applyBorder="1"/>
    <xf numFmtId="3" fontId="55" fillId="0" borderId="81" xfId="0" applyNumberFormat="1" applyFont="1" applyBorder="1" applyAlignment="1">
      <alignment horizontal="center"/>
    </xf>
    <xf numFmtId="10" fontId="111" fillId="58" borderId="78" xfId="0" applyNumberFormat="1" applyFont="1" applyFill="1" applyBorder="1"/>
    <xf numFmtId="166" fontId="0" fillId="0" borderId="0" xfId="0" applyNumberFormat="1" applyProtection="1">
      <protection locked="0"/>
    </xf>
    <xf numFmtId="181" fontId="55" fillId="0" borderId="0" xfId="0" applyNumberFormat="1" applyFont="1"/>
    <xf numFmtId="3" fontId="55" fillId="59" borderId="74" xfId="0" applyNumberFormat="1" applyFont="1" applyFill="1" applyBorder="1"/>
    <xf numFmtId="0" fontId="126" fillId="0" borderId="60" xfId="0" applyFont="1" applyBorder="1"/>
    <xf numFmtId="44" fontId="55" fillId="0" borderId="0" xfId="3" applyFont="1" applyBorder="1"/>
    <xf numFmtId="0" fontId="58" fillId="0" borderId="76" xfId="0" applyFont="1" applyBorder="1"/>
    <xf numFmtId="0" fontId="109" fillId="0" borderId="0" xfId="0" applyFont="1" applyAlignment="1">
      <alignment horizontal="left"/>
    </xf>
    <xf numFmtId="0" fontId="54" fillId="0" borderId="0" xfId="0" applyFont="1"/>
    <xf numFmtId="14" fontId="111" fillId="51" borderId="0" xfId="0" applyNumberFormat="1" applyFont="1" applyFill="1" applyAlignment="1">
      <alignment horizontal="left"/>
    </xf>
    <xf numFmtId="0" fontId="111" fillId="51" borderId="0" xfId="0" applyFont="1" applyFill="1" applyAlignment="1">
      <alignment horizontal="left"/>
    </xf>
    <xf numFmtId="9" fontId="111" fillId="55" borderId="74" xfId="0" applyNumberFormat="1" applyFont="1" applyFill="1" applyBorder="1" applyAlignment="1">
      <alignment horizontal="right"/>
    </xf>
    <xf numFmtId="1" fontId="111" fillId="55" borderId="74" xfId="0" applyNumberFormat="1" applyFont="1" applyFill="1" applyBorder="1" applyAlignment="1">
      <alignment horizontal="right"/>
    </xf>
    <xf numFmtId="3" fontId="111" fillId="55" borderId="74" xfId="0" applyNumberFormat="1" applyFont="1" applyFill="1" applyBorder="1"/>
    <xf numFmtId="10" fontId="55" fillId="0" borderId="60" xfId="0" applyNumberFormat="1" applyFont="1" applyBorder="1" applyAlignment="1">
      <alignment horizontal="left"/>
    </xf>
    <xf numFmtId="3" fontId="109" fillId="0" borderId="122" xfId="0" applyNumberFormat="1" applyFont="1" applyBorder="1"/>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27"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112" xfId="0" applyFont="1" applyFill="1" applyBorder="1" applyAlignment="1">
      <alignment horizontal="left" vertical="center" wrapText="1"/>
    </xf>
    <xf numFmtId="0" fontId="14" fillId="8" borderId="0" xfId="0" applyFont="1" applyFill="1"/>
    <xf numFmtId="0" fontId="0" fillId="8" borderId="112" xfId="0" applyFill="1" applyBorder="1"/>
    <xf numFmtId="10" fontId="0" fillId="4" borderId="1" xfId="0" applyNumberFormat="1" applyFill="1" applyBorder="1" applyProtection="1">
      <protection locked="0"/>
    </xf>
    <xf numFmtId="0" fontId="2" fillId="0" borderId="0" xfId="0" applyFont="1" applyAlignment="1">
      <alignment vertical="top" wrapText="1"/>
    </xf>
    <xf numFmtId="0" fontId="14" fillId="9" borderId="0" xfId="0" applyFont="1" applyFill="1" applyAlignment="1">
      <alignment horizontal="left" wrapText="1"/>
    </xf>
    <xf numFmtId="0" fontId="128" fillId="0" borderId="0" xfId="0" applyFont="1"/>
    <xf numFmtId="0" fontId="36" fillId="46" borderId="123" xfId="0" applyFont="1" applyFill="1" applyBorder="1"/>
    <xf numFmtId="0" fontId="36" fillId="46" borderId="124" xfId="0" applyFont="1" applyFill="1" applyBorder="1"/>
    <xf numFmtId="0" fontId="0" fillId="0" borderId="125" xfId="0" applyBorder="1"/>
    <xf numFmtId="0" fontId="0" fillId="16" borderId="51" xfId="0" applyFill="1" applyBorder="1"/>
    <xf numFmtId="0" fontId="36" fillId="46" borderId="126" xfId="0" applyFont="1" applyFill="1" applyBorder="1"/>
    <xf numFmtId="0" fontId="0" fillId="60" borderId="0" xfId="0" applyFill="1"/>
    <xf numFmtId="1" fontId="0" fillId="60"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27" xfId="0" applyFill="1" applyBorder="1"/>
    <xf numFmtId="0" fontId="39" fillId="8" borderId="0" xfId="0" applyFont="1" applyFill="1"/>
    <xf numFmtId="0" fontId="70" fillId="8" borderId="0" xfId="0" applyFont="1" applyFill="1" applyAlignment="1">
      <alignment vertical="center"/>
    </xf>
    <xf numFmtId="0" fontId="39" fillId="8" borderId="0" xfId="0" applyFont="1" applyFill="1" applyAlignment="1">
      <alignment horizontal="left" indent="2"/>
    </xf>
    <xf numFmtId="0" fontId="39" fillId="15" borderId="0" xfId="0" applyFont="1" applyFill="1"/>
    <xf numFmtId="0" fontId="70" fillId="15" borderId="0" xfId="0" applyFont="1" applyFill="1" applyAlignment="1">
      <alignment vertical="center"/>
    </xf>
    <xf numFmtId="166" fontId="0" fillId="0" borderId="0" xfId="3" applyNumberFormat="1" applyFont="1" applyFill="1" applyBorder="1"/>
    <xf numFmtId="49" fontId="3" fillId="0" borderId="0" xfId="2" applyNumberFormat="1" applyFont="1" applyFill="1" applyAlignment="1" applyProtection="1"/>
    <xf numFmtId="49" fontId="0" fillId="0" borderId="0" xfId="0" applyNumberFormat="1" applyAlignment="1">
      <alignment horizontal="right"/>
    </xf>
    <xf numFmtId="10" fontId="1" fillId="8" borderId="0" xfId="1" applyNumberFormat="1" applyFont="1" applyFill="1" applyAlignment="1">
      <alignment horizontal="right"/>
    </xf>
    <xf numFmtId="0" fontId="1" fillId="8" borderId="1" xfId="0" applyFont="1" applyFill="1" applyBorder="1" applyAlignment="1">
      <alignment horizontal="left"/>
    </xf>
    <xf numFmtId="0" fontId="129" fillId="0" borderId="0" xfId="0" applyFont="1"/>
    <xf numFmtId="0" fontId="130" fillId="0" borderId="0" xfId="0" applyFont="1"/>
    <xf numFmtId="0" fontId="2" fillId="0" borderId="0" xfId="0" applyFont="1" applyAlignment="1">
      <alignment horizontal="center"/>
    </xf>
    <xf numFmtId="0" fontId="2" fillId="8" borderId="0" xfId="0" applyFont="1" applyFill="1" applyAlignment="1">
      <alignment horizontal="center" wrapText="1"/>
    </xf>
    <xf numFmtId="0" fontId="39" fillId="0" borderId="0" xfId="0" applyFont="1" applyAlignment="1">
      <alignment horizontal="left" wrapText="1"/>
    </xf>
    <xf numFmtId="0" fontId="99" fillId="48" borderId="0" xfId="0" applyFont="1" applyFill="1" applyAlignment="1">
      <alignment horizontal="left" wrapText="1"/>
    </xf>
    <xf numFmtId="0" fontId="49" fillId="0" borderId="0" xfId="0" applyFont="1" applyAlignment="1">
      <alignment horizontal="left" wrapText="1"/>
    </xf>
    <xf numFmtId="0" fontId="8" fillId="0" borderId="113" xfId="0" quotePrefix="1" applyFont="1" applyBorder="1" applyAlignment="1">
      <alignment wrapText="1"/>
    </xf>
    <xf numFmtId="0" fontId="8" fillId="0" borderId="114" xfId="0" quotePrefix="1" applyFont="1" applyBorder="1" applyAlignment="1">
      <alignment wrapText="1"/>
    </xf>
    <xf numFmtId="0" fontId="8" fillId="0" borderId="115" xfId="0" quotePrefix="1" applyFont="1" applyBorder="1" applyAlignment="1">
      <alignment wrapText="1"/>
    </xf>
    <xf numFmtId="0" fontId="95" fillId="0" borderId="0" xfId="0" applyFont="1" applyAlignment="1">
      <alignment horizontal="center"/>
    </xf>
    <xf numFmtId="0" fontId="2" fillId="0" borderId="0" xfId="0" applyFont="1" applyAlignment="1">
      <alignment horizontal="left" wrapText="1"/>
    </xf>
    <xf numFmtId="0" fontId="6" fillId="3" borderId="0" xfId="0" applyFont="1" applyFill="1" applyAlignment="1">
      <alignment wrapText="1"/>
    </xf>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166" fontId="0" fillId="0" borderId="12" xfId="0" applyNumberFormat="1" applyBorder="1"/>
    <xf numFmtId="166" fontId="0" fillId="0" borderId="55"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0" fillId="4" borderId="46" xfId="0" applyFill="1" applyBorder="1" applyAlignment="1" applyProtection="1">
      <alignment horizontal="left"/>
      <protection locked="0"/>
    </xf>
    <xf numFmtId="0" fontId="0" fillId="4" borderId="47" xfId="0" applyFill="1" applyBorder="1" applyAlignment="1" applyProtection="1">
      <alignment horizontal="left"/>
      <protection locked="0"/>
    </xf>
    <xf numFmtId="0" fontId="42" fillId="0" borderId="0" xfId="0" applyFont="1" applyAlignment="1">
      <alignment horizontal="left"/>
    </xf>
    <xf numFmtId="0" fontId="102" fillId="2" borderId="0" xfId="0" applyFont="1" applyFill="1" applyAlignment="1">
      <alignment horizontal="center" wrapText="1"/>
    </xf>
    <xf numFmtId="0" fontId="2" fillId="0" borderId="0" xfId="0" applyFont="1" applyAlignment="1">
      <alignment wrapText="1"/>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0" fillId="0" borderId="0" xfId="0" applyAlignment="1">
      <alignment horizontal="left" wrapText="1"/>
    </xf>
    <xf numFmtId="0" fontId="0" fillId="0" borderId="16" xfId="0" applyBorder="1" applyAlignment="1">
      <alignment horizontal="left" vertical="top" wrapText="1"/>
    </xf>
    <xf numFmtId="0" fontId="1" fillId="0" borderId="14" xfId="0" applyFont="1" applyBorder="1" applyAlignment="1">
      <alignment horizontal="left" vertical="center" wrapText="1" indent="1"/>
    </xf>
    <xf numFmtId="0" fontId="1" fillId="0" borderId="0" xfId="0" applyFont="1" applyAlignment="1">
      <alignment horizontal="left" vertical="center" wrapText="1" indent="1"/>
    </xf>
    <xf numFmtId="0" fontId="43" fillId="0" borderId="0" xfId="0" applyFont="1" applyAlignment="1">
      <alignment wrapText="1"/>
    </xf>
    <xf numFmtId="0" fontId="0" fillId="0" borderId="0" xfId="0" applyAlignment="1">
      <alignment vertical="top" wrapText="1"/>
    </xf>
    <xf numFmtId="0" fontId="36" fillId="13" borderId="0" xfId="0" applyFont="1" applyFill="1" applyAlignment="1">
      <alignment horizontal="center"/>
    </xf>
    <xf numFmtId="0" fontId="1" fillId="0" borderId="0" xfId="0" applyFont="1" applyAlignment="1">
      <alignment horizontal="left" vertical="top" wrapText="1" indent="1"/>
    </xf>
    <xf numFmtId="0" fontId="0" fillId="0" borderId="14" xfId="0" applyBorder="1" applyAlignment="1">
      <alignment horizontal="left" vertical="center" wrapText="1" indent="1"/>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2" fillId="0" borderId="17" xfId="0" applyFont="1" applyBorder="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0" fontId="55" fillId="0" borderId="0" xfId="0" applyFont="1" applyAlignment="1">
      <alignment horizontal="left" wrapText="1"/>
    </xf>
    <xf numFmtId="0" fontId="109" fillId="53" borderId="98" xfId="0" applyFont="1" applyFill="1" applyBorder="1" applyAlignment="1">
      <alignment horizontal="center" vertical="center" textRotation="90"/>
    </xf>
    <xf numFmtId="0" fontId="54" fillId="0" borderId="100" xfId="0" applyFont="1" applyBorder="1"/>
    <xf numFmtId="0" fontId="54" fillId="0" borderId="101" xfId="0" applyFont="1" applyBorder="1"/>
    <xf numFmtId="0" fontId="58" fillId="52" borderId="98" xfId="0" applyFont="1" applyFill="1" applyBorder="1" applyAlignment="1">
      <alignment horizontal="center" vertical="center" textRotation="90"/>
    </xf>
    <xf numFmtId="0" fontId="58" fillId="52" borderId="100" xfId="0" applyFont="1" applyFill="1" applyBorder="1" applyAlignment="1">
      <alignment horizontal="center" vertical="center" textRotation="90"/>
    </xf>
    <xf numFmtId="165" fontId="115" fillId="54" borderId="92" xfId="0" applyNumberFormat="1" applyFont="1" applyFill="1" applyBorder="1"/>
    <xf numFmtId="165" fontId="115" fillId="54" borderId="122" xfId="0" applyNumberFormat="1" applyFont="1" applyFill="1" applyBorder="1"/>
    <xf numFmtId="0" fontId="18" fillId="0" borderId="0" xfId="4" applyFont="1" applyAlignment="1">
      <alignment horizontal="center"/>
    </xf>
    <xf numFmtId="0" fontId="18" fillId="0" borderId="0" xfId="4" quotePrefix="1" applyFont="1" applyAlignment="1">
      <alignment horizontal="center"/>
    </xf>
    <xf numFmtId="0" fontId="96" fillId="0" borderId="0" xfId="0" quotePrefix="1" applyFont="1" applyAlignment="1">
      <alignment horizontal="left" vertical="top" wrapText="1"/>
    </xf>
    <xf numFmtId="9" fontId="43" fillId="0" borderId="0" xfId="0" applyNumberFormat="1" applyFont="1" applyAlignment="1">
      <alignment horizontal="right"/>
    </xf>
    <xf numFmtId="0" fontId="2" fillId="0" borderId="0" xfId="0" applyFont="1" applyAlignment="1">
      <alignment horizontal="center" wrapText="1"/>
    </xf>
    <xf numFmtId="0" fontId="45" fillId="5" borderId="31" xfId="13" applyFont="1" applyFill="1" applyBorder="1" applyAlignment="1">
      <alignment horizontal="center"/>
    </xf>
    <xf numFmtId="166" fontId="0" fillId="0" borderId="0" xfId="3" applyNumberFormat="1" applyFont="1" applyAlignment="1">
      <alignment horizontal="left"/>
    </xf>
    <xf numFmtId="0" fontId="2" fillId="19" borderId="112" xfId="0" applyFont="1" applyFill="1" applyBorder="1" applyAlignment="1">
      <alignment horizontal="center"/>
    </xf>
    <xf numFmtId="0" fontId="7" fillId="2" borderId="0" xfId="0" applyFont="1" applyFill="1" applyAlignment="1">
      <alignment horizontal="left" vertical="top"/>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101">
    <dxf>
      <font>
        <b val="0"/>
        <i val="0"/>
        <strike val="0"/>
        <color rgb="FFFF0000"/>
      </font>
      <fill>
        <patternFill>
          <bgColor theme="0"/>
        </patternFill>
      </fill>
    </dxf>
    <dxf>
      <font>
        <color rgb="FFFF0000"/>
      </font>
    </dxf>
    <dxf>
      <font>
        <color rgb="FFFF0000"/>
      </font>
    </dxf>
    <dxf>
      <fill>
        <patternFill>
          <bgColor rgb="FFE3F2F1"/>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F907C5"/>
      <color rgb="FFFFFFCC"/>
      <color rgb="FFFCF7D1"/>
      <color rgb="FFB2D6D7"/>
      <color rgb="FF66FFFF"/>
      <color rgb="FF99C9D7"/>
      <color rgb="FF00789C"/>
      <color rgb="FF26808E"/>
      <color rgb="FF558537"/>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122202</xdr:colOff>
      <xdr:row>0</xdr:row>
      <xdr:rowOff>110067</xdr:rowOff>
    </xdr:from>
    <xdr:ext cx="3880072" cy="711200"/>
    <xdr:pic>
      <xdr:nvPicPr>
        <xdr:cNvPr id="3" name="image1.png">
          <a:extLst>
            <a:ext uri="{FF2B5EF4-FFF2-40B4-BE49-F238E27FC236}">
              <a16:creationId xmlns:a16="http://schemas.microsoft.com/office/drawing/2014/main" id="{32E366B7-1383-4F85-A3D5-492D6665A79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0935" y="110067"/>
          <a:ext cx="3880072" cy="711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203200</xdr:colOff>
      <xdr:row>1</xdr:row>
      <xdr:rowOff>63500</xdr:rowOff>
    </xdr:from>
    <xdr:ext cx="4107543" cy="711200"/>
    <xdr:pic>
      <xdr:nvPicPr>
        <xdr:cNvPr id="3" name="image1.png">
          <a:extLst>
            <a:ext uri="{FF2B5EF4-FFF2-40B4-BE49-F238E27FC236}">
              <a16:creationId xmlns:a16="http://schemas.microsoft.com/office/drawing/2014/main" id="{2BAA57E1-1053-4F72-BEE6-7088FEAF398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257175"/>
          <a:ext cx="4107543" cy="711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34071</xdr:colOff>
      <xdr:row>3</xdr:row>
      <xdr:rowOff>90721</xdr:rowOff>
    </xdr:from>
    <xdr:ext cx="3260894" cy="564607"/>
    <xdr:pic>
      <xdr:nvPicPr>
        <xdr:cNvPr id="3" name="image1.png">
          <a:extLst>
            <a:ext uri="{FF2B5EF4-FFF2-40B4-BE49-F238E27FC236}">
              <a16:creationId xmlns:a16="http://schemas.microsoft.com/office/drawing/2014/main" id="{3986276D-1EFD-42A6-8BF7-182AB2B61546}"/>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031646" y="811446"/>
          <a:ext cx="3260894" cy="56460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asdfs.chfa.colohfa.org\data\nasdfs.chfa.colohfa.org\data\CHFAFILE01\Divisions$\Information%20Technology\Application%20Development\LIHTC%20Application\New%20LIHTC%20Application%20-%20CDO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asdfs.chfa.colohfa.org\data\nasdfs.chfa.colohfa.org\data\nasdfs.chfa.colohfa.org\data\Home\trobbins\My%20Documents\CHFA\Joint%20Application%20Project\CHFA\Vida_DHA_4_Applicat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archived%20applications/2017_LIHTC_Application%20V2.1%20new%20fee%20layout.xlsx?D6317250" TargetMode="External"/><Relationship Id="rId1" Type="http://schemas.openxmlformats.org/officeDocument/2006/relationships/externalLinkPath" Target="file:///\\D6317250\2017_LIHTC_Application%20V2.1%20new%20fee%20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LIHTC Application - CDOH"/>
      <sheetName val="Calculations"/>
      <sheetName val="Application Instructions"/>
      <sheetName val="Data Issues"/>
      <sheetName val="Application"/>
      <sheetName val="Unit Mix &amp; Rents"/>
      <sheetName val="Financing"/>
      <sheetName val="Development Budget"/>
      <sheetName val="Commercial Budget"/>
      <sheetName val="Proforma, Income &amp; Expense"/>
      <sheetName val="Tax Credit Details"/>
      <sheetName val="Tax Credit Summary"/>
      <sheetName val="Budget Output"/>
      <sheetName val="Scoring"/>
      <sheetName val="Contact Information"/>
      <sheetName val="Cost Summary"/>
      <sheetName val="Final Building Profile"/>
      <sheetName val="Amenities"/>
      <sheetName val="Rent &amp; Income Limits"/>
      <sheetName val="Admin"/>
      <sheetName val="Lookup"/>
      <sheetName val="Final Totals"/>
      <sheetName val="Cost Summary Analysis"/>
      <sheetName val="Stress Test"/>
      <sheetName val="Sinking Fund Test"/>
      <sheetName val="OpPro"/>
      <sheetName val="DevCosts"/>
      <sheetName val="Financing CDOH"/>
      <sheetName val="Prolink"/>
      <sheetName val="Eligible Credit Amount"/>
      <sheetName val="New%20LIHTC%20Application%20-%2"/>
      <sheetName val="New LIHTC Application - CDOH.x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_Dropdowns"/>
      <sheetName val="Application Instructions"/>
      <sheetName val="Template Key"/>
      <sheetName val="Application Fee"/>
      <sheetName val="Development Summary"/>
      <sheetName val="Missing Information"/>
      <sheetName val=" Development Information"/>
      <sheetName val="Green Communities"/>
      <sheetName val="Development Timeline"/>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 Basis  Limits"/>
      <sheetName val="Rent &amp; Income Limits"/>
      <sheetName val="CHFA Loan Budget"/>
      <sheetName val="Stress Test &amp; Lease-up Proj."/>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Application Fee"/>
      <sheetName val="Development Summary"/>
      <sheetName val="Missing Information"/>
      <sheetName val=" Development Information"/>
      <sheetName val="Development Timeline"/>
      <sheetName val="Cost Summary"/>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Rent &amp; Income Limits"/>
      <sheetName val="Stress Test &amp; Lease-up Proj."/>
      <sheetName val="Sheet1"/>
    </sheetNames>
  </externalBook>
</externalLink>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83" dataDxfId="82">
  <autoFilter ref="A10:E15" xr:uid="{00000000-0009-0000-0100-000004000000}"/>
  <tableColumns count="5">
    <tableColumn id="1" xr3:uid="{00000000-0010-0000-0800-000001000000}" name="Project  Type" dataDxfId="81"/>
    <tableColumn id="2" xr3:uid="{00000000-0010-0000-0800-000002000000}" name="Has Acq/Rehab" dataDxfId="80"/>
    <tableColumn id="3" xr3:uid="{00000000-0010-0000-0800-000003000000}" name="Has New Construction" dataDxfId="79"/>
    <tableColumn id="4" xr3:uid="{00000000-0010-0000-0800-000004000000}" name="Has Rehab" dataDxfId="78"/>
    <tableColumn id="5" xr3:uid="{09C2C332-193A-40C2-BD94-F88FC6739CCF}" name="Radon Migitgation" dataDxfId="7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5:A48" totalsRowShown="0" headerRowDxfId="76">
  <autoFilter ref="A45:A48"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5:C48" totalsRowShown="0" headerRowDxfId="75">
  <autoFilter ref="C45:C48"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6:A40" totalsRowShown="0" headerRowDxfId="74">
  <autoFilter ref="A36:A40"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6:H39" totalsRowShown="0" headerRowDxfId="73">
  <autoFilter ref="F36:H39"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6:D38" totalsRowShown="0" headerRowDxfId="72">
  <autoFilter ref="C36:D38"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62:B71" totalsRowShown="0" headerRowDxfId="71" dataDxfId="70" dataCellStyle="Percent">
  <autoFilter ref="A62:B71" xr:uid="{00000000-0009-0000-0100-00000A000000}"/>
  <sortState xmlns:xlrd2="http://schemas.microsoft.com/office/spreadsheetml/2017/richdata2" ref="A63:B71">
    <sortCondition ref="A62:A71"/>
  </sortState>
  <tableColumns count="2">
    <tableColumn id="1" xr3:uid="{00000000-0010-0000-0E00-000001000000}" name="Income Level" dataDxfId="69" dataCellStyle="Percent"/>
    <tableColumn id="2" xr3:uid="{00000000-0010-0000-0E00-000002000000}" name="Scoring Weight" dataDxfId="68"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62:G87" totalsRowShown="0" headerRowDxfId="67">
  <autoFilter ref="E62:G87" xr:uid="{00000000-0009-0000-0100-00000B000000}"/>
  <sortState xmlns:xlrd2="http://schemas.microsoft.com/office/spreadsheetml/2017/richdata2" ref="E63:G87">
    <sortCondition ref="E62:E87"/>
  </sortState>
  <tableColumns count="3">
    <tableColumn id="1" xr3:uid="{00000000-0010-0000-0F00-000001000000}" name="Unit Mix Type"/>
    <tableColumn id="2" xr3:uid="{00000000-0010-0000-0F00-000002000000}" name="Bedrooms" dataDxfId="66"/>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90:B93" totalsRowShown="0" headerRowDxfId="65">
  <autoFilter ref="A90:B93" xr:uid="{00000000-0009-0000-0100-00000C000000}"/>
  <sortState xmlns:xlrd2="http://schemas.microsoft.com/office/spreadsheetml/2017/richdata2" ref="A91:B93">
    <sortCondition ref="A90:A93"/>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6:B100" totalsRowShown="0" headerRowDxfId="64">
  <autoFilter ref="A96:B100"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75:A220" totalsRowShown="0">
  <autoFilter ref="A175:A220" xr:uid="{00000000-0009-0000-0100-00001C000000}"/>
  <sortState xmlns:xlrd2="http://schemas.microsoft.com/office/spreadsheetml/2017/richdata2" ref="A176:A220">
    <sortCondition ref="A176:A220"/>
  </sortState>
  <tableColumns count="1">
    <tableColumn id="1" xr3:uid="{00000000-0010-0000-0000-000001000000}" name="SADDA Zip" dataDxfId="10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4:C106" totalsRowShown="0" headerRowDxfId="63">
  <autoFilter ref="A104:C106"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3000000}" name="Scoring_Development_Location_Table" displayName="Scoring_Development_Location_Table" ref="A110:C113" totalsRowShown="0" headerRowDxfId="62">
  <autoFilter ref="A110:C113" xr:uid="{00000000-0009-0000-0100-00000F000000}"/>
  <tableColumns count="3">
    <tableColumn id="1" xr3:uid="{00000000-0010-0000-1300-000001000000}" name="Scoring Development Location"/>
    <tableColumn id="2" xr3:uid="{00000000-0010-0000-1300-000002000000}" name="Score"/>
    <tableColumn id="3" xr3:uid="{00000000-0010-0000-1300-000003000000}" name="Descri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7:C120" totalsRowShown="0" headerRowDxfId="61">
  <autoFilter ref="A117:C120"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25:A127" totalsRowShown="0" headerRowDxfId="60">
  <autoFilter ref="A125:A127"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32:D134" totalsRowShown="0" headerRowDxfId="59">
  <autoFilter ref="A132:D134"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8:C152" totalsRowShown="0" headerRowDxfId="58">
  <autoFilter ref="A138:C152" xr:uid="{00000000-0009-0000-0100-000013000000}"/>
  <tableColumns count="3">
    <tableColumn id="1" xr3:uid="{00000000-0010-0000-1700-000001000000}" name="Legal Status"/>
    <tableColumn id="2" xr3:uid="{00000000-0010-0000-1700-000002000000}" name="Is Non Profit" dataDxfId="57" dataCellStyle="Percent"/>
    <tableColumn id="3" xr3:uid="{C0DF6699-5128-4F78-8453-C624BAB00621}" name="Entity Proxy Type "/>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8:G140" totalsRowShown="0" headerRowDxfId="56">
  <autoFilter ref="F138:G140"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8:E141" totalsRowShown="0" headerRowDxfId="55">
  <autoFilter ref="D138:E141"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61:A163" totalsRowShown="0" headerRowDxfId="54">
  <autoFilter ref="A161:A163"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61:C165" totalsRowShown="0">
  <autoFilter ref="C161:C165"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64:D66" totalsRowShown="0">
  <autoFilter ref="A64:D66" xr:uid="{00000000-0009-0000-0100-00001D000000}"/>
  <tableColumns count="4">
    <tableColumn id="1" xr3:uid="{00000000-0010-0000-0100-000001000000}" name="Aggregate"/>
    <tableColumn id="2" xr3:uid="{00000000-0010-0000-0100-000002000000}" name="unit min" dataDxfId="99"/>
    <tableColumn id="3" xr3:uid="{00000000-0010-0000-0100-000003000000}" name="unit max" dataDxfId="98"/>
    <tableColumn id="4" xr3:uid="{00000000-0010-0000-0100-000004000000}" name="%" dataDxfId="97"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61:E164" totalsRowShown="0">
  <autoFilter ref="E161:E164" xr:uid="{00000000-0009-0000-0100-000018000000}"/>
  <tableColumns count="1">
    <tableColumn id="1" xr3:uid="{00000000-0010-0000-1C00-000001000000}" name="Cable"/>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53">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25:C127" totalsRowShown="0">
  <autoFilter ref="C125:C127" xr:uid="{00000000-0009-0000-0100-00001A000000}"/>
  <tableColumns count="1">
    <tableColumn id="1" xr3:uid="{00000000-0010-0000-1E00-000001000000}" name="Approval"/>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74:B176" totalsRowShown="0">
  <autoFilter ref="A174:B176"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9:B171" totalsRowShown="0">
  <autoFilter ref="A169:B171"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9:B181" totalsRowShown="0">
  <autoFilter ref="A179:B181"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9:E171" totalsRowShown="0">
  <autoFilter ref="D169:E171"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74:E176" totalsRowShown="0">
  <autoFilter ref="D174:E176"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9:E181" totalsRowShown="0">
  <autoFilter ref="D179:E181"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84:B186" totalsRowShown="0">
  <autoFilter ref="A184:B186"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83:B86" totalsRowShown="0">
  <autoFilter ref="A83:B86" xr:uid="{00000000-0009-0000-0100-00001F000000}"/>
  <tableColumns count="2">
    <tableColumn id="1" xr3:uid="{00000000-0010-0000-0200-000001000000}" name="Zone" dataDxfId="96"/>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84:E186" totalsRowShown="0">
  <autoFilter ref="D184:E186"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9:B191" totalsRowShown="0">
  <autoFilter ref="A189:B191" xr:uid="{00000000-0009-0000-0100-00002A000000}"/>
  <tableColumns count="2">
    <tableColumn id="1" xr3:uid="{00000000-0010-0000-2700-000001000000}" name="10 Year Cash Flow"/>
    <tableColumn id="2" xr3:uid="{00000000-0010-0000-2700-000002000000}" name="Comment" dataDxfId="5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9:E191" totalsRowShown="0">
  <autoFilter ref="D189:E191"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94:B196" totalsRowShown="0">
  <autoFilter ref="A194:B196"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53:A155" totalsRowShown="0">
  <autoFilter ref="A153:A155"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51:B58" totalsRowShown="0" headerRowDxfId="51" dataDxfId="50">
  <autoFilter ref="A51:B58" xr:uid="{00000000-0009-0000-0100-00002D000000}"/>
  <tableColumns count="2">
    <tableColumn id="1" xr3:uid="{00000000-0010-0000-2B00-000001000000}" name="Type of Heating In-Unit" dataDxfId="49"/>
    <tableColumn id="2" xr3:uid="{DFF82ECF-7EFB-478A-A661-0722414B953F}" name="Type of Heating Common Area" dataDxfId="48"/>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51:D59" totalsRowShown="0">
  <autoFilter ref="C51:D59" xr:uid="{00000000-0009-0000-0100-00002E000000}"/>
  <sortState xmlns:xlrd2="http://schemas.microsoft.com/office/spreadsheetml/2017/richdata2" ref="C52:C56">
    <sortCondition ref="C52"/>
  </sortState>
  <tableColumns count="2">
    <tableColumn id="1" xr3:uid="{00000000-0010-0000-2C00-000001000000}" name="Type of Cooling In-Unit"/>
    <tableColumn id="2" xr3:uid="{0648D47E-8893-4799-AFD6-764478618EDB}" name="Type of Cooling Common Area" dataDxfId="47"/>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94:E196" totalsRowShown="0" headerRowDxfId="46" headerRowBorderDxfId="45" tableBorderDxfId="44">
  <autoFilter ref="D194:E196"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51:F57" totalsRowShown="0" headerRowDxfId="43" headerRowBorderDxfId="42" tableBorderDxfId="41" totalsRowBorderDxfId="40">
  <autoFilter ref="F51:F57" xr:uid="{5FC7CF1E-BC41-4B6F-8A05-5CC3105116F5}"/>
  <tableColumns count="1">
    <tableColumn id="1" xr3:uid="{56080F7A-121B-4ECC-BE00-B48F665A2165}" name="HVAC System In-Unit"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74:C80" totalsRowShown="0">
  <autoFilter ref="A74:C80" xr:uid="{00000000-0009-0000-0100-000020000000}"/>
  <tableColumns count="3">
    <tableColumn id="1" xr3:uid="{00000000-0010-0000-0300-000001000000}" name="Bedrooms" dataDxfId="95"/>
    <tableColumn id="2" xr3:uid="{00000000-0010-0000-0300-000002000000}" name="Elevator Base" dataDxfId="94"/>
    <tableColumn id="3" xr3:uid="{00000000-0010-0000-0300-000003000000}" name="Non-Elevator Base" dataDxfId="9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22:B550" totalsRowShown="0">
  <autoFilter ref="A222:B550"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92">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30:E34" totalsRowShown="0" headerRowDxfId="91">
  <autoFilter ref="A30:E34"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G26" totalsRowShown="0" headerRowDxfId="90">
  <autoFilter ref="A19:G26" xr:uid="{00000000-0009-0000-0100-000003000000}"/>
  <tableColumns count="7">
    <tableColumn id="1" xr3:uid="{00000000-0010-0000-0700-000001000000}" name="Type Of Tax Credit"/>
    <tableColumn id="2" xr3:uid="{00000000-0010-0000-0700-000002000000}" name="Has 4%" dataDxfId="89"/>
    <tableColumn id="3" xr3:uid="{00000000-0010-0000-0700-000003000000}" name="Has 9%" dataDxfId="88"/>
    <tableColumn id="6" xr3:uid="{00000000-0010-0000-0700-000006000000}" name="Has State" dataDxfId="87"/>
    <tableColumn id="4" xr3:uid="{00000000-0010-0000-0700-000004000000}" name="Fee" dataDxfId="86"/>
    <tableColumn id="5" xr3:uid="{B514F5C2-1E83-407E-8714-2586B03F6514}" name="Type of State Tax Credit" dataDxfId="85"/>
    <tableColumn id="7" xr3:uid="{18F2442C-8697-464E-AB37-A9D175BF77F3}" name="Use Alternate Credit Calculation" dataDxfId="8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06"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3" Type="http://schemas.openxmlformats.org/officeDocument/2006/relationships/table" Target="../tables/table8.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 Id="rId43" Type="http://schemas.openxmlformats.org/officeDocument/2006/relationships/table" Target="../tables/table4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22"/>
  <sheetViews>
    <sheetView showGridLines="0" tabSelected="1" zoomScale="130" zoomScaleNormal="130" workbookViewId="0"/>
  </sheetViews>
  <sheetFormatPr defaultRowHeight="15"/>
  <cols>
    <col min="1" max="1" width="173.5703125" customWidth="1"/>
  </cols>
  <sheetData>
    <row r="1" spans="1:1" ht="21">
      <c r="A1" s="4" t="s">
        <v>0</v>
      </c>
    </row>
    <row r="3" spans="1:1" s="9" customFormat="1" ht="30" customHeight="1">
      <c r="A3" s="9" t="s">
        <v>1</v>
      </c>
    </row>
    <row r="4" spans="1:1">
      <c r="A4" s="513" t="s">
        <v>2</v>
      </c>
    </row>
    <row r="5" spans="1:1">
      <c r="A5" s="9" t="s">
        <v>3</v>
      </c>
    </row>
    <row r="6" spans="1:1" ht="30" customHeight="1">
      <c r="A6" s="9" t="s">
        <v>4</v>
      </c>
    </row>
    <row r="7" spans="1:1">
      <c r="A7" t="s">
        <v>5</v>
      </c>
    </row>
    <row r="8" spans="1:1">
      <c r="A8" s="9" t="s">
        <v>6</v>
      </c>
    </row>
    <row r="9" spans="1:1">
      <c r="A9" s="9" t="s">
        <v>7</v>
      </c>
    </row>
    <row r="10" spans="1:1">
      <c r="A10" s="309" t="s">
        <v>8</v>
      </c>
    </row>
    <row r="12" spans="1:1">
      <c r="A12" s="154" t="s">
        <v>9</v>
      </c>
    </row>
    <row r="13" spans="1:1">
      <c r="A13" s="517" t="s">
        <v>10</v>
      </c>
    </row>
    <row r="14" spans="1:1">
      <c r="A14" s="517" t="s">
        <v>11</v>
      </c>
    </row>
    <row r="16" spans="1:1">
      <c r="A16" s="154" t="s">
        <v>12</v>
      </c>
    </row>
    <row r="17" spans="1:1">
      <c r="A17" t="s">
        <v>13</v>
      </c>
    </row>
    <row r="18" spans="1:1">
      <c r="A18" t="s">
        <v>14</v>
      </c>
    </row>
    <row r="20" spans="1:1">
      <c r="A20" t="s">
        <v>15</v>
      </c>
    </row>
    <row r="21" spans="1:1" ht="30">
      <c r="A21" s="9" t="s">
        <v>16</v>
      </c>
    </row>
    <row r="22" spans="1:1">
      <c r="A22" s="172" t="s">
        <v>17</v>
      </c>
    </row>
    <row r="23" spans="1:1">
      <c r="A23" s="517" t="s">
        <v>18</v>
      </c>
    </row>
    <row r="24" spans="1:1">
      <c r="A24" s="493"/>
    </row>
    <row r="25" spans="1:1">
      <c r="A25" s="154" t="s">
        <v>19</v>
      </c>
    </row>
    <row r="26" spans="1:1">
      <c r="A26" s="517" t="s">
        <v>20</v>
      </c>
    </row>
    <row r="27" spans="1:1">
      <c r="A27" s="517" t="s">
        <v>21</v>
      </c>
    </row>
    <row r="28" spans="1:1">
      <c r="A28" s="517" t="s">
        <v>22</v>
      </c>
    </row>
    <row r="29" spans="1:1">
      <c r="A29" s="517" t="s">
        <v>23</v>
      </c>
    </row>
    <row r="30" spans="1:1">
      <c r="A30" s="517" t="s">
        <v>24</v>
      </c>
    </row>
    <row r="31" spans="1:1">
      <c r="A31" s="517" t="s">
        <v>25</v>
      </c>
    </row>
    <row r="32" spans="1:1">
      <c r="A32" s="517" t="s">
        <v>26</v>
      </c>
    </row>
    <row r="33" spans="1:1">
      <c r="A33" s="517"/>
    </row>
    <row r="34" spans="1:1">
      <c r="A34" s="154" t="s">
        <v>27</v>
      </c>
    </row>
    <row r="35" spans="1:1">
      <c r="A35" s="517" t="s">
        <v>28</v>
      </c>
    </row>
    <row r="36" spans="1:1">
      <c r="A36" s="517" t="s">
        <v>29</v>
      </c>
    </row>
    <row r="37" spans="1:1">
      <c r="A37" t="s">
        <v>30</v>
      </c>
    </row>
    <row r="38" spans="1:1">
      <c r="A38" t="s">
        <v>31</v>
      </c>
    </row>
    <row r="39" spans="1:1">
      <c r="A39" t="s">
        <v>32</v>
      </c>
    </row>
    <row r="40" spans="1:1">
      <c r="A40" t="s">
        <v>33</v>
      </c>
    </row>
    <row r="41" spans="1:1">
      <c r="A41" t="s">
        <v>34</v>
      </c>
    </row>
    <row r="42" spans="1:1">
      <c r="A42" t="s">
        <v>35</v>
      </c>
    </row>
    <row r="43" spans="1:1">
      <c r="A43" s="1" t="s">
        <v>36</v>
      </c>
    </row>
    <row r="44" spans="1:1">
      <c r="A44" t="s">
        <v>37</v>
      </c>
    </row>
    <row r="45" spans="1:1">
      <c r="A45" t="s">
        <v>38</v>
      </c>
    </row>
    <row r="46" spans="1:1">
      <c r="A46" t="s">
        <v>39</v>
      </c>
    </row>
    <row r="47" spans="1:1">
      <c r="A47" t="s">
        <v>40</v>
      </c>
    </row>
    <row r="49" spans="1:11">
      <c r="A49" s="154" t="s">
        <v>41</v>
      </c>
      <c r="B49" s="88"/>
      <c r="C49" s="88"/>
      <c r="D49" s="88"/>
      <c r="E49" s="88"/>
      <c r="F49" s="88"/>
      <c r="G49" s="88"/>
      <c r="H49" s="88"/>
      <c r="I49" s="88"/>
      <c r="J49" s="88"/>
      <c r="K49" s="88"/>
    </row>
    <row r="50" spans="1:11">
      <c r="A50" s="517" t="s">
        <v>42</v>
      </c>
    </row>
    <row r="51" spans="1:11">
      <c r="A51" t="s">
        <v>43</v>
      </c>
    </row>
    <row r="52" spans="1:11">
      <c r="A52" s="70" t="s">
        <v>44</v>
      </c>
    </row>
    <row r="53" spans="1:11">
      <c r="A53" t="s">
        <v>45</v>
      </c>
    </row>
    <row r="54" spans="1:11">
      <c r="A54" s="333" t="s">
        <v>46</v>
      </c>
    </row>
    <row r="55" spans="1:11">
      <c r="A55" t="s">
        <v>47</v>
      </c>
    </row>
    <row r="56" spans="1:11">
      <c r="A56" t="s">
        <v>48</v>
      </c>
    </row>
    <row r="58" spans="1:11">
      <c r="A58" s="154" t="s">
        <v>49</v>
      </c>
    </row>
    <row r="59" spans="1:11">
      <c r="A59" s="517" t="s">
        <v>50</v>
      </c>
    </row>
    <row r="60" spans="1:11">
      <c r="A60" t="s">
        <v>51</v>
      </c>
    </row>
    <row r="62" spans="1:11">
      <c r="A62" s="154" t="s">
        <v>52</v>
      </c>
    </row>
    <row r="63" spans="1:11">
      <c r="A63" s="517" t="s">
        <v>53</v>
      </c>
    </row>
    <row r="64" spans="1:11">
      <c r="A64" s="517" t="s">
        <v>54</v>
      </c>
    </row>
    <row r="65" spans="1:1">
      <c r="A65" s="517" t="s">
        <v>55</v>
      </c>
    </row>
    <row r="66" spans="1:1">
      <c r="A66" s="517" t="s">
        <v>56</v>
      </c>
    </row>
    <row r="67" spans="1:1">
      <c r="A67" s="517" t="s">
        <v>57</v>
      </c>
    </row>
    <row r="68" spans="1:1">
      <c r="A68" s="517" t="s">
        <v>58</v>
      </c>
    </row>
    <row r="69" spans="1:1">
      <c r="A69" s="517" t="s">
        <v>59</v>
      </c>
    </row>
    <row r="70" spans="1:1">
      <c r="A70" s="517" t="s">
        <v>60</v>
      </c>
    </row>
    <row r="72" spans="1:1">
      <c r="A72" s="154" t="s">
        <v>61</v>
      </c>
    </row>
    <row r="73" spans="1:1">
      <c r="A73" t="s">
        <v>62</v>
      </c>
    </row>
    <row r="75" spans="1:1">
      <c r="A75" s="154" t="s">
        <v>63</v>
      </c>
    </row>
    <row r="76" spans="1:1">
      <c r="A76" t="s">
        <v>62</v>
      </c>
    </row>
    <row r="78" spans="1:1">
      <c r="A78" s="154" t="s">
        <v>64</v>
      </c>
    </row>
    <row r="79" spans="1:1">
      <c r="A79" t="s">
        <v>62</v>
      </c>
    </row>
    <row r="81" spans="1:1">
      <c r="A81" s="172" t="s">
        <v>65</v>
      </c>
    </row>
    <row r="82" spans="1:1">
      <c r="A82" t="s">
        <v>62</v>
      </c>
    </row>
    <row r="84" spans="1:1">
      <c r="A84" s="154" t="s">
        <v>66</v>
      </c>
    </row>
    <row r="85" spans="1:1">
      <c r="A85" t="s">
        <v>67</v>
      </c>
    </row>
    <row r="86" spans="1:1">
      <c r="A86" t="s">
        <v>68</v>
      </c>
    </row>
    <row r="87" spans="1:1">
      <c r="A87" t="s">
        <v>69</v>
      </c>
    </row>
    <row r="89" spans="1:1">
      <c r="A89" s="154" t="s">
        <v>70</v>
      </c>
    </row>
    <row r="90" spans="1:1">
      <c r="A90" t="s">
        <v>71</v>
      </c>
    </row>
    <row r="91" spans="1:1">
      <c r="A91" t="s">
        <v>72</v>
      </c>
    </row>
    <row r="93" spans="1:1">
      <c r="A93" s="154" t="s">
        <v>73</v>
      </c>
    </row>
    <row r="94" spans="1:1">
      <c r="A94" t="s">
        <v>74</v>
      </c>
    </row>
    <row r="95" spans="1:1" ht="30">
      <c r="A95" s="9" t="s">
        <v>75</v>
      </c>
    </row>
    <row r="96" spans="1:1" ht="60">
      <c r="A96" s="9" t="s">
        <v>76</v>
      </c>
    </row>
    <row r="98" spans="1:1">
      <c r="A98" s="154" t="s">
        <v>77</v>
      </c>
    </row>
    <row r="99" spans="1:1">
      <c r="A99" t="s">
        <v>78</v>
      </c>
    </row>
    <row r="100" spans="1:1">
      <c r="A100" t="s">
        <v>79</v>
      </c>
    </row>
    <row r="101" spans="1:1">
      <c r="A101" t="s">
        <v>80</v>
      </c>
    </row>
    <row r="103" spans="1:1">
      <c r="A103" s="154" t="s">
        <v>81</v>
      </c>
    </row>
    <row r="104" spans="1:1">
      <c r="A104" t="s">
        <v>82</v>
      </c>
    </row>
    <row r="106" spans="1:1">
      <c r="A106" s="154" t="s">
        <v>83</v>
      </c>
    </row>
    <row r="107" spans="1:1">
      <c r="A107" t="s">
        <v>84</v>
      </c>
    </row>
    <row r="109" spans="1:1">
      <c r="A109" s="172" t="s">
        <v>85</v>
      </c>
    </row>
    <row r="110" spans="1:1">
      <c r="A110" s="1" t="s">
        <v>86</v>
      </c>
    </row>
    <row r="111" spans="1:1">
      <c r="A111" t="s">
        <v>87</v>
      </c>
    </row>
    <row r="112" spans="1:1">
      <c r="A112" s="311" t="s">
        <v>88</v>
      </c>
    </row>
    <row r="113" spans="1:1">
      <c r="A113" t="s">
        <v>89</v>
      </c>
    </row>
    <row r="114" spans="1:1">
      <c r="A114" t="s">
        <v>90</v>
      </c>
    </row>
    <row r="115" spans="1:1">
      <c r="A115" t="s">
        <v>91</v>
      </c>
    </row>
    <row r="116" spans="1:1">
      <c r="A116" t="s">
        <v>92</v>
      </c>
    </row>
    <row r="117" spans="1:1">
      <c r="A117" t="s">
        <v>93</v>
      </c>
    </row>
    <row r="118" spans="1:1">
      <c r="A118" t="s">
        <v>94</v>
      </c>
    </row>
    <row r="119" spans="1:1">
      <c r="A119" t="s">
        <v>95</v>
      </c>
    </row>
    <row r="120" spans="1:1">
      <c r="A120" t="s">
        <v>96</v>
      </c>
    </row>
    <row r="121" spans="1:1">
      <c r="A121" t="s">
        <v>97</v>
      </c>
    </row>
    <row r="122" spans="1:1">
      <c r="A122" t="s">
        <v>98</v>
      </c>
    </row>
  </sheetData>
  <sheetProtection algorithmName="SHA-512" hashValue="lptsOwGz+cfevjXmYMtCuUHDBJsB7HuY6r5deRks9gpnsbiVvxqCvYuDhCKfGsMeb9tADZTZqLu0vkmyZxozYA==" saltValue="NKDIJ7IboRXaIMuYc0UV2w=="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49" location="'Development Budget'!A1" display="Development Budget" xr:uid="{00000000-0004-0000-0000-000004000000}"/>
    <hyperlink ref="A58" location="'Commercial Budget'!A1" display="Commercial Budget" xr:uid="{00000000-0004-0000-0000-000005000000}"/>
    <hyperlink ref="A62" location="'Proforma, Income &amp; Expense'!A1" display="Proforma, Income &amp; Expense" xr:uid="{00000000-0004-0000-0000-000006000000}"/>
    <hyperlink ref="A72" location="'Tax Credit Details'!A1" display="Tax Credit Details" xr:uid="{00000000-0004-0000-0000-000007000000}"/>
    <hyperlink ref="A75" location="'Tax Credit Summary'!A1" display="Tax Credit Summary" xr:uid="{00000000-0004-0000-0000-000008000000}"/>
    <hyperlink ref="A78" location="'Budget Output'!A1" display="Budget Output" xr:uid="{00000000-0004-0000-0000-000009000000}"/>
    <hyperlink ref="A84" location="Scoring!A1" display="Scoring" xr:uid="{00000000-0004-0000-0000-00000A000000}"/>
    <hyperlink ref="A89" location="Amenities!A1" display="Amenities" xr:uid="{00000000-0004-0000-0000-00000B000000}"/>
    <hyperlink ref="A16" location="'Contact Information'!A1" display="Contact Information" xr:uid="{00000000-0004-0000-0000-00000C000000}"/>
    <hyperlink ref="A93" location="'Cost Summary'!A1" display="Cost Summary" xr:uid="{00000000-0004-0000-0000-00000D000000}"/>
    <hyperlink ref="A98" location="'Final Building Profile'!A1" display="Final Building Profile" xr:uid="{00000000-0004-0000-0000-00000E000000}"/>
    <hyperlink ref="A103" location="'Rent &amp; Income Limits'!A1" display="Rent &amp; Income Limits" xr:uid="{00000000-0004-0000-0000-00000F000000}"/>
    <hyperlink ref="A10" r:id="rId1" xr:uid="{00000000-0004-0000-0000-000010000000}"/>
    <hyperlink ref="A106" location="Calculations!A1" display="Calculations" xr:uid="{00000000-0004-0000-0000-000011000000}"/>
    <hyperlink ref="A109" location="DevCosts!A1" display="CDOH Worksheets" xr:uid="{00000000-0004-0000-0000-000012000000}"/>
    <hyperlink ref="A81"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104" zoomScaleNormal="104" workbookViewId="0"/>
  </sheetViews>
  <sheetFormatPr defaultColWidth="9" defaultRowHeight="15"/>
  <cols>
    <col min="1" max="1" width="33" style="58" customWidth="1"/>
    <col min="2" max="2" width="12.5703125" style="58" customWidth="1"/>
    <col min="3" max="4" width="12" style="58" customWidth="1"/>
    <col min="5" max="5" width="12.5703125" style="58" customWidth="1"/>
    <col min="6" max="16" width="12" style="58" customWidth="1"/>
    <col min="17" max="16384" width="9" style="58"/>
  </cols>
  <sheetData>
    <row r="1" spans="1:18" ht="21">
      <c r="A1" s="4" t="s">
        <v>52</v>
      </c>
      <c r="B1" s="4"/>
      <c r="C1" s="4"/>
      <c r="D1" s="4"/>
      <c r="E1" s="4"/>
      <c r="F1" s="4"/>
      <c r="G1" s="4"/>
      <c r="H1" s="4"/>
      <c r="I1" s="4"/>
      <c r="J1" s="4"/>
      <c r="K1" s="4"/>
      <c r="L1" s="4"/>
      <c r="M1" s="4"/>
      <c r="N1" s="4"/>
      <c r="O1" s="4"/>
      <c r="P1" s="4"/>
      <c r="Q1" s="88"/>
      <c r="R1" s="88"/>
    </row>
    <row r="2" spans="1:18">
      <c r="A2" s="88"/>
      <c r="B2" s="306" t="s">
        <v>557</v>
      </c>
      <c r="C2" s="88"/>
      <c r="D2"/>
      <c r="E2" s="88"/>
      <c r="F2" s="88"/>
      <c r="G2" s="88"/>
      <c r="H2" s="88"/>
      <c r="I2" s="88"/>
      <c r="J2" s="88"/>
      <c r="K2" s="88"/>
      <c r="L2" s="88"/>
      <c r="M2" s="88"/>
      <c r="N2" s="88"/>
      <c r="O2" s="88"/>
      <c r="P2" s="88"/>
      <c r="Q2" s="88"/>
      <c r="R2" s="88"/>
    </row>
    <row r="3" spans="1:18">
      <c r="A3" s="3" t="s">
        <v>558</v>
      </c>
      <c r="B3" s="3" t="s">
        <v>559</v>
      </c>
      <c r="C3" s="3" t="s">
        <v>560</v>
      </c>
      <c r="D3" s="3" t="s">
        <v>561</v>
      </c>
      <c r="E3" s="3" t="s">
        <v>562</v>
      </c>
      <c r="F3" s="3" t="s">
        <v>563</v>
      </c>
      <c r="G3" s="3" t="s">
        <v>564</v>
      </c>
      <c r="H3" s="3" t="s">
        <v>565</v>
      </c>
      <c r="I3" s="3" t="s">
        <v>566</v>
      </c>
      <c r="J3" s="3" t="s">
        <v>567</v>
      </c>
      <c r="K3" s="3" t="s">
        <v>568</v>
      </c>
      <c r="L3" s="3" t="s">
        <v>569</v>
      </c>
      <c r="M3" s="3" t="s">
        <v>570</v>
      </c>
      <c r="N3" s="3" t="s">
        <v>571</v>
      </c>
      <c r="O3" s="3" t="s">
        <v>572</v>
      </c>
      <c r="P3" s="3" t="s">
        <v>573</v>
      </c>
      <c r="Q3" s="88"/>
      <c r="R3" s="88"/>
    </row>
    <row r="4" spans="1:18">
      <c r="A4" s="1" t="s">
        <v>574</v>
      </c>
      <c r="B4" s="291">
        <v>0</v>
      </c>
      <c r="C4" s="291">
        <v>0</v>
      </c>
      <c r="D4" s="291">
        <v>0</v>
      </c>
      <c r="E4" s="291">
        <v>0</v>
      </c>
      <c r="F4" s="291">
        <v>0</v>
      </c>
      <c r="G4" s="291">
        <v>0</v>
      </c>
      <c r="H4" s="291">
        <v>0</v>
      </c>
      <c r="I4" s="291">
        <v>0</v>
      </c>
      <c r="J4" s="291">
        <v>0</v>
      </c>
      <c r="K4" s="291">
        <v>0</v>
      </c>
      <c r="L4" s="291">
        <v>0</v>
      </c>
      <c r="M4" s="291">
        <v>0</v>
      </c>
      <c r="N4" s="291">
        <v>0</v>
      </c>
      <c r="O4" s="291">
        <v>0</v>
      </c>
      <c r="P4" s="291">
        <v>0</v>
      </c>
      <c r="Q4" s="88"/>
      <c r="R4" s="88"/>
    </row>
    <row r="5" spans="1:18" ht="13.15" customHeight="1">
      <c r="A5" s="513" t="s">
        <v>575</v>
      </c>
      <c r="B5" s="291">
        <v>0</v>
      </c>
      <c r="C5" s="291">
        <v>0</v>
      </c>
      <c r="D5" s="291">
        <v>0</v>
      </c>
      <c r="E5" s="291">
        <v>0</v>
      </c>
      <c r="F5" s="291">
        <v>0</v>
      </c>
      <c r="G5" s="291">
        <v>0</v>
      </c>
      <c r="H5" s="291">
        <v>0</v>
      </c>
      <c r="I5" s="291">
        <v>0</v>
      </c>
      <c r="J5" s="291">
        <v>0</v>
      </c>
      <c r="K5" s="291">
        <v>0</v>
      </c>
      <c r="L5" s="291">
        <v>0</v>
      </c>
      <c r="M5" s="291">
        <v>0</v>
      </c>
      <c r="N5" s="291">
        <v>0</v>
      </c>
      <c r="O5" s="291">
        <v>0</v>
      </c>
      <c r="P5" s="291">
        <v>0</v>
      </c>
      <c r="Q5" s="88"/>
      <c r="R5" s="88"/>
    </row>
    <row r="6" spans="1:18" ht="13.15" customHeight="1">
      <c r="A6" s="513" t="s">
        <v>576</v>
      </c>
      <c r="B6" s="291">
        <v>0</v>
      </c>
      <c r="C6" s="291">
        <v>0</v>
      </c>
      <c r="D6" s="291">
        <v>0</v>
      </c>
      <c r="E6" s="291">
        <v>0</v>
      </c>
      <c r="F6" s="291">
        <v>0</v>
      </c>
      <c r="G6" s="291">
        <v>0</v>
      </c>
      <c r="H6" s="291">
        <v>0</v>
      </c>
      <c r="I6" s="291">
        <v>0</v>
      </c>
      <c r="J6" s="291">
        <v>0</v>
      </c>
      <c r="K6" s="291">
        <v>0</v>
      </c>
      <c r="L6" s="291">
        <v>0</v>
      </c>
      <c r="M6" s="291">
        <v>0</v>
      </c>
      <c r="N6" s="291">
        <v>0</v>
      </c>
      <c r="O6" s="291">
        <v>0</v>
      </c>
      <c r="P6" s="291">
        <v>0</v>
      </c>
      <c r="Q6"/>
      <c r="R6" s="88"/>
    </row>
    <row r="7" spans="1:18" customFormat="1">
      <c r="A7" s="292" t="str">
        <f>"Other (Specify)"</f>
        <v>Other (Specify)</v>
      </c>
      <c r="B7" s="291">
        <v>0</v>
      </c>
      <c r="C7" s="291">
        <v>0</v>
      </c>
      <c r="D7" s="291">
        <v>0</v>
      </c>
      <c r="E7" s="291">
        <v>0</v>
      </c>
      <c r="F7" s="291">
        <v>0</v>
      </c>
      <c r="G7" s="291">
        <v>0</v>
      </c>
      <c r="H7" s="291">
        <v>0</v>
      </c>
      <c r="I7" s="291">
        <v>0</v>
      </c>
      <c r="J7" s="291">
        <v>0</v>
      </c>
      <c r="K7" s="291">
        <v>0</v>
      </c>
      <c r="L7" s="291">
        <v>0</v>
      </c>
      <c r="M7" s="291">
        <v>0</v>
      </c>
      <c r="N7" s="291">
        <v>0</v>
      </c>
      <c r="O7" s="291">
        <v>0</v>
      </c>
      <c r="P7" s="291">
        <v>0</v>
      </c>
    </row>
    <row r="8" spans="1:18" customFormat="1">
      <c r="A8" s="513" t="s">
        <v>577</v>
      </c>
      <c r="B8" s="291">
        <v>0</v>
      </c>
      <c r="C8" s="291">
        <v>0</v>
      </c>
      <c r="D8" s="291">
        <v>0</v>
      </c>
      <c r="E8" s="291">
        <v>0</v>
      </c>
      <c r="F8" s="291">
        <v>0</v>
      </c>
      <c r="G8" s="291">
        <v>0</v>
      </c>
      <c r="H8" s="291">
        <v>0</v>
      </c>
      <c r="I8" s="291">
        <v>0</v>
      </c>
      <c r="J8" s="291">
        <v>0</v>
      </c>
      <c r="K8" s="291">
        <v>0</v>
      </c>
      <c r="L8" s="291">
        <v>0</v>
      </c>
      <c r="M8" s="291">
        <v>0</v>
      </c>
      <c r="N8" s="291">
        <v>0</v>
      </c>
      <c r="O8" s="291">
        <v>0</v>
      </c>
      <c r="P8" s="291">
        <v>0</v>
      </c>
    </row>
    <row r="9" spans="1:18">
      <c r="A9" s="904" t="s">
        <v>578</v>
      </c>
      <c r="B9" s="904"/>
      <c r="C9" s="904"/>
      <c r="D9" s="835"/>
      <c r="E9" s="835"/>
      <c r="F9" s="835"/>
      <c r="G9" s="835"/>
      <c r="H9" s="835"/>
      <c r="I9" s="835"/>
      <c r="J9" s="835"/>
      <c r="K9" s="835"/>
      <c r="L9" s="835"/>
      <c r="M9" s="835"/>
      <c r="N9" s="835"/>
      <c r="O9" s="835"/>
      <c r="P9" s="835"/>
      <c r="Q9" s="88"/>
      <c r="R9" s="88"/>
    </row>
    <row r="10" spans="1:18" customFormat="1" ht="21">
      <c r="A10" s="7" t="s">
        <v>579</v>
      </c>
    </row>
    <row r="11" spans="1:18" ht="30" customHeight="1">
      <c r="A11" s="3" t="s">
        <v>580</v>
      </c>
      <c r="B11" s="3" t="s">
        <v>412</v>
      </c>
      <c r="C11" s="905" t="s">
        <v>415</v>
      </c>
      <c r="D11" s="905"/>
      <c r="E11" s="10" t="s">
        <v>581</v>
      </c>
      <c r="F11" s="88"/>
      <c r="G11" s="88"/>
      <c r="H11" s="88"/>
      <c r="I11" s="88"/>
      <c r="J11" s="88"/>
      <c r="K11" s="88"/>
      <c r="L11" s="88"/>
      <c r="M11" s="88"/>
      <c r="N11" s="88"/>
      <c r="O11" s="88"/>
      <c r="P11" s="88"/>
      <c r="Q11" s="88"/>
      <c r="R11" s="88"/>
    </row>
    <row r="12" spans="1:18">
      <c r="A12" s="1" t="s">
        <v>582</v>
      </c>
      <c r="B12" s="462">
        <v>0</v>
      </c>
      <c r="C12" s="908">
        <v>0</v>
      </c>
      <c r="D12" s="909"/>
      <c r="E12" s="306" t="s">
        <v>583</v>
      </c>
      <c r="F12" s="88"/>
      <c r="G12"/>
      <c r="H12" s="88"/>
      <c r="I12" s="88"/>
      <c r="J12" s="88"/>
      <c r="K12" s="88"/>
      <c r="L12" s="88"/>
      <c r="M12" s="88"/>
      <c r="N12" s="88"/>
      <c r="O12" s="88"/>
      <c r="P12" s="88"/>
      <c r="Q12" s="88"/>
      <c r="R12" s="88"/>
    </row>
    <row r="13" spans="1:18">
      <c r="A13" s="1" t="s">
        <v>584</v>
      </c>
      <c r="B13" s="531">
        <v>0</v>
      </c>
      <c r="C13" s="908">
        <v>0</v>
      </c>
      <c r="D13" s="909"/>
      <c r="E13" s="88"/>
      <c r="F13" s="88"/>
      <c r="G13" s="88"/>
      <c r="H13" s="88"/>
      <c r="I13" s="88"/>
      <c r="J13" s="88"/>
      <c r="K13" s="88"/>
      <c r="L13" s="88"/>
      <c r="M13" s="88"/>
      <c r="N13" s="88"/>
      <c r="O13" s="88"/>
      <c r="P13" s="88"/>
      <c r="Q13" s="88"/>
      <c r="R13" s="88"/>
    </row>
    <row r="14" spans="1:18">
      <c r="A14" s="292" t="str">
        <f>"Other (Specify)"</f>
        <v>Other (Specify)</v>
      </c>
      <c r="B14" s="462">
        <v>0</v>
      </c>
      <c r="C14" s="908">
        <v>0</v>
      </c>
      <c r="D14" s="909"/>
      <c r="E14" s="88"/>
      <c r="F14" s="88"/>
      <c r="G14" s="88"/>
      <c r="H14" s="88"/>
      <c r="I14" s="88"/>
      <c r="J14" s="88"/>
      <c r="K14" s="88"/>
      <c r="L14" s="88"/>
      <c r="M14" s="88"/>
      <c r="N14" s="88"/>
      <c r="O14" s="88"/>
      <c r="P14" s="88"/>
      <c r="Q14" s="88"/>
      <c r="R14" s="88" t="s">
        <v>585</v>
      </c>
    </row>
    <row r="15" spans="1:18">
      <c r="A15" s="292" t="str">
        <f>"Other (Specify)"</f>
        <v>Other (Specify)</v>
      </c>
      <c r="B15" s="462">
        <v>0</v>
      </c>
      <c r="C15" s="908">
        <v>0</v>
      </c>
      <c r="D15" s="909"/>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585</v>
      </c>
    </row>
    <row r="17" spans="1:18">
      <c r="A17" s="88"/>
      <c r="B17" s="3" t="s">
        <v>412</v>
      </c>
      <c r="C17" s="88"/>
      <c r="D17" s="88"/>
      <c r="E17" s="88"/>
      <c r="F17" s="88"/>
      <c r="G17" s="88"/>
      <c r="H17" s="88"/>
      <c r="I17" s="88"/>
      <c r="J17" s="88"/>
      <c r="K17" s="88"/>
      <c r="L17" s="88"/>
      <c r="M17" s="88"/>
      <c r="N17" s="88"/>
      <c r="O17" s="88"/>
      <c r="P17" s="88"/>
      <c r="Q17" s="88"/>
      <c r="R17" s="88"/>
    </row>
    <row r="18" spans="1:18" ht="30">
      <c r="A18" s="513" t="s">
        <v>586</v>
      </c>
      <c r="B18" s="291">
        <v>0</v>
      </c>
      <c r="C18" s="88"/>
      <c r="D18" s="88"/>
      <c r="E18" s="88"/>
      <c r="F18" s="88"/>
      <c r="G18" s="88"/>
      <c r="H18" s="88"/>
      <c r="I18" s="88"/>
      <c r="J18" s="88"/>
      <c r="K18" s="88"/>
      <c r="L18" s="88"/>
      <c r="M18" s="88"/>
      <c r="N18" s="88"/>
      <c r="O18" s="88"/>
      <c r="P18" s="88"/>
      <c r="Q18" s="88"/>
      <c r="R18" s="88"/>
    </row>
    <row r="19" spans="1:18" customFormat="1"/>
    <row r="20" spans="1:18" ht="21">
      <c r="A20" s="7" t="s">
        <v>587</v>
      </c>
      <c r="B20" s="88"/>
      <c r="C20" s="88"/>
      <c r="D20" s="88"/>
      <c r="E20" s="88"/>
      <c r="F20" s="88"/>
      <c r="G20" s="88"/>
      <c r="H20" s="88"/>
      <c r="I20" s="88"/>
      <c r="J20" s="88"/>
      <c r="K20" s="88"/>
      <c r="L20" s="88"/>
      <c r="M20" s="88"/>
      <c r="N20" s="88"/>
      <c r="O20" s="88"/>
      <c r="P20" s="88"/>
      <c r="Q20" s="88"/>
      <c r="R20" s="88"/>
    </row>
    <row r="21" spans="1:18" ht="30" customHeight="1">
      <c r="A21" s="3" t="s">
        <v>588</v>
      </c>
      <c r="B21" s="3" t="s">
        <v>589</v>
      </c>
      <c r="C21" s="905" t="s">
        <v>415</v>
      </c>
      <c r="D21" s="905"/>
      <c r="E21" s="3" t="s">
        <v>590</v>
      </c>
      <c r="F21" s="10" t="s">
        <v>581</v>
      </c>
      <c r="G21" s="88"/>
      <c r="H21" s="88"/>
      <c r="I21" s="88"/>
      <c r="J21" s="88"/>
      <c r="K21" s="88"/>
      <c r="L21" s="88"/>
      <c r="M21" s="88"/>
      <c r="N21" s="88"/>
      <c r="O21" s="88"/>
      <c r="P21" s="88"/>
      <c r="Q21" s="88"/>
      <c r="R21" s="88"/>
    </row>
    <row r="22" spans="1:18">
      <c r="A22" s="1" t="s">
        <v>591</v>
      </c>
      <c r="B22" s="291">
        <v>0</v>
      </c>
      <c r="C22" s="906">
        <v>0</v>
      </c>
      <c r="D22" s="907"/>
      <c r="E22" s="291">
        <v>0</v>
      </c>
      <c r="F22" s="88"/>
      <c r="G22" s="88"/>
      <c r="H22" s="88"/>
      <c r="I22" s="88"/>
      <c r="J22" s="88"/>
      <c r="K22" s="88"/>
      <c r="L22" s="88"/>
      <c r="M22" s="88"/>
      <c r="N22" s="88"/>
      <c r="O22" s="88"/>
      <c r="P22" s="88"/>
      <c r="Q22" s="88"/>
      <c r="R22" s="88"/>
    </row>
    <row r="23" spans="1:18">
      <c r="A23" s="1" t="s">
        <v>592</v>
      </c>
      <c r="B23" s="291">
        <v>0</v>
      </c>
      <c r="C23" s="906">
        <v>0</v>
      </c>
      <c r="D23" s="907"/>
      <c r="E23" s="291">
        <v>0</v>
      </c>
      <c r="F23" s="88"/>
      <c r="G23" s="88"/>
      <c r="H23" s="88"/>
      <c r="I23" s="88"/>
      <c r="J23" s="88"/>
      <c r="K23" s="88"/>
      <c r="L23" s="88"/>
      <c r="M23" s="88"/>
      <c r="N23" s="88"/>
      <c r="O23" s="88"/>
      <c r="P23" s="88"/>
      <c r="Q23" s="88"/>
      <c r="R23" s="88"/>
    </row>
    <row r="24" spans="1:18">
      <c r="A24" s="1" t="s">
        <v>593</v>
      </c>
      <c r="B24" s="291">
        <v>0</v>
      </c>
      <c r="C24" s="906">
        <v>0</v>
      </c>
      <c r="D24" s="907"/>
      <c r="E24" s="291">
        <v>0</v>
      </c>
      <c r="F24" s="88"/>
      <c r="G24" s="88"/>
      <c r="H24" s="88"/>
      <c r="I24" s="88"/>
      <c r="J24" s="88"/>
      <c r="K24" s="88"/>
      <c r="L24" s="88"/>
      <c r="M24" s="88"/>
      <c r="N24" s="88"/>
      <c r="O24" s="88"/>
      <c r="P24" s="88"/>
      <c r="Q24" s="88"/>
      <c r="R24" s="88"/>
    </row>
    <row r="25" spans="1:18">
      <c r="A25" s="1" t="s">
        <v>594</v>
      </c>
      <c r="B25" s="291">
        <v>0</v>
      </c>
      <c r="C25" s="906">
        <v>0</v>
      </c>
      <c r="D25" s="907"/>
      <c r="E25" s="291">
        <v>0</v>
      </c>
      <c r="F25"/>
      <c r="G25" s="88"/>
      <c r="H25" s="88"/>
      <c r="I25" s="88"/>
      <c r="J25" s="88"/>
      <c r="K25" s="88"/>
      <c r="L25" s="88"/>
      <c r="M25" s="88"/>
      <c r="N25" s="88"/>
      <c r="O25" s="88"/>
      <c r="P25" s="88"/>
      <c r="Q25" s="88"/>
      <c r="R25" s="88"/>
    </row>
    <row r="26" spans="1:18">
      <c r="A26" s="1" t="s">
        <v>595</v>
      </c>
      <c r="B26" s="291">
        <v>0</v>
      </c>
      <c r="C26" s="906">
        <v>0</v>
      </c>
      <c r="D26" s="907"/>
      <c r="E26" s="291">
        <v>0</v>
      </c>
      <c r="F26" s="88"/>
      <c r="G26" s="88"/>
      <c r="H26" s="88"/>
      <c r="I26" s="88"/>
      <c r="J26" s="88"/>
      <c r="K26" s="88"/>
      <c r="L26" s="88"/>
      <c r="M26" s="88"/>
      <c r="N26" s="88"/>
      <c r="O26" s="88"/>
      <c r="P26" s="88"/>
      <c r="Q26" s="88"/>
      <c r="R26" s="88"/>
    </row>
    <row r="27" spans="1:18">
      <c r="A27" s="1" t="s">
        <v>596</v>
      </c>
      <c r="B27" s="291">
        <v>0</v>
      </c>
      <c r="C27" s="906">
        <v>0</v>
      </c>
      <c r="D27" s="907"/>
      <c r="E27" s="291">
        <v>0</v>
      </c>
      <c r="F27" s="88"/>
      <c r="G27" s="88"/>
      <c r="H27" s="88"/>
      <c r="I27" s="88"/>
      <c r="J27" s="88"/>
      <c r="K27" s="88"/>
      <c r="L27" s="88"/>
      <c r="M27" s="88"/>
      <c r="N27" s="88"/>
      <c r="O27" s="88"/>
      <c r="P27" s="88"/>
      <c r="Q27" s="88"/>
      <c r="R27" s="88"/>
    </row>
    <row r="28" spans="1:18">
      <c r="A28" s="1" t="s">
        <v>597</v>
      </c>
      <c r="B28" s="291">
        <v>0</v>
      </c>
      <c r="C28" s="906">
        <v>0</v>
      </c>
      <c r="D28" s="907"/>
      <c r="E28" s="291">
        <v>0</v>
      </c>
      <c r="F28" s="88"/>
      <c r="G28" s="88"/>
      <c r="H28" s="88"/>
      <c r="I28" s="88"/>
      <c r="J28" s="88"/>
      <c r="K28" s="88"/>
      <c r="L28" s="88"/>
      <c r="M28" s="88"/>
      <c r="N28" s="88"/>
      <c r="O28" s="88"/>
      <c r="P28" s="88"/>
      <c r="Q28" s="88"/>
      <c r="R28" s="88"/>
    </row>
    <row r="29" spans="1:18">
      <c r="A29" s="1" t="s">
        <v>598</v>
      </c>
      <c r="B29" s="291">
        <v>0</v>
      </c>
      <c r="C29" s="906">
        <v>0</v>
      </c>
      <c r="D29" s="907"/>
      <c r="E29" s="291">
        <v>0</v>
      </c>
      <c r="F29" s="88"/>
      <c r="G29" s="88"/>
      <c r="H29" s="88"/>
      <c r="I29" s="88"/>
      <c r="J29" s="88"/>
      <c r="K29" s="88"/>
      <c r="L29" s="88"/>
      <c r="M29" s="88"/>
      <c r="N29" s="88"/>
      <c r="O29" s="88"/>
      <c r="P29" s="88"/>
      <c r="Q29" s="88"/>
      <c r="R29" s="88"/>
    </row>
    <row r="30" spans="1:18">
      <c r="A30" s="1" t="s">
        <v>599</v>
      </c>
      <c r="B30" s="291">
        <v>0</v>
      </c>
      <c r="C30" s="906">
        <v>0</v>
      </c>
      <c r="D30" s="907"/>
      <c r="E30" s="291">
        <v>0</v>
      </c>
      <c r="F30" s="88"/>
      <c r="G30" s="88"/>
      <c r="H30" s="88"/>
      <c r="I30" s="88"/>
      <c r="J30" s="88"/>
      <c r="K30" s="88"/>
      <c r="L30" s="88"/>
      <c r="M30" s="88"/>
      <c r="N30" s="88"/>
      <c r="O30" s="88"/>
      <c r="P30" s="88"/>
      <c r="Q30" s="88"/>
      <c r="R30" s="88"/>
    </row>
    <row r="31" spans="1:18">
      <c r="A31" s="1" t="s">
        <v>600</v>
      </c>
      <c r="B31" s="291">
        <v>0</v>
      </c>
      <c r="C31" s="906">
        <v>0</v>
      </c>
      <c r="D31" s="907"/>
      <c r="E31" s="291">
        <v>0</v>
      </c>
      <c r="F31" s="88"/>
      <c r="G31" s="88"/>
      <c r="H31" s="88"/>
      <c r="I31" s="88"/>
      <c r="J31" s="88"/>
      <c r="K31" s="88"/>
      <c r="L31" s="88"/>
      <c r="M31" s="88"/>
      <c r="N31" s="88"/>
      <c r="O31" s="88"/>
      <c r="P31" s="88"/>
      <c r="Q31" s="88"/>
      <c r="R31" s="88"/>
    </row>
    <row r="32" spans="1:18">
      <c r="A32" s="292" t="str">
        <f>"Other (Specify)"</f>
        <v>Other (Specify)</v>
      </c>
      <c r="B32" s="291">
        <v>0</v>
      </c>
      <c r="C32" s="906">
        <v>0</v>
      </c>
      <c r="D32" s="907"/>
      <c r="E32" s="291">
        <v>0</v>
      </c>
      <c r="F32" s="88"/>
      <c r="G32" s="88"/>
      <c r="H32" s="88"/>
      <c r="I32" s="88"/>
      <c r="J32" s="88"/>
      <c r="K32" s="88"/>
      <c r="L32" s="88"/>
      <c r="M32" s="88"/>
      <c r="N32" s="88"/>
      <c r="O32" s="88"/>
      <c r="P32" s="88"/>
      <c r="Q32" s="88"/>
      <c r="R32" s="88"/>
    </row>
    <row r="33" spans="1:6">
      <c r="A33" s="292" t="str">
        <f t="shared" ref="A33:A34" si="0">"Other (Specify)"</f>
        <v>Other (Specify)</v>
      </c>
      <c r="B33" s="291">
        <v>0</v>
      </c>
      <c r="C33" s="906">
        <v>0</v>
      </c>
      <c r="D33" s="907"/>
      <c r="E33" s="291">
        <v>0</v>
      </c>
      <c r="F33" s="88"/>
    </row>
    <row r="34" spans="1:6">
      <c r="A34" s="292" t="str">
        <f t="shared" si="0"/>
        <v>Other (Specify)</v>
      </c>
      <c r="B34" s="291">
        <v>0</v>
      </c>
      <c r="C34" s="906">
        <v>0</v>
      </c>
      <c r="D34" s="907"/>
      <c r="E34" s="291">
        <v>0</v>
      </c>
      <c r="F34" s="88"/>
    </row>
    <row r="35" spans="1:6" customFormat="1">
      <c r="B35" s="66">
        <f>SUM(B22:B34)</f>
        <v>0</v>
      </c>
      <c r="C35" s="912">
        <f>SUM(C22:C34)</f>
        <v>0</v>
      </c>
      <c r="D35" s="913"/>
      <c r="E35" s="66">
        <f>SUM(E22:E34)</f>
        <v>0</v>
      </c>
    </row>
    <row r="36" spans="1:6">
      <c r="A36" s="3" t="s">
        <v>601</v>
      </c>
      <c r="B36" s="463"/>
      <c r="C36" s="3"/>
      <c r="D36" s="3"/>
      <c r="E36" s="463"/>
      <c r="F36" s="88"/>
    </row>
    <row r="37" spans="1:6">
      <c r="A37" s="1" t="s">
        <v>602</v>
      </c>
      <c r="B37" s="291">
        <v>0</v>
      </c>
      <c r="C37" s="906">
        <v>0</v>
      </c>
      <c r="D37" s="907"/>
      <c r="E37" s="291">
        <v>0</v>
      </c>
      <c r="F37" s="88"/>
    </row>
    <row r="38" spans="1:6">
      <c r="A38" s="1" t="s">
        <v>603</v>
      </c>
      <c r="B38" s="291">
        <v>0</v>
      </c>
      <c r="C38" s="906">
        <v>0</v>
      </c>
      <c r="D38" s="907"/>
      <c r="E38" s="291">
        <v>0</v>
      </c>
      <c r="F38" s="88"/>
    </row>
    <row r="39" spans="1:6">
      <c r="A39" s="1" t="s">
        <v>604</v>
      </c>
      <c r="B39" s="291">
        <v>0</v>
      </c>
      <c r="C39" s="906">
        <v>0</v>
      </c>
      <c r="D39" s="907"/>
      <c r="E39" s="291">
        <v>0</v>
      </c>
      <c r="F39" s="88"/>
    </row>
    <row r="40" spans="1:6">
      <c r="A40" s="1" t="s">
        <v>605</v>
      </c>
      <c r="B40" s="291">
        <v>0</v>
      </c>
      <c r="C40" s="906">
        <v>0</v>
      </c>
      <c r="D40" s="907"/>
      <c r="E40" s="291">
        <v>0</v>
      </c>
      <c r="F40" s="88"/>
    </row>
    <row r="41" spans="1:6">
      <c r="A41" s="1" t="s">
        <v>606</v>
      </c>
      <c r="B41" s="291">
        <v>0</v>
      </c>
      <c r="C41" s="906">
        <v>0</v>
      </c>
      <c r="D41" s="907"/>
      <c r="E41" s="291">
        <v>0</v>
      </c>
      <c r="F41" s="88"/>
    </row>
    <row r="42" spans="1:6">
      <c r="A42" s="1" t="s">
        <v>607</v>
      </c>
      <c r="B42" s="291">
        <v>0</v>
      </c>
      <c r="C42" s="906">
        <v>0</v>
      </c>
      <c r="D42" s="907"/>
      <c r="E42" s="291">
        <v>0</v>
      </c>
      <c r="F42" s="88"/>
    </row>
    <row r="43" spans="1:6">
      <c r="A43" s="1" t="s">
        <v>608</v>
      </c>
      <c r="B43" s="291">
        <v>0</v>
      </c>
      <c r="C43" s="906">
        <v>0</v>
      </c>
      <c r="D43" s="907"/>
      <c r="E43" s="291">
        <v>0</v>
      </c>
      <c r="F43" s="88"/>
    </row>
    <row r="44" spans="1:6">
      <c r="A44" s="1" t="s">
        <v>609</v>
      </c>
      <c r="B44" s="291">
        <v>0</v>
      </c>
      <c r="C44" s="906">
        <v>0</v>
      </c>
      <c r="D44" s="907"/>
      <c r="E44" s="291">
        <v>0</v>
      </c>
      <c r="F44" s="88"/>
    </row>
    <row r="45" spans="1:6">
      <c r="A45" s="292" t="str">
        <f t="shared" ref="A45:A48" si="1">"Other (Specify)"</f>
        <v>Other (Specify)</v>
      </c>
      <c r="B45" s="291">
        <v>0</v>
      </c>
      <c r="C45" s="906">
        <v>0</v>
      </c>
      <c r="D45" s="907"/>
      <c r="E45" s="291">
        <v>0</v>
      </c>
      <c r="F45" s="88"/>
    </row>
    <row r="46" spans="1:6">
      <c r="A46" s="292" t="str">
        <f t="shared" si="1"/>
        <v>Other (Specify)</v>
      </c>
      <c r="B46" s="291">
        <v>0</v>
      </c>
      <c r="C46" s="906">
        <v>0</v>
      </c>
      <c r="D46" s="907"/>
      <c r="E46" s="291">
        <v>0</v>
      </c>
      <c r="F46" s="88"/>
    </row>
    <row r="47" spans="1:6">
      <c r="A47" s="292" t="str">
        <f t="shared" si="1"/>
        <v>Other (Specify)</v>
      </c>
      <c r="B47" s="291">
        <v>0</v>
      </c>
      <c r="C47" s="906">
        <v>0</v>
      </c>
      <c r="D47" s="907"/>
      <c r="E47" s="291">
        <v>0</v>
      </c>
      <c r="F47" s="88"/>
    </row>
    <row r="48" spans="1:6">
      <c r="A48" s="292" t="str">
        <f t="shared" si="1"/>
        <v>Other (Specify)</v>
      </c>
      <c r="B48" s="291">
        <v>0</v>
      </c>
      <c r="C48" s="906">
        <v>0</v>
      </c>
      <c r="D48" s="907"/>
      <c r="E48" s="291">
        <v>0</v>
      </c>
      <c r="F48" s="88"/>
    </row>
    <row r="49" spans="1:5" customFormat="1">
      <c r="B49" s="66">
        <f>SUM(B37:B48)</f>
        <v>0</v>
      </c>
      <c r="C49" s="912">
        <f>SUM(C36:C48)</f>
        <v>0</v>
      </c>
      <c r="D49" s="913"/>
      <c r="E49" s="66">
        <f>SUM(E37:E48)</f>
        <v>0</v>
      </c>
    </row>
    <row r="50" spans="1:5">
      <c r="A50" s="3" t="s">
        <v>610</v>
      </c>
      <c r="B50" s="463"/>
      <c r="C50" s="3"/>
      <c r="D50" s="3"/>
      <c r="E50" s="463"/>
    </row>
    <row r="51" spans="1:5">
      <c r="A51" s="1" t="s">
        <v>611</v>
      </c>
      <c r="B51" s="291">
        <v>0</v>
      </c>
      <c r="C51" s="906">
        <v>0</v>
      </c>
      <c r="D51" s="907"/>
      <c r="E51" s="291">
        <v>0</v>
      </c>
    </row>
    <row r="52" spans="1:5">
      <c r="A52" s="1" t="s">
        <v>612</v>
      </c>
      <c r="B52" s="291">
        <v>0</v>
      </c>
      <c r="C52" s="906">
        <v>0</v>
      </c>
      <c r="D52" s="907"/>
      <c r="E52" s="291">
        <v>0</v>
      </c>
    </row>
    <row r="53" spans="1:5">
      <c r="A53" s="1" t="s">
        <v>613</v>
      </c>
      <c r="B53" s="291">
        <v>0</v>
      </c>
      <c r="C53" s="906">
        <v>0</v>
      </c>
      <c r="D53" s="907"/>
      <c r="E53" s="291">
        <v>0</v>
      </c>
    </row>
    <row r="54" spans="1:5">
      <c r="A54" s="1" t="s">
        <v>614</v>
      </c>
      <c r="B54" s="291">
        <v>0</v>
      </c>
      <c r="C54" s="906">
        <v>0</v>
      </c>
      <c r="D54" s="907"/>
      <c r="E54" s="291">
        <v>0</v>
      </c>
    </row>
    <row r="55" spans="1:5">
      <c r="A55" s="1" t="s">
        <v>615</v>
      </c>
      <c r="B55" s="291">
        <v>0</v>
      </c>
      <c r="C55" s="906">
        <v>0</v>
      </c>
      <c r="D55" s="907"/>
      <c r="E55" s="291">
        <v>0</v>
      </c>
    </row>
    <row r="56" spans="1:5">
      <c r="A56" s="1" t="s">
        <v>616</v>
      </c>
      <c r="B56" s="291">
        <v>0</v>
      </c>
      <c r="C56" s="906">
        <v>0</v>
      </c>
      <c r="D56" s="907"/>
      <c r="E56" s="291">
        <v>0</v>
      </c>
    </row>
    <row r="57" spans="1:5">
      <c r="A57" s="1" t="s">
        <v>617</v>
      </c>
      <c r="B57" s="291">
        <v>0</v>
      </c>
      <c r="C57" s="906">
        <v>0</v>
      </c>
      <c r="D57" s="907"/>
      <c r="E57" s="291">
        <v>0</v>
      </c>
    </row>
    <row r="58" spans="1:5">
      <c r="A58" s="1" t="s">
        <v>618</v>
      </c>
      <c r="B58" s="291">
        <v>0</v>
      </c>
      <c r="C58" s="906">
        <v>0</v>
      </c>
      <c r="D58" s="907"/>
      <c r="E58" s="291">
        <v>0</v>
      </c>
    </row>
    <row r="59" spans="1:5">
      <c r="A59" s="1" t="s">
        <v>619</v>
      </c>
      <c r="B59" s="291">
        <v>0</v>
      </c>
      <c r="C59" s="906">
        <v>0</v>
      </c>
      <c r="D59" s="907"/>
      <c r="E59" s="291">
        <v>0</v>
      </c>
    </row>
    <row r="60" spans="1:5">
      <c r="A60" s="292" t="str">
        <f t="shared" ref="A60:A62" si="2">"Other (Specify)"</f>
        <v>Other (Specify)</v>
      </c>
      <c r="B60" s="291">
        <v>0</v>
      </c>
      <c r="C60" s="906">
        <v>0</v>
      </c>
      <c r="D60" s="907"/>
      <c r="E60" s="291">
        <v>0</v>
      </c>
    </row>
    <row r="61" spans="1:5">
      <c r="A61" s="292" t="str">
        <f t="shared" si="2"/>
        <v>Other (Specify)</v>
      </c>
      <c r="B61" s="291">
        <v>0</v>
      </c>
      <c r="C61" s="906">
        <v>0</v>
      </c>
      <c r="D61" s="907"/>
      <c r="E61" s="291">
        <v>0</v>
      </c>
    </row>
    <row r="62" spans="1:5">
      <c r="A62" s="292" t="str">
        <f t="shared" si="2"/>
        <v>Other (Specify)</v>
      </c>
      <c r="B62" s="291">
        <v>0</v>
      </c>
      <c r="C62" s="906">
        <v>0</v>
      </c>
      <c r="D62" s="907"/>
      <c r="E62" s="291">
        <v>0</v>
      </c>
    </row>
    <row r="63" spans="1:5" customFormat="1">
      <c r="B63" s="66">
        <f>SUM(B51:B62)</f>
        <v>0</v>
      </c>
      <c r="C63" s="912">
        <f>SUM(C50:C62)</f>
        <v>0</v>
      </c>
      <c r="D63" s="913"/>
      <c r="E63" s="66">
        <f>SUM(E51:E62)</f>
        <v>0</v>
      </c>
    </row>
    <row r="64" spans="1:5">
      <c r="A64" s="3" t="s">
        <v>620</v>
      </c>
      <c r="B64" s="463"/>
      <c r="C64" s="3"/>
      <c r="D64" s="3"/>
      <c r="E64" s="463"/>
    </row>
    <row r="65" spans="1:5">
      <c r="A65" s="1" t="s">
        <v>621</v>
      </c>
      <c r="B65" s="291">
        <v>0</v>
      </c>
      <c r="C65" s="906">
        <v>0</v>
      </c>
      <c r="D65" s="907"/>
      <c r="E65" s="291">
        <v>0</v>
      </c>
    </row>
    <row r="66" spans="1:5">
      <c r="A66" s="1" t="s">
        <v>622</v>
      </c>
      <c r="B66" s="291">
        <v>0</v>
      </c>
      <c r="C66" s="906">
        <v>0</v>
      </c>
      <c r="D66" s="907"/>
      <c r="E66" s="291">
        <v>0</v>
      </c>
    </row>
    <row r="67" spans="1:5">
      <c r="A67" s="1" t="s">
        <v>623</v>
      </c>
      <c r="B67" s="291">
        <v>0</v>
      </c>
      <c r="C67" s="906">
        <v>0</v>
      </c>
      <c r="D67" s="907"/>
      <c r="E67" s="291">
        <v>0</v>
      </c>
    </row>
    <row r="68" spans="1:5">
      <c r="A68" s="1" t="s">
        <v>624</v>
      </c>
      <c r="B68" s="291">
        <v>0</v>
      </c>
      <c r="C68" s="906">
        <v>0</v>
      </c>
      <c r="D68" s="907"/>
      <c r="E68" s="291">
        <v>0</v>
      </c>
    </row>
    <row r="69" spans="1:5">
      <c r="A69" s="1" t="s">
        <v>625</v>
      </c>
      <c r="B69" s="291">
        <v>0</v>
      </c>
      <c r="C69" s="906">
        <v>0</v>
      </c>
      <c r="D69" s="907"/>
      <c r="E69" s="291">
        <v>0</v>
      </c>
    </row>
    <row r="70" spans="1:5">
      <c r="A70" s="292" t="str">
        <f t="shared" ref="A70:A71" si="3">"Other (Specify)"</f>
        <v>Other (Specify)</v>
      </c>
      <c r="B70" s="291">
        <v>0</v>
      </c>
      <c r="C70" s="906">
        <v>0</v>
      </c>
      <c r="D70" s="907"/>
      <c r="E70" s="291">
        <v>0</v>
      </c>
    </row>
    <row r="71" spans="1:5">
      <c r="A71" s="292" t="str">
        <f t="shared" si="3"/>
        <v>Other (Specify)</v>
      </c>
      <c r="B71" s="291">
        <v>0</v>
      </c>
      <c r="C71" s="906">
        <v>0</v>
      </c>
      <c r="D71" s="907"/>
      <c r="E71" s="291">
        <v>0</v>
      </c>
    </row>
    <row r="72" spans="1:5" ht="15.75" thickBot="1">
      <c r="A72" s="68"/>
      <c r="B72" s="464">
        <f>SUM(B65:B71)</f>
        <v>0</v>
      </c>
      <c r="C72" s="911">
        <f>SUM(C65:C71)</f>
        <v>0</v>
      </c>
      <c r="D72" s="911"/>
      <c r="E72" s="464">
        <f>SUM(E65:E71)</f>
        <v>0</v>
      </c>
    </row>
    <row r="73" spans="1:5" ht="15.75" thickTop="1">
      <c r="A73" s="68" t="s">
        <v>391</v>
      </c>
      <c r="B73" s="450">
        <f>SUM(B22:B34,B37:B48,B51:B62,B65:B71)</f>
        <v>0</v>
      </c>
      <c r="C73" s="910">
        <f>SUM(C22:C34,C37:C48,C51:C62,C65:C71)</f>
        <v>0</v>
      </c>
      <c r="D73" s="910"/>
      <c r="E73" s="450">
        <f>SUM(E22:E34,E37:E48,E51:E62,E65:E71)</f>
        <v>0</v>
      </c>
    </row>
    <row r="76" spans="1:5" ht="30">
      <c r="A76" s="513" t="s">
        <v>626</v>
      </c>
      <c r="B76" s="291">
        <v>0</v>
      </c>
      <c r="C76" s="88"/>
      <c r="D76" s="88"/>
      <c r="E76" s="88"/>
    </row>
    <row r="77" spans="1:5" ht="30">
      <c r="A77" s="513" t="s">
        <v>627</v>
      </c>
      <c r="B77" s="465" t="s">
        <v>628</v>
      </c>
      <c r="C77" s="88"/>
      <c r="D77" s="88"/>
      <c r="E77" s="88"/>
    </row>
    <row r="80" spans="1:5">
      <c r="A80" s="88"/>
      <c r="B80" s="49"/>
      <c r="C80" s="88"/>
      <c r="D80" s="88"/>
      <c r="E80" s="88"/>
    </row>
  </sheetData>
  <sheetProtection algorithmName="SHA-512" hashValue="PlZ6GsJFpK1RJf5jzgEwNC5jhgZfw00wLXKcGQo4flyyrHyiE/6pDL5zcCyPAtUg1Vz8iQ5uwe6UcV4+Mj/d9A==" saltValue="UzVL0laGNoTYjbO/mvQ+pw==" spinCount="100000" sheet="1" objects="1" scenarios="1"/>
  <mergeCells count="56">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 ref="C61:D61"/>
    <mergeCell ref="C70:D70"/>
    <mergeCell ref="C62:D62"/>
    <mergeCell ref="C53:D53"/>
    <mergeCell ref="C54:D54"/>
    <mergeCell ref="C55:D55"/>
    <mergeCell ref="C56:D56"/>
    <mergeCell ref="C57:D57"/>
    <mergeCell ref="C48:D48"/>
    <mergeCell ref="C37:D37"/>
    <mergeCell ref="C38:D38"/>
    <mergeCell ref="C39:D39"/>
    <mergeCell ref="C40:D40"/>
    <mergeCell ref="C41:D41"/>
    <mergeCell ref="C42:D42"/>
    <mergeCell ref="C43:D43"/>
    <mergeCell ref="C44:D44"/>
    <mergeCell ref="C45:D45"/>
    <mergeCell ref="C46:D46"/>
    <mergeCell ref="C47:D47"/>
    <mergeCell ref="C34:D34"/>
    <mergeCell ref="C23:D23"/>
    <mergeCell ref="C24:D24"/>
    <mergeCell ref="C25:D25"/>
    <mergeCell ref="C26:D26"/>
    <mergeCell ref="C27:D27"/>
    <mergeCell ref="C28:D28"/>
    <mergeCell ref="C29:D29"/>
    <mergeCell ref="C30:D30"/>
    <mergeCell ref="C31:D31"/>
    <mergeCell ref="C32:D32"/>
    <mergeCell ref="C33:D33"/>
    <mergeCell ref="A9:C9"/>
    <mergeCell ref="C21:D21"/>
    <mergeCell ref="C22:D22"/>
    <mergeCell ref="C11:D11"/>
    <mergeCell ref="C12:D12"/>
    <mergeCell ref="C13:D13"/>
    <mergeCell ref="C14:D14"/>
    <mergeCell ref="C15:D15"/>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27"/>
  <sheetViews>
    <sheetView showGridLines="0" workbookViewId="0"/>
  </sheetViews>
  <sheetFormatPr defaultRowHeight="15"/>
  <cols>
    <col min="1" max="1" width="42" customWidth="1"/>
    <col min="2" max="2" width="28.5703125" customWidth="1"/>
    <col min="3" max="3" width="70" customWidth="1"/>
  </cols>
  <sheetData>
    <row r="1" spans="1:3" ht="21">
      <c r="A1" s="4" t="s">
        <v>629</v>
      </c>
      <c r="B1" s="4"/>
      <c r="C1" s="4"/>
    </row>
    <row r="3" spans="1:3">
      <c r="A3" s="3" t="s">
        <v>630</v>
      </c>
      <c r="B3" s="3"/>
      <c r="C3" s="3"/>
    </row>
    <row r="4" spans="1:3">
      <c r="A4" s="1" t="s">
        <v>631</v>
      </c>
      <c r="B4" s="287"/>
    </row>
    <row r="5" spans="1:3">
      <c r="A5" s="1" t="s">
        <v>632</v>
      </c>
      <c r="B5" s="287"/>
    </row>
    <row r="6" spans="1:3">
      <c r="A6" s="1" t="s">
        <v>633</v>
      </c>
      <c r="B6" s="287"/>
    </row>
    <row r="7" spans="1:3">
      <c r="A7" s="1" t="s">
        <v>634</v>
      </c>
      <c r="B7" s="287"/>
    </row>
    <row r="8" spans="1:3">
      <c r="A8" s="1" t="s">
        <v>635</v>
      </c>
      <c r="B8" s="287"/>
    </row>
    <row r="9" spans="1:3">
      <c r="A9" s="1" t="s">
        <v>636</v>
      </c>
      <c r="B9" s="287"/>
    </row>
    <row r="10" spans="1:3">
      <c r="A10" s="1" t="s">
        <v>637</v>
      </c>
      <c r="B10" s="287"/>
    </row>
    <row r="11" spans="1:3">
      <c r="A11" s="1" t="s">
        <v>638</v>
      </c>
      <c r="B11" s="287"/>
    </row>
    <row r="12" spans="1:3">
      <c r="A12" s="1" t="s">
        <v>639</v>
      </c>
      <c r="B12" s="287"/>
    </row>
    <row r="13" spans="1:3">
      <c r="A13" s="1" t="s">
        <v>640</v>
      </c>
      <c r="B13" s="287"/>
    </row>
    <row r="14" spans="1:3">
      <c r="A14" s="1" t="s">
        <v>641</v>
      </c>
      <c r="B14" s="287"/>
    </row>
    <row r="15" spans="1:3">
      <c r="A15" s="1" t="s">
        <v>642</v>
      </c>
      <c r="B15" s="287"/>
    </row>
    <row r="16" spans="1:3">
      <c r="A16" s="3" t="s">
        <v>643</v>
      </c>
      <c r="B16" s="3"/>
      <c r="C16" s="3"/>
    </row>
    <row r="17" spans="1:3">
      <c r="A17" s="1" t="s">
        <v>644</v>
      </c>
      <c r="B17" s="287"/>
    </row>
    <row r="18" spans="1:3">
      <c r="A18" s="1" t="s">
        <v>645</v>
      </c>
      <c r="B18" s="287"/>
    </row>
    <row r="19" spans="1:3">
      <c r="A19" s="1" t="s">
        <v>646</v>
      </c>
      <c r="B19" s="287"/>
    </row>
    <row r="20" spans="1:3">
      <c r="A20" s="1" t="s">
        <v>647</v>
      </c>
      <c r="B20" s="287"/>
    </row>
    <row r="21" spans="1:3">
      <c r="A21" s="1" t="s">
        <v>648</v>
      </c>
      <c r="B21" s="287"/>
    </row>
    <row r="22" spans="1:3">
      <c r="A22" s="1" t="s">
        <v>649</v>
      </c>
      <c r="B22" s="287"/>
    </row>
    <row r="23" spans="1:3">
      <c r="A23" s="1" t="s">
        <v>650</v>
      </c>
      <c r="B23" s="287"/>
    </row>
    <row r="24" spans="1:3">
      <c r="A24" s="1" t="s">
        <v>651</v>
      </c>
      <c r="B24" s="287"/>
    </row>
    <row r="25" spans="1:3">
      <c r="A25" s="1" t="s">
        <v>642</v>
      </c>
      <c r="B25" s="287"/>
    </row>
    <row r="26" spans="1:3">
      <c r="A26" s="3" t="s">
        <v>652</v>
      </c>
      <c r="B26" s="3"/>
      <c r="C26" s="3"/>
    </row>
    <row r="27" spans="1:3">
      <c r="A27" s="1" t="s">
        <v>653</v>
      </c>
      <c r="B27" s="287"/>
    </row>
    <row r="28" spans="1:3">
      <c r="A28" s="17" t="s">
        <v>654</v>
      </c>
      <c r="B28" s="287"/>
    </row>
    <row r="29" spans="1:3">
      <c r="A29" s="17" t="s">
        <v>655</v>
      </c>
      <c r="B29" s="287"/>
    </row>
    <row r="30" spans="1:3">
      <c r="A30" s="17" t="s">
        <v>656</v>
      </c>
      <c r="B30" s="287"/>
    </row>
    <row r="31" spans="1:3">
      <c r="A31" s="17" t="s">
        <v>657</v>
      </c>
      <c r="B31" s="287"/>
    </row>
    <row r="32" spans="1:3">
      <c r="A32" s="17" t="s">
        <v>658</v>
      </c>
      <c r="B32" s="287"/>
    </row>
    <row r="33" spans="1:3">
      <c r="A33" s="17" t="s">
        <v>659</v>
      </c>
      <c r="B33" s="287">
        <v>0</v>
      </c>
      <c r="C33" s="6" t="s">
        <v>285</v>
      </c>
    </row>
    <row r="34" spans="1:3" ht="30">
      <c r="A34" s="881" t="s">
        <v>660</v>
      </c>
      <c r="B34" s="287"/>
      <c r="C34" s="6"/>
    </row>
    <row r="35" spans="1:3">
      <c r="A35" s="881" t="s">
        <v>661</v>
      </c>
      <c r="B35" s="287"/>
      <c r="C35" s="6"/>
    </row>
    <row r="36" spans="1:3">
      <c r="A36" s="17" t="s">
        <v>662</v>
      </c>
      <c r="B36" s="287"/>
    </row>
    <row r="37" spans="1:3">
      <c r="A37" s="17" t="s">
        <v>663</v>
      </c>
      <c r="B37" s="287"/>
    </row>
    <row r="38" spans="1:3">
      <c r="A38" s="17" t="s">
        <v>664</v>
      </c>
      <c r="B38" s="287"/>
    </row>
    <row r="39" spans="1:3">
      <c r="A39" s="17" t="s">
        <v>665</v>
      </c>
      <c r="B39" s="287"/>
    </row>
    <row r="40" spans="1:3">
      <c r="A40" s="1" t="s">
        <v>666</v>
      </c>
      <c r="B40" s="287"/>
      <c r="C40" s="6" t="s">
        <v>285</v>
      </c>
    </row>
    <row r="41" spans="1:3">
      <c r="A41" s="1" t="s">
        <v>667</v>
      </c>
      <c r="B41" s="287"/>
      <c r="C41" s="6"/>
    </row>
    <row r="42" spans="1:3">
      <c r="A42" s="1" t="s">
        <v>668</v>
      </c>
      <c r="B42" s="287"/>
    </row>
    <row r="43" spans="1:3">
      <c r="A43" s="1" t="s">
        <v>669</v>
      </c>
      <c r="B43" s="287"/>
    </row>
    <row r="44" spans="1:3">
      <c r="A44" s="1" t="s">
        <v>670</v>
      </c>
      <c r="B44" s="287"/>
    </row>
    <row r="45" spans="1:3">
      <c r="A45" s="1" t="s">
        <v>671</v>
      </c>
      <c r="B45" s="287"/>
    </row>
    <row r="46" spans="1:3">
      <c r="A46" s="1" t="s">
        <v>672</v>
      </c>
      <c r="B46" s="287"/>
    </row>
    <row r="47" spans="1:3">
      <c r="A47" s="1" t="s">
        <v>673</v>
      </c>
      <c r="B47" s="287"/>
    </row>
    <row r="48" spans="1:3">
      <c r="A48" s="1" t="s">
        <v>674</v>
      </c>
      <c r="B48" s="287"/>
    </row>
    <row r="49" spans="1:3">
      <c r="A49" s="1" t="s">
        <v>675</v>
      </c>
      <c r="B49" s="287"/>
    </row>
    <row r="50" spans="1:3">
      <c r="A50" s="1" t="s">
        <v>676</v>
      </c>
      <c r="B50" s="287"/>
    </row>
    <row r="51" spans="1:3">
      <c r="A51" s="1" t="s">
        <v>677</v>
      </c>
      <c r="B51" s="287"/>
    </row>
    <row r="52" spans="1:3">
      <c r="A52" s="1" t="s">
        <v>678</v>
      </c>
      <c r="B52" s="287"/>
    </row>
    <row r="53" spans="1:3">
      <c r="A53" s="1" t="s">
        <v>642</v>
      </c>
      <c r="B53" s="287"/>
    </row>
    <row r="54" spans="1:3">
      <c r="A54" s="1" t="s">
        <v>642</v>
      </c>
      <c r="B54" s="287"/>
    </row>
    <row r="55" spans="1:3">
      <c r="A55" s="3" t="s">
        <v>608</v>
      </c>
      <c r="B55" s="3"/>
      <c r="C55" s="3"/>
    </row>
    <row r="56" spans="1:3">
      <c r="A56" s="1" t="s">
        <v>679</v>
      </c>
      <c r="B56" s="287"/>
    </row>
    <row r="57" spans="1:3">
      <c r="A57" s="1" t="s">
        <v>680</v>
      </c>
      <c r="B57" s="287"/>
    </row>
    <row r="58" spans="1:3">
      <c r="A58" s="1" t="s">
        <v>681</v>
      </c>
      <c r="B58" s="287"/>
    </row>
    <row r="59" spans="1:3">
      <c r="A59" s="1" t="s">
        <v>682</v>
      </c>
      <c r="B59" s="287"/>
    </row>
    <row r="60" spans="1:3">
      <c r="A60" s="1" t="s">
        <v>683</v>
      </c>
      <c r="B60" s="287"/>
    </row>
    <row r="61" spans="1:3">
      <c r="A61" s="3" t="s">
        <v>684</v>
      </c>
      <c r="B61" s="3"/>
      <c r="C61" s="3"/>
    </row>
    <row r="62" spans="1:3">
      <c r="A62" s="491" t="s">
        <v>685</v>
      </c>
      <c r="B62" s="287">
        <v>0</v>
      </c>
      <c r="C62" s="6" t="s">
        <v>285</v>
      </c>
    </row>
    <row r="63" spans="1:3">
      <c r="A63" s="1" t="s">
        <v>686</v>
      </c>
      <c r="B63" s="287">
        <v>0</v>
      </c>
      <c r="C63" s="6" t="s">
        <v>285</v>
      </c>
    </row>
    <row r="64" spans="1:3">
      <c r="A64" s="1" t="s">
        <v>687</v>
      </c>
      <c r="B64" s="287">
        <v>0</v>
      </c>
      <c r="C64" s="6" t="s">
        <v>285</v>
      </c>
    </row>
    <row r="65" spans="1:3">
      <c r="A65" s="1" t="s">
        <v>688</v>
      </c>
      <c r="B65" s="287">
        <v>0</v>
      </c>
      <c r="C65" s="6" t="s">
        <v>285</v>
      </c>
    </row>
    <row r="66" spans="1:3">
      <c r="A66" s="1" t="s">
        <v>689</v>
      </c>
      <c r="B66" s="287">
        <v>0</v>
      </c>
      <c r="C66" s="6" t="s">
        <v>285</v>
      </c>
    </row>
    <row r="67" spans="1:3">
      <c r="A67" s="1" t="s">
        <v>690</v>
      </c>
      <c r="B67" s="287">
        <v>0</v>
      </c>
      <c r="C67" s="6" t="s">
        <v>285</v>
      </c>
    </row>
    <row r="68" spans="1:3">
      <c r="A68" s="1" t="s">
        <v>691</v>
      </c>
      <c r="B68" s="321">
        <f>Calculations!F3</f>
        <v>0</v>
      </c>
      <c r="C68" s="6"/>
    </row>
    <row r="69" spans="1:3">
      <c r="A69" s="1" t="s">
        <v>692</v>
      </c>
      <c r="B69" s="287"/>
    </row>
    <row r="70" spans="1:3">
      <c r="A70" s="1" t="s">
        <v>693</v>
      </c>
      <c r="B70" s="287"/>
    </row>
    <row r="71" spans="1:3">
      <c r="A71" s="17" t="s">
        <v>694</v>
      </c>
      <c r="B71" s="346">
        <v>0</v>
      </c>
      <c r="C71" s="6" t="s">
        <v>285</v>
      </c>
    </row>
    <row r="72" spans="1:3">
      <c r="A72" s="17" t="s">
        <v>695</v>
      </c>
      <c r="B72" s="529"/>
      <c r="C72" s="6" t="s">
        <v>285</v>
      </c>
    </row>
    <row r="73" spans="1:3">
      <c r="A73" s="1" t="s">
        <v>696</v>
      </c>
      <c r="B73" s="287"/>
    </row>
    <row r="74" spans="1:3">
      <c r="A74" s="1" t="s">
        <v>697</v>
      </c>
      <c r="B74" s="287"/>
    </row>
    <row r="75" spans="1:3">
      <c r="A75" s="17" t="s">
        <v>694</v>
      </c>
      <c r="B75" s="346">
        <v>0</v>
      </c>
      <c r="C75" s="6" t="s">
        <v>285</v>
      </c>
    </row>
    <row r="76" spans="1:3">
      <c r="A76" s="1" t="s">
        <v>698</v>
      </c>
      <c r="B76" s="287"/>
      <c r="C76" s="18"/>
    </row>
    <row r="77" spans="1:3">
      <c r="A77" s="17" t="s">
        <v>699</v>
      </c>
      <c r="B77" s="287"/>
      <c r="C77" s="18"/>
    </row>
    <row r="78" spans="1:3" ht="30">
      <c r="A78" s="513" t="s">
        <v>700</v>
      </c>
      <c r="B78" s="287">
        <v>0</v>
      </c>
      <c r="C78" s="6" t="s">
        <v>285</v>
      </c>
    </row>
    <row r="79" spans="1:3">
      <c r="A79" s="1" t="s">
        <v>701</v>
      </c>
      <c r="B79" s="287"/>
    </row>
    <row r="80" spans="1:3">
      <c r="A80" s="1" t="s">
        <v>702</v>
      </c>
      <c r="B80" s="287">
        <v>0</v>
      </c>
      <c r="C80" s="6" t="s">
        <v>285</v>
      </c>
    </row>
    <row r="81" spans="1:3" ht="30">
      <c r="A81" s="513" t="s">
        <v>703</v>
      </c>
      <c r="B81" s="287"/>
      <c r="C81" s="6"/>
    </row>
    <row r="82" spans="1:3">
      <c r="A82" s="1" t="s">
        <v>642</v>
      </c>
      <c r="B82" s="287"/>
    </row>
    <row r="83" spans="1:3">
      <c r="A83" s="1" t="s">
        <v>642</v>
      </c>
      <c r="B83" s="287"/>
    </row>
    <row r="84" spans="1:3">
      <c r="A84" s="1" t="s">
        <v>642</v>
      </c>
      <c r="B84" s="287"/>
    </row>
    <row r="85" spans="1:3">
      <c r="A85" s="3" t="s">
        <v>704</v>
      </c>
      <c r="B85" s="3"/>
      <c r="C85" s="3"/>
    </row>
    <row r="86" spans="1:3">
      <c r="A86" s="1" t="s">
        <v>705</v>
      </c>
      <c r="B86" s="287"/>
    </row>
    <row r="87" spans="1:3">
      <c r="A87" s="1" t="s">
        <v>706</v>
      </c>
      <c r="B87" s="287"/>
    </row>
    <row r="88" spans="1:3">
      <c r="A88" s="1" t="s">
        <v>707</v>
      </c>
      <c r="B88" s="287"/>
    </row>
    <row r="89" spans="1:3">
      <c r="A89" s="1" t="s">
        <v>708</v>
      </c>
      <c r="B89" s="287"/>
    </row>
    <row r="90" spans="1:3">
      <c r="A90" s="3" t="s">
        <v>709</v>
      </c>
      <c r="B90" s="3"/>
      <c r="C90" s="3"/>
    </row>
    <row r="91" spans="1:3">
      <c r="A91" s="1" t="s">
        <v>710</v>
      </c>
      <c r="B91" s="287"/>
      <c r="C91" s="6" t="s">
        <v>285</v>
      </c>
    </row>
    <row r="92" spans="1:3">
      <c r="A92" s="1" t="s">
        <v>711</v>
      </c>
      <c r="B92" s="287"/>
      <c r="C92" s="6" t="s">
        <v>285</v>
      </c>
    </row>
    <row r="93" spans="1:3">
      <c r="A93" s="3" t="s">
        <v>323</v>
      </c>
      <c r="B93" s="3"/>
      <c r="C93" s="3"/>
    </row>
    <row r="94" spans="1:3">
      <c r="A94" s="1" t="s">
        <v>712</v>
      </c>
      <c r="B94" s="287"/>
    </row>
    <row r="95" spans="1:3">
      <c r="A95" s="1" t="s">
        <v>713</v>
      </c>
      <c r="B95" s="291">
        <v>0</v>
      </c>
      <c r="C95" s="436" t="s">
        <v>285</v>
      </c>
    </row>
    <row r="96" spans="1:3">
      <c r="A96" s="1" t="s">
        <v>714</v>
      </c>
      <c r="B96" s="291">
        <v>0</v>
      </c>
      <c r="C96" s="436" t="s">
        <v>285</v>
      </c>
    </row>
    <row r="97" spans="1:3" ht="30">
      <c r="A97" s="513" t="s">
        <v>715</v>
      </c>
      <c r="B97" s="465"/>
    </row>
    <row r="98" spans="1:3">
      <c r="A98" s="17" t="s">
        <v>716</v>
      </c>
      <c r="B98" s="291">
        <v>0</v>
      </c>
    </row>
    <row r="99" spans="1:3">
      <c r="A99" s="1" t="s">
        <v>642</v>
      </c>
      <c r="B99" s="287"/>
    </row>
    <row r="100" spans="1:3">
      <c r="A100" s="1" t="s">
        <v>642</v>
      </c>
      <c r="B100" s="287"/>
    </row>
    <row r="101" spans="1:3">
      <c r="A101" s="1" t="s">
        <v>642</v>
      </c>
      <c r="B101" s="287"/>
    </row>
    <row r="102" spans="1:3">
      <c r="A102" s="3" t="s">
        <v>717</v>
      </c>
      <c r="B102" s="3"/>
      <c r="C102" s="3"/>
    </row>
    <row r="103" spans="1:3">
      <c r="A103" s="1" t="s">
        <v>718</v>
      </c>
      <c r="B103" s="465"/>
    </row>
    <row r="104" spans="1:3">
      <c r="A104" s="3" t="s">
        <v>719</v>
      </c>
      <c r="B104" s="3"/>
      <c r="C104" s="3"/>
    </row>
    <row r="105" spans="1:3">
      <c r="A105" s="1" t="s">
        <v>606</v>
      </c>
      <c r="B105" s="465"/>
    </row>
    <row r="106" spans="1:3">
      <c r="A106" s="1" t="s">
        <v>603</v>
      </c>
      <c r="B106" s="465"/>
    </row>
    <row r="107" spans="1:3">
      <c r="A107" s="1" t="s">
        <v>604</v>
      </c>
      <c r="B107" s="465"/>
    </row>
    <row r="108" spans="1:3">
      <c r="A108" s="1" t="s">
        <v>605</v>
      </c>
      <c r="B108" s="465"/>
    </row>
    <row r="109" spans="1:3">
      <c r="A109" s="1" t="s">
        <v>607</v>
      </c>
      <c r="B109" s="465"/>
    </row>
    <row r="110" spans="1:3">
      <c r="A110" s="1" t="s">
        <v>720</v>
      </c>
      <c r="B110" s="465"/>
    </row>
    <row r="111" spans="1:3">
      <c r="A111" s="1" t="s">
        <v>721</v>
      </c>
      <c r="B111" s="880"/>
    </row>
    <row r="112" spans="1:3">
      <c r="A112" s="3" t="s">
        <v>722</v>
      </c>
      <c r="B112" s="3"/>
      <c r="C112" s="3"/>
    </row>
    <row r="113" spans="1:3">
      <c r="A113" s="1" t="s">
        <v>606</v>
      </c>
      <c r="B113" s="465"/>
    </row>
    <row r="114" spans="1:3">
      <c r="A114" s="1" t="s">
        <v>603</v>
      </c>
      <c r="B114" s="465"/>
    </row>
    <row r="115" spans="1:3">
      <c r="A115" s="1" t="s">
        <v>604</v>
      </c>
      <c r="B115" s="465"/>
    </row>
    <row r="116" spans="1:3">
      <c r="A116" s="1" t="s">
        <v>605</v>
      </c>
      <c r="B116" s="465"/>
    </row>
    <row r="117" spans="1:3">
      <c r="A117" s="1" t="s">
        <v>607</v>
      </c>
      <c r="B117" s="465"/>
    </row>
    <row r="118" spans="1:3">
      <c r="A118" s="1" t="s">
        <v>609</v>
      </c>
      <c r="B118" s="465"/>
    </row>
    <row r="119" spans="1:3">
      <c r="A119" s="1" t="s">
        <v>721</v>
      </c>
      <c r="B119" s="880"/>
    </row>
    <row r="120" spans="1:3">
      <c r="A120" s="3" t="s">
        <v>723</v>
      </c>
      <c r="B120" s="3"/>
      <c r="C120" s="3"/>
    </row>
    <row r="121" spans="1:3">
      <c r="A121" s="1" t="s">
        <v>724</v>
      </c>
      <c r="B121" s="287"/>
      <c r="C121" s="6" t="s">
        <v>725</v>
      </c>
    </row>
    <row r="122" spans="1:3">
      <c r="A122" s="1" t="s">
        <v>726</v>
      </c>
      <c r="B122" s="287"/>
      <c r="C122" s="6" t="s">
        <v>725</v>
      </c>
    </row>
    <row r="123" spans="1:3">
      <c r="A123" s="1" t="s">
        <v>727</v>
      </c>
      <c r="B123" s="287"/>
      <c r="C123" s="6" t="s">
        <v>725</v>
      </c>
    </row>
    <row r="124" spans="1:3">
      <c r="A124" s="1" t="s">
        <v>642</v>
      </c>
      <c r="B124" s="287"/>
      <c r="C124" s="6" t="s">
        <v>725</v>
      </c>
    </row>
    <row r="127" spans="1:3" ht="15" customHeight="1">
      <c r="A127" s="5"/>
    </row>
  </sheetData>
  <sheetProtection algorithmName="SHA-512" hashValue="NARz9+gR5K5k1r8T++eh5a2Vii1lzdWFekb/p2+kns4+e/QyBQNDlvAVB7gvbHTGXQZ3iYF2nGjrGQeBPT0C5Q==" saltValue="dcDejyjMGp0dTlJYnxrAaQ==" spinCount="100000" sheet="1" objects="1" scenarios="1"/>
  <dataValidations count="12">
    <dataValidation type="list" allowBlank="1" showInputMessage="1" showErrorMessage="1" errorTitle="Window Coverings/Blinds" error="Please select a valid value for Window Coverings/Blinds." sqref="B4:B14 B17:B24 B41:B52 B56:B60 B94 B69:B70 B73:B74 B79 B76 B27:B32 B34:B39 B86:B89" xr:uid="{00000000-0002-0000-0D00-000000000000}">
      <formula1>Yes_No_List</formula1>
    </dataValidation>
    <dataValidation type="list" allowBlank="1" showInputMessage="1" showErrorMessage="1" errorTitle="Additional fees" error="Please select a valid value for  Additional fees." sqref="B97" xr:uid="{00000000-0002-0000-0D00-000001000000}">
      <formula1>Yes_No_List</formula1>
    </dataValidation>
    <dataValidation type="list" allowBlank="1" showInputMessage="1" showErrorMessage="1" errorTitle="Utilitiy Model" error="Please select a valid value for Utilitiy Model." sqref="B103" xr:uid="{00000000-0002-0000-0D00-000002000000}">
      <formula1>Utilitiy_Model_List</formula1>
    </dataValidation>
    <dataValidation type="list" allowBlank="1" showInputMessage="1" showErrorMessage="1" errorTitle="Owner Paid Utilities - Gas" error="Please select a valid value for Owner Paid Utilities - Gas." sqref="B105:B109 B113:B119" xr:uid="{00000000-0002-0000-0D00-000003000000}">
      <formula1>Yes_No_List</formula1>
    </dataValidation>
    <dataValidation type="list" allowBlank="1" showInputMessage="1" showErrorMessage="1" errorTitle="Owner Paid Utilities - Cable" error="Please select a valid value for Owner Paid Utilities - Cable." sqref="B110:B111" xr:uid="{00000000-0002-0000-0D00-000004000000}">
      <formula1>Yes_No_List</formula1>
    </dataValidation>
    <dataValidation type="list" allowBlank="1" showInputMessage="1" showErrorMessage="1" errorTitle="Is parking in eligible basis" error="Please select a valid value for Is parking in eligible basis." sqref="B121 B123"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whole" allowBlank="1" showInputMessage="1" showErrorMessage="1" sqref="B95:B96" xr:uid="{FEDA9312-4AFC-4FA5-9B17-66210361E51C}">
      <formula1>0</formula1>
      <formula2>10000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 type="whole" allowBlank="1" showInputMessage="1" showErrorMessage="1" sqref="B91:B92" xr:uid="{F70BDE28-3459-42AC-8BD0-3B1FFAB82C5E}">
      <formula1>0</formula1>
      <formula2>2000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80" zoomScaleNormal="80" workbookViewId="0"/>
  </sheetViews>
  <sheetFormatPr defaultColWidth="9" defaultRowHeight="15"/>
  <cols>
    <col min="1" max="1" width="14" style="15" customWidth="1"/>
    <col min="2" max="2" width="46.5703125" style="15" bestFit="1" customWidth="1"/>
    <col min="3" max="3" width="23.5703125" style="15" customWidth="1"/>
    <col min="4" max="4" width="41.140625" style="15" customWidth="1"/>
    <col min="5" max="5" width="93" style="15" bestFit="1" customWidth="1"/>
    <col min="6" max="16384" width="9" style="15"/>
  </cols>
  <sheetData>
    <row r="1" spans="1:6" ht="21">
      <c r="A1" s="4" t="s">
        <v>73</v>
      </c>
      <c r="B1" s="4"/>
      <c r="C1" s="4"/>
      <c r="D1" s="4"/>
      <c r="E1" s="4"/>
      <c r="F1" s="88"/>
    </row>
    <row r="2" spans="1:6">
      <c r="A2" s="916"/>
      <c r="B2" s="916"/>
      <c r="C2" s="895" t="s">
        <v>728</v>
      </c>
      <c r="D2" s="895"/>
      <c r="E2" s="88"/>
      <c r="F2" s="88"/>
    </row>
    <row r="3" spans="1:6">
      <c r="A3" s="1" t="s">
        <v>729</v>
      </c>
      <c r="B3" s="88"/>
      <c r="C3" s="914"/>
      <c r="D3" s="915"/>
      <c r="E3"/>
      <c r="F3" s="88"/>
    </row>
    <row r="4" spans="1:6">
      <c r="A4" s="1" t="s">
        <v>730</v>
      </c>
      <c r="B4" s="88"/>
      <c r="C4" s="466">
        <v>0</v>
      </c>
      <c r="D4"/>
      <c r="E4" s="88"/>
      <c r="F4" s="88"/>
    </row>
    <row r="5" spans="1:6">
      <c r="A5" s="1" t="s">
        <v>731</v>
      </c>
      <c r="B5" s="88"/>
      <c r="C5" s="287"/>
      <c r="D5" s="88"/>
      <c r="E5" s="88"/>
      <c r="F5" s="88"/>
    </row>
    <row r="6" spans="1:6">
      <c r="A6" s="88"/>
      <c r="B6" s="88"/>
      <c r="C6" s="916" t="s">
        <v>732</v>
      </c>
      <c r="D6" s="916"/>
      <c r="E6" s="88"/>
      <c r="F6" s="88"/>
    </row>
    <row r="7" spans="1:6">
      <c r="A7" s="3" t="s">
        <v>733</v>
      </c>
      <c r="B7" s="3" t="s">
        <v>734</v>
      </c>
      <c r="C7" s="3" t="s">
        <v>735</v>
      </c>
      <c r="D7" s="3" t="s">
        <v>736</v>
      </c>
      <c r="E7" s="3"/>
      <c r="F7" s="88"/>
    </row>
    <row r="8" spans="1:6">
      <c r="A8" s="1" t="s">
        <v>737</v>
      </c>
      <c r="B8" s="1" t="s">
        <v>429</v>
      </c>
      <c r="C8" s="467">
        <v>0</v>
      </c>
      <c r="D8" s="465"/>
      <c r="E8" s="10" t="s">
        <v>738</v>
      </c>
      <c r="F8" s="88"/>
    </row>
    <row r="9" spans="1:6">
      <c r="A9" s="1" t="s">
        <v>739</v>
      </c>
      <c r="B9" s="1" t="s">
        <v>740</v>
      </c>
      <c r="C9" s="467">
        <v>0</v>
      </c>
      <c r="D9" s="465"/>
      <c r="E9" s="88"/>
      <c r="F9" s="88"/>
    </row>
    <row r="10" spans="1:6">
      <c r="A10" s="1" t="s">
        <v>741</v>
      </c>
      <c r="B10" s="1" t="s">
        <v>742</v>
      </c>
      <c r="C10" s="467">
        <v>0</v>
      </c>
      <c r="D10" s="465"/>
      <c r="E10" s="88"/>
      <c r="F10" s="88"/>
    </row>
    <row r="11" spans="1:6">
      <c r="A11" s="1" t="s">
        <v>743</v>
      </c>
      <c r="B11" s="1" t="s">
        <v>744</v>
      </c>
      <c r="C11" s="467">
        <v>0</v>
      </c>
      <c r="D11" s="465"/>
      <c r="E11" s="88"/>
      <c r="F11"/>
    </row>
    <row r="12" spans="1:6">
      <c r="A12" s="1" t="s">
        <v>745</v>
      </c>
      <c r="B12" s="1" t="s">
        <v>746</v>
      </c>
      <c r="C12" s="467">
        <v>0</v>
      </c>
      <c r="D12" s="465"/>
      <c r="E12" s="88"/>
      <c r="F12" s="88"/>
    </row>
    <row r="13" spans="1:6">
      <c r="A13" s="1" t="s">
        <v>747</v>
      </c>
      <c r="B13" s="1" t="s">
        <v>748</v>
      </c>
      <c r="C13" s="467">
        <v>0</v>
      </c>
      <c r="D13" s="465"/>
      <c r="E13" s="88"/>
      <c r="F13" s="88"/>
    </row>
    <row r="14" spans="1:6">
      <c r="A14" s="1" t="s">
        <v>749</v>
      </c>
      <c r="B14" s="1" t="s">
        <v>750</v>
      </c>
      <c r="C14" s="467">
        <v>0</v>
      </c>
      <c r="D14" s="465"/>
      <c r="E14" s="88"/>
      <c r="F14" s="88"/>
    </row>
    <row r="15" spans="1:6">
      <c r="A15" s="1" t="s">
        <v>751</v>
      </c>
      <c r="B15" s="1" t="s">
        <v>752</v>
      </c>
      <c r="C15" s="467">
        <v>0</v>
      </c>
      <c r="D15" s="465"/>
      <c r="E15" s="88"/>
      <c r="F15" s="88"/>
    </row>
    <row r="16" spans="1:6">
      <c r="A16" s="1" t="s">
        <v>753</v>
      </c>
      <c r="B16" s="1" t="s">
        <v>754</v>
      </c>
      <c r="C16" s="467">
        <v>0</v>
      </c>
      <c r="D16" s="465"/>
      <c r="E16" s="88"/>
      <c r="F16" s="88"/>
    </row>
    <row r="17" spans="1:5">
      <c r="A17" s="1" t="s">
        <v>755</v>
      </c>
      <c r="B17" s="1" t="s">
        <v>756</v>
      </c>
      <c r="C17" s="467">
        <v>0</v>
      </c>
      <c r="D17" s="465"/>
      <c r="E17"/>
    </row>
    <row r="18" spans="1:5">
      <c r="A18" s="1" t="s">
        <v>757</v>
      </c>
      <c r="B18" s="1" t="s">
        <v>758</v>
      </c>
      <c r="C18" s="467">
        <v>0</v>
      </c>
      <c r="D18" s="465"/>
      <c r="E18" s="88"/>
    </row>
    <row r="19" spans="1:5">
      <c r="A19" s="1" t="s">
        <v>759</v>
      </c>
      <c r="B19" s="1" t="s">
        <v>760</v>
      </c>
      <c r="C19" s="467">
        <v>0</v>
      </c>
      <c r="D19" s="465"/>
      <c r="E19" s="88"/>
    </row>
    <row r="20" spans="1:5">
      <c r="A20" s="1" t="s">
        <v>761</v>
      </c>
      <c r="B20" s="1" t="s">
        <v>762</v>
      </c>
      <c r="C20" s="467">
        <v>0</v>
      </c>
      <c r="D20" s="465"/>
      <c r="E20" s="88"/>
    </row>
    <row r="21" spans="1:5">
      <c r="A21" s="1" t="s">
        <v>763</v>
      </c>
      <c r="B21" s="1" t="s">
        <v>764</v>
      </c>
      <c r="C21" s="467">
        <v>0</v>
      </c>
      <c r="D21" s="465"/>
      <c r="E21" s="88"/>
    </row>
    <row r="22" spans="1:5">
      <c r="A22" s="1" t="s">
        <v>765</v>
      </c>
      <c r="B22" s="1" t="s">
        <v>766</v>
      </c>
      <c r="C22" s="467">
        <v>0</v>
      </c>
      <c r="D22" s="465"/>
      <c r="E22" s="88"/>
    </row>
    <row r="23" spans="1:5">
      <c r="A23" s="1" t="s">
        <v>767</v>
      </c>
      <c r="B23" s="1" t="s">
        <v>768</v>
      </c>
      <c r="C23" s="467">
        <v>0</v>
      </c>
      <c r="D23" s="465"/>
      <c r="E23" s="88"/>
    </row>
    <row r="24" spans="1:5">
      <c r="A24" s="1" t="s">
        <v>769</v>
      </c>
      <c r="B24" s="1" t="s">
        <v>770</v>
      </c>
      <c r="C24" s="467">
        <v>0</v>
      </c>
      <c r="D24" s="465"/>
      <c r="E24" s="88"/>
    </row>
    <row r="25" spans="1:5">
      <c r="A25" s="1" t="s">
        <v>771</v>
      </c>
      <c r="B25" s="1" t="s">
        <v>772</v>
      </c>
      <c r="C25" s="467">
        <v>0</v>
      </c>
      <c r="D25" s="465"/>
      <c r="E25" s="88"/>
    </row>
    <row r="26" spans="1:5">
      <c r="A26" s="1" t="s">
        <v>773</v>
      </c>
      <c r="B26" s="1" t="s">
        <v>774</v>
      </c>
      <c r="C26" s="467">
        <v>0</v>
      </c>
      <c r="D26" s="465"/>
      <c r="E26" s="88"/>
    </row>
    <row r="27" spans="1:5">
      <c r="A27" s="1" t="s">
        <v>775</v>
      </c>
      <c r="B27" s="1" t="s">
        <v>776</v>
      </c>
      <c r="C27" s="467">
        <v>0</v>
      </c>
      <c r="D27" s="465"/>
      <c r="E27" s="88"/>
    </row>
    <row r="28" spans="1:5">
      <c r="A28" s="1" t="s">
        <v>777</v>
      </c>
      <c r="B28" s="1" t="s">
        <v>778</v>
      </c>
      <c r="C28" s="467">
        <v>0</v>
      </c>
      <c r="D28" s="465"/>
      <c r="E28" s="88"/>
    </row>
    <row r="29" spans="1:5">
      <c r="A29" s="1" t="s">
        <v>779</v>
      </c>
      <c r="B29" s="1" t="s">
        <v>780</v>
      </c>
      <c r="C29" s="467">
        <v>0</v>
      </c>
      <c r="D29" s="465"/>
      <c r="E29" s="88"/>
    </row>
    <row r="30" spans="1:5">
      <c r="A30" s="1" t="s">
        <v>781</v>
      </c>
      <c r="B30" s="1" t="s">
        <v>782</v>
      </c>
      <c r="C30" s="467">
        <v>0</v>
      </c>
      <c r="D30" s="465"/>
      <c r="E30" s="88"/>
    </row>
    <row r="31" spans="1:5">
      <c r="A31" s="1" t="s">
        <v>783</v>
      </c>
      <c r="B31" s="1" t="s">
        <v>717</v>
      </c>
      <c r="C31" s="467">
        <v>0</v>
      </c>
      <c r="D31" s="465"/>
      <c r="E31" s="88"/>
    </row>
    <row r="32" spans="1:5">
      <c r="A32" s="1" t="s">
        <v>784</v>
      </c>
      <c r="B32" s="1" t="s">
        <v>785</v>
      </c>
      <c r="C32" s="467">
        <v>0</v>
      </c>
      <c r="D32" s="465"/>
      <c r="E32" s="88"/>
    </row>
    <row r="33" spans="1:5">
      <c r="A33" s="1" t="s">
        <v>786</v>
      </c>
      <c r="B33" s="1" t="s">
        <v>787</v>
      </c>
      <c r="C33" s="467">
        <v>0</v>
      </c>
      <c r="D33" s="465"/>
      <c r="E33" s="88"/>
    </row>
    <row r="34" spans="1:5">
      <c r="A34" s="1"/>
      <c r="B34" s="292" t="str">
        <f>"[Other - describe]"</f>
        <v>[Other - describe]</v>
      </c>
      <c r="C34" s="467">
        <v>0</v>
      </c>
      <c r="D34" s="465"/>
      <c r="E34" s="88"/>
    </row>
    <row r="35" spans="1:5">
      <c r="A35" s="1"/>
      <c r="B35" s="292" t="str">
        <f>"[Other - describe]"</f>
        <v>[Other - describe]</v>
      </c>
      <c r="C35" s="467">
        <v>0</v>
      </c>
      <c r="D35" s="465"/>
      <c r="E35" s="88"/>
    </row>
    <row r="36" spans="1:5" customFormat="1">
      <c r="C36" s="65">
        <f>SUM(C8:C35)</f>
        <v>0</v>
      </c>
    </row>
    <row r="37" spans="1:5">
      <c r="A37" s="3" t="s">
        <v>788</v>
      </c>
      <c r="B37" s="3"/>
      <c r="C37" s="3"/>
      <c r="D37" s="3"/>
      <c r="E37" s="3"/>
    </row>
    <row r="38" spans="1:5">
      <c r="A38" s="88"/>
      <c r="B38" s="1" t="s">
        <v>789</v>
      </c>
      <c r="C38" s="467">
        <v>0</v>
      </c>
      <c r="D38" s="465"/>
      <c r="E38" s="88"/>
    </row>
    <row r="39" spans="1:5">
      <c r="A39" s="88"/>
      <c r="B39" s="292" t="str">
        <f>"[Other - describe]"</f>
        <v>[Other - describe]</v>
      </c>
      <c r="C39" s="467">
        <v>0</v>
      </c>
      <c r="D39" s="465"/>
      <c r="E39" s="88"/>
    </row>
    <row r="40" spans="1:5">
      <c r="A40" s="88"/>
      <c r="B40" s="292" t="str">
        <f>"[Other - describe]"</f>
        <v>[Other - describe]</v>
      </c>
      <c r="C40" s="467">
        <v>0</v>
      </c>
      <c r="D40" s="465"/>
      <c r="E40" s="88"/>
    </row>
    <row r="41" spans="1:5">
      <c r="A41" s="88"/>
      <c r="B41" s="292" t="str">
        <f>"[Other - describe]"</f>
        <v>[Other - describe]</v>
      </c>
      <c r="C41" s="467">
        <v>0</v>
      </c>
      <c r="D41" s="465"/>
      <c r="E41" s="88"/>
    </row>
    <row r="42" spans="1:5" customFormat="1">
      <c r="C42" s="65">
        <f>SUM(C38:C41)</f>
        <v>0</v>
      </c>
    </row>
    <row r="43" spans="1:5">
      <c r="A43" s="3" t="s">
        <v>790</v>
      </c>
      <c r="B43" s="3"/>
      <c r="C43" s="3"/>
      <c r="D43" s="3"/>
      <c r="E43" s="3"/>
    </row>
    <row r="44" spans="1:5">
      <c r="A44" s="88"/>
      <c r="B44" s="1" t="s">
        <v>791</v>
      </c>
      <c r="C44" s="467">
        <v>0</v>
      </c>
      <c r="D44" s="465"/>
      <c r="E44" s="88"/>
    </row>
    <row r="45" spans="1:5">
      <c r="A45" s="88"/>
      <c r="B45" s="1" t="s">
        <v>792</v>
      </c>
      <c r="C45" s="467">
        <v>0</v>
      </c>
      <c r="D45" s="465"/>
      <c r="E45" s="88"/>
    </row>
    <row r="46" spans="1:5">
      <c r="A46" s="88"/>
      <c r="B46" s="1" t="s">
        <v>793</v>
      </c>
      <c r="C46" s="467">
        <v>0</v>
      </c>
      <c r="D46" s="465"/>
      <c r="E46" s="88"/>
    </row>
    <row r="47" spans="1:5">
      <c r="A47" s="88"/>
      <c r="B47" s="1" t="s">
        <v>794</v>
      </c>
      <c r="C47" s="467">
        <v>0</v>
      </c>
      <c r="D47" s="465"/>
      <c r="E47" s="88"/>
    </row>
    <row r="48" spans="1:5">
      <c r="A48" s="88"/>
      <c r="B48" s="292" t="str">
        <f>"[Other - describe]"</f>
        <v>[Other - describe]</v>
      </c>
      <c r="C48" s="467">
        <v>0</v>
      </c>
      <c r="D48" s="465"/>
      <c r="E48" s="88"/>
    </row>
    <row r="49" spans="1:5" customFormat="1">
      <c r="C49" s="65">
        <f>SUM(C44:C48)</f>
        <v>0</v>
      </c>
    </row>
    <row r="50" spans="1:5">
      <c r="A50" s="3" t="s">
        <v>795</v>
      </c>
      <c r="B50" s="3"/>
      <c r="C50" s="3"/>
      <c r="D50" s="3"/>
      <c r="E50" s="3"/>
    </row>
    <row r="51" spans="1:5">
      <c r="A51" s="88"/>
      <c r="B51" s="1" t="s">
        <v>796</v>
      </c>
      <c r="C51" s="467">
        <v>0</v>
      </c>
      <c r="D51" s="465"/>
      <c r="E51" s="88"/>
    </row>
    <row r="52" spans="1:5">
      <c r="A52" s="88"/>
      <c r="B52" s="1" t="s">
        <v>430</v>
      </c>
      <c r="C52" s="467">
        <v>0</v>
      </c>
      <c r="D52" s="465"/>
      <c r="E52" s="88"/>
    </row>
    <row r="53" spans="1:5">
      <c r="A53" s="88"/>
      <c r="B53" s="1" t="s">
        <v>431</v>
      </c>
      <c r="C53" s="467">
        <v>0</v>
      </c>
      <c r="D53" s="465"/>
      <c r="E53" s="88"/>
    </row>
    <row r="54" spans="1:5">
      <c r="A54" s="88"/>
      <c r="B54" s="1" t="s">
        <v>797</v>
      </c>
      <c r="C54" s="467">
        <v>0</v>
      </c>
      <c r="D54" s="465"/>
      <c r="E54" s="88"/>
    </row>
    <row r="55" spans="1:5">
      <c r="A55" s="88"/>
      <c r="B55" s="1" t="s">
        <v>798</v>
      </c>
      <c r="C55" s="467">
        <v>0</v>
      </c>
      <c r="D55" s="465"/>
      <c r="E55" s="88"/>
    </row>
    <row r="56" spans="1:5">
      <c r="A56" s="88"/>
      <c r="B56" s="1" t="s">
        <v>799</v>
      </c>
      <c r="C56" s="467">
        <v>0</v>
      </c>
      <c r="D56" s="465"/>
      <c r="E56" s="88"/>
    </row>
    <row r="57" spans="1:5" ht="15.75" thickBot="1">
      <c r="A57" s="88"/>
      <c r="B57"/>
      <c r="C57" s="66">
        <f>SUM(C51:C56)</f>
        <v>0</v>
      </c>
      <c r="D57" s="88"/>
      <c r="E57" s="88"/>
    </row>
    <row r="58" spans="1:5" ht="15.75" thickTop="1">
      <c r="A58" s="88"/>
      <c r="B58" s="68" t="s">
        <v>391</v>
      </c>
      <c r="C58" s="450">
        <f>SUM(C8:C35,C38:C41,C44:C48,C51:C56)</f>
        <v>0</v>
      </c>
      <c r="D58" s="88"/>
      <c r="E58" s="88"/>
    </row>
  </sheetData>
  <sheetProtection algorithmName="SHA-512" hashValue="iAYdj84s5mAPbgLzLJ64tITl0LHkhbV6bfwoGaloQGTKopHJ2yoAjCgth42H3+fg+QzC172F6slnnvcdzS9ELw==" saltValue="V5gSVq2jeAUKxOF64qnbww=="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5"/>
  <cols>
    <col min="1" max="1" width="3.5703125" customWidth="1"/>
    <col min="2" max="2" width="13" hidden="1" customWidth="1"/>
    <col min="3" max="3" width="35" customWidth="1"/>
    <col min="4" max="4" width="14" customWidth="1"/>
    <col min="5" max="5" width="12" customWidth="1"/>
    <col min="6" max="6" width="13" customWidth="1"/>
    <col min="7" max="9" width="17.140625" customWidth="1"/>
    <col min="10" max="10" width="16" customWidth="1"/>
    <col min="11" max="11" width="16.5703125" customWidth="1"/>
    <col min="12" max="14" width="17.140625" customWidth="1"/>
    <col min="15" max="15" width="25.140625" customWidth="1"/>
    <col min="16" max="17" width="20.5703125" customWidth="1"/>
  </cols>
  <sheetData>
    <row r="1" spans="1:18" ht="21">
      <c r="A1" s="4" t="s">
        <v>77</v>
      </c>
      <c r="B1" s="4"/>
      <c r="C1" s="4"/>
      <c r="D1" s="4"/>
      <c r="E1" s="4"/>
      <c r="F1" s="4"/>
      <c r="G1" s="4"/>
      <c r="H1" s="4"/>
      <c r="I1" s="4"/>
      <c r="J1" s="4"/>
      <c r="K1" s="4"/>
      <c r="L1" s="4"/>
      <c r="M1" s="4"/>
      <c r="N1" s="4"/>
      <c r="O1" s="4"/>
      <c r="P1" s="4"/>
      <c r="Q1" s="4"/>
    </row>
    <row r="2" spans="1:18" ht="25.5" customHeight="1">
      <c r="A2" s="664" t="s">
        <v>800</v>
      </c>
      <c r="B2" s="98"/>
      <c r="C2" s="267"/>
    </row>
    <row r="3" spans="1:18" ht="48.75" customHeight="1">
      <c r="A3" s="3"/>
      <c r="B3" s="3" t="s">
        <v>801</v>
      </c>
      <c r="C3" s="514" t="s">
        <v>802</v>
      </c>
      <c r="D3" s="514" t="s">
        <v>803</v>
      </c>
      <c r="E3" s="514" t="s">
        <v>804</v>
      </c>
      <c r="F3" s="514" t="s">
        <v>805</v>
      </c>
      <c r="G3" s="514" t="s">
        <v>806</v>
      </c>
      <c r="H3" s="514" t="s">
        <v>807</v>
      </c>
      <c r="I3" s="514" t="s">
        <v>808</v>
      </c>
      <c r="J3" s="514" t="s">
        <v>809</v>
      </c>
      <c r="K3" s="514" t="s">
        <v>810</v>
      </c>
      <c r="L3" s="514" t="s">
        <v>811</v>
      </c>
      <c r="M3" s="514" t="s">
        <v>812</v>
      </c>
      <c r="N3" s="514" t="s">
        <v>813</v>
      </c>
      <c r="O3" s="514" t="s">
        <v>814</v>
      </c>
      <c r="P3" s="514" t="s">
        <v>815</v>
      </c>
      <c r="Q3" s="514" t="s">
        <v>816</v>
      </c>
      <c r="R3" s="6" t="s">
        <v>817</v>
      </c>
    </row>
    <row r="4" spans="1:18">
      <c r="A4" s="3">
        <v>1</v>
      </c>
      <c r="B4" s="11"/>
      <c r="C4" s="287"/>
      <c r="D4" s="287"/>
      <c r="E4" s="287"/>
      <c r="F4" s="287"/>
      <c r="G4" s="478"/>
      <c r="H4" s="478"/>
      <c r="I4" s="478"/>
      <c r="J4" s="320"/>
      <c r="K4" s="290"/>
      <c r="L4" s="478"/>
      <c r="M4" s="478"/>
      <c r="N4" s="478"/>
      <c r="O4" s="478"/>
      <c r="P4" s="297"/>
      <c r="Q4" s="290"/>
      <c r="R4" s="6"/>
    </row>
    <row r="5" spans="1:18">
      <c r="A5" s="3">
        <v>2</v>
      </c>
      <c r="B5" s="11"/>
      <c r="C5" s="287"/>
      <c r="D5" s="287"/>
      <c r="E5" s="287"/>
      <c r="F5" s="287"/>
      <c r="G5" s="478"/>
      <c r="H5" s="478"/>
      <c r="I5" s="478"/>
      <c r="J5" s="320"/>
      <c r="K5" s="290"/>
      <c r="L5" s="478"/>
      <c r="M5" s="478"/>
      <c r="N5" s="478"/>
      <c r="O5" s="478"/>
      <c r="P5" s="297"/>
      <c r="Q5" s="290"/>
      <c r="R5" s="6" t="s">
        <v>818</v>
      </c>
    </row>
    <row r="6" spans="1:18">
      <c r="A6" s="3">
        <v>3</v>
      </c>
      <c r="B6" s="11"/>
      <c r="C6" s="287"/>
      <c r="D6" s="287"/>
      <c r="E6" s="287"/>
      <c r="F6" s="287"/>
      <c r="G6" s="478"/>
      <c r="H6" s="478"/>
      <c r="I6" s="478"/>
      <c r="J6" s="320"/>
      <c r="K6" s="290"/>
      <c r="L6" s="478"/>
      <c r="M6" s="478"/>
      <c r="N6" s="478"/>
      <c r="O6" s="478"/>
      <c r="P6" s="297"/>
      <c r="Q6" s="290"/>
      <c r="R6" s="6" t="s">
        <v>819</v>
      </c>
    </row>
    <row r="7" spans="1:18">
      <c r="A7" s="3">
        <v>4</v>
      </c>
      <c r="B7" s="11"/>
      <c r="C7" s="287"/>
      <c r="D7" s="287"/>
      <c r="E7" s="287"/>
      <c r="F7" s="287"/>
      <c r="G7" s="478"/>
      <c r="H7" s="478"/>
      <c r="I7" s="478"/>
      <c r="J7" s="320"/>
      <c r="K7" s="290"/>
      <c r="L7" s="478"/>
      <c r="M7" s="478"/>
      <c r="N7" s="478"/>
      <c r="O7" s="478"/>
      <c r="P7" s="297"/>
      <c r="Q7" s="290"/>
    </row>
    <row r="8" spans="1:18">
      <c r="A8" s="3">
        <v>5</v>
      </c>
      <c r="B8" s="11"/>
      <c r="C8" s="287"/>
      <c r="D8" s="287"/>
      <c r="E8" s="287"/>
      <c r="F8" s="287"/>
      <c r="G8" s="478"/>
      <c r="H8" s="478"/>
      <c r="I8" s="478"/>
      <c r="J8" s="320"/>
      <c r="K8" s="290"/>
      <c r="L8" s="478"/>
      <c r="M8" s="478"/>
      <c r="N8" s="478"/>
      <c r="O8" s="478"/>
      <c r="P8" s="297"/>
      <c r="Q8" s="290"/>
    </row>
    <row r="9" spans="1:18">
      <c r="A9" s="3">
        <v>6</v>
      </c>
      <c r="B9" s="11"/>
      <c r="C9" s="287"/>
      <c r="D9" s="287"/>
      <c r="E9" s="287"/>
      <c r="F9" s="287"/>
      <c r="G9" s="478"/>
      <c r="H9" s="478"/>
      <c r="I9" s="478"/>
      <c r="J9" s="320"/>
      <c r="K9" s="290"/>
      <c r="L9" s="478"/>
      <c r="M9" s="478"/>
      <c r="N9" s="478"/>
      <c r="O9" s="478"/>
      <c r="P9" s="297"/>
      <c r="Q9" s="290"/>
    </row>
    <row r="10" spans="1:18">
      <c r="A10" s="3">
        <v>7</v>
      </c>
      <c r="B10" s="11"/>
      <c r="C10" s="287"/>
      <c r="D10" s="287"/>
      <c r="E10" s="287"/>
      <c r="F10" s="287"/>
      <c r="G10" s="478"/>
      <c r="H10" s="478"/>
      <c r="I10" s="478"/>
      <c r="J10" s="320"/>
      <c r="K10" s="290"/>
      <c r="L10" s="478"/>
      <c r="M10" s="478"/>
      <c r="N10" s="478"/>
      <c r="O10" s="478"/>
      <c r="P10" s="297"/>
      <c r="Q10" s="290"/>
    </row>
    <row r="11" spans="1:18">
      <c r="A11" s="3">
        <v>8</v>
      </c>
      <c r="B11" s="11"/>
      <c r="C11" s="287"/>
      <c r="D11" s="287"/>
      <c r="E11" s="287"/>
      <c r="F11" s="287"/>
      <c r="G11" s="478"/>
      <c r="H11" s="478"/>
      <c r="I11" s="478"/>
      <c r="J11" s="320"/>
      <c r="K11" s="290"/>
      <c r="L11" s="478"/>
      <c r="M11" s="478"/>
      <c r="N11" s="478"/>
      <c r="O11" s="478"/>
      <c r="P11" s="297"/>
      <c r="Q11" s="290"/>
    </row>
    <row r="12" spans="1:18">
      <c r="A12" s="3">
        <v>9</v>
      </c>
      <c r="B12" s="11"/>
      <c r="C12" s="287"/>
      <c r="D12" s="287"/>
      <c r="E12" s="287"/>
      <c r="F12" s="287"/>
      <c r="G12" s="478"/>
      <c r="H12" s="478"/>
      <c r="I12" s="478"/>
      <c r="J12" s="320"/>
      <c r="K12" s="290"/>
      <c r="L12" s="478"/>
      <c r="M12" s="478"/>
      <c r="N12" s="478"/>
      <c r="O12" s="478"/>
      <c r="P12" s="297"/>
      <c r="Q12" s="290"/>
    </row>
    <row r="13" spans="1:18">
      <c r="A13" s="3">
        <v>10</v>
      </c>
      <c r="B13" s="11"/>
      <c r="C13" s="287"/>
      <c r="D13" s="287"/>
      <c r="E13" s="287"/>
      <c r="F13" s="287"/>
      <c r="G13" s="478"/>
      <c r="H13" s="478"/>
      <c r="I13" s="478"/>
      <c r="J13" s="320"/>
      <c r="K13" s="290"/>
      <c r="L13" s="478"/>
      <c r="M13" s="478"/>
      <c r="N13" s="478"/>
      <c r="O13" s="478"/>
      <c r="P13" s="297"/>
      <c r="Q13" s="290"/>
    </row>
    <row r="14" spans="1:18">
      <c r="A14" s="3">
        <v>11</v>
      </c>
      <c r="B14" s="11"/>
      <c r="C14" s="287"/>
      <c r="D14" s="287"/>
      <c r="E14" s="287"/>
      <c r="F14" s="287"/>
      <c r="G14" s="478"/>
      <c r="H14" s="478"/>
      <c r="I14" s="478"/>
      <c r="J14" s="320"/>
      <c r="K14" s="290"/>
      <c r="L14" s="478"/>
      <c r="M14" s="478"/>
      <c r="N14" s="478"/>
      <c r="O14" s="478"/>
      <c r="P14" s="297"/>
      <c r="Q14" s="290"/>
    </row>
    <row r="15" spans="1:18">
      <c r="A15" s="3">
        <v>12</v>
      </c>
      <c r="B15" s="11"/>
      <c r="C15" s="287"/>
      <c r="D15" s="287"/>
      <c r="E15" s="287"/>
      <c r="F15" s="287"/>
      <c r="G15" s="478"/>
      <c r="H15" s="478"/>
      <c r="I15" s="478"/>
      <c r="J15" s="320"/>
      <c r="K15" s="290"/>
      <c r="L15" s="478"/>
      <c r="M15" s="478"/>
      <c r="N15" s="478"/>
      <c r="O15" s="478"/>
      <c r="P15" s="297"/>
      <c r="Q15" s="290"/>
    </row>
    <row r="16" spans="1:18">
      <c r="A16" s="3">
        <v>13</v>
      </c>
      <c r="B16" s="11"/>
      <c r="C16" s="287"/>
      <c r="D16" s="287"/>
      <c r="E16" s="287"/>
      <c r="F16" s="287"/>
      <c r="G16" s="478"/>
      <c r="H16" s="478"/>
      <c r="I16" s="478"/>
      <c r="J16" s="320"/>
      <c r="K16" s="290"/>
      <c r="L16" s="478"/>
      <c r="M16" s="478"/>
      <c r="N16" s="478"/>
      <c r="O16" s="478"/>
      <c r="P16" s="297"/>
      <c r="Q16" s="290"/>
    </row>
    <row r="17" spans="1:17">
      <c r="A17" s="3">
        <v>14</v>
      </c>
      <c r="B17" s="11"/>
      <c r="C17" s="287"/>
      <c r="D17" s="287"/>
      <c r="E17" s="287"/>
      <c r="F17" s="287"/>
      <c r="G17" s="478"/>
      <c r="H17" s="478"/>
      <c r="I17" s="478"/>
      <c r="J17" s="320"/>
      <c r="K17" s="290"/>
      <c r="L17" s="478"/>
      <c r="M17" s="478"/>
      <c r="N17" s="478"/>
      <c r="O17" s="478"/>
      <c r="P17" s="297"/>
      <c r="Q17" s="290"/>
    </row>
    <row r="18" spans="1:17">
      <c r="A18" s="3">
        <v>15</v>
      </c>
      <c r="B18" s="11"/>
      <c r="C18" s="287"/>
      <c r="D18" s="287"/>
      <c r="E18" s="287"/>
      <c r="F18" s="287"/>
      <c r="G18" s="478"/>
      <c r="H18" s="478"/>
      <c r="I18" s="478"/>
      <c r="J18" s="320"/>
      <c r="K18" s="290"/>
      <c r="L18" s="478"/>
      <c r="M18" s="478"/>
      <c r="N18" s="478"/>
      <c r="O18" s="478"/>
      <c r="P18" s="297"/>
      <c r="Q18" s="290"/>
    </row>
    <row r="19" spans="1:17">
      <c r="A19" s="3">
        <v>16</v>
      </c>
      <c r="B19" s="11"/>
      <c r="C19" s="287"/>
      <c r="D19" s="287"/>
      <c r="E19" s="287"/>
      <c r="F19" s="287"/>
      <c r="G19" s="478"/>
      <c r="H19" s="478"/>
      <c r="I19" s="478"/>
      <c r="J19" s="320"/>
      <c r="K19" s="290"/>
      <c r="L19" s="478"/>
      <c r="M19" s="478"/>
      <c r="N19" s="478"/>
      <c r="O19" s="478"/>
      <c r="P19" s="297"/>
      <c r="Q19" s="290"/>
    </row>
    <row r="20" spans="1:17">
      <c r="A20" s="3">
        <v>17</v>
      </c>
      <c r="B20" s="11"/>
      <c r="C20" s="287"/>
      <c r="D20" s="287"/>
      <c r="E20" s="287"/>
      <c r="F20" s="287"/>
      <c r="G20" s="478"/>
      <c r="H20" s="478"/>
      <c r="I20" s="478"/>
      <c r="J20" s="320"/>
      <c r="K20" s="290"/>
      <c r="L20" s="478"/>
      <c r="M20" s="478"/>
      <c r="N20" s="478"/>
      <c r="O20" s="478"/>
      <c r="P20" s="297"/>
      <c r="Q20" s="290"/>
    </row>
    <row r="21" spans="1:17">
      <c r="A21" s="3">
        <v>18</v>
      </c>
      <c r="B21" s="11"/>
      <c r="C21" s="287"/>
      <c r="D21" s="287"/>
      <c r="E21" s="287"/>
      <c r="F21" s="287"/>
      <c r="G21" s="478"/>
      <c r="H21" s="478"/>
      <c r="I21" s="478"/>
      <c r="J21" s="320"/>
      <c r="K21" s="290"/>
      <c r="L21" s="478"/>
      <c r="M21" s="478"/>
      <c r="N21" s="478"/>
      <c r="O21" s="478"/>
      <c r="P21" s="297"/>
      <c r="Q21" s="290"/>
    </row>
    <row r="22" spans="1:17">
      <c r="A22" s="3">
        <v>19</v>
      </c>
      <c r="B22" s="11"/>
      <c r="C22" s="287"/>
      <c r="D22" s="287"/>
      <c r="E22" s="287"/>
      <c r="F22" s="287"/>
      <c r="G22" s="478"/>
      <c r="H22" s="478"/>
      <c r="I22" s="478"/>
      <c r="J22" s="320"/>
      <c r="K22" s="290"/>
      <c r="L22" s="478"/>
      <c r="M22" s="478"/>
      <c r="N22" s="478"/>
      <c r="O22" s="478"/>
      <c r="P22" s="297"/>
      <c r="Q22" s="290"/>
    </row>
    <row r="23" spans="1:17">
      <c r="A23" s="3">
        <v>20</v>
      </c>
      <c r="B23" s="11"/>
      <c r="C23" s="287"/>
      <c r="D23" s="287"/>
      <c r="E23" s="287"/>
      <c r="F23" s="287"/>
      <c r="G23" s="478"/>
      <c r="H23" s="478"/>
      <c r="I23" s="478"/>
      <c r="J23" s="320"/>
      <c r="K23" s="290"/>
      <c r="L23" s="478"/>
      <c r="M23" s="478"/>
      <c r="N23" s="478"/>
      <c r="O23" s="478"/>
      <c r="P23" s="297"/>
      <c r="Q23" s="290"/>
    </row>
    <row r="24" spans="1:17">
      <c r="A24" s="3">
        <v>21</v>
      </c>
      <c r="B24" s="11"/>
      <c r="C24" s="287"/>
      <c r="D24" s="287"/>
      <c r="E24" s="287"/>
      <c r="F24" s="287"/>
      <c r="G24" s="478"/>
      <c r="H24" s="478"/>
      <c r="I24" s="478"/>
      <c r="J24" s="320"/>
      <c r="K24" s="290"/>
      <c r="L24" s="478"/>
      <c r="M24" s="478"/>
      <c r="N24" s="478"/>
      <c r="O24" s="478"/>
      <c r="P24" s="297"/>
      <c r="Q24" s="290"/>
    </row>
    <row r="25" spans="1:17">
      <c r="A25" s="3">
        <v>22</v>
      </c>
      <c r="B25" s="11"/>
      <c r="C25" s="287"/>
      <c r="D25" s="287"/>
      <c r="E25" s="287"/>
      <c r="F25" s="287"/>
      <c r="G25" s="478"/>
      <c r="H25" s="478"/>
      <c r="I25" s="478"/>
      <c r="J25" s="320"/>
      <c r="K25" s="290"/>
      <c r="L25" s="478"/>
      <c r="M25" s="478"/>
      <c r="N25" s="478"/>
      <c r="O25" s="478"/>
      <c r="P25" s="297"/>
      <c r="Q25" s="290"/>
    </row>
    <row r="26" spans="1:17">
      <c r="A26" s="3">
        <v>23</v>
      </c>
      <c r="B26" s="11"/>
      <c r="C26" s="287"/>
      <c r="D26" s="287"/>
      <c r="E26" s="287"/>
      <c r="F26" s="287"/>
      <c r="G26" s="478"/>
      <c r="H26" s="478"/>
      <c r="I26" s="478"/>
      <c r="J26" s="320"/>
      <c r="K26" s="290"/>
      <c r="L26" s="478"/>
      <c r="M26" s="478"/>
      <c r="N26" s="478"/>
      <c r="O26" s="478"/>
      <c r="P26" s="297"/>
      <c r="Q26" s="290"/>
    </row>
    <row r="27" spans="1:17">
      <c r="A27" s="3">
        <v>24</v>
      </c>
      <c r="B27" s="11"/>
      <c r="C27" s="287"/>
      <c r="D27" s="287"/>
      <c r="E27" s="287"/>
      <c r="F27" s="287"/>
      <c r="G27" s="478"/>
      <c r="H27" s="478"/>
      <c r="I27" s="478"/>
      <c r="J27" s="320"/>
      <c r="K27" s="290"/>
      <c r="L27" s="478"/>
      <c r="M27" s="478"/>
      <c r="N27" s="478"/>
      <c r="O27" s="478"/>
      <c r="P27" s="297"/>
      <c r="Q27" s="290"/>
    </row>
    <row r="28" spans="1:17">
      <c r="A28" s="3">
        <v>25</v>
      </c>
      <c r="B28" s="11"/>
      <c r="C28" s="287"/>
      <c r="D28" s="287"/>
      <c r="E28" s="287"/>
      <c r="F28" s="287"/>
      <c r="G28" s="478"/>
      <c r="H28" s="478"/>
      <c r="I28" s="478"/>
      <c r="J28" s="320"/>
      <c r="K28" s="290"/>
      <c r="L28" s="478"/>
      <c r="M28" s="478"/>
      <c r="N28" s="478"/>
      <c r="O28" s="478"/>
      <c r="P28" s="297"/>
      <c r="Q28" s="290"/>
    </row>
    <row r="29" spans="1:17">
      <c r="A29" s="3">
        <v>26</v>
      </c>
      <c r="B29" s="11"/>
      <c r="C29" s="287"/>
      <c r="D29" s="287"/>
      <c r="E29" s="287"/>
      <c r="F29" s="287"/>
      <c r="G29" s="478"/>
      <c r="H29" s="478"/>
      <c r="I29" s="478"/>
      <c r="J29" s="320"/>
      <c r="K29" s="290"/>
      <c r="L29" s="478"/>
      <c r="M29" s="478"/>
      <c r="N29" s="478"/>
      <c r="O29" s="478"/>
      <c r="P29" s="297"/>
      <c r="Q29" s="290"/>
    </row>
    <row r="30" spans="1:17">
      <c r="A30" s="3">
        <v>27</v>
      </c>
      <c r="B30" s="11"/>
      <c r="C30" s="287"/>
      <c r="D30" s="287"/>
      <c r="E30" s="287"/>
      <c r="F30" s="287"/>
      <c r="G30" s="478"/>
      <c r="H30" s="478"/>
      <c r="I30" s="478"/>
      <c r="J30" s="320"/>
      <c r="K30" s="290"/>
      <c r="L30" s="478"/>
      <c r="M30" s="478"/>
      <c r="N30" s="478"/>
      <c r="O30" s="478"/>
      <c r="P30" s="297"/>
      <c r="Q30" s="290"/>
    </row>
    <row r="31" spans="1:17">
      <c r="A31" s="3">
        <v>28</v>
      </c>
      <c r="B31" s="11"/>
      <c r="C31" s="287"/>
      <c r="D31" s="287"/>
      <c r="E31" s="287"/>
      <c r="F31" s="287"/>
      <c r="G31" s="478"/>
      <c r="H31" s="478"/>
      <c r="I31" s="478"/>
      <c r="J31" s="320"/>
      <c r="K31" s="290"/>
      <c r="L31" s="478"/>
      <c r="M31" s="478"/>
      <c r="N31" s="478"/>
      <c r="O31" s="478"/>
      <c r="P31" s="297"/>
      <c r="Q31" s="290"/>
    </row>
    <row r="32" spans="1:17">
      <c r="A32" s="3">
        <v>29</v>
      </c>
      <c r="B32" s="11"/>
      <c r="C32" s="287"/>
      <c r="D32" s="287"/>
      <c r="E32" s="287"/>
      <c r="F32" s="287"/>
      <c r="G32" s="478"/>
      <c r="H32" s="478"/>
      <c r="I32" s="478"/>
      <c r="J32" s="320"/>
      <c r="K32" s="290"/>
      <c r="L32" s="478"/>
      <c r="M32" s="478"/>
      <c r="N32" s="478"/>
      <c r="O32" s="478"/>
      <c r="P32" s="297"/>
      <c r="Q32" s="290"/>
    </row>
    <row r="33" spans="1:17">
      <c r="A33" s="3">
        <v>30</v>
      </c>
      <c r="B33" s="11"/>
      <c r="C33" s="287"/>
      <c r="D33" s="287"/>
      <c r="E33" s="287"/>
      <c r="F33" s="287"/>
      <c r="G33" s="478"/>
      <c r="H33" s="478"/>
      <c r="I33" s="478"/>
      <c r="J33" s="320"/>
      <c r="K33" s="290"/>
      <c r="L33" s="478"/>
      <c r="M33" s="478"/>
      <c r="N33" s="478"/>
      <c r="O33" s="478"/>
      <c r="P33" s="297"/>
      <c r="Q33" s="290"/>
    </row>
    <row r="34" spans="1:17">
      <c r="A34" s="3">
        <v>31</v>
      </c>
      <c r="B34" s="11"/>
      <c r="C34" s="287"/>
      <c r="D34" s="287"/>
      <c r="E34" s="287"/>
      <c r="F34" s="287"/>
      <c r="G34" s="478"/>
      <c r="H34" s="478"/>
      <c r="I34" s="478"/>
      <c r="J34" s="320"/>
      <c r="K34" s="290"/>
      <c r="L34" s="478"/>
      <c r="M34" s="478"/>
      <c r="N34" s="478"/>
      <c r="O34" s="478"/>
      <c r="P34" s="297"/>
      <c r="Q34" s="290"/>
    </row>
    <row r="35" spans="1:17">
      <c r="A35" s="3">
        <v>32</v>
      </c>
      <c r="B35" s="11"/>
      <c r="C35" s="287"/>
      <c r="D35" s="287"/>
      <c r="E35" s="287"/>
      <c r="F35" s="287"/>
      <c r="G35" s="478"/>
      <c r="H35" s="478"/>
      <c r="I35" s="478"/>
      <c r="J35" s="320"/>
      <c r="K35" s="290"/>
      <c r="L35" s="478"/>
      <c r="M35" s="478"/>
      <c r="N35" s="478"/>
      <c r="O35" s="478"/>
      <c r="P35" s="297"/>
      <c r="Q35" s="290"/>
    </row>
    <row r="36" spans="1:17">
      <c r="A36" s="3">
        <v>33</v>
      </c>
      <c r="B36" s="11"/>
      <c r="C36" s="287"/>
      <c r="D36" s="287"/>
      <c r="E36" s="287"/>
      <c r="F36" s="287"/>
      <c r="G36" s="478"/>
      <c r="H36" s="478"/>
      <c r="I36" s="478"/>
      <c r="J36" s="320"/>
      <c r="K36" s="290"/>
      <c r="L36" s="478"/>
      <c r="M36" s="478"/>
      <c r="N36" s="478"/>
      <c r="O36" s="478"/>
      <c r="P36" s="297"/>
      <c r="Q36" s="290"/>
    </row>
    <row r="37" spans="1:17">
      <c r="A37" s="3">
        <v>34</v>
      </c>
      <c r="B37" s="11"/>
      <c r="C37" s="287"/>
      <c r="D37" s="287"/>
      <c r="E37" s="287"/>
      <c r="F37" s="287"/>
      <c r="G37" s="478"/>
      <c r="H37" s="478"/>
      <c r="I37" s="478"/>
      <c r="J37" s="320"/>
      <c r="K37" s="290"/>
      <c r="L37" s="478"/>
      <c r="M37" s="478"/>
      <c r="N37" s="478"/>
      <c r="O37" s="478"/>
      <c r="P37" s="297"/>
      <c r="Q37" s="290"/>
    </row>
    <row r="38" spans="1:17">
      <c r="A38" s="3">
        <v>35</v>
      </c>
      <c r="B38" s="11"/>
      <c r="C38" s="287"/>
      <c r="D38" s="287"/>
      <c r="E38" s="287"/>
      <c r="F38" s="287"/>
      <c r="G38" s="478"/>
      <c r="H38" s="478"/>
      <c r="I38" s="478"/>
      <c r="J38" s="320"/>
      <c r="K38" s="290"/>
      <c r="L38" s="478"/>
      <c r="M38" s="478"/>
      <c r="N38" s="478"/>
      <c r="O38" s="478"/>
      <c r="P38" s="297"/>
      <c r="Q38" s="290"/>
    </row>
    <row r="39" spans="1:17">
      <c r="A39" s="3">
        <v>36</v>
      </c>
      <c r="B39" s="11"/>
      <c r="C39" s="287"/>
      <c r="D39" s="287"/>
      <c r="E39" s="287"/>
      <c r="F39" s="287"/>
      <c r="G39" s="478"/>
      <c r="H39" s="478"/>
      <c r="I39" s="478"/>
      <c r="J39" s="320"/>
      <c r="K39" s="290"/>
      <c r="L39" s="478"/>
      <c r="M39" s="478"/>
      <c r="N39" s="478"/>
      <c r="O39" s="478"/>
      <c r="P39" s="297"/>
      <c r="Q39" s="290"/>
    </row>
    <row r="40" spans="1:17">
      <c r="A40" s="3">
        <v>37</v>
      </c>
      <c r="B40" s="11"/>
      <c r="C40" s="287"/>
      <c r="D40" s="287"/>
      <c r="E40" s="287"/>
      <c r="F40" s="287"/>
      <c r="G40" s="478"/>
      <c r="H40" s="478"/>
      <c r="I40" s="478"/>
      <c r="J40" s="320"/>
      <c r="K40" s="290"/>
      <c r="L40" s="478"/>
      <c r="M40" s="478"/>
      <c r="N40" s="478"/>
      <c r="O40" s="478"/>
      <c r="P40" s="297"/>
      <c r="Q40" s="290"/>
    </row>
    <row r="41" spans="1:17">
      <c r="A41" s="3">
        <v>38</v>
      </c>
      <c r="B41" s="11"/>
      <c r="C41" s="287"/>
      <c r="D41" s="287"/>
      <c r="E41" s="287"/>
      <c r="F41" s="287"/>
      <c r="G41" s="478"/>
      <c r="H41" s="478"/>
      <c r="I41" s="478"/>
      <c r="J41" s="320"/>
      <c r="K41" s="290"/>
      <c r="L41" s="478"/>
      <c r="M41" s="478"/>
      <c r="N41" s="478"/>
      <c r="O41" s="478"/>
      <c r="P41" s="297"/>
      <c r="Q41" s="290"/>
    </row>
    <row r="42" spans="1:17">
      <c r="A42" s="3">
        <v>39</v>
      </c>
      <c r="B42" s="11"/>
      <c r="C42" s="287"/>
      <c r="D42" s="287"/>
      <c r="E42" s="287"/>
      <c r="F42" s="287"/>
      <c r="G42" s="478"/>
      <c r="H42" s="478"/>
      <c r="I42" s="478"/>
      <c r="J42" s="320"/>
      <c r="K42" s="290"/>
      <c r="L42" s="478"/>
      <c r="M42" s="478"/>
      <c r="N42" s="478"/>
      <c r="O42" s="478"/>
      <c r="P42" s="297"/>
      <c r="Q42" s="290"/>
    </row>
    <row r="43" spans="1:17">
      <c r="A43" s="3">
        <v>40</v>
      </c>
      <c r="B43" s="11"/>
      <c r="C43" s="287"/>
      <c r="D43" s="287"/>
      <c r="E43" s="287"/>
      <c r="F43" s="287"/>
      <c r="G43" s="478"/>
      <c r="H43" s="478"/>
      <c r="I43" s="478"/>
      <c r="J43" s="320"/>
      <c r="K43" s="290"/>
      <c r="L43" s="478"/>
      <c r="M43" s="478"/>
      <c r="N43" s="478"/>
      <c r="O43" s="478"/>
      <c r="P43" s="297"/>
      <c r="Q43" s="290"/>
    </row>
    <row r="44" spans="1:17">
      <c r="A44" s="3">
        <v>41</v>
      </c>
      <c r="B44" s="11"/>
      <c r="C44" s="287"/>
      <c r="D44" s="287"/>
      <c r="E44" s="287"/>
      <c r="F44" s="287"/>
      <c r="G44" s="478"/>
      <c r="H44" s="478"/>
      <c r="I44" s="478"/>
      <c r="J44" s="320"/>
      <c r="K44" s="290"/>
      <c r="L44" s="478"/>
      <c r="M44" s="478"/>
      <c r="N44" s="478"/>
      <c r="O44" s="478"/>
      <c r="P44" s="297"/>
      <c r="Q44" s="290"/>
    </row>
    <row r="45" spans="1:17">
      <c r="A45" s="3">
        <v>42</v>
      </c>
      <c r="B45" s="11"/>
      <c r="C45" s="287"/>
      <c r="D45" s="287"/>
      <c r="E45" s="287"/>
      <c r="F45" s="287"/>
      <c r="G45" s="478"/>
      <c r="H45" s="478"/>
      <c r="I45" s="478"/>
      <c r="J45" s="320"/>
      <c r="K45" s="290"/>
      <c r="L45" s="478"/>
      <c r="M45" s="478"/>
      <c r="N45" s="478"/>
      <c r="O45" s="478"/>
      <c r="P45" s="297"/>
      <c r="Q45" s="290"/>
    </row>
    <row r="46" spans="1:17">
      <c r="A46" s="3">
        <v>43</v>
      </c>
      <c r="B46" s="11"/>
      <c r="C46" s="287"/>
      <c r="D46" s="287"/>
      <c r="E46" s="287"/>
      <c r="F46" s="287"/>
      <c r="G46" s="478"/>
      <c r="H46" s="478"/>
      <c r="I46" s="478"/>
      <c r="J46" s="320"/>
      <c r="K46" s="290"/>
      <c r="L46" s="478"/>
      <c r="M46" s="478"/>
      <c r="N46" s="478"/>
      <c r="O46" s="478"/>
      <c r="P46" s="297"/>
      <c r="Q46" s="290"/>
    </row>
    <row r="47" spans="1:17">
      <c r="A47" s="3">
        <v>44</v>
      </c>
      <c r="B47" s="11"/>
      <c r="C47" s="287"/>
      <c r="D47" s="287"/>
      <c r="E47" s="287"/>
      <c r="F47" s="287"/>
      <c r="G47" s="478"/>
      <c r="H47" s="478"/>
      <c r="I47" s="478"/>
      <c r="J47" s="320"/>
      <c r="K47" s="290"/>
      <c r="L47" s="478"/>
      <c r="M47" s="478"/>
      <c r="N47" s="478"/>
      <c r="O47" s="478"/>
      <c r="P47" s="297"/>
      <c r="Q47" s="290"/>
    </row>
    <row r="48" spans="1:17">
      <c r="A48" s="3">
        <v>45</v>
      </c>
      <c r="B48" s="11"/>
      <c r="C48" s="287"/>
      <c r="D48" s="287"/>
      <c r="E48" s="287"/>
      <c r="F48" s="287"/>
      <c r="G48" s="478"/>
      <c r="H48" s="478"/>
      <c r="I48" s="478"/>
      <c r="J48" s="320"/>
      <c r="K48" s="290"/>
      <c r="L48" s="478"/>
      <c r="M48" s="478"/>
      <c r="N48" s="478"/>
      <c r="O48" s="478"/>
      <c r="P48" s="297"/>
      <c r="Q48" s="290"/>
    </row>
    <row r="49" spans="1:17">
      <c r="A49" s="3">
        <v>46</v>
      </c>
      <c r="B49" s="11"/>
      <c r="C49" s="287"/>
      <c r="D49" s="287"/>
      <c r="E49" s="287"/>
      <c r="F49" s="287"/>
      <c r="G49" s="478"/>
      <c r="H49" s="478"/>
      <c r="I49" s="478"/>
      <c r="J49" s="320"/>
      <c r="K49" s="290"/>
      <c r="L49" s="478"/>
      <c r="M49" s="478"/>
      <c r="N49" s="478"/>
      <c r="O49" s="478"/>
      <c r="P49" s="297"/>
      <c r="Q49" s="290"/>
    </row>
    <row r="50" spans="1:17">
      <c r="A50" s="3">
        <v>47</v>
      </c>
      <c r="B50" s="11"/>
      <c r="C50" s="287"/>
      <c r="D50" s="287"/>
      <c r="E50" s="287"/>
      <c r="F50" s="287"/>
      <c r="G50" s="478"/>
      <c r="H50" s="478"/>
      <c r="I50" s="478"/>
      <c r="J50" s="320"/>
      <c r="K50" s="290"/>
      <c r="L50" s="478"/>
      <c r="M50" s="478"/>
      <c r="N50" s="478"/>
      <c r="O50" s="478"/>
      <c r="P50" s="297"/>
      <c r="Q50" s="290"/>
    </row>
    <row r="51" spans="1:17">
      <c r="A51" s="3">
        <v>48</v>
      </c>
      <c r="B51" s="11"/>
      <c r="C51" s="287"/>
      <c r="D51" s="287"/>
      <c r="E51" s="287"/>
      <c r="F51" s="287"/>
      <c r="G51" s="478"/>
      <c r="H51" s="478"/>
      <c r="I51" s="478"/>
      <c r="J51" s="320"/>
      <c r="K51" s="290"/>
      <c r="L51" s="478"/>
      <c r="M51" s="478"/>
      <c r="N51" s="478"/>
      <c r="O51" s="478"/>
      <c r="P51" s="297"/>
      <c r="Q51" s="290"/>
    </row>
    <row r="52" spans="1:17">
      <c r="A52" s="3">
        <v>49</v>
      </c>
      <c r="B52" s="11"/>
      <c r="C52" s="287"/>
      <c r="D52" s="287"/>
      <c r="E52" s="287"/>
      <c r="F52" s="287"/>
      <c r="G52" s="478"/>
      <c r="H52" s="478"/>
      <c r="I52" s="478"/>
      <c r="J52" s="320"/>
      <c r="K52" s="290"/>
      <c r="L52" s="478"/>
      <c r="M52" s="478"/>
      <c r="N52" s="478"/>
      <c r="O52" s="478"/>
      <c r="P52" s="297"/>
      <c r="Q52" s="290"/>
    </row>
    <row r="53" spans="1:17">
      <c r="A53" s="3">
        <v>50</v>
      </c>
      <c r="B53" s="11"/>
      <c r="C53" s="287"/>
      <c r="D53" s="287"/>
      <c r="E53" s="287"/>
      <c r="F53" s="287"/>
      <c r="G53" s="478"/>
      <c r="H53" s="478"/>
      <c r="I53" s="478"/>
      <c r="J53" s="320"/>
      <c r="K53" s="290"/>
      <c r="L53" s="478"/>
      <c r="M53" s="478"/>
      <c r="N53" s="478"/>
      <c r="O53" s="478"/>
      <c r="P53" s="297"/>
      <c r="Q53" s="290"/>
    </row>
    <row r="54" spans="1:17">
      <c r="A54" s="3">
        <v>51</v>
      </c>
      <c r="B54" s="11"/>
      <c r="C54" s="287"/>
      <c r="D54" s="287"/>
      <c r="E54" s="287"/>
      <c r="F54" s="287"/>
      <c r="G54" s="478"/>
      <c r="H54" s="478"/>
      <c r="I54" s="478"/>
      <c r="J54" s="320"/>
      <c r="K54" s="290"/>
      <c r="L54" s="478"/>
      <c r="M54" s="478"/>
      <c r="N54" s="478"/>
      <c r="O54" s="478"/>
      <c r="P54" s="297"/>
      <c r="Q54" s="290"/>
    </row>
    <row r="55" spans="1:17">
      <c r="A55" s="3">
        <v>52</v>
      </c>
      <c r="B55" s="11"/>
      <c r="C55" s="287"/>
      <c r="D55" s="287"/>
      <c r="E55" s="287"/>
      <c r="F55" s="287"/>
      <c r="G55" s="478"/>
      <c r="H55" s="478"/>
      <c r="I55" s="478"/>
      <c r="J55" s="320"/>
      <c r="K55" s="290"/>
      <c r="L55" s="478"/>
      <c r="M55" s="478"/>
      <c r="N55" s="478"/>
      <c r="O55" s="478"/>
      <c r="P55" s="297"/>
      <c r="Q55" s="290"/>
    </row>
    <row r="56" spans="1:17">
      <c r="A56" s="3">
        <v>53</v>
      </c>
      <c r="B56" s="11"/>
      <c r="C56" s="287"/>
      <c r="D56" s="287"/>
      <c r="E56" s="287"/>
      <c r="F56" s="287"/>
      <c r="G56" s="478"/>
      <c r="H56" s="478"/>
      <c r="I56" s="478"/>
      <c r="J56" s="320"/>
      <c r="K56" s="290"/>
      <c r="L56" s="478"/>
      <c r="M56" s="478"/>
      <c r="N56" s="478"/>
      <c r="O56" s="478"/>
      <c r="P56" s="297"/>
      <c r="Q56" s="290"/>
    </row>
    <row r="57" spans="1:17">
      <c r="A57" s="3">
        <v>54</v>
      </c>
      <c r="B57" s="11"/>
      <c r="C57" s="287"/>
      <c r="D57" s="287"/>
      <c r="E57" s="287"/>
      <c r="F57" s="287"/>
      <c r="G57" s="478"/>
      <c r="H57" s="478"/>
      <c r="I57" s="478"/>
      <c r="J57" s="320"/>
      <c r="K57" s="290"/>
      <c r="L57" s="478"/>
      <c r="M57" s="478"/>
      <c r="N57" s="478"/>
      <c r="O57" s="478"/>
      <c r="P57" s="297"/>
      <c r="Q57" s="290"/>
    </row>
    <row r="58" spans="1:17">
      <c r="A58" s="3">
        <v>55</v>
      </c>
      <c r="B58" s="11"/>
      <c r="C58" s="287"/>
      <c r="D58" s="287"/>
      <c r="E58" s="287"/>
      <c r="F58" s="287"/>
      <c r="G58" s="478"/>
      <c r="H58" s="478"/>
      <c r="I58" s="478"/>
      <c r="J58" s="320"/>
      <c r="K58" s="290"/>
      <c r="L58" s="478"/>
      <c r="M58" s="478"/>
      <c r="N58" s="478"/>
      <c r="O58" s="478"/>
      <c r="P58" s="297"/>
      <c r="Q58" s="290"/>
    </row>
    <row r="59" spans="1:17">
      <c r="A59" s="3">
        <v>56</v>
      </c>
      <c r="B59" s="11"/>
      <c r="C59" s="287"/>
      <c r="D59" s="287"/>
      <c r="E59" s="287"/>
      <c r="F59" s="287"/>
      <c r="G59" s="478"/>
      <c r="H59" s="478"/>
      <c r="I59" s="478"/>
      <c r="J59" s="320"/>
      <c r="K59" s="290"/>
      <c r="L59" s="478"/>
      <c r="M59" s="478"/>
      <c r="N59" s="478"/>
      <c r="O59" s="478"/>
      <c r="P59" s="297"/>
      <c r="Q59" s="290"/>
    </row>
    <row r="60" spans="1:17">
      <c r="A60" s="3">
        <v>57</v>
      </c>
      <c r="B60" s="11"/>
      <c r="C60" s="287"/>
      <c r="D60" s="287"/>
      <c r="E60" s="287"/>
      <c r="F60" s="287"/>
      <c r="G60" s="478"/>
      <c r="H60" s="478"/>
      <c r="I60" s="478"/>
      <c r="J60" s="320"/>
      <c r="K60" s="290"/>
      <c r="L60" s="478"/>
      <c r="M60" s="478"/>
      <c r="N60" s="478"/>
      <c r="O60" s="478"/>
      <c r="P60" s="297"/>
      <c r="Q60" s="290"/>
    </row>
    <row r="61" spans="1:17">
      <c r="A61" s="3">
        <v>58</v>
      </c>
      <c r="B61" s="11"/>
      <c r="C61" s="287"/>
      <c r="D61" s="287"/>
      <c r="E61" s="287"/>
      <c r="F61" s="287"/>
      <c r="G61" s="478"/>
      <c r="H61" s="478"/>
      <c r="I61" s="478"/>
      <c r="J61" s="320"/>
      <c r="K61" s="290"/>
      <c r="L61" s="478"/>
      <c r="M61" s="478"/>
      <c r="N61" s="478"/>
      <c r="O61" s="478"/>
      <c r="P61" s="297"/>
      <c r="Q61" s="290"/>
    </row>
    <row r="62" spans="1:17">
      <c r="A62" s="3">
        <v>59</v>
      </c>
      <c r="B62" s="11"/>
      <c r="C62" s="287"/>
      <c r="D62" s="287"/>
      <c r="E62" s="287"/>
      <c r="F62" s="287"/>
      <c r="G62" s="478"/>
      <c r="H62" s="478"/>
      <c r="I62" s="478"/>
      <c r="J62" s="320"/>
      <c r="K62" s="290"/>
      <c r="L62" s="478"/>
      <c r="M62" s="478"/>
      <c r="N62" s="478"/>
      <c r="O62" s="478"/>
      <c r="P62" s="297"/>
      <c r="Q62" s="290"/>
    </row>
    <row r="63" spans="1:17">
      <c r="A63" s="3">
        <v>60</v>
      </c>
      <c r="B63" s="11"/>
      <c r="C63" s="287"/>
      <c r="D63" s="287"/>
      <c r="E63" s="287"/>
      <c r="F63" s="287"/>
      <c r="G63" s="478"/>
      <c r="H63" s="478"/>
      <c r="I63" s="478"/>
      <c r="J63" s="320"/>
      <c r="K63" s="290"/>
      <c r="L63" s="478"/>
      <c r="M63" s="478"/>
      <c r="N63" s="478"/>
      <c r="O63" s="478"/>
      <c r="P63" s="297"/>
      <c r="Q63" s="290"/>
    </row>
    <row r="64" spans="1:17">
      <c r="A64" s="3">
        <v>61</v>
      </c>
      <c r="B64" s="11"/>
      <c r="C64" s="287"/>
      <c r="D64" s="287"/>
      <c r="E64" s="287"/>
      <c r="F64" s="287"/>
      <c r="G64" s="478"/>
      <c r="H64" s="478"/>
      <c r="I64" s="478"/>
      <c r="J64" s="320"/>
      <c r="K64" s="290"/>
      <c r="L64" s="478"/>
      <c r="M64" s="478"/>
      <c r="N64" s="478"/>
      <c r="O64" s="478"/>
      <c r="P64" s="297"/>
      <c r="Q64" s="290"/>
    </row>
    <row r="65" spans="1:17">
      <c r="A65" s="3">
        <v>62</v>
      </c>
      <c r="B65" s="11"/>
      <c r="C65" s="287"/>
      <c r="D65" s="287"/>
      <c r="E65" s="287"/>
      <c r="F65" s="287"/>
      <c r="G65" s="478"/>
      <c r="H65" s="478"/>
      <c r="I65" s="478"/>
      <c r="J65" s="320"/>
      <c r="K65" s="290"/>
      <c r="L65" s="478"/>
      <c r="M65" s="478"/>
      <c r="N65" s="478"/>
      <c r="O65" s="478"/>
      <c r="P65" s="297"/>
      <c r="Q65" s="290"/>
    </row>
    <row r="66" spans="1:17">
      <c r="A66" s="3">
        <v>63</v>
      </c>
      <c r="B66" s="11"/>
      <c r="C66" s="287"/>
      <c r="D66" s="287"/>
      <c r="E66" s="287"/>
      <c r="F66" s="287"/>
      <c r="G66" s="478"/>
      <c r="H66" s="478"/>
      <c r="I66" s="478"/>
      <c r="J66" s="320"/>
      <c r="K66" s="290"/>
      <c r="L66" s="478"/>
      <c r="M66" s="478"/>
      <c r="N66" s="478"/>
      <c r="O66" s="478"/>
      <c r="P66" s="297"/>
      <c r="Q66" s="290"/>
    </row>
    <row r="67" spans="1:17">
      <c r="A67" s="3">
        <v>64</v>
      </c>
      <c r="B67" s="11"/>
      <c r="C67" s="287"/>
      <c r="D67" s="287"/>
      <c r="E67" s="287"/>
      <c r="F67" s="287"/>
      <c r="G67" s="478"/>
      <c r="H67" s="478"/>
      <c r="I67" s="478"/>
      <c r="J67" s="320"/>
      <c r="K67" s="290"/>
      <c r="L67" s="478"/>
      <c r="M67" s="478"/>
      <c r="N67" s="478"/>
      <c r="O67" s="478"/>
      <c r="P67" s="297"/>
      <c r="Q67" s="290"/>
    </row>
    <row r="68" spans="1:17">
      <c r="A68" s="3">
        <v>65</v>
      </c>
      <c r="B68" s="11"/>
      <c r="C68" s="287"/>
      <c r="D68" s="287"/>
      <c r="E68" s="287"/>
      <c r="F68" s="287"/>
      <c r="G68" s="478"/>
      <c r="H68" s="478"/>
      <c r="I68" s="478"/>
      <c r="J68" s="320"/>
      <c r="K68" s="290"/>
      <c r="L68" s="478"/>
      <c r="M68" s="478"/>
      <c r="N68" s="478"/>
      <c r="O68" s="478"/>
      <c r="P68" s="297"/>
      <c r="Q68" s="290"/>
    </row>
    <row r="69" spans="1:17">
      <c r="A69" s="3">
        <v>66</v>
      </c>
      <c r="B69" s="11"/>
      <c r="C69" s="287"/>
      <c r="D69" s="287"/>
      <c r="E69" s="287"/>
      <c r="F69" s="287"/>
      <c r="G69" s="478"/>
      <c r="H69" s="478"/>
      <c r="I69" s="478"/>
      <c r="J69" s="320"/>
      <c r="K69" s="290"/>
      <c r="L69" s="478"/>
      <c r="M69" s="478"/>
      <c r="N69" s="478"/>
      <c r="O69" s="478"/>
      <c r="P69" s="297"/>
      <c r="Q69" s="290"/>
    </row>
    <row r="70" spans="1:17">
      <c r="A70" s="3">
        <v>67</v>
      </c>
      <c r="B70" s="11"/>
      <c r="C70" s="287"/>
      <c r="D70" s="287"/>
      <c r="E70" s="287"/>
      <c r="F70" s="287"/>
      <c r="G70" s="478"/>
      <c r="H70" s="478"/>
      <c r="I70" s="478"/>
      <c r="J70" s="320"/>
      <c r="K70" s="290"/>
      <c r="L70" s="478"/>
      <c r="M70" s="478"/>
      <c r="N70" s="478"/>
      <c r="O70" s="478"/>
      <c r="P70" s="297"/>
      <c r="Q70" s="290"/>
    </row>
    <row r="71" spans="1:17">
      <c r="A71" s="3">
        <v>68</v>
      </c>
      <c r="B71" s="11"/>
      <c r="C71" s="287"/>
      <c r="D71" s="287"/>
      <c r="E71" s="287"/>
      <c r="F71" s="287"/>
      <c r="G71" s="478"/>
      <c r="H71" s="478"/>
      <c r="I71" s="478"/>
      <c r="J71" s="320"/>
      <c r="K71" s="290"/>
      <c r="L71" s="478"/>
      <c r="M71" s="478"/>
      <c r="N71" s="478"/>
      <c r="O71" s="478"/>
      <c r="P71" s="297"/>
      <c r="Q71" s="290"/>
    </row>
    <row r="72" spans="1:17">
      <c r="A72" s="3">
        <v>69</v>
      </c>
      <c r="B72" s="11"/>
      <c r="C72" s="287"/>
      <c r="D72" s="287"/>
      <c r="E72" s="287"/>
      <c r="F72" s="287"/>
      <c r="G72" s="478"/>
      <c r="H72" s="478"/>
      <c r="I72" s="478"/>
      <c r="J72" s="320"/>
      <c r="K72" s="290"/>
      <c r="L72" s="478"/>
      <c r="M72" s="478"/>
      <c r="N72" s="478"/>
      <c r="O72" s="478"/>
      <c r="P72" s="297"/>
      <c r="Q72" s="290"/>
    </row>
    <row r="73" spans="1:17">
      <c r="A73" s="3">
        <v>70</v>
      </c>
      <c r="B73" s="11"/>
      <c r="C73" s="287"/>
      <c r="D73" s="287"/>
      <c r="E73" s="287"/>
      <c r="F73" s="287"/>
      <c r="G73" s="478"/>
      <c r="H73" s="478"/>
      <c r="I73" s="478"/>
      <c r="J73" s="320"/>
      <c r="K73" s="290"/>
      <c r="L73" s="478"/>
      <c r="M73" s="478"/>
      <c r="N73" s="478"/>
      <c r="O73" s="478"/>
      <c r="P73" s="297"/>
      <c r="Q73" s="290"/>
    </row>
    <row r="74" spans="1:17">
      <c r="A74" s="3">
        <v>71</v>
      </c>
      <c r="B74" s="11"/>
      <c r="C74" s="287"/>
      <c r="D74" s="287"/>
      <c r="E74" s="287"/>
      <c r="F74" s="287"/>
      <c r="G74" s="478"/>
      <c r="H74" s="478"/>
      <c r="I74" s="478"/>
      <c r="J74" s="320"/>
      <c r="K74" s="290"/>
      <c r="L74" s="478"/>
      <c r="M74" s="478"/>
      <c r="N74" s="478"/>
      <c r="O74" s="478"/>
      <c r="P74" s="297"/>
      <c r="Q74" s="290"/>
    </row>
    <row r="75" spans="1:17">
      <c r="A75" s="3">
        <v>72</v>
      </c>
      <c r="B75" s="11"/>
      <c r="C75" s="287"/>
      <c r="D75" s="287"/>
      <c r="E75" s="287"/>
      <c r="F75" s="287"/>
      <c r="G75" s="478"/>
      <c r="H75" s="478"/>
      <c r="I75" s="478"/>
      <c r="J75" s="320"/>
      <c r="K75" s="290"/>
      <c r="L75" s="478"/>
      <c r="M75" s="478"/>
      <c r="N75" s="478"/>
      <c r="O75" s="478"/>
      <c r="P75" s="297"/>
      <c r="Q75" s="290"/>
    </row>
    <row r="76" spans="1:17">
      <c r="A76" s="3">
        <v>73</v>
      </c>
      <c r="B76" s="11"/>
      <c r="C76" s="287"/>
      <c r="D76" s="287"/>
      <c r="E76" s="287"/>
      <c r="F76" s="287"/>
      <c r="G76" s="478"/>
      <c r="H76" s="478"/>
      <c r="I76" s="478"/>
      <c r="J76" s="320"/>
      <c r="K76" s="290"/>
      <c r="L76" s="478"/>
      <c r="M76" s="478"/>
      <c r="N76" s="478"/>
      <c r="O76" s="478"/>
      <c r="P76" s="297"/>
      <c r="Q76" s="290"/>
    </row>
    <row r="77" spans="1:17">
      <c r="A77" s="3">
        <v>74</v>
      </c>
      <c r="B77" s="11"/>
      <c r="C77" s="287"/>
      <c r="D77" s="287"/>
      <c r="E77" s="287"/>
      <c r="F77" s="287"/>
      <c r="G77" s="478"/>
      <c r="H77" s="478"/>
      <c r="I77" s="478"/>
      <c r="J77" s="320"/>
      <c r="K77" s="290"/>
      <c r="L77" s="478"/>
      <c r="M77" s="478"/>
      <c r="N77" s="478"/>
      <c r="O77" s="478"/>
      <c r="P77" s="297"/>
      <c r="Q77" s="290"/>
    </row>
    <row r="78" spans="1:17">
      <c r="A78" s="3">
        <v>75</v>
      </c>
      <c r="B78" s="11"/>
      <c r="C78" s="287"/>
      <c r="D78" s="287"/>
      <c r="E78" s="287"/>
      <c r="F78" s="287"/>
      <c r="G78" s="478"/>
      <c r="H78" s="478"/>
      <c r="I78" s="478"/>
      <c r="J78" s="320"/>
      <c r="K78" s="290"/>
      <c r="L78" s="478"/>
      <c r="M78" s="478"/>
      <c r="N78" s="478"/>
      <c r="O78" s="478"/>
      <c r="P78" s="297"/>
      <c r="Q78" s="290"/>
    </row>
    <row r="79" spans="1:17">
      <c r="A79" s="3">
        <v>76</v>
      </c>
      <c r="B79" s="11"/>
      <c r="C79" s="287"/>
      <c r="D79" s="287"/>
      <c r="E79" s="287"/>
      <c r="F79" s="287"/>
      <c r="G79" s="478"/>
      <c r="H79" s="478"/>
      <c r="I79" s="478"/>
      <c r="J79" s="320"/>
      <c r="K79" s="290"/>
      <c r="L79" s="478"/>
      <c r="M79" s="478"/>
      <c r="N79" s="478"/>
      <c r="O79" s="478"/>
      <c r="P79" s="297"/>
      <c r="Q79" s="290"/>
    </row>
    <row r="80" spans="1:17">
      <c r="A80" s="3">
        <v>77</v>
      </c>
      <c r="B80" s="11"/>
      <c r="C80" s="287"/>
      <c r="D80" s="287"/>
      <c r="E80" s="287"/>
      <c r="F80" s="287"/>
      <c r="G80" s="478"/>
      <c r="H80" s="478"/>
      <c r="I80" s="478"/>
      <c r="J80" s="320"/>
      <c r="K80" s="290"/>
      <c r="L80" s="478"/>
      <c r="M80" s="478"/>
      <c r="N80" s="478"/>
      <c r="O80" s="478"/>
      <c r="P80" s="297"/>
      <c r="Q80" s="290"/>
    </row>
    <row r="81" spans="1:17">
      <c r="A81" s="3">
        <v>78</v>
      </c>
      <c r="B81" s="11"/>
      <c r="C81" s="287"/>
      <c r="D81" s="287"/>
      <c r="E81" s="287"/>
      <c r="F81" s="287"/>
      <c r="G81" s="478"/>
      <c r="H81" s="478"/>
      <c r="I81" s="478"/>
      <c r="J81" s="320"/>
      <c r="K81" s="290"/>
      <c r="L81" s="478"/>
      <c r="M81" s="478"/>
      <c r="N81" s="478"/>
      <c r="O81" s="478"/>
      <c r="P81" s="297"/>
      <c r="Q81" s="290"/>
    </row>
    <row r="82" spans="1:17">
      <c r="A82" s="3">
        <v>79</v>
      </c>
      <c r="B82" s="11"/>
      <c r="C82" s="287"/>
      <c r="D82" s="287"/>
      <c r="E82" s="287"/>
      <c r="F82" s="287"/>
      <c r="G82" s="478"/>
      <c r="H82" s="478"/>
      <c r="I82" s="478"/>
      <c r="J82" s="320"/>
      <c r="K82" s="290"/>
      <c r="L82" s="478"/>
      <c r="M82" s="478"/>
      <c r="N82" s="478"/>
      <c r="O82" s="478"/>
      <c r="P82" s="297"/>
      <c r="Q82" s="290"/>
    </row>
    <row r="83" spans="1:17">
      <c r="A83" s="3">
        <v>80</v>
      </c>
      <c r="B83" s="11"/>
      <c r="C83" s="287"/>
      <c r="D83" s="287"/>
      <c r="E83" s="287"/>
      <c r="F83" s="287"/>
      <c r="G83" s="478"/>
      <c r="H83" s="478"/>
      <c r="I83" s="478"/>
      <c r="J83" s="320"/>
      <c r="K83" s="290"/>
      <c r="L83" s="478"/>
      <c r="M83" s="478"/>
      <c r="N83" s="478"/>
      <c r="O83" s="478"/>
      <c r="P83" s="297"/>
      <c r="Q83" s="290"/>
    </row>
    <row r="84" spans="1:17">
      <c r="A84" s="3">
        <v>81</v>
      </c>
      <c r="B84" s="11"/>
      <c r="C84" s="287"/>
      <c r="D84" s="287"/>
      <c r="E84" s="287"/>
      <c r="F84" s="287"/>
      <c r="G84" s="478"/>
      <c r="H84" s="478"/>
      <c r="I84" s="478"/>
      <c r="J84" s="320"/>
      <c r="K84" s="290"/>
      <c r="L84" s="478"/>
      <c r="M84" s="478"/>
      <c r="N84" s="478"/>
      <c r="O84" s="478"/>
      <c r="P84" s="297"/>
      <c r="Q84" s="290"/>
    </row>
    <row r="85" spans="1:17">
      <c r="A85" s="3">
        <v>82</v>
      </c>
      <c r="B85" s="11"/>
      <c r="C85" s="287"/>
      <c r="D85" s="287"/>
      <c r="E85" s="287"/>
      <c r="F85" s="287"/>
      <c r="G85" s="478"/>
      <c r="H85" s="478"/>
      <c r="I85" s="478"/>
      <c r="J85" s="320"/>
      <c r="K85" s="290"/>
      <c r="L85" s="478"/>
      <c r="M85" s="478"/>
      <c r="N85" s="478"/>
      <c r="O85" s="478"/>
      <c r="P85" s="297"/>
      <c r="Q85" s="290"/>
    </row>
    <row r="86" spans="1:17">
      <c r="A86" s="3">
        <v>83</v>
      </c>
      <c r="B86" s="11"/>
      <c r="C86" s="287"/>
      <c r="D86" s="287"/>
      <c r="E86" s="287"/>
      <c r="F86" s="287"/>
      <c r="G86" s="478"/>
      <c r="H86" s="478"/>
      <c r="I86" s="478"/>
      <c r="J86" s="320"/>
      <c r="K86" s="290"/>
      <c r="L86" s="478"/>
      <c r="M86" s="478"/>
      <c r="N86" s="478"/>
      <c r="O86" s="478"/>
      <c r="P86" s="297"/>
      <c r="Q86" s="290"/>
    </row>
    <row r="87" spans="1:17">
      <c r="A87" s="3">
        <v>84</v>
      </c>
      <c r="B87" s="11"/>
      <c r="C87" s="287"/>
      <c r="D87" s="287"/>
      <c r="E87" s="287"/>
      <c r="F87" s="287"/>
      <c r="G87" s="478"/>
      <c r="H87" s="478"/>
      <c r="I87" s="478"/>
      <c r="J87" s="320"/>
      <c r="K87" s="290"/>
      <c r="L87" s="478"/>
      <c r="M87" s="478"/>
      <c r="N87" s="478"/>
      <c r="O87" s="478"/>
      <c r="P87" s="297"/>
      <c r="Q87" s="290"/>
    </row>
    <row r="88" spans="1:17">
      <c r="A88" s="3">
        <v>85</v>
      </c>
      <c r="B88" s="11"/>
      <c r="C88" s="287"/>
      <c r="D88" s="287"/>
      <c r="E88" s="287"/>
      <c r="F88" s="287"/>
      <c r="G88" s="478"/>
      <c r="H88" s="478"/>
      <c r="I88" s="478"/>
      <c r="J88" s="320"/>
      <c r="K88" s="290"/>
      <c r="L88" s="478"/>
      <c r="M88" s="478"/>
      <c r="N88" s="478"/>
      <c r="O88" s="478"/>
      <c r="P88" s="297"/>
      <c r="Q88" s="290"/>
    </row>
    <row r="89" spans="1:17">
      <c r="A89" s="3">
        <v>86</v>
      </c>
      <c r="B89" s="11"/>
      <c r="C89" s="287"/>
      <c r="D89" s="287"/>
      <c r="E89" s="287"/>
      <c r="F89" s="287"/>
      <c r="G89" s="478"/>
      <c r="H89" s="478"/>
      <c r="I89" s="478"/>
      <c r="J89" s="320"/>
      <c r="K89" s="290"/>
      <c r="L89" s="478"/>
      <c r="M89" s="478"/>
      <c r="N89" s="478"/>
      <c r="O89" s="478"/>
      <c r="P89" s="297"/>
      <c r="Q89" s="290"/>
    </row>
    <row r="90" spans="1:17">
      <c r="A90" s="3">
        <v>87</v>
      </c>
      <c r="B90" s="11"/>
      <c r="C90" s="287"/>
      <c r="D90" s="287"/>
      <c r="E90" s="287"/>
      <c r="F90" s="287"/>
      <c r="G90" s="478"/>
      <c r="H90" s="478"/>
      <c r="I90" s="478"/>
      <c r="J90" s="320"/>
      <c r="K90" s="290"/>
      <c r="L90" s="478"/>
      <c r="M90" s="478"/>
      <c r="N90" s="478"/>
      <c r="O90" s="478"/>
      <c r="P90" s="297"/>
      <c r="Q90" s="290"/>
    </row>
    <row r="91" spans="1:17">
      <c r="A91" s="3">
        <v>88</v>
      </c>
      <c r="B91" s="11"/>
      <c r="C91" s="287"/>
      <c r="D91" s="287"/>
      <c r="E91" s="287"/>
      <c r="F91" s="287"/>
      <c r="G91" s="478"/>
      <c r="H91" s="478"/>
      <c r="I91" s="478"/>
      <c r="J91" s="320"/>
      <c r="K91" s="290"/>
      <c r="L91" s="478"/>
      <c r="M91" s="478"/>
      <c r="N91" s="478"/>
      <c r="O91" s="478"/>
      <c r="P91" s="297"/>
      <c r="Q91" s="290"/>
    </row>
    <row r="92" spans="1:17">
      <c r="A92" s="3">
        <v>89</v>
      </c>
      <c r="B92" s="11"/>
      <c r="C92" s="287"/>
      <c r="D92" s="287"/>
      <c r="E92" s="287"/>
      <c r="F92" s="287"/>
      <c r="G92" s="478"/>
      <c r="H92" s="478"/>
      <c r="I92" s="478"/>
      <c r="J92" s="320"/>
      <c r="K92" s="290"/>
      <c r="L92" s="478"/>
      <c r="M92" s="478"/>
      <c r="N92" s="478"/>
      <c r="O92" s="478"/>
      <c r="P92" s="297"/>
      <c r="Q92" s="290"/>
    </row>
    <row r="93" spans="1:17">
      <c r="A93" s="3">
        <v>90</v>
      </c>
      <c r="B93" s="11"/>
      <c r="C93" s="287"/>
      <c r="D93" s="287"/>
      <c r="E93" s="287"/>
      <c r="F93" s="287"/>
      <c r="G93" s="478"/>
      <c r="H93" s="478"/>
      <c r="I93" s="478"/>
      <c r="J93" s="320"/>
      <c r="K93" s="290"/>
      <c r="L93" s="478"/>
      <c r="M93" s="478"/>
      <c r="N93" s="478"/>
      <c r="O93" s="478"/>
      <c r="P93" s="297"/>
      <c r="Q93" s="290"/>
    </row>
    <row r="94" spans="1:17">
      <c r="A94" s="3">
        <v>91</v>
      </c>
      <c r="B94" s="11"/>
      <c r="C94" s="287"/>
      <c r="D94" s="287"/>
      <c r="E94" s="287"/>
      <c r="F94" s="287"/>
      <c r="G94" s="478"/>
      <c r="H94" s="478"/>
      <c r="I94" s="478"/>
      <c r="J94" s="320"/>
      <c r="K94" s="290"/>
      <c r="L94" s="478"/>
      <c r="M94" s="478"/>
      <c r="N94" s="478"/>
      <c r="O94" s="478"/>
      <c r="P94" s="297"/>
      <c r="Q94" s="290"/>
    </row>
    <row r="95" spans="1:17">
      <c r="A95" s="3">
        <v>92</v>
      </c>
      <c r="B95" s="11"/>
      <c r="C95" s="287"/>
      <c r="D95" s="287"/>
      <c r="E95" s="287"/>
      <c r="F95" s="287"/>
      <c r="G95" s="478"/>
      <c r="H95" s="478"/>
      <c r="I95" s="478"/>
      <c r="J95" s="320"/>
      <c r="K95" s="290"/>
      <c r="L95" s="478"/>
      <c r="M95" s="478"/>
      <c r="N95" s="478"/>
      <c r="O95" s="478"/>
      <c r="P95" s="297"/>
      <c r="Q95" s="290"/>
    </row>
    <row r="96" spans="1:17">
      <c r="A96" s="3">
        <v>93</v>
      </c>
      <c r="B96" s="11"/>
      <c r="C96" s="287"/>
      <c r="D96" s="287"/>
      <c r="E96" s="287"/>
      <c r="F96" s="287"/>
      <c r="G96" s="478"/>
      <c r="H96" s="478"/>
      <c r="I96" s="478"/>
      <c r="J96" s="320"/>
      <c r="K96" s="290"/>
      <c r="L96" s="478"/>
      <c r="M96" s="478"/>
      <c r="N96" s="478"/>
      <c r="O96" s="478"/>
      <c r="P96" s="297"/>
      <c r="Q96" s="290"/>
    </row>
    <row r="97" spans="1:17">
      <c r="A97" s="3">
        <v>94</v>
      </c>
      <c r="B97" s="11"/>
      <c r="C97" s="287"/>
      <c r="D97" s="287"/>
      <c r="E97" s="287"/>
      <c r="F97" s="287"/>
      <c r="G97" s="478"/>
      <c r="H97" s="478"/>
      <c r="I97" s="478"/>
      <c r="J97" s="320"/>
      <c r="K97" s="290"/>
      <c r="L97" s="478"/>
      <c r="M97" s="478"/>
      <c r="N97" s="478"/>
      <c r="O97" s="478"/>
      <c r="P97" s="297"/>
      <c r="Q97" s="290"/>
    </row>
    <row r="98" spans="1:17">
      <c r="A98" s="3">
        <v>95</v>
      </c>
      <c r="B98" s="11"/>
      <c r="C98" s="287"/>
      <c r="D98" s="287"/>
      <c r="E98" s="287"/>
      <c r="F98" s="287"/>
      <c r="G98" s="478"/>
      <c r="H98" s="478"/>
      <c r="I98" s="478"/>
      <c r="J98" s="320"/>
      <c r="K98" s="290"/>
      <c r="L98" s="478"/>
      <c r="M98" s="478"/>
      <c r="N98" s="478"/>
      <c r="O98" s="478"/>
      <c r="P98" s="297"/>
      <c r="Q98" s="290"/>
    </row>
    <row r="99" spans="1:17">
      <c r="A99" s="3">
        <v>96</v>
      </c>
      <c r="B99" s="11"/>
      <c r="C99" s="287"/>
      <c r="D99" s="287"/>
      <c r="E99" s="287"/>
      <c r="F99" s="287"/>
      <c r="G99" s="478"/>
      <c r="H99" s="478"/>
      <c r="I99" s="478"/>
      <c r="J99" s="320"/>
      <c r="K99" s="290"/>
      <c r="L99" s="478"/>
      <c r="M99" s="478"/>
      <c r="N99" s="478"/>
      <c r="O99" s="478"/>
      <c r="P99" s="297"/>
      <c r="Q99" s="290"/>
    </row>
    <row r="100" spans="1:17">
      <c r="A100" s="3">
        <v>97</v>
      </c>
      <c r="B100" s="11"/>
      <c r="C100" s="287"/>
      <c r="D100" s="287"/>
      <c r="E100" s="287"/>
      <c r="F100" s="287"/>
      <c r="G100" s="478"/>
      <c r="H100" s="478"/>
      <c r="I100" s="478"/>
      <c r="J100" s="320"/>
      <c r="K100" s="290"/>
      <c r="L100" s="478"/>
      <c r="M100" s="478"/>
      <c r="N100" s="478"/>
      <c r="O100" s="478"/>
      <c r="P100" s="297"/>
      <c r="Q100" s="290"/>
    </row>
    <row r="101" spans="1:17">
      <c r="A101" s="3">
        <v>98</v>
      </c>
      <c r="B101" s="11"/>
      <c r="C101" s="287"/>
      <c r="D101" s="287"/>
      <c r="E101" s="287"/>
      <c r="F101" s="287"/>
      <c r="G101" s="478"/>
      <c r="H101" s="478"/>
      <c r="I101" s="478"/>
      <c r="J101" s="320"/>
      <c r="K101" s="290"/>
      <c r="L101" s="478"/>
      <c r="M101" s="478"/>
      <c r="N101" s="478"/>
      <c r="O101" s="478"/>
      <c r="P101" s="297"/>
      <c r="Q101" s="290"/>
    </row>
    <row r="102" spans="1:17">
      <c r="A102" s="3">
        <v>99</v>
      </c>
      <c r="B102" s="11"/>
      <c r="C102" s="287"/>
      <c r="D102" s="287"/>
      <c r="E102" s="287"/>
      <c r="F102" s="287"/>
      <c r="G102" s="478"/>
      <c r="H102" s="478"/>
      <c r="I102" s="478"/>
      <c r="J102" s="320"/>
      <c r="K102" s="290"/>
      <c r="L102" s="478"/>
      <c r="M102" s="478"/>
      <c r="N102" s="478"/>
      <c r="O102" s="478"/>
      <c r="P102" s="297"/>
      <c r="Q102" s="290"/>
    </row>
    <row r="103" spans="1:17" ht="49.5" customHeight="1" thickBot="1">
      <c r="D103" s="69" t="s">
        <v>820</v>
      </c>
      <c r="E103" s="69" t="s">
        <v>804</v>
      </c>
      <c r="F103" s="69" t="s">
        <v>805</v>
      </c>
      <c r="G103" s="69" t="s">
        <v>821</v>
      </c>
      <c r="H103" s="69" t="s">
        <v>807</v>
      </c>
      <c r="I103" s="69" t="s">
        <v>808</v>
      </c>
      <c r="J103" s="69"/>
      <c r="K103" s="69"/>
      <c r="L103" s="69" t="s">
        <v>822</v>
      </c>
      <c r="M103" s="69" t="s">
        <v>812</v>
      </c>
      <c r="N103" s="69" t="s">
        <v>823</v>
      </c>
      <c r="O103" s="69" t="s">
        <v>824</v>
      </c>
    </row>
    <row r="104" spans="1:17" ht="15.75" thickTop="1">
      <c r="C104" s="68" t="s">
        <v>391</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817</v>
      </c>
    </row>
    <row r="106" spans="1:17">
      <c r="C106" s="6" t="s">
        <v>825</v>
      </c>
    </row>
    <row r="107" spans="1:17">
      <c r="C107" s="6" t="s">
        <v>818</v>
      </c>
    </row>
    <row r="108" spans="1:17">
      <c r="C108" s="6" t="s">
        <v>819</v>
      </c>
    </row>
  </sheetData>
  <sheetProtection algorithmName="SHA-512" hashValue="H19pFJJONFO5HwKNLBKo9QyaFsfjIJCQoN0bt1gsXiyca05ew75D5DUULA6chnGmpEFfS+k8GZ7h9fg6Nyvqxw==" saltValue="+tK9Gp1fN05Pfh/Z3+2LhA=="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L107"/>
  <sheetViews>
    <sheetView showGridLines="0" zoomScale="110" zoomScaleNormal="110" workbookViewId="0">
      <pane xSplit="1" ySplit="2" topLeftCell="B3" activePane="bottomRight" state="frozen"/>
      <selection pane="topRight" activeCell="C115" sqref="C115"/>
      <selection pane="bottomLeft" activeCell="C115" sqref="C115"/>
      <selection pane="bottomRight" activeCell="A2" sqref="A2"/>
    </sheetView>
  </sheetViews>
  <sheetFormatPr defaultRowHeight="15"/>
  <cols>
    <col min="1" max="1" width="51" customWidth="1"/>
    <col min="2" max="2" width="33.140625" customWidth="1"/>
    <col min="3" max="3" width="28.5703125" customWidth="1"/>
    <col min="4" max="4" width="13" customWidth="1"/>
    <col min="5" max="5" width="7.7109375" customWidth="1"/>
    <col min="6" max="6" width="18.5703125" customWidth="1"/>
    <col min="7" max="7" width="18.5703125" bestFit="1" customWidth="1"/>
    <col min="8" max="8" width="18.140625" bestFit="1" customWidth="1"/>
    <col min="9" max="9" width="15.5703125" customWidth="1"/>
    <col min="10" max="10" width="23.5703125" customWidth="1"/>
    <col min="11" max="12" width="21.28515625" hidden="1" customWidth="1"/>
    <col min="13" max="15" width="4.85546875" customWidth="1"/>
    <col min="16" max="16" width="8.7109375" customWidth="1"/>
    <col min="17" max="17" width="23.85546875" customWidth="1"/>
    <col min="18" max="23" width="8.7109375" customWidth="1"/>
  </cols>
  <sheetData>
    <row r="1" spans="1:12" s="533" customFormat="1" ht="66.75" hidden="1" customHeight="1">
      <c r="A1" s="917" t="s">
        <v>826</v>
      </c>
      <c r="B1" s="917"/>
      <c r="C1" s="917"/>
      <c r="D1" s="917"/>
      <c r="E1" s="917"/>
      <c r="F1" s="917"/>
      <c r="G1" s="917"/>
      <c r="H1" s="917"/>
      <c r="I1" s="917"/>
      <c r="J1" s="917"/>
    </row>
    <row r="2" spans="1:12" ht="30.75" customHeight="1">
      <c r="A2" s="556" t="s">
        <v>827</v>
      </c>
      <c r="B2" s="556" t="s">
        <v>114</v>
      </c>
      <c r="C2" s="556" t="s">
        <v>120</v>
      </c>
      <c r="D2" s="556" t="s">
        <v>238</v>
      </c>
      <c r="E2" s="556" t="s">
        <v>828</v>
      </c>
      <c r="F2" s="556" t="s">
        <v>829</v>
      </c>
      <c r="G2" s="556" t="s">
        <v>115</v>
      </c>
      <c r="H2" s="556" t="s">
        <v>116</v>
      </c>
      <c r="I2" s="556" t="s">
        <v>830</v>
      </c>
      <c r="J2" s="556" t="s">
        <v>118</v>
      </c>
      <c r="K2" t="s">
        <v>831</v>
      </c>
      <c r="L2" t="s">
        <v>832</v>
      </c>
    </row>
    <row r="3" spans="1:12">
      <c r="A3" s="1" t="s">
        <v>833</v>
      </c>
      <c r="B3" s="557" t="str">
        <f ca="1">IF(OR(L3="TBD",L3="NA",L3="N/A"),"",L3)</f>
        <v/>
      </c>
      <c r="C3" s="558"/>
      <c r="D3" s="558"/>
      <c r="E3" s="558"/>
      <c r="F3" s="559"/>
      <c r="G3" s="560" t="str">
        <f ca="1">_xlfn.CONCAT(INDIRECT("'Contact Information'!" &amp; ADDRESS($K3+1, 2)))</f>
        <v/>
      </c>
      <c r="H3" s="557" t="str">
        <f ca="1">_xlfn.CONCAT(INDIRECT("'Contact Information'!" &amp; ADDRESS($K3+2, 2)))</f>
        <v/>
      </c>
      <c r="I3" s="557" t="str">
        <f ca="1">_xlfn.CONCAT(INDIRECT("'Contact Information'!" &amp; ADDRESS($K3+3, 2)))</f>
        <v/>
      </c>
      <c r="J3" s="557" t="str">
        <f ca="1">_xlfn.CONCAT(INDIRECT("'Contact Information'!" &amp; ADDRESS($K3+4, 2)))</f>
        <v/>
      </c>
      <c r="K3">
        <v>4</v>
      </c>
      <c r="L3" t="str">
        <f t="shared" ref="L3:L10" ca="1" si="0">_xlfn.CONCAT(INDIRECT("'Contact Information'!" &amp; ADDRESS(K3, 2)))</f>
        <v/>
      </c>
    </row>
    <row r="4" spans="1:12">
      <c r="A4" s="1" t="s">
        <v>834</v>
      </c>
      <c r="B4" s="557" t="str">
        <f t="shared" ref="B4:B39" ca="1" si="1">IF(OR(L4="TBD",L4="NA",L4="N/A"),"",L4)</f>
        <v/>
      </c>
      <c r="C4" s="557" t="str">
        <f ca="1">_xlfn.CONCAT(INDIRECT("'Contact Information'!" &amp; ADDRESS($K4+1, 2)))</f>
        <v/>
      </c>
      <c r="D4" s="557" t="str">
        <f ca="1">_xlfn.CONCAT(INDIRECT("'Contact Information'!" &amp; ADDRESS($K4+2, 2)))</f>
        <v/>
      </c>
      <c r="E4" s="557" t="str">
        <f ca="1">_xlfn.CONCAT(INDIRECT("'Contact Information'!" &amp; ADDRESS($K4+3, 2)))</f>
        <v/>
      </c>
      <c r="F4" s="561" t="str">
        <f ca="1">_xlfn.CONCAT(INDIRECT("'Contact Information'!" &amp; ADDRESS($K4+4, 2)))</f>
        <v/>
      </c>
      <c r="G4" s="560" t="str">
        <f ca="1">_xlfn.CONCAT(INDIRECT("'Contact Information'!" &amp; ADDRESS($K4+5, 2)))</f>
        <v/>
      </c>
      <c r="H4" s="557" t="str">
        <f ca="1">_xlfn.CONCAT(INDIRECT("'Contact Information'!" &amp; ADDRESS($K4+6, 2)))</f>
        <v/>
      </c>
      <c r="I4" s="561" t="str">
        <f ca="1">_xlfn.CONCAT(INDIRECT("'Contact Information'!" &amp; ADDRESS($K4+7, 2)))</f>
        <v/>
      </c>
      <c r="J4" s="557" t="str">
        <f ca="1">_xlfn.CONCAT(INDIRECT("'Contact Information'!" &amp; ADDRESS($K4+8, 2)))</f>
        <v/>
      </c>
      <c r="K4">
        <v>11</v>
      </c>
      <c r="L4" t="str">
        <f t="shared" ca="1" si="0"/>
        <v/>
      </c>
    </row>
    <row r="5" spans="1:12" ht="13.5" customHeight="1">
      <c r="A5" s="1" t="s">
        <v>835</v>
      </c>
      <c r="B5" s="557" t="str">
        <f t="shared" ca="1" si="1"/>
        <v/>
      </c>
      <c r="C5" s="557" t="str">
        <f ca="1">_xlfn.CONCAT(INDIRECT("'Contact Information'!" &amp; ADDRESS($K5+1, 2)))</f>
        <v/>
      </c>
      <c r="D5" s="557" t="str">
        <f ca="1">_xlfn.CONCAT(INDIRECT("'Contact Information'!" &amp; ADDRESS($K5+2, 2)))</f>
        <v/>
      </c>
      <c r="E5" s="557" t="str">
        <f ca="1">_xlfn.CONCAT(INDIRECT("'Contact Information'!" &amp; ADDRESS($K5+3, 2)))</f>
        <v/>
      </c>
      <c r="F5" s="561" t="str">
        <f ca="1">_xlfn.CONCAT(INDIRECT("'Contact Information'!" &amp; ADDRESS($K5+4, 2)))</f>
        <v/>
      </c>
      <c r="G5" s="560" t="str">
        <f ca="1">_xlfn.CONCAT(INDIRECT("'Contact Information'!" &amp; ADDRESS($K5+5, 2)))</f>
        <v/>
      </c>
      <c r="H5" s="557" t="str">
        <f ca="1">_xlfn.CONCAT(INDIRECT("'Contact Information'!" &amp; ADDRESS($K5+6, 2)))</f>
        <v/>
      </c>
      <c r="I5" s="561" t="str">
        <f ca="1">_xlfn.CONCAT(INDIRECT("'Contact Information'!" &amp; ADDRESS($K5+7, 2)))</f>
        <v/>
      </c>
      <c r="J5" s="557" t="str">
        <f ca="1">_xlfn.CONCAT(INDIRECT("'Contact Information'!" &amp; ADDRESS($K5+8, 2)))</f>
        <v/>
      </c>
      <c r="K5">
        <f>ROW('Contact Information'!B51)</f>
        <v>51</v>
      </c>
      <c r="L5" t="str">
        <f t="shared" ca="1" si="0"/>
        <v/>
      </c>
    </row>
    <row r="6" spans="1:12">
      <c r="A6" s="1" t="s">
        <v>836</v>
      </c>
      <c r="B6" s="557" t="str">
        <f t="shared" ca="1" si="1"/>
        <v/>
      </c>
      <c r="C6" s="557" t="str">
        <f t="shared" ref="C6:C39" ca="1" si="2">_xlfn.CONCAT(INDIRECT("'Contact Information'!" &amp; ADDRESS($K6+1, 2)))</f>
        <v/>
      </c>
      <c r="D6" s="557" t="str">
        <f t="shared" ref="D6:D39" ca="1" si="3">_xlfn.CONCAT(INDIRECT("'Contact Information'!" &amp; ADDRESS($K6+2, 2)))</f>
        <v/>
      </c>
      <c r="E6" s="557" t="str">
        <f t="shared" ref="E6:E39" ca="1" si="4">_xlfn.CONCAT(INDIRECT("'Contact Information'!" &amp; ADDRESS($K6+3, 2)))</f>
        <v/>
      </c>
      <c r="F6" s="561" t="str">
        <f t="shared" ref="F6:F39" ca="1" si="5">_xlfn.CONCAT(INDIRECT("'Contact Information'!" &amp; ADDRESS($K6+4, 2)))</f>
        <v/>
      </c>
      <c r="G6" s="560" t="str">
        <f t="shared" ref="G6:G39" ca="1" si="6">_xlfn.CONCAT(INDIRECT("'Contact Information'!" &amp; ADDRESS($K6+5, 2)))</f>
        <v/>
      </c>
      <c r="H6" s="557" t="str">
        <f t="shared" ref="H6:H39" ca="1" si="7">_xlfn.CONCAT(INDIRECT("'Contact Information'!" &amp; ADDRESS($K6+6, 2)))</f>
        <v/>
      </c>
      <c r="I6" s="561" t="str">
        <f t="shared" ref="I6:I39" ca="1" si="8">_xlfn.CONCAT(INDIRECT("'Contact Information'!" &amp; ADDRESS($K6+7, 2)))</f>
        <v/>
      </c>
      <c r="J6" s="557" t="str">
        <f t="shared" ref="J6:J39" ca="1" si="9">_xlfn.CONCAT(INDIRECT("'Contact Information'!" &amp; ADDRESS($K6+8, 2)))</f>
        <v/>
      </c>
      <c r="K6">
        <f>ROW('Contact Information'!B65)</f>
        <v>65</v>
      </c>
      <c r="L6" t="str">
        <f t="shared" ca="1" si="0"/>
        <v/>
      </c>
    </row>
    <row r="7" spans="1:12">
      <c r="A7" s="1" t="s">
        <v>150</v>
      </c>
      <c r="B7" s="557" t="str">
        <f t="shared" ca="1" si="1"/>
        <v/>
      </c>
      <c r="C7" s="557" t="str">
        <f t="shared" ca="1" si="2"/>
        <v/>
      </c>
      <c r="D7" s="557" t="str">
        <f t="shared" ca="1" si="3"/>
        <v/>
      </c>
      <c r="E7" s="557" t="str">
        <f t="shared" ca="1" si="4"/>
        <v/>
      </c>
      <c r="F7" s="561" t="str">
        <f t="shared" ca="1" si="5"/>
        <v/>
      </c>
      <c r="G7" s="560" t="str">
        <f t="shared" ca="1" si="6"/>
        <v/>
      </c>
      <c r="H7" s="557" t="str">
        <f t="shared" ca="1" si="7"/>
        <v/>
      </c>
      <c r="I7" s="561" t="str">
        <f t="shared" ca="1" si="8"/>
        <v/>
      </c>
      <c r="J7" s="557" t="str">
        <f t="shared" ca="1" si="9"/>
        <v/>
      </c>
      <c r="K7">
        <f>ROW('Contact Information'!B76)</f>
        <v>76</v>
      </c>
      <c r="L7" t="str">
        <f t="shared" ca="1" si="0"/>
        <v/>
      </c>
    </row>
    <row r="8" spans="1:12" ht="30">
      <c r="A8" s="513" t="s">
        <v>837</v>
      </c>
      <c r="B8" s="557" t="str">
        <f t="shared" ca="1" si="1"/>
        <v/>
      </c>
      <c r="C8" s="557" t="str">
        <f t="shared" ca="1" si="2"/>
        <v/>
      </c>
      <c r="D8" s="557" t="str">
        <f t="shared" ca="1" si="3"/>
        <v/>
      </c>
      <c r="E8" s="557" t="str">
        <f t="shared" ca="1" si="4"/>
        <v/>
      </c>
      <c r="F8" s="561" t="str">
        <f t="shared" ca="1" si="5"/>
        <v/>
      </c>
      <c r="G8" s="560" t="str">
        <f t="shared" ca="1" si="6"/>
        <v/>
      </c>
      <c r="H8" s="557" t="str">
        <f t="shared" ca="1" si="7"/>
        <v/>
      </c>
      <c r="I8" s="561" t="str">
        <f t="shared" ca="1" si="8"/>
        <v/>
      </c>
      <c r="J8" s="557" t="str">
        <f t="shared" ca="1" si="9"/>
        <v/>
      </c>
      <c r="K8">
        <f>ROW('Contact Information'!B87)</f>
        <v>87</v>
      </c>
      <c r="L8" t="str">
        <f t="shared" ca="1" si="0"/>
        <v/>
      </c>
    </row>
    <row r="9" spans="1:12">
      <c r="A9" s="1" t="s">
        <v>838</v>
      </c>
      <c r="B9" s="557" t="str">
        <f t="shared" ca="1" si="1"/>
        <v/>
      </c>
      <c r="C9" s="557" t="str">
        <f t="shared" ca="1" si="2"/>
        <v/>
      </c>
      <c r="D9" s="557" t="str">
        <f t="shared" ca="1" si="3"/>
        <v/>
      </c>
      <c r="E9" s="557" t="str">
        <f t="shared" ca="1" si="4"/>
        <v/>
      </c>
      <c r="F9" s="561" t="str">
        <f t="shared" ca="1" si="5"/>
        <v/>
      </c>
      <c r="G9" s="560" t="str">
        <f t="shared" ca="1" si="6"/>
        <v/>
      </c>
      <c r="H9" s="557" t="str">
        <f t="shared" ca="1" si="7"/>
        <v/>
      </c>
      <c r="I9" s="561" t="str">
        <f t="shared" ca="1" si="8"/>
        <v/>
      </c>
      <c r="J9" s="557" t="str">
        <f t="shared" ca="1" si="9"/>
        <v/>
      </c>
      <c r="K9">
        <f>ROW('Contact Information'!B104)</f>
        <v>104</v>
      </c>
      <c r="L9" t="str">
        <f t="shared" ca="1" si="0"/>
        <v/>
      </c>
    </row>
    <row r="10" spans="1:12">
      <c r="A10" s="1" t="s">
        <v>174</v>
      </c>
      <c r="B10" s="557" t="str">
        <f t="shared" ca="1" si="1"/>
        <v/>
      </c>
      <c r="C10" s="557" t="str">
        <f t="shared" ca="1" si="2"/>
        <v/>
      </c>
      <c r="D10" s="557" t="str">
        <f t="shared" ca="1" si="3"/>
        <v/>
      </c>
      <c r="E10" s="557" t="str">
        <f t="shared" ca="1" si="4"/>
        <v/>
      </c>
      <c r="F10" s="561" t="str">
        <f t="shared" ca="1" si="5"/>
        <v/>
      </c>
      <c r="G10" s="560" t="str">
        <f t="shared" ca="1" si="6"/>
        <v/>
      </c>
      <c r="H10" s="557" t="str">
        <f t="shared" ca="1" si="7"/>
        <v/>
      </c>
      <c r="I10" s="561" t="str">
        <f t="shared" ca="1" si="8"/>
        <v/>
      </c>
      <c r="J10" s="557" t="str">
        <f t="shared" ca="1" si="9"/>
        <v/>
      </c>
      <c r="K10">
        <f>ROW('Contact Information'!B134)</f>
        <v>134</v>
      </c>
      <c r="L10" t="str">
        <f t="shared" ca="1" si="0"/>
        <v/>
      </c>
    </row>
    <row r="11" spans="1:12">
      <c r="A11" s="1" t="s">
        <v>175</v>
      </c>
      <c r="B11" s="557" t="str">
        <f t="shared" ca="1" si="1"/>
        <v/>
      </c>
      <c r="C11" s="557" t="str">
        <f t="shared" ca="1" si="2"/>
        <v/>
      </c>
      <c r="D11" s="557" t="str">
        <f t="shared" ca="1" si="3"/>
        <v/>
      </c>
      <c r="E11" s="557" t="str">
        <f t="shared" ca="1" si="4"/>
        <v/>
      </c>
      <c r="F11" s="561" t="str">
        <f t="shared" ca="1" si="5"/>
        <v/>
      </c>
      <c r="G11" s="560" t="str">
        <f t="shared" ca="1" si="6"/>
        <v/>
      </c>
      <c r="H11" s="557" t="str">
        <f t="shared" ca="1" si="7"/>
        <v/>
      </c>
      <c r="I11" s="561" t="str">
        <f t="shared" ca="1" si="8"/>
        <v/>
      </c>
      <c r="J11" s="557" t="str">
        <f t="shared" ca="1" si="9"/>
        <v/>
      </c>
      <c r="K11">
        <f>ROW('Contact Information'!B145)</f>
        <v>145</v>
      </c>
      <c r="L11" t="str">
        <f t="shared" ref="L11:L24" ca="1" si="10">_xlfn.CONCAT(INDIRECT("'Contact Information'!" &amp; ADDRESS(K11, 2)))</f>
        <v/>
      </c>
    </row>
    <row r="12" spans="1:12">
      <c r="A12" s="1" t="s">
        <v>177</v>
      </c>
      <c r="B12" s="557" t="str">
        <f t="shared" ca="1" si="1"/>
        <v/>
      </c>
      <c r="C12" s="557" t="str">
        <f t="shared" ca="1" si="2"/>
        <v/>
      </c>
      <c r="D12" s="557" t="str">
        <f t="shared" ca="1" si="3"/>
        <v/>
      </c>
      <c r="E12" s="557" t="str">
        <f t="shared" ca="1" si="4"/>
        <v/>
      </c>
      <c r="F12" s="561" t="str">
        <f t="shared" ca="1" si="5"/>
        <v/>
      </c>
      <c r="G12" s="560" t="str">
        <f t="shared" ca="1" si="6"/>
        <v/>
      </c>
      <c r="H12" s="557" t="str">
        <f t="shared" ca="1" si="7"/>
        <v/>
      </c>
      <c r="I12" s="561" t="str">
        <f t="shared" ca="1" si="8"/>
        <v/>
      </c>
      <c r="J12" s="557" t="str">
        <f t="shared" ca="1" si="9"/>
        <v/>
      </c>
      <c r="K12">
        <f>ROW('Contact Information'!B159)</f>
        <v>159</v>
      </c>
      <c r="L12" t="str">
        <f t="shared" ca="1" si="10"/>
        <v/>
      </c>
    </row>
    <row r="13" spans="1:12">
      <c r="A13" s="1" t="s">
        <v>178</v>
      </c>
      <c r="B13" s="557" t="str">
        <f t="shared" ca="1" si="1"/>
        <v/>
      </c>
      <c r="C13" s="557" t="str">
        <f t="shared" ca="1" si="2"/>
        <v/>
      </c>
      <c r="D13" s="557" t="str">
        <f t="shared" ca="1" si="3"/>
        <v/>
      </c>
      <c r="E13" s="557" t="str">
        <f t="shared" ca="1" si="4"/>
        <v/>
      </c>
      <c r="F13" s="561" t="str">
        <f t="shared" ca="1" si="5"/>
        <v/>
      </c>
      <c r="G13" s="560" t="str">
        <f t="shared" ca="1" si="6"/>
        <v/>
      </c>
      <c r="H13" s="557" t="str">
        <f t="shared" ca="1" si="7"/>
        <v/>
      </c>
      <c r="I13" s="561" t="str">
        <f t="shared" ca="1" si="8"/>
        <v/>
      </c>
      <c r="J13" s="557" t="str">
        <f t="shared" ca="1" si="9"/>
        <v/>
      </c>
      <c r="K13">
        <f>ROW('Contact Information'!B173)</f>
        <v>173</v>
      </c>
      <c r="L13" t="str">
        <f t="shared" ca="1" si="10"/>
        <v/>
      </c>
    </row>
    <row r="14" spans="1:12">
      <c r="A14" s="1" t="s">
        <v>839</v>
      </c>
      <c r="B14" s="557" t="str">
        <f t="shared" ca="1" si="1"/>
        <v/>
      </c>
      <c r="C14" s="557" t="str">
        <f t="shared" ca="1" si="2"/>
        <v/>
      </c>
      <c r="D14" s="557" t="str">
        <f t="shared" ca="1" si="3"/>
        <v/>
      </c>
      <c r="E14" s="557" t="str">
        <f t="shared" ca="1" si="4"/>
        <v/>
      </c>
      <c r="F14" s="561" t="str">
        <f t="shared" ca="1" si="5"/>
        <v/>
      </c>
      <c r="G14" s="560" t="str">
        <f t="shared" ca="1" si="6"/>
        <v/>
      </c>
      <c r="H14" s="557" t="str">
        <f t="shared" ca="1" si="7"/>
        <v/>
      </c>
      <c r="I14" s="561" t="str">
        <f t="shared" ca="1" si="8"/>
        <v/>
      </c>
      <c r="J14" s="557" t="str">
        <f t="shared" ca="1" si="9"/>
        <v/>
      </c>
      <c r="K14">
        <f>ROW('Contact Information'!B187)</f>
        <v>187</v>
      </c>
      <c r="L14" t="str">
        <f t="shared" ca="1" si="10"/>
        <v/>
      </c>
    </row>
    <row r="15" spans="1:12">
      <c r="A15" s="1" t="s">
        <v>180</v>
      </c>
      <c r="B15" s="557" t="str">
        <f t="shared" ca="1" si="1"/>
        <v/>
      </c>
      <c r="C15" s="557" t="str">
        <f ca="1">_xlfn.CONCAT(INDIRECT("'Contact Information'!" &amp; ADDRESS($K15+2, 2)))</f>
        <v/>
      </c>
      <c r="D15" s="557" t="str">
        <f ca="1">_xlfn.CONCAT(INDIRECT("'Contact Information'!" &amp; ADDRESS($K15+3, 2)))</f>
        <v/>
      </c>
      <c r="E15" s="557" t="str">
        <f ca="1">_xlfn.CONCAT(INDIRECT("'Contact Information'!" &amp; ADDRESS($K15+4, 2)))</f>
        <v/>
      </c>
      <c r="F15" s="561" t="str">
        <f ca="1">_xlfn.CONCAT(INDIRECT("'Contact Information'!" &amp; ADDRESS($K15+5, 2)))</f>
        <v/>
      </c>
      <c r="G15" s="560" t="str">
        <f ca="1">_xlfn.CONCAT(INDIRECT("'Contact Information'!" &amp; ADDRESS($K15+6, 2)))</f>
        <v/>
      </c>
      <c r="H15" s="557" t="str">
        <f ca="1">_xlfn.CONCAT(INDIRECT("'Contact Information'!" &amp; ADDRESS($K15+7, 2)))</f>
        <v/>
      </c>
      <c r="I15" s="561" t="str">
        <f ca="1">_xlfn.CONCAT(INDIRECT("'Contact Information'!" &amp; ADDRESS($K15+8, 2)))</f>
        <v/>
      </c>
      <c r="J15" s="557" t="str">
        <f ca="1">_xlfn.CONCAT(INDIRECT("'Contact Information'!" &amp; ADDRESS($K15+9, 2)))</f>
        <v/>
      </c>
      <c r="K15">
        <v>201</v>
      </c>
      <c r="L15" t="str">
        <f t="shared" ca="1" si="10"/>
        <v/>
      </c>
    </row>
    <row r="16" spans="1:12">
      <c r="A16" s="1" t="s">
        <v>180</v>
      </c>
      <c r="B16" s="557" t="str">
        <f t="shared" ca="1" si="1"/>
        <v/>
      </c>
      <c r="C16" s="557" t="str">
        <f t="shared" ref="C16:C17" ca="1" si="11">_xlfn.CONCAT(INDIRECT("'Contact Information'!" &amp; ADDRESS($K16+2, 2)))</f>
        <v/>
      </c>
      <c r="D16" s="557" t="str">
        <f t="shared" ref="D16:D17" ca="1" si="12">_xlfn.CONCAT(INDIRECT("'Contact Information'!" &amp; ADDRESS($K16+3, 2)))</f>
        <v/>
      </c>
      <c r="E16" s="557" t="str">
        <f t="shared" ref="E16:E17" ca="1" si="13">_xlfn.CONCAT(INDIRECT("'Contact Information'!" &amp; ADDRESS($K16+4, 2)))</f>
        <v/>
      </c>
      <c r="F16" s="561" t="str">
        <f t="shared" ref="F16:F17" ca="1" si="14">_xlfn.CONCAT(INDIRECT("'Contact Information'!" &amp; ADDRESS($K16+5, 2)))</f>
        <v/>
      </c>
      <c r="G16" s="560" t="str">
        <f t="shared" ref="G16:G17" ca="1" si="15">_xlfn.CONCAT(INDIRECT("'Contact Information'!" &amp; ADDRESS($K16+6, 2)))</f>
        <v/>
      </c>
      <c r="H16" s="557" t="str">
        <f t="shared" ref="H16:H17" ca="1" si="16">_xlfn.CONCAT(INDIRECT("'Contact Information'!" &amp; ADDRESS($K16+7, 2)))</f>
        <v/>
      </c>
      <c r="I16" s="561" t="str">
        <f t="shared" ref="I16:I17" ca="1" si="17">_xlfn.CONCAT(INDIRECT("'Contact Information'!" &amp; ADDRESS($K16+8, 2)))</f>
        <v/>
      </c>
      <c r="J16" s="557" t="str">
        <f t="shared" ref="J16:J17" ca="1" si="18">_xlfn.CONCAT(INDIRECT("'Contact Information'!" &amp; ADDRESS($K16+9, 2)))</f>
        <v/>
      </c>
      <c r="K16">
        <v>213</v>
      </c>
      <c r="L16" t="str">
        <f t="shared" ca="1" si="10"/>
        <v/>
      </c>
    </row>
    <row r="17" spans="1:12">
      <c r="A17" s="1" t="s">
        <v>180</v>
      </c>
      <c r="B17" s="557" t="str">
        <f t="shared" ca="1" si="1"/>
        <v/>
      </c>
      <c r="C17" s="557" t="str">
        <f t="shared" ca="1" si="11"/>
        <v/>
      </c>
      <c r="D17" s="557" t="str">
        <f t="shared" ca="1" si="12"/>
        <v/>
      </c>
      <c r="E17" s="557" t="str">
        <f t="shared" ca="1" si="13"/>
        <v/>
      </c>
      <c r="F17" s="561" t="str">
        <f t="shared" ca="1" si="14"/>
        <v/>
      </c>
      <c r="G17" s="560" t="str">
        <f t="shared" ca="1" si="15"/>
        <v/>
      </c>
      <c r="H17" s="557" t="str">
        <f t="shared" ca="1" si="16"/>
        <v/>
      </c>
      <c r="I17" s="561" t="str">
        <f t="shared" ca="1" si="17"/>
        <v/>
      </c>
      <c r="J17" s="557" t="str">
        <f t="shared" ca="1" si="18"/>
        <v/>
      </c>
      <c r="K17">
        <f>K16+12</f>
        <v>225</v>
      </c>
      <c r="L17" t="str">
        <f t="shared" ca="1" si="10"/>
        <v/>
      </c>
    </row>
    <row r="18" spans="1:12">
      <c r="A18" s="1" t="s">
        <v>182</v>
      </c>
      <c r="B18" s="557" t="str">
        <f t="shared" ca="1" si="1"/>
        <v/>
      </c>
      <c r="C18" s="557" t="str">
        <f t="shared" ca="1" si="2"/>
        <v/>
      </c>
      <c r="D18" s="557" t="str">
        <f t="shared" ca="1" si="3"/>
        <v/>
      </c>
      <c r="E18" s="557" t="str">
        <f t="shared" ca="1" si="4"/>
        <v/>
      </c>
      <c r="F18" s="561" t="str">
        <f t="shared" ca="1" si="5"/>
        <v/>
      </c>
      <c r="G18" s="560" t="str">
        <f t="shared" ca="1" si="6"/>
        <v/>
      </c>
      <c r="H18" s="557" t="str">
        <f t="shared" ca="1" si="7"/>
        <v/>
      </c>
      <c r="I18" s="561" t="str">
        <f t="shared" ca="1" si="8"/>
        <v/>
      </c>
      <c r="J18" s="557" t="str">
        <f t="shared" ca="1" si="9"/>
        <v/>
      </c>
      <c r="K18">
        <f>K17+12</f>
        <v>237</v>
      </c>
      <c r="L18" t="str">
        <f t="shared" ca="1" si="10"/>
        <v/>
      </c>
    </row>
    <row r="19" spans="1:12">
      <c r="A19" s="1" t="s">
        <v>183</v>
      </c>
      <c r="B19" s="557" t="str">
        <f t="shared" ca="1" si="1"/>
        <v/>
      </c>
      <c r="C19" s="557" t="str">
        <f t="shared" ca="1" si="2"/>
        <v/>
      </c>
      <c r="D19" s="557" t="str">
        <f t="shared" ca="1" si="3"/>
        <v/>
      </c>
      <c r="E19" s="557" t="str">
        <f t="shared" ca="1" si="4"/>
        <v/>
      </c>
      <c r="F19" s="561" t="str">
        <f t="shared" ca="1" si="5"/>
        <v/>
      </c>
      <c r="G19" s="560" t="str">
        <f t="shared" ca="1" si="6"/>
        <v/>
      </c>
      <c r="H19" s="557" t="str">
        <f t="shared" ca="1" si="7"/>
        <v/>
      </c>
      <c r="I19" s="561" t="str">
        <f t="shared" ca="1" si="8"/>
        <v/>
      </c>
      <c r="J19" s="557" t="str">
        <f t="shared" ca="1" si="9"/>
        <v/>
      </c>
      <c r="K19">
        <v>248</v>
      </c>
      <c r="L19" t="str">
        <f t="shared" ca="1" si="10"/>
        <v/>
      </c>
    </row>
    <row r="20" spans="1:12">
      <c r="A20" s="1" t="s">
        <v>184</v>
      </c>
      <c r="B20" s="557" t="str">
        <f t="shared" ca="1" si="1"/>
        <v/>
      </c>
      <c r="C20" s="557" t="str">
        <f t="shared" ca="1" si="2"/>
        <v/>
      </c>
      <c r="D20" s="557" t="str">
        <f t="shared" ca="1" si="3"/>
        <v/>
      </c>
      <c r="E20" s="557" t="str">
        <f t="shared" ca="1" si="4"/>
        <v/>
      </c>
      <c r="F20" s="561" t="str">
        <f t="shared" ca="1" si="5"/>
        <v/>
      </c>
      <c r="G20" s="560" t="str">
        <f t="shared" ca="1" si="6"/>
        <v/>
      </c>
      <c r="H20" s="557" t="str">
        <f t="shared" ca="1" si="7"/>
        <v/>
      </c>
      <c r="I20" s="561" t="str">
        <f t="shared" ca="1" si="8"/>
        <v/>
      </c>
      <c r="J20" s="557" t="str">
        <f t="shared" ca="1" si="9"/>
        <v/>
      </c>
      <c r="K20">
        <v>259</v>
      </c>
      <c r="L20" t="str">
        <f t="shared" ca="1" si="10"/>
        <v/>
      </c>
    </row>
    <row r="21" spans="1:12">
      <c r="A21" s="1" t="s">
        <v>185</v>
      </c>
      <c r="B21" s="557" t="str">
        <f t="shared" ca="1" si="1"/>
        <v/>
      </c>
      <c r="C21" s="557" t="str">
        <f t="shared" ca="1" si="2"/>
        <v/>
      </c>
      <c r="D21" s="557" t="str">
        <f t="shared" ca="1" si="3"/>
        <v/>
      </c>
      <c r="E21" s="557" t="str">
        <f t="shared" ca="1" si="4"/>
        <v/>
      </c>
      <c r="F21" s="561" t="str">
        <f t="shared" ca="1" si="5"/>
        <v/>
      </c>
      <c r="G21" s="560" t="str">
        <f t="shared" ca="1" si="6"/>
        <v/>
      </c>
      <c r="H21" s="557" t="str">
        <f t="shared" ca="1" si="7"/>
        <v/>
      </c>
      <c r="I21" s="561" t="str">
        <f t="shared" ca="1" si="8"/>
        <v/>
      </c>
      <c r="J21" s="557" t="str">
        <f t="shared" ca="1" si="9"/>
        <v/>
      </c>
      <c r="K21">
        <v>270</v>
      </c>
      <c r="L21" t="str">
        <f t="shared" ca="1" si="10"/>
        <v/>
      </c>
    </row>
    <row r="22" spans="1:12">
      <c r="A22" s="1" t="s">
        <v>840</v>
      </c>
      <c r="B22" s="557" t="str">
        <f t="shared" ca="1" si="1"/>
        <v/>
      </c>
      <c r="C22" s="557" t="str">
        <f t="shared" ca="1" si="2"/>
        <v/>
      </c>
      <c r="D22" s="557" t="str">
        <f t="shared" ca="1" si="3"/>
        <v/>
      </c>
      <c r="E22" s="557" t="str">
        <f t="shared" ca="1" si="4"/>
        <v/>
      </c>
      <c r="F22" s="561" t="str">
        <f t="shared" ca="1" si="5"/>
        <v/>
      </c>
      <c r="G22" s="560" t="str">
        <f t="shared" ca="1" si="6"/>
        <v/>
      </c>
      <c r="H22" s="557" t="str">
        <f t="shared" ca="1" si="7"/>
        <v/>
      </c>
      <c r="I22" s="561" t="str">
        <f t="shared" ca="1" si="8"/>
        <v/>
      </c>
      <c r="J22" s="557" t="str">
        <f t="shared" ca="1" si="9"/>
        <v/>
      </c>
      <c r="K22">
        <v>281</v>
      </c>
      <c r="L22" t="str">
        <f t="shared" ca="1" si="10"/>
        <v/>
      </c>
    </row>
    <row r="23" spans="1:12">
      <c r="A23" s="1" t="s">
        <v>187</v>
      </c>
      <c r="B23" s="557" t="str">
        <f t="shared" ca="1" si="1"/>
        <v/>
      </c>
      <c r="C23" s="557" t="str">
        <f t="shared" ca="1" si="2"/>
        <v/>
      </c>
      <c r="D23" s="557" t="str">
        <f t="shared" ca="1" si="3"/>
        <v/>
      </c>
      <c r="E23" s="557" t="str">
        <f t="shared" ca="1" si="4"/>
        <v/>
      </c>
      <c r="F23" s="561" t="str">
        <f t="shared" ca="1" si="5"/>
        <v/>
      </c>
      <c r="G23" s="560" t="str">
        <f t="shared" ca="1" si="6"/>
        <v/>
      </c>
      <c r="H23" s="557" t="str">
        <f t="shared" ca="1" si="7"/>
        <v/>
      </c>
      <c r="I23" s="561" t="str">
        <f t="shared" ca="1" si="8"/>
        <v/>
      </c>
      <c r="J23" s="557" t="str">
        <f t="shared" ca="1" si="9"/>
        <v/>
      </c>
      <c r="K23">
        <v>292</v>
      </c>
      <c r="L23" t="str">
        <f t="shared" ca="1" si="10"/>
        <v/>
      </c>
    </row>
    <row r="24" spans="1:12">
      <c r="A24" s="1" t="s">
        <v>188</v>
      </c>
      <c r="B24" s="557" t="str">
        <f t="shared" ca="1" si="1"/>
        <v/>
      </c>
      <c r="C24" s="557" t="str">
        <f t="shared" ca="1" si="2"/>
        <v/>
      </c>
      <c r="D24" s="557" t="str">
        <f t="shared" ca="1" si="3"/>
        <v/>
      </c>
      <c r="E24" s="557" t="str">
        <f t="shared" ca="1" si="4"/>
        <v/>
      </c>
      <c r="F24" s="561" t="str">
        <f t="shared" ca="1" si="5"/>
        <v/>
      </c>
      <c r="G24" s="560" t="str">
        <f t="shared" ca="1" si="6"/>
        <v/>
      </c>
      <c r="H24" s="557" t="str">
        <f t="shared" ca="1" si="7"/>
        <v/>
      </c>
      <c r="I24" s="561" t="str">
        <f t="shared" ca="1" si="8"/>
        <v/>
      </c>
      <c r="J24" s="557" t="str">
        <f t="shared" ca="1" si="9"/>
        <v/>
      </c>
      <c r="K24">
        <v>303</v>
      </c>
      <c r="L24" t="str">
        <f t="shared" ca="1" si="10"/>
        <v/>
      </c>
    </row>
    <row r="25" spans="1:12">
      <c r="A25" s="1" t="s">
        <v>189</v>
      </c>
      <c r="B25" s="557" t="str">
        <f t="shared" ca="1" si="1"/>
        <v/>
      </c>
      <c r="C25" s="557" t="str">
        <f t="shared" ca="1" si="2"/>
        <v/>
      </c>
      <c r="D25" s="557" t="str">
        <f t="shared" ca="1" si="3"/>
        <v/>
      </c>
      <c r="E25" s="557" t="str">
        <f t="shared" ca="1" si="4"/>
        <v/>
      </c>
      <c r="F25" s="561" t="str">
        <f t="shared" ca="1" si="5"/>
        <v/>
      </c>
      <c r="G25" s="560" t="str">
        <f t="shared" ca="1" si="6"/>
        <v/>
      </c>
      <c r="H25" s="557" t="str">
        <f t="shared" ca="1" si="7"/>
        <v/>
      </c>
      <c r="I25" s="561" t="str">
        <f t="shared" ca="1" si="8"/>
        <v/>
      </c>
      <c r="J25" s="557" t="str">
        <f t="shared" ca="1" si="9"/>
        <v/>
      </c>
      <c r="K25">
        <v>314</v>
      </c>
      <c r="L25" t="str">
        <f t="shared" ref="L25:L34" ca="1" si="19">_xlfn.CONCAT(INDIRECT("'Contact Information'!" &amp; ADDRESS(K25, 2)))</f>
        <v/>
      </c>
    </row>
    <row r="26" spans="1:12">
      <c r="A26" s="1" t="s">
        <v>190</v>
      </c>
      <c r="B26" s="557"/>
      <c r="C26" s="557"/>
      <c r="D26" s="557"/>
      <c r="E26" s="557"/>
      <c r="F26" s="561"/>
      <c r="G26" s="560"/>
      <c r="H26" s="557"/>
      <c r="I26" s="561"/>
      <c r="J26" s="557"/>
      <c r="K26">
        <v>325</v>
      </c>
      <c r="L26" t="str">
        <f t="shared" ca="1" si="19"/>
        <v/>
      </c>
    </row>
    <row r="27" spans="1:12">
      <c r="A27" s="1" t="s">
        <v>191</v>
      </c>
      <c r="B27" s="557"/>
      <c r="C27" s="557"/>
      <c r="D27" s="557"/>
      <c r="E27" s="557"/>
      <c r="F27" s="561"/>
      <c r="G27" s="560"/>
      <c r="H27" s="557"/>
      <c r="I27" s="561"/>
      <c r="J27" s="557"/>
      <c r="K27">
        <f>K26+11</f>
        <v>336</v>
      </c>
      <c r="L27" t="str">
        <f t="shared" ca="1" si="19"/>
        <v/>
      </c>
    </row>
    <row r="28" spans="1:12">
      <c r="A28" s="1" t="s">
        <v>193</v>
      </c>
      <c r="B28" s="557"/>
      <c r="C28" s="557"/>
      <c r="D28" s="557"/>
      <c r="E28" s="557"/>
      <c r="F28" s="561"/>
      <c r="G28" s="560"/>
      <c r="H28" s="557"/>
      <c r="I28" s="561"/>
      <c r="J28" s="557"/>
      <c r="K28">
        <v>348</v>
      </c>
      <c r="L28" t="str">
        <f t="shared" ca="1" si="19"/>
        <v/>
      </c>
    </row>
    <row r="29" spans="1:12">
      <c r="A29" s="1" t="s">
        <v>194</v>
      </c>
      <c r="B29" s="557"/>
      <c r="C29" s="557"/>
      <c r="D29" s="557"/>
      <c r="E29" s="557"/>
      <c r="F29" s="561"/>
      <c r="G29" s="560"/>
      <c r="H29" s="557"/>
      <c r="I29" s="561"/>
      <c r="J29" s="557"/>
      <c r="K29">
        <v>359</v>
      </c>
      <c r="L29" t="str">
        <f t="shared" ca="1" si="19"/>
        <v/>
      </c>
    </row>
    <row r="30" spans="1:12">
      <c r="A30" s="1" t="s">
        <v>195</v>
      </c>
      <c r="B30" s="557"/>
      <c r="C30" s="557"/>
      <c r="D30" s="557"/>
      <c r="E30" s="557"/>
      <c r="F30" s="561"/>
      <c r="G30" s="560"/>
      <c r="H30" s="557"/>
      <c r="I30" s="561"/>
      <c r="J30" s="557"/>
      <c r="K30">
        <v>370</v>
      </c>
      <c r="L30" t="str">
        <f t="shared" ca="1" si="19"/>
        <v/>
      </c>
    </row>
    <row r="31" spans="1:12">
      <c r="A31" s="1" t="s">
        <v>198</v>
      </c>
      <c r="B31" s="557"/>
      <c r="C31" s="557"/>
      <c r="D31" s="557"/>
      <c r="E31" s="557"/>
      <c r="F31" s="561"/>
      <c r="G31" s="560"/>
      <c r="H31" s="557"/>
      <c r="I31" s="561"/>
      <c r="J31" s="557"/>
      <c r="K31">
        <v>382</v>
      </c>
      <c r="L31" t="str">
        <f t="shared" ca="1" si="19"/>
        <v/>
      </c>
    </row>
    <row r="32" spans="1:12">
      <c r="A32" s="1" t="s">
        <v>841</v>
      </c>
      <c r="B32" s="557"/>
      <c r="C32" s="557"/>
      <c r="D32" s="557"/>
      <c r="E32" s="557"/>
      <c r="F32" s="561"/>
      <c r="G32" s="560"/>
      <c r="H32" s="557"/>
      <c r="I32" s="561"/>
      <c r="J32" s="557"/>
      <c r="K32">
        <v>394</v>
      </c>
      <c r="L32" t="str">
        <f t="shared" ca="1" si="19"/>
        <v/>
      </c>
    </row>
    <row r="33" spans="1:12">
      <c r="A33" s="1" t="s">
        <v>201</v>
      </c>
      <c r="B33" s="557" t="str">
        <f t="shared" ca="1" si="1"/>
        <v/>
      </c>
      <c r="C33" s="557" t="str">
        <f ca="1">_xlfn.CONCAT(INDIRECT("'Contact Information'!" &amp; ADDRESS($K33+1, 2)))</f>
        <v/>
      </c>
      <c r="D33" s="557" t="str">
        <f ca="1">_xlfn.CONCAT(INDIRECT("'Contact Information'!" &amp; ADDRESS($K33+2, 2)))</f>
        <v/>
      </c>
      <c r="E33" s="557" t="str">
        <f ca="1">_xlfn.CONCAT(INDIRECT("'Contact Information'!" &amp; ADDRESS($K33+3, 2)))</f>
        <v/>
      </c>
      <c r="F33" s="561" t="str">
        <f ca="1">_xlfn.CONCAT(INDIRECT("'Contact Information'!" &amp; ADDRESS($K33+4, 2)))</f>
        <v/>
      </c>
      <c r="G33" s="560" t="str">
        <f ca="1">_xlfn.CONCAT(INDIRECT("'Contact Information'!" &amp; ADDRESS($K33+5, 2)))</f>
        <v/>
      </c>
      <c r="H33" s="557" t="str">
        <f ca="1">_xlfn.CONCAT(INDIRECT("'Contact Information'!" &amp; ADDRESS($K33+6, 2)))</f>
        <v/>
      </c>
      <c r="I33" s="561" t="str">
        <f ca="1">_xlfn.CONCAT(INDIRECT("'Contact Information'!" &amp; ADDRESS($K33+7, 2)))</f>
        <v/>
      </c>
      <c r="J33" s="557" t="str">
        <f ca="1">_xlfn.CONCAT(INDIRECT("'Contact Information'!" &amp; ADDRESS($K33+8, 2)))</f>
        <v/>
      </c>
      <c r="K33">
        <v>405</v>
      </c>
      <c r="L33" t="str">
        <f t="shared" ca="1" si="19"/>
        <v/>
      </c>
    </row>
    <row r="34" spans="1:12">
      <c r="A34" s="1" t="s">
        <v>842</v>
      </c>
      <c r="B34" s="557" t="str">
        <f t="shared" ca="1" si="1"/>
        <v/>
      </c>
      <c r="C34" s="557" t="str">
        <f ca="1">_xlfn.CONCAT(INDIRECT("'Contact Information'!" &amp; ADDRESS($K34+1, 2)))</f>
        <v/>
      </c>
      <c r="D34" s="557" t="str">
        <f ca="1">_xlfn.CONCAT(INDIRECT("'Contact Information'!" &amp; ADDRESS($K34+2, 2)))</f>
        <v/>
      </c>
      <c r="E34" s="557" t="str">
        <f ca="1">_xlfn.CONCAT(INDIRECT("'Contact Information'!" &amp; ADDRESS($K34+3, 2)))</f>
        <v/>
      </c>
      <c r="F34" s="561" t="str">
        <f ca="1">_xlfn.CONCAT(INDIRECT("'Contact Information'!" &amp; ADDRESS($K34+4, 2)))</f>
        <v/>
      </c>
      <c r="G34" s="560" t="str">
        <f ca="1">_xlfn.CONCAT(INDIRECT("'Contact Information'!" &amp; ADDRESS($K34+5, 2)))</f>
        <v/>
      </c>
      <c r="H34" s="557" t="str">
        <f ca="1">_xlfn.CONCAT(INDIRECT("'Contact Information'!" &amp; ADDRESS($K34+6, 2)))</f>
        <v/>
      </c>
      <c r="I34" s="561" t="str">
        <f ca="1">_xlfn.CONCAT(INDIRECT("'Contact Information'!" &amp; ADDRESS($K34+7, 2)))</f>
        <v/>
      </c>
      <c r="J34" s="557" t="str">
        <f ca="1">_xlfn.CONCAT(INDIRECT("'Contact Information'!" &amp; ADDRESS($K34+8, 2)))</f>
        <v/>
      </c>
      <c r="K34">
        <v>416</v>
      </c>
      <c r="L34" t="str">
        <f t="shared" ca="1" si="19"/>
        <v/>
      </c>
    </row>
    <row r="35" spans="1:12">
      <c r="A35" s="556" t="s">
        <v>205</v>
      </c>
      <c r="B35" s="562"/>
      <c r="C35" s="562"/>
      <c r="D35" s="562"/>
      <c r="E35" s="562"/>
      <c r="F35" s="562"/>
      <c r="G35" s="562"/>
      <c r="H35" s="562"/>
      <c r="I35" s="562"/>
      <c r="J35" s="562"/>
    </row>
    <row r="36" spans="1:12">
      <c r="A36" s="1" t="s">
        <v>206</v>
      </c>
      <c r="B36" s="557" t="str">
        <f t="shared" ca="1" si="1"/>
        <v/>
      </c>
      <c r="C36" s="557" t="str">
        <f t="shared" ca="1" si="2"/>
        <v/>
      </c>
      <c r="D36" s="557" t="str">
        <f t="shared" ca="1" si="3"/>
        <v/>
      </c>
      <c r="E36" s="557" t="str">
        <f t="shared" ca="1" si="4"/>
        <v/>
      </c>
      <c r="F36" s="561" t="str">
        <f t="shared" ca="1" si="5"/>
        <v/>
      </c>
      <c r="G36" s="560" t="str">
        <f t="shared" ca="1" si="6"/>
        <v/>
      </c>
      <c r="H36" s="557" t="str">
        <f t="shared" ca="1" si="7"/>
        <v/>
      </c>
      <c r="I36" s="561" t="str">
        <f t="shared" ca="1" si="8"/>
        <v/>
      </c>
      <c r="J36" s="557" t="str">
        <f t="shared" ca="1" si="9"/>
        <v/>
      </c>
      <c r="K36">
        <v>428</v>
      </c>
      <c r="L36" t="str">
        <f t="shared" ref="L36:L39" ca="1" si="20">_xlfn.CONCAT(INDIRECT("'Contact Information'!" &amp; ADDRESS(K36, 2)))</f>
        <v/>
      </c>
    </row>
    <row r="37" spans="1:12">
      <c r="A37" s="1" t="s">
        <v>207</v>
      </c>
      <c r="B37" s="557" t="str">
        <f t="shared" ca="1" si="1"/>
        <v/>
      </c>
      <c r="C37" s="557" t="str">
        <f t="shared" ca="1" si="2"/>
        <v/>
      </c>
      <c r="D37" s="557" t="str">
        <f t="shared" ca="1" si="3"/>
        <v/>
      </c>
      <c r="E37" s="557" t="str">
        <f t="shared" ca="1" si="4"/>
        <v/>
      </c>
      <c r="F37" s="561" t="str">
        <f t="shared" ca="1" si="5"/>
        <v/>
      </c>
      <c r="G37" s="560" t="str">
        <f t="shared" ca="1" si="6"/>
        <v/>
      </c>
      <c r="H37" s="557" t="str">
        <f t="shared" ca="1" si="7"/>
        <v/>
      </c>
      <c r="I37" s="561" t="str">
        <f t="shared" ca="1" si="8"/>
        <v/>
      </c>
      <c r="J37" s="557" t="str">
        <f t="shared" ca="1" si="9"/>
        <v/>
      </c>
      <c r="K37">
        <v>439</v>
      </c>
      <c r="L37" t="str">
        <f t="shared" ca="1" si="20"/>
        <v/>
      </c>
    </row>
    <row r="38" spans="1:12">
      <c r="A38" s="1" t="s">
        <v>843</v>
      </c>
      <c r="B38" s="557" t="str">
        <f t="shared" ca="1" si="1"/>
        <v/>
      </c>
      <c r="C38" s="557" t="str">
        <f t="shared" ca="1" si="2"/>
        <v/>
      </c>
      <c r="D38" s="557" t="str">
        <f t="shared" ca="1" si="3"/>
        <v/>
      </c>
      <c r="E38" s="557" t="str">
        <f t="shared" ca="1" si="4"/>
        <v/>
      </c>
      <c r="F38" s="561" t="str">
        <f t="shared" ca="1" si="5"/>
        <v/>
      </c>
      <c r="G38" s="560" t="str">
        <f t="shared" ca="1" si="6"/>
        <v/>
      </c>
      <c r="H38" s="557" t="str">
        <f t="shared" ca="1" si="7"/>
        <v/>
      </c>
      <c r="I38" s="561" t="str">
        <f t="shared" ca="1" si="8"/>
        <v/>
      </c>
      <c r="J38" s="557" t="str">
        <f t="shared" ca="1" si="9"/>
        <v/>
      </c>
      <c r="K38">
        <v>450</v>
      </c>
      <c r="L38" t="str">
        <f t="shared" ca="1" si="20"/>
        <v/>
      </c>
    </row>
    <row r="39" spans="1:12">
      <c r="A39" s="1" t="s">
        <v>844</v>
      </c>
      <c r="B39" s="557" t="str">
        <f t="shared" ca="1" si="1"/>
        <v/>
      </c>
      <c r="C39" s="557" t="str">
        <f t="shared" ca="1" si="2"/>
        <v/>
      </c>
      <c r="D39" s="557" t="str">
        <f t="shared" ca="1" si="3"/>
        <v/>
      </c>
      <c r="E39" s="557" t="str">
        <f t="shared" ca="1" si="4"/>
        <v/>
      </c>
      <c r="F39" s="561" t="str">
        <f t="shared" ca="1" si="5"/>
        <v/>
      </c>
      <c r="G39" s="560" t="str">
        <f t="shared" ca="1" si="6"/>
        <v/>
      </c>
      <c r="H39" s="557" t="str">
        <f t="shared" ca="1" si="7"/>
        <v/>
      </c>
      <c r="I39" s="561" t="str">
        <f t="shared" ca="1" si="8"/>
        <v/>
      </c>
      <c r="J39" s="557" t="str">
        <f t="shared" ca="1" si="9"/>
        <v/>
      </c>
      <c r="K39">
        <v>461</v>
      </c>
      <c r="L39" t="str">
        <f t="shared" ca="1" si="20"/>
        <v/>
      </c>
    </row>
    <row r="40" spans="1:12" ht="20.25" customHeight="1"/>
    <row r="41" spans="1:12" hidden="1">
      <c r="A41" s="3" t="s">
        <v>845</v>
      </c>
      <c r="B41" s="3"/>
      <c r="C41" s="3"/>
      <c r="D41" s="3"/>
      <c r="E41" s="3"/>
      <c r="F41" s="3"/>
      <c r="G41" s="3"/>
      <c r="H41" s="3"/>
      <c r="I41" s="3"/>
      <c r="J41" s="3"/>
    </row>
    <row r="42" spans="1:12" hidden="1">
      <c r="A42" s="1" t="s">
        <v>128</v>
      </c>
      <c r="B42" s="536"/>
    </row>
    <row r="43" spans="1:12" hidden="1">
      <c r="A43" s="1"/>
    </row>
    <row r="44" spans="1:12" ht="30" hidden="1" customHeight="1">
      <c r="A44" s="918" t="s">
        <v>129</v>
      </c>
      <c r="B44" s="918"/>
      <c r="C44" s="918"/>
    </row>
    <row r="45" spans="1:12" hidden="1">
      <c r="A45" s="287"/>
    </row>
    <row r="46" spans="1:12" hidden="1">
      <c r="A46" s="1" t="s">
        <v>130</v>
      </c>
    </row>
    <row r="47" spans="1:12" ht="30" hidden="1" customHeight="1">
      <c r="A47" s="919"/>
      <c r="B47" s="920"/>
      <c r="C47" s="920"/>
      <c r="E47" t="s">
        <v>476</v>
      </c>
    </row>
    <row r="48" spans="1:12" hidden="1"/>
    <row r="49" spans="1:5" ht="30" hidden="1" customHeight="1">
      <c r="A49" s="918" t="s">
        <v>131</v>
      </c>
      <c r="B49" s="918"/>
      <c r="C49" s="918"/>
      <c r="E49" t="s">
        <v>476</v>
      </c>
    </row>
    <row r="50" spans="1:5" hidden="1">
      <c r="A50" s="287"/>
      <c r="E50" t="s">
        <v>476</v>
      </c>
    </row>
    <row r="51" spans="1:5" hidden="1">
      <c r="A51" s="513" t="s">
        <v>132</v>
      </c>
    </row>
    <row r="52" spans="1:5" ht="30" hidden="1" customHeight="1">
      <c r="A52" s="919"/>
      <c r="B52" s="920"/>
      <c r="C52" s="920"/>
    </row>
    <row r="53" spans="1:5" hidden="1"/>
    <row r="54" spans="1:5" hidden="1">
      <c r="A54" s="1" t="s">
        <v>133</v>
      </c>
    </row>
    <row r="55" spans="1:5" hidden="1">
      <c r="A55" s="287"/>
    </row>
    <row r="56" spans="1:5" hidden="1">
      <c r="A56" s="1" t="s">
        <v>134</v>
      </c>
    </row>
    <row r="57" spans="1:5" hidden="1">
      <c r="A57" s="3" t="s">
        <v>135</v>
      </c>
      <c r="B57" s="3" t="s">
        <v>120</v>
      </c>
      <c r="C57" s="3" t="s">
        <v>238</v>
      </c>
      <c r="D57" s="3" t="s">
        <v>122</v>
      </c>
      <c r="E57" s="3" t="s">
        <v>829</v>
      </c>
    </row>
    <row r="58" spans="1:5" hidden="1">
      <c r="A58" s="295"/>
      <c r="B58" s="295"/>
      <c r="C58" s="295"/>
      <c r="D58" s="295"/>
      <c r="E58" s="295"/>
    </row>
    <row r="59" spans="1:5" hidden="1">
      <c r="A59" s="295"/>
      <c r="B59" s="295"/>
      <c r="C59" s="295"/>
      <c r="D59" s="295"/>
      <c r="E59" s="295"/>
    </row>
    <row r="60" spans="1:5" hidden="1">
      <c r="A60" s="295"/>
      <c r="B60" s="295"/>
      <c r="C60" s="295"/>
      <c r="D60" s="295"/>
      <c r="E60" s="295"/>
    </row>
    <row r="61" spans="1:5" hidden="1">
      <c r="A61" s="295"/>
      <c r="B61" s="295"/>
      <c r="C61" s="295"/>
      <c r="D61" s="295"/>
      <c r="E61" s="295"/>
    </row>
    <row r="62" spans="1:5" hidden="1">
      <c r="A62" s="295"/>
      <c r="B62" s="295"/>
      <c r="C62" s="295"/>
      <c r="D62" s="295"/>
      <c r="E62" s="295"/>
    </row>
    <row r="63" spans="1:5" hidden="1"/>
    <row r="64" spans="1:5" ht="28.5" hidden="1" customHeight="1">
      <c r="A64" s="918" t="s">
        <v>137</v>
      </c>
      <c r="B64" s="918"/>
      <c r="C64" s="918"/>
    </row>
    <row r="65" spans="1:10" ht="30" hidden="1" customHeight="1">
      <c r="A65" s="919"/>
      <c r="B65" s="920"/>
      <c r="C65" s="920"/>
    </row>
    <row r="66" spans="1:10" hidden="1"/>
    <row r="67" spans="1:10" hidden="1">
      <c r="A67" s="1" t="s">
        <v>846</v>
      </c>
    </row>
    <row r="68" spans="1:10" hidden="1">
      <c r="A68" s="3" t="s">
        <v>135</v>
      </c>
      <c r="B68" s="3" t="s">
        <v>847</v>
      </c>
    </row>
    <row r="69" spans="1:10" hidden="1">
      <c r="A69" s="287"/>
      <c r="B69" s="296"/>
    </row>
    <row r="70" spans="1:10" hidden="1">
      <c r="A70" s="287"/>
      <c r="B70" s="296"/>
    </row>
    <row r="71" spans="1:10" hidden="1">
      <c r="A71" s="287"/>
      <c r="B71" s="296"/>
    </row>
    <row r="72" spans="1:10" hidden="1">
      <c r="A72" s="287"/>
      <c r="B72" s="296"/>
    </row>
    <row r="73" spans="1:10" hidden="1">
      <c r="A73" s="287"/>
      <c r="B73" s="296"/>
    </row>
    <row r="74" spans="1:10" hidden="1">
      <c r="A74" s="3" t="s">
        <v>848</v>
      </c>
      <c r="B74" s="3"/>
      <c r="C74" s="3"/>
      <c r="D74" s="3"/>
      <c r="E74" s="3"/>
      <c r="F74" s="3"/>
      <c r="G74" s="3"/>
      <c r="H74" s="3"/>
      <c r="I74" s="3"/>
      <c r="J74" s="3"/>
    </row>
    <row r="75" spans="1:10" hidden="1">
      <c r="A75" s="1" t="s">
        <v>849</v>
      </c>
    </row>
    <row r="76" spans="1:10" hidden="1">
      <c r="A76" s="287" t="s">
        <v>850</v>
      </c>
    </row>
    <row r="77" spans="1:10" hidden="1">
      <c r="A77" s="1" t="s">
        <v>851</v>
      </c>
    </row>
    <row r="78" spans="1:10" ht="30" hidden="1" customHeight="1">
      <c r="A78" s="919"/>
      <c r="B78" s="920"/>
      <c r="C78" s="920"/>
    </row>
    <row r="79" spans="1:10" hidden="1">
      <c r="A79" s="1" t="s">
        <v>852</v>
      </c>
    </row>
    <row r="80" spans="1:10" ht="30" hidden="1" customHeight="1">
      <c r="A80" s="919"/>
      <c r="B80" s="920"/>
      <c r="C80" s="920"/>
    </row>
    <row r="81" spans="1:3" ht="30" hidden="1" customHeight="1">
      <c r="A81" s="918" t="s">
        <v>853</v>
      </c>
      <c r="B81" s="918"/>
      <c r="C81" s="918"/>
    </row>
    <row r="82" spans="1:3" ht="30" hidden="1" customHeight="1">
      <c r="A82" s="919"/>
      <c r="B82" s="920"/>
      <c r="C82" s="920"/>
    </row>
    <row r="83" spans="1:3" ht="30" hidden="1" customHeight="1">
      <c r="A83" s="918" t="s">
        <v>854</v>
      </c>
      <c r="B83" s="918"/>
      <c r="C83" s="918"/>
    </row>
    <row r="84" spans="1:3" hidden="1">
      <c r="A84" s="287"/>
    </row>
    <row r="85" spans="1:3" hidden="1">
      <c r="A85" s="1" t="s">
        <v>855</v>
      </c>
    </row>
    <row r="86" spans="1:3" ht="30" hidden="1" customHeight="1">
      <c r="A86" s="919"/>
      <c r="B86" s="920"/>
      <c r="C86" s="920"/>
    </row>
    <row r="87" spans="1:3" hidden="1">
      <c r="A87" s="1" t="s">
        <v>856</v>
      </c>
    </row>
    <row r="88" spans="1:3" hidden="1">
      <c r="A88" s="285"/>
    </row>
    <row r="89" spans="1:3" hidden="1">
      <c r="A89" s="1" t="s">
        <v>167</v>
      </c>
    </row>
    <row r="90" spans="1:3" ht="30" hidden="1" customHeight="1">
      <c r="A90" s="919"/>
      <c r="B90" s="920"/>
      <c r="C90" s="920"/>
    </row>
    <row r="91" spans="1:3" ht="33.75" hidden="1" customHeight="1">
      <c r="A91" s="918" t="s">
        <v>857</v>
      </c>
      <c r="B91" s="918"/>
      <c r="C91" s="918"/>
    </row>
    <row r="92" spans="1:3" ht="33.75" hidden="1" customHeight="1">
      <c r="A92" s="287"/>
    </row>
    <row r="93" spans="1:3" hidden="1">
      <c r="A93" s="1" t="s">
        <v>169</v>
      </c>
    </row>
    <row r="94" spans="1:3" ht="30" hidden="1" customHeight="1">
      <c r="A94" s="919"/>
      <c r="B94" s="920"/>
      <c r="C94" s="920"/>
    </row>
    <row r="95" spans="1:3" ht="30" hidden="1" customHeight="1">
      <c r="A95" s="918" t="s">
        <v>858</v>
      </c>
      <c r="B95" s="918"/>
      <c r="C95" s="918"/>
    </row>
    <row r="96" spans="1:3" hidden="1">
      <c r="A96" s="287"/>
    </row>
    <row r="97" spans="1:3" hidden="1">
      <c r="A97" s="1" t="s">
        <v>169</v>
      </c>
    </row>
    <row r="98" spans="1:3" ht="30" hidden="1" customHeight="1">
      <c r="A98" s="919"/>
      <c r="B98" s="920"/>
      <c r="C98" s="920"/>
    </row>
    <row r="99" spans="1:3" hidden="1">
      <c r="A99" s="1" t="s">
        <v>859</v>
      </c>
    </row>
    <row r="100" spans="1:3" hidden="1">
      <c r="A100" s="297"/>
    </row>
    <row r="101" spans="1:3" hidden="1">
      <c r="A101" s="1" t="s">
        <v>860</v>
      </c>
    </row>
    <row r="102" spans="1:3" ht="30" hidden="1" customHeight="1">
      <c r="A102" s="919"/>
      <c r="B102" s="920"/>
      <c r="C102" s="920"/>
    </row>
    <row r="103" spans="1:3" ht="77.25" hidden="1" customHeight="1">
      <c r="A103" s="918" t="s">
        <v>861</v>
      </c>
      <c r="B103" s="918"/>
      <c r="C103" s="918"/>
    </row>
    <row r="104" spans="1:3" ht="30" hidden="1" customHeight="1">
      <c r="A104" s="919"/>
      <c r="B104" s="920"/>
      <c r="C104" s="920"/>
    </row>
    <row r="105" spans="1:3" ht="47.25" hidden="1" customHeight="1">
      <c r="A105" s="904" t="s">
        <v>862</v>
      </c>
      <c r="B105" s="904"/>
      <c r="C105" s="904"/>
    </row>
    <row r="106" spans="1:3" ht="16.5" hidden="1" customHeight="1">
      <c r="A106" s="287"/>
      <c r="B106" s="10" t="s">
        <v>863</v>
      </c>
    </row>
    <row r="107" spans="1:3" hidden="1"/>
  </sheetData>
  <sheetProtection algorithmName="SHA-512" hashValue="oNzvD06wq92nPukXhs+CVge8VI9/nTdbjEIrYZWA98cx+w/iBssZe8KVLWMEVoNbe8OKPp1Wfsd0h4Ci5yTGlQ==" saltValue="zGT7V3Ook5+nVyQioR75Ew==" spinCount="100000" sheet="1" objects="1" scenarios="1"/>
  <dataConsolidate/>
  <mergeCells count="22">
    <mergeCell ref="A78:C78"/>
    <mergeCell ref="A80:C80"/>
    <mergeCell ref="A82:C82"/>
    <mergeCell ref="A47:C47"/>
    <mergeCell ref="A65:C65"/>
    <mergeCell ref="A52:C52"/>
    <mergeCell ref="A1:J1"/>
    <mergeCell ref="A105:C105"/>
    <mergeCell ref="A91:C91"/>
    <mergeCell ref="A95:C95"/>
    <mergeCell ref="A86:C86"/>
    <mergeCell ref="A90:C90"/>
    <mergeCell ref="A94:C94"/>
    <mergeCell ref="A103:C103"/>
    <mergeCell ref="A104:C104"/>
    <mergeCell ref="A102:C102"/>
    <mergeCell ref="A98:C98"/>
    <mergeCell ref="A64:C64"/>
    <mergeCell ref="A81:C81"/>
    <mergeCell ref="A49:C49"/>
    <mergeCell ref="A44:C44"/>
    <mergeCell ref="A83:C83"/>
  </mergeCells>
  <dataValidations disablePrompts="1" count="8">
    <dataValidation type="list" allowBlank="1" showInputMessage="1" showErrorMessage="1" errorTitle="Previous Tax Credits in Colorado" error="Please select a valid value for previous tax credits in Colorado." sqref="A45" xr:uid="{00000000-0002-0000-0200-000000000000}">
      <formula1>Yes_No_List</formula1>
    </dataValidation>
    <dataValidation type="list" allowBlank="1" showInputMessage="1" showErrorMessage="1" errorTitle="Tax Credits in Other States" error="Please select a valid value for previous tax credits in other states." sqref="A50" xr:uid="{00000000-0002-0000-0200-000001000000}">
      <formula1>Yes_No_List</formula1>
    </dataValidation>
    <dataValidation type="list" allowBlank="1" showInputMessage="1" showErrorMessage="1" errorTitle="Developments in Service" error="Please select a valid value for developments in service." sqref="A55" xr:uid="{00000000-0002-0000-0200-000002000000}">
      <formula1>Yes_No_List</formula1>
    </dataValidation>
    <dataValidation type="list" allowBlank="1" showInputMessage="1" showErrorMessage="1" errorTitle="Owning an Interest " error="Please select a valid value for NP/PHA owning an interest." sqref="A76" xr:uid="{00000000-0002-0000-0200-000004000000}">
      <formula1>Yes_No_List</formula1>
    </dataValidation>
    <dataValidation type="list" allowBlank="1" showInputMessage="1" showErrorMessage="1" errorTitle="Fees Paid" error="Please select a valid value for fees paid." sqref="A84"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2" xr:uid="{00000000-0002-0000-0200-000006000000}">
      <formula1>Yes_No_List</formula1>
    </dataValidation>
    <dataValidation type="list" allowBlank="1" showInputMessage="1" showErrorMessage="1" errorTitle="Entity Type" error="Please supply a valid value for Entity Type." sqref="B42" xr:uid="{00000000-0002-0000-0200-000009000000}">
      <formula1>Entity_Type_List</formula1>
    </dataValidation>
    <dataValidation type="list" allowBlank="1" showInputMessage="1" showErrorMessage="1" errorTitle="Financial Arrangements" error="Please select a valid value for financial arrangements." sqref="A96" xr:uid="{00000000-0002-0000-0200-000041000000}">
      <formula1>Yes_No_List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17"/>
  <sheetViews>
    <sheetView showGridLines="0" zoomScaleNormal="100" workbookViewId="0">
      <selection sqref="A1:K1"/>
    </sheetView>
  </sheetViews>
  <sheetFormatPr defaultColWidth="9" defaultRowHeight="15"/>
  <cols>
    <col min="1" max="1" width="1.5703125" style="88" customWidth="1"/>
    <col min="2" max="2" width="21" style="88" customWidth="1"/>
    <col min="3" max="5" width="12.5703125" style="88" customWidth="1"/>
    <col min="6" max="6" width="13.140625" style="88" customWidth="1"/>
    <col min="7" max="10" width="12.5703125" style="88" customWidth="1"/>
    <col min="11" max="11" width="8.5703125" style="88" customWidth="1"/>
    <col min="12" max="12" width="0.5703125" style="88" customWidth="1"/>
    <col min="13" max="16384" width="9" style="88"/>
  </cols>
  <sheetData>
    <row r="1" spans="1:14">
      <c r="A1" s="927" t="s">
        <v>61</v>
      </c>
      <c r="B1" s="927"/>
      <c r="C1" s="927"/>
      <c r="D1" s="927"/>
      <c r="E1" s="927"/>
      <c r="F1" s="927"/>
      <c r="G1" s="927"/>
      <c r="H1" s="927"/>
      <c r="I1" s="927"/>
      <c r="J1" s="927"/>
      <c r="K1" s="927"/>
    </row>
    <row r="2" spans="1:14">
      <c r="A2"/>
      <c r="B2"/>
      <c r="C2"/>
      <c r="D2"/>
      <c r="E2"/>
      <c r="F2"/>
      <c r="G2"/>
      <c r="H2"/>
      <c r="I2"/>
      <c r="J2"/>
      <c r="K2"/>
    </row>
    <row r="3" spans="1:14">
      <c r="A3"/>
      <c r="B3" s="1" t="s">
        <v>864</v>
      </c>
      <c r="C3"/>
      <c r="D3" s="73">
        <f>Application!B27</f>
        <v>0</v>
      </c>
      <c r="E3"/>
      <c r="F3"/>
      <c r="G3"/>
      <c r="H3"/>
      <c r="I3"/>
      <c r="J3"/>
      <c r="K3" s="1"/>
    </row>
    <row r="4" spans="1:14">
      <c r="A4"/>
      <c r="B4" s="1" t="s">
        <v>216</v>
      </c>
      <c r="C4"/>
      <c r="D4" s="73">
        <f>Application!B6</f>
        <v>0</v>
      </c>
      <c r="E4"/>
      <c r="F4"/>
      <c r="G4"/>
      <c r="H4"/>
      <c r="I4"/>
      <c r="J4"/>
      <c r="K4" s="1"/>
    </row>
    <row r="5" spans="1:14">
      <c r="A5"/>
      <c r="B5" s="1" t="s">
        <v>222</v>
      </c>
      <c r="C5"/>
      <c r="D5" s="73">
        <f>Application!B10</f>
        <v>0</v>
      </c>
      <c r="E5"/>
      <c r="F5"/>
      <c r="G5"/>
      <c r="H5"/>
      <c r="I5"/>
      <c r="J5"/>
      <c r="K5" s="1"/>
    </row>
    <row r="6" spans="1:14">
      <c r="A6"/>
      <c r="B6" s="1" t="s">
        <v>224</v>
      </c>
      <c r="C6"/>
      <c r="D6" s="73">
        <f>Application!B12</f>
        <v>0</v>
      </c>
      <c r="E6"/>
      <c r="F6"/>
      <c r="G6"/>
      <c r="H6"/>
      <c r="I6" s="1"/>
      <c r="J6" s="152"/>
      <c r="K6" s="1"/>
    </row>
    <row r="7" spans="1:14" ht="15.75" thickBot="1">
      <c r="A7" s="299"/>
      <c r="B7" s="299"/>
      <c r="C7" s="299"/>
      <c r="D7" s="299"/>
      <c r="E7" s="299"/>
      <c r="F7" s="299"/>
      <c r="G7" s="299"/>
      <c r="H7" s="299"/>
      <c r="I7" s="299"/>
      <c r="J7" s="299"/>
      <c r="K7" s="300"/>
    </row>
    <row r="8" spans="1:14">
      <c r="A8" s="927" t="s">
        <v>865</v>
      </c>
      <c r="B8" s="927"/>
      <c r="C8" s="927"/>
      <c r="D8" s="927"/>
      <c r="E8" s="927"/>
      <c r="F8" s="927"/>
      <c r="G8" s="927"/>
      <c r="H8" s="927"/>
      <c r="I8" s="927"/>
      <c r="J8" s="927"/>
      <c r="K8" s="927"/>
    </row>
    <row r="10" spans="1:14" ht="15" customHeight="1">
      <c r="A10" s="1"/>
      <c r="B10" s="1" t="s">
        <v>866</v>
      </c>
      <c r="D10" s="152">
        <f>Calculations!F3</f>
        <v>0</v>
      </c>
      <c r="J10" s="1"/>
    </row>
    <row r="11" spans="1:14" ht="15" customHeight="1">
      <c r="B11" s="1" t="s">
        <v>867</v>
      </c>
      <c r="D11" s="310" t="str">
        <f>Calculations!F4</f>
        <v/>
      </c>
      <c r="J11" s="1"/>
    </row>
    <row r="12" spans="1:14" ht="15" customHeight="1">
      <c r="B12" s="84"/>
      <c r="D12" s="153"/>
      <c r="J12" s="1"/>
    </row>
    <row r="13" spans="1:14">
      <c r="A13" s="927" t="s">
        <v>868</v>
      </c>
      <c r="B13" s="927"/>
      <c r="C13" s="927"/>
      <c r="D13" s="927"/>
      <c r="E13" s="927"/>
      <c r="F13" s="927"/>
      <c r="G13" s="927"/>
      <c r="H13" s="927"/>
      <c r="I13" s="927"/>
      <c r="J13" s="927"/>
      <c r="K13" s="927"/>
    </row>
    <row r="14" spans="1:14" ht="15" customHeight="1">
      <c r="A14" s="154" t="s">
        <v>869</v>
      </c>
      <c r="B14" s="154"/>
      <c r="C14" s="154"/>
      <c r="D14" s="154"/>
      <c r="E14" s="154"/>
      <c r="F14" s="154"/>
      <c r="G14" s="154"/>
      <c r="H14" s="154"/>
      <c r="I14" s="154"/>
      <c r="J14" s="154"/>
      <c r="K14" s="154"/>
    </row>
    <row r="15" spans="1:14" ht="45" customHeight="1">
      <c r="B15" s="84" t="str">
        <f>Calculations!C296</f>
        <v/>
      </c>
      <c r="C15" s="155"/>
      <c r="D15" s="155"/>
      <c r="F15" s="156" t="s">
        <v>870</v>
      </c>
      <c r="G15" s="156" t="s">
        <v>871</v>
      </c>
      <c r="H15" s="156" t="s">
        <v>872</v>
      </c>
      <c r="I15" s="156" t="s">
        <v>873</v>
      </c>
      <c r="J15" s="156" t="s">
        <v>874</v>
      </c>
      <c r="L15" s="18"/>
      <c r="M15"/>
    </row>
    <row r="16" spans="1:14" ht="15" customHeight="1">
      <c r="B16" s="925" t="str">
        <f>Calculations!L43</f>
        <v xml:space="preserve">  </v>
      </c>
      <c r="C16" s="925"/>
      <c r="D16" s="925"/>
      <c r="F16" s="157">
        <f>Calculations!D296</f>
        <v>0.6</v>
      </c>
      <c r="G16" s="244">
        <f>Calculations!E296</f>
        <v>0</v>
      </c>
      <c r="H16" s="245">
        <f>Calculations!G296</f>
        <v>0</v>
      </c>
      <c r="I16" s="244">
        <f>Calculations!F296</f>
        <v>50</v>
      </c>
      <c r="J16" s="244">
        <f>Calculations!B296</f>
        <v>0</v>
      </c>
      <c r="L16" s="18"/>
      <c r="N16"/>
    </row>
    <row r="17" spans="1:13">
      <c r="B17" s="925"/>
      <c r="C17" s="925"/>
      <c r="D17" s="925"/>
      <c r="F17" s="157">
        <f>Calculations!D297</f>
        <v>0.5</v>
      </c>
      <c r="G17" s="244">
        <f>Calculations!E297</f>
        <v>0</v>
      </c>
      <c r="H17" s="245">
        <f>Calculations!G297</f>
        <v>0</v>
      </c>
      <c r="I17" s="244">
        <f>Calculations!F297</f>
        <v>72.5</v>
      </c>
      <c r="J17" s="244">
        <f>Calculations!B297</f>
        <v>0</v>
      </c>
    </row>
    <row r="18" spans="1:13">
      <c r="B18" s="925"/>
      <c r="C18" s="925"/>
      <c r="D18" s="925"/>
      <c r="F18" s="157">
        <f>Calculations!D298</f>
        <v>0.4</v>
      </c>
      <c r="G18" s="244">
        <f>Calculations!E298</f>
        <v>0</v>
      </c>
      <c r="H18" s="245">
        <f>Calculations!G298</f>
        <v>0</v>
      </c>
      <c r="I18" s="244">
        <f>Calculations!F298</f>
        <v>92.5</v>
      </c>
      <c r="J18" s="244">
        <f>Calculations!B298</f>
        <v>0</v>
      </c>
    </row>
    <row r="19" spans="1:13" ht="75" customHeight="1">
      <c r="B19" s="926" t="s">
        <v>875</v>
      </c>
      <c r="C19" s="926"/>
      <c r="D19" s="926"/>
      <c r="F19" s="157"/>
      <c r="G19" s="158"/>
      <c r="H19" s="159"/>
      <c r="I19" s="158"/>
      <c r="J19" s="158"/>
    </row>
    <row r="20" spans="1:13" ht="15" customHeight="1">
      <c r="B20" s="160" t="s">
        <v>876</v>
      </c>
      <c r="C20" s="161"/>
      <c r="D20" s="84"/>
      <c r="F20" s="157">
        <f>Calculations!A34</f>
        <v>0.3</v>
      </c>
      <c r="G20" s="158">
        <f>Calculations!H34</f>
        <v>0</v>
      </c>
      <c r="H20" s="802">
        <f>Calculations!G300</f>
        <v>0</v>
      </c>
      <c r="I20" s="158"/>
      <c r="J20" s="158">
        <f>Calculations!B300</f>
        <v>0</v>
      </c>
      <c r="L20" s="18"/>
    </row>
    <row r="21" spans="1:13" ht="15" customHeight="1">
      <c r="B21" s="160" t="s">
        <v>877</v>
      </c>
      <c r="C21" s="161"/>
      <c r="D21" s="162"/>
      <c r="J21" s="246">
        <f>Calculations!B299</f>
        <v>0</v>
      </c>
      <c r="L21" s="18"/>
    </row>
    <row r="22" spans="1:13">
      <c r="J22" s="1"/>
    </row>
    <row r="23" spans="1:13">
      <c r="B23" s="1" t="s">
        <v>531</v>
      </c>
      <c r="J23" s="163" t="s">
        <v>874</v>
      </c>
    </row>
    <row r="24" spans="1:13">
      <c r="B24" s="164" t="str">
        <f>Calculations!C301</f>
        <v/>
      </c>
      <c r="C24" s="84"/>
      <c r="D24" s="84"/>
      <c r="E24" s="84"/>
      <c r="F24" s="84"/>
      <c r="G24" s="84"/>
      <c r="H24" s="84"/>
      <c r="I24" s="84"/>
      <c r="J24" s="158">
        <f>Calculations!B301</f>
        <v>0</v>
      </c>
      <c r="M24"/>
    </row>
    <row r="25" spans="1:13">
      <c r="B25" s="1"/>
      <c r="J25" s="1"/>
    </row>
    <row r="26" spans="1:13">
      <c r="B26" s="1" t="s">
        <v>878</v>
      </c>
      <c r="J26" s="163" t="s">
        <v>874</v>
      </c>
    </row>
    <row r="27" spans="1:13" ht="42.95" customHeight="1">
      <c r="B27" s="928" t="str">
        <f>Scoring!A14</f>
        <v>Development is located in a qualified census tract, the development of which contributes to a concerted Community Revitalization Plan. (A community revitalization plan is defined in Section 5.A.4. of the Allocation Plan for CHFA requirements under this Criteria)</v>
      </c>
      <c r="C27" s="928"/>
      <c r="D27" s="928"/>
      <c r="E27" s="928"/>
      <c r="F27" s="928"/>
      <c r="G27" s="928"/>
      <c r="H27" s="928"/>
      <c r="I27" s="928"/>
      <c r="J27" s="158">
        <f>Calculations!B302</f>
        <v>0</v>
      </c>
    </row>
    <row r="28" spans="1:13" ht="15" customHeight="1">
      <c r="B28" s="165"/>
      <c r="C28" s="165"/>
      <c r="D28" s="165"/>
      <c r="E28" s="165"/>
      <c r="J28" s="158"/>
    </row>
    <row r="29" spans="1:13">
      <c r="A29" s="154" t="s">
        <v>879</v>
      </c>
      <c r="B29" s="154"/>
      <c r="C29" s="154"/>
      <c r="D29" s="154"/>
      <c r="E29" s="154"/>
      <c r="F29" s="154"/>
      <c r="G29" s="154"/>
      <c r="H29" s="154"/>
      <c r="I29" s="154"/>
      <c r="J29" s="154"/>
      <c r="K29" s="154"/>
    </row>
    <row r="30" spans="1:13" ht="15" customHeight="1"/>
    <row r="31" spans="1:13" ht="15" customHeight="1">
      <c r="B31" s="1" t="s">
        <v>880</v>
      </c>
      <c r="J31" s="163" t="s">
        <v>874</v>
      </c>
    </row>
    <row r="32" spans="1:13" ht="15" customHeight="1">
      <c r="B32" s="166" t="s">
        <v>881</v>
      </c>
      <c r="C32" s="166"/>
      <c r="D32" s="166"/>
      <c r="E32" s="166"/>
      <c r="F32" s="166"/>
      <c r="J32" s="158">
        <f>Calculations!B303</f>
        <v>0</v>
      </c>
    </row>
    <row r="33" spans="2:13" ht="15" customHeight="1">
      <c r="B33" s="160" t="s">
        <v>882</v>
      </c>
      <c r="C33" s="161"/>
      <c r="D33" s="161"/>
      <c r="E33" s="161"/>
      <c r="F33" s="161"/>
      <c r="G33" s="169"/>
      <c r="H33" s="169"/>
      <c r="I33" s="169"/>
      <c r="J33" s="167">
        <f>Calculations!B306</f>
        <v>0</v>
      </c>
    </row>
    <row r="34" spans="2:13" ht="15" customHeight="1">
      <c r="J34" s="167"/>
    </row>
    <row r="35" spans="2:13" ht="15" customHeight="1">
      <c r="B35" s="1" t="s">
        <v>883</v>
      </c>
      <c r="J35" s="163" t="s">
        <v>874</v>
      </c>
    </row>
    <row r="36" spans="2:13" ht="87.6" customHeight="1">
      <c r="B36" s="924" t="str">
        <f>Scoring!A20</f>
        <v>OPTION A: Development is located in a community that has an identified community housing priority; e.g. supports a local, regional or state plan, a neighborhood plan, or some other community-sponsored needs assessment, master plan, etc. Applicant must provide that the project fits into the community's needs and provide evidence, clearly demonstrating the project fits into the community's needs.
OPTION B: To be located at an existing or under construction Transit Oriented Design (TOD) site, which is defined as a site which is within one half mile walk distance of public transportation such as bus, rail and light rail.</v>
      </c>
      <c r="C36" s="924"/>
      <c r="D36" s="924"/>
      <c r="E36" s="924"/>
      <c r="F36" s="924"/>
      <c r="G36" s="924"/>
      <c r="H36" s="924"/>
      <c r="I36" s="924"/>
      <c r="J36" s="158">
        <f>Calculations!B307</f>
        <v>0</v>
      </c>
      <c r="M36"/>
    </row>
    <row r="37" spans="2:13" ht="15" customHeight="1"/>
    <row r="38" spans="2:13" ht="15" customHeight="1">
      <c r="B38" s="1" t="s">
        <v>541</v>
      </c>
      <c r="J38" s="163" t="s">
        <v>874</v>
      </c>
    </row>
    <row r="39" spans="2:13" ht="15" customHeight="1">
      <c r="B39" s="924" t="str">
        <f>Scoring!A23</f>
        <v>Development that provides housing for a mix of incomes by having no more than 80% tax credit-eligible units.</v>
      </c>
      <c r="C39" s="924"/>
      <c r="D39" s="924"/>
      <c r="E39" s="924"/>
      <c r="F39" s="924"/>
      <c r="G39" s="924"/>
      <c r="H39" s="924"/>
      <c r="I39" s="924"/>
      <c r="J39" s="158">
        <f>Calculations!B308</f>
        <v>0</v>
      </c>
    </row>
    <row r="40" spans="2:13" ht="15" customHeight="1">
      <c r="B40" s="168" t="str">
        <f>Scoring!A24</f>
        <v>Developments located in non Metro counties that have a population of 180,000 or less.</v>
      </c>
      <c r="C40" s="169"/>
      <c r="D40" s="169"/>
      <c r="E40" s="169"/>
      <c r="F40" s="169"/>
      <c r="G40" s="169"/>
      <c r="H40" s="169"/>
      <c r="I40" s="169"/>
      <c r="J40" s="158">
        <f>Calculations!B309</f>
        <v>0</v>
      </c>
    </row>
    <row r="41" spans="2:13" ht="30" customHeight="1">
      <c r="B41" s="929" t="str">
        <f>Scoring!A25</f>
        <v>Rehabilitation of blighted buildings or locally or federally designated historic structures. See Section 5.B.3.c. of the Allocation Plan for the definition of "blighted buildings".</v>
      </c>
      <c r="C41" s="923"/>
      <c r="D41" s="923"/>
      <c r="E41" s="923"/>
      <c r="F41" s="923"/>
      <c r="G41" s="923"/>
      <c r="H41" s="923"/>
      <c r="I41" s="923"/>
      <c r="J41" s="158">
        <f>Calculations!B310</f>
        <v>0</v>
      </c>
    </row>
    <row r="42" spans="2:13" ht="30" customHeight="1">
      <c r="B42" s="923" t="str">
        <f>Scoring!A26</f>
        <v>Acquisition/ Rehabilitation of a Preservation Development. See Section 5.B.3.d. of the Allocation Plan for the definition of a "Preservation Development".</v>
      </c>
      <c r="C42" s="923"/>
      <c r="D42" s="923"/>
      <c r="E42" s="923"/>
      <c r="F42" s="923"/>
      <c r="G42" s="923"/>
      <c r="H42" s="923"/>
      <c r="I42" s="923"/>
      <c r="J42" s="158">
        <f>Calculations!B311</f>
        <v>0</v>
      </c>
    </row>
    <row r="43" spans="2:13" ht="27.6" customHeight="1">
      <c r="B43" s="923" t="str">
        <f>Scoring!A27</f>
        <v>No Smoking Policy. Projects that will institute a no smoking policy for 100% of the project, which includes anywhere inside the building or on the grounds of the property. The policy needs to be provided at time of application.</v>
      </c>
      <c r="C43" s="923"/>
      <c r="D43" s="923"/>
      <c r="E43" s="923"/>
      <c r="F43" s="923"/>
      <c r="G43" s="923"/>
      <c r="H43" s="923"/>
      <c r="I43" s="923"/>
      <c r="J43" s="158">
        <f>Calculations!B312</f>
        <v>0</v>
      </c>
    </row>
    <row r="44" spans="2:13" ht="15" customHeight="1">
      <c r="B44" s="923" t="str">
        <f>Scoring!A28</f>
        <v>Projects maximizing construction efficiency by utilizing factory-built construction, prefabricated components.</v>
      </c>
      <c r="C44" s="923"/>
      <c r="D44" s="923"/>
      <c r="E44" s="923"/>
      <c r="F44" s="923"/>
      <c r="G44" s="923"/>
      <c r="H44" s="923"/>
      <c r="I44" s="923"/>
      <c r="J44" s="158">
        <f>Calculations!B313</f>
        <v>0</v>
      </c>
    </row>
    <row r="45" spans="2:13" ht="15" customHeight="1">
      <c r="J45" s="158"/>
    </row>
    <row r="46" spans="2:13" ht="15" customHeight="1">
      <c r="B46" s="1" t="s">
        <v>550</v>
      </c>
      <c r="J46" s="163" t="s">
        <v>874</v>
      </c>
    </row>
    <row r="47" spans="2:13" ht="75.599999999999994" customHeight="1">
      <c r="B47" s="924" t="str">
        <f>Scoring!A31</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47" s="924"/>
      <c r="D47" s="924"/>
      <c r="E47" s="924"/>
      <c r="F47" s="924"/>
      <c r="G47" s="924"/>
      <c r="H47" s="924"/>
      <c r="I47" s="924"/>
      <c r="J47" s="158">
        <f>Calculations!B314</f>
        <v>0</v>
      </c>
    </row>
    <row r="48" spans="2:13" ht="15" customHeight="1">
      <c r="J48" s="158"/>
    </row>
    <row r="49" spans="1:12" ht="15" customHeight="1">
      <c r="B49" s="1" t="s">
        <v>552</v>
      </c>
      <c r="J49" s="163" t="s">
        <v>874</v>
      </c>
    </row>
    <row r="50" spans="1:12" s="155" customFormat="1" ht="27" customHeight="1">
      <c r="A50" s="88"/>
      <c r="B50" s="924" t="str">
        <f>Scoring!A34</f>
        <v>Projects serving Persons experiencing Homelessness or Special Populations. See Section 5.B.5 of the Allocation Plan for the definition and required documentation.</v>
      </c>
      <c r="C50" s="924"/>
      <c r="D50" s="924"/>
      <c r="E50" s="924"/>
      <c r="F50" s="924"/>
      <c r="G50" s="924"/>
      <c r="H50" s="924"/>
      <c r="I50" s="924"/>
      <c r="J50" s="158">
        <f>Calculations!B315</f>
        <v>15</v>
      </c>
    </row>
    <row r="51" spans="1:12" ht="15" customHeight="1">
      <c r="B51" s="170"/>
      <c r="C51" s="170"/>
      <c r="D51" s="170"/>
      <c r="E51" s="170"/>
      <c r="F51" s="170"/>
      <c r="G51" s="170"/>
      <c r="H51" s="170"/>
      <c r="J51" s="158"/>
    </row>
    <row r="52" spans="1:12" ht="15" customHeight="1">
      <c r="B52" s="1" t="s">
        <v>884</v>
      </c>
      <c r="C52" s="170"/>
      <c r="D52" s="170"/>
      <c r="E52" s="170"/>
      <c r="F52" s="170"/>
      <c r="G52" s="170"/>
      <c r="H52" s="170"/>
      <c r="J52" s="163" t="s">
        <v>874</v>
      </c>
    </row>
    <row r="53" spans="1:12" ht="15" customHeight="1">
      <c r="B53" s="924" t="str">
        <f>Scoring!A37</f>
        <v>Housing Authority Waitlist</v>
      </c>
      <c r="C53" s="924"/>
      <c r="D53" s="924"/>
      <c r="E53" s="924"/>
      <c r="F53" s="924"/>
      <c r="G53" s="924"/>
      <c r="H53" s="924"/>
      <c r="J53" s="158">
        <f>Calculations!B316</f>
        <v>0</v>
      </c>
    </row>
    <row r="54" spans="1:12" ht="15" customHeight="1">
      <c r="B54" s="170"/>
      <c r="C54" s="170"/>
      <c r="D54" s="170"/>
      <c r="E54" s="170"/>
      <c r="F54" s="170"/>
      <c r="G54" s="170"/>
      <c r="H54" s="170"/>
      <c r="J54" s="163" t="s">
        <v>885</v>
      </c>
    </row>
    <row r="55" spans="1:12" ht="15" customHeight="1">
      <c r="B55" s="171" t="s">
        <v>885</v>
      </c>
      <c r="C55" s="170"/>
      <c r="D55" s="170"/>
      <c r="E55" s="170"/>
      <c r="F55" s="170"/>
      <c r="G55" s="170"/>
      <c r="H55" s="170"/>
      <c r="J55" s="247">
        <f>Calculations!B317</f>
        <v>15</v>
      </c>
    </row>
    <row r="56" spans="1:12" ht="15" customHeight="1">
      <c r="B56" s="171"/>
      <c r="C56" s="170"/>
      <c r="D56" s="170"/>
      <c r="E56" s="170"/>
      <c r="F56" s="170"/>
      <c r="G56" s="170"/>
      <c r="H56" s="170"/>
      <c r="J56" s="163"/>
    </row>
    <row r="57" spans="1:12" customFormat="1">
      <c r="A57" s="927" t="s">
        <v>886</v>
      </c>
      <c r="B57" s="927"/>
      <c r="C57" s="927"/>
      <c r="D57" s="927"/>
      <c r="E57" s="927"/>
      <c r="F57" s="927"/>
      <c r="G57" s="927"/>
      <c r="H57" s="927"/>
      <c r="I57" s="927"/>
      <c r="J57" s="927"/>
      <c r="K57" s="927"/>
    </row>
    <row r="58" spans="1:12" s="9" customFormat="1">
      <c r="A58" s="172"/>
      <c r="B58" s="173" t="s">
        <v>887</v>
      </c>
      <c r="C58" s="172"/>
      <c r="D58" s="172"/>
      <c r="E58" s="172"/>
      <c r="F58" s="174" t="s">
        <v>888</v>
      </c>
      <c r="G58" s="174" t="s">
        <v>122</v>
      </c>
      <c r="H58" s="172"/>
      <c r="I58" s="172"/>
      <c r="J58" s="172"/>
      <c r="K58" s="172"/>
    </row>
    <row r="59" spans="1:12" customFormat="1">
      <c r="B59" s="164" t="s">
        <v>889</v>
      </c>
      <c r="F59" s="149">
        <f>Calculations!B439</f>
        <v>0</v>
      </c>
      <c r="G59" s="149" t="str">
        <f>Calculations!D439</f>
        <v/>
      </c>
      <c r="L59" s="18"/>
    </row>
    <row r="60" spans="1:12" customFormat="1">
      <c r="B60" s="164" t="s">
        <v>890</v>
      </c>
      <c r="F60" s="149" t="e">
        <f>Calculations!B440</f>
        <v>#N/A</v>
      </c>
      <c r="G60" s="149" t="str">
        <f>Calculations!D440</f>
        <v/>
      </c>
    </row>
    <row r="61" spans="1:12" customFormat="1">
      <c r="B61" s="164" t="s">
        <v>891</v>
      </c>
      <c r="F61" s="149">
        <f>Calculations!B441</f>
        <v>0</v>
      </c>
      <c r="G61" s="149" t="str">
        <f>Calculations!D441</f>
        <v/>
      </c>
      <c r="H61" s="10" t="s">
        <v>892</v>
      </c>
      <c r="I61" s="10"/>
    </row>
    <row r="62" spans="1:12" customFormat="1">
      <c r="D62" s="147"/>
      <c r="E62" s="127" t="s">
        <v>893</v>
      </c>
      <c r="F62" s="146" t="e">
        <f>Calculations!B442</f>
        <v>#N/A</v>
      </c>
      <c r="G62" s="146" t="str">
        <f>Calculations!D442</f>
        <v/>
      </c>
    </row>
    <row r="63" spans="1:12" customFormat="1">
      <c r="B63" s="516" t="s">
        <v>894</v>
      </c>
      <c r="E63" s="121"/>
      <c r="F63" s="149"/>
    </row>
    <row r="64" spans="1:12" customFormat="1">
      <c r="B64" s="164" t="s">
        <v>895</v>
      </c>
      <c r="E64" s="121"/>
      <c r="F64" s="175">
        <f>Calculations!B454</f>
        <v>1</v>
      </c>
      <c r="G64" s="271" t="str">
        <f>Calculations!C514</f>
        <v/>
      </c>
    </row>
    <row r="65" spans="1:11" customFormat="1">
      <c r="B65" s="164" t="s">
        <v>896</v>
      </c>
      <c r="E65" s="121"/>
      <c r="F65" s="176">
        <f>Calculations!B456</f>
        <v>0</v>
      </c>
      <c r="G65" s="176" t="str">
        <f>Calculations!C516</f>
        <v/>
      </c>
    </row>
    <row r="66" spans="1:11" customFormat="1">
      <c r="B66" s="164" t="s">
        <v>897</v>
      </c>
      <c r="E66" s="121"/>
      <c r="F66" s="177">
        <f>Calculations!B458</f>
        <v>0.04</v>
      </c>
      <c r="G66" s="177" t="str">
        <f>Calculations!C518</f>
        <v/>
      </c>
    </row>
    <row r="67" spans="1:11" customFormat="1">
      <c r="D67" s="147"/>
      <c r="E67" s="127" t="s">
        <v>898</v>
      </c>
      <c r="F67" s="146" t="e">
        <f>Calculations!B468</f>
        <v>#N/A</v>
      </c>
      <c r="G67" s="268" t="str">
        <f>Calculations!C521</f>
        <v/>
      </c>
    </row>
    <row r="68" spans="1:11" customFormat="1">
      <c r="E68" s="121"/>
      <c r="F68" s="149"/>
    </row>
    <row r="69" spans="1:11" customFormat="1">
      <c r="A69" s="172"/>
      <c r="B69" s="173" t="s">
        <v>899</v>
      </c>
      <c r="C69" s="172"/>
      <c r="D69" s="172"/>
      <c r="E69" s="172"/>
      <c r="F69" s="174" t="s">
        <v>888</v>
      </c>
      <c r="G69" s="174" t="s">
        <v>122</v>
      </c>
      <c r="H69" s="172"/>
      <c r="I69" s="172"/>
      <c r="J69" s="172"/>
      <c r="K69" s="172"/>
    </row>
    <row r="70" spans="1:11" customFormat="1">
      <c r="B70" s="164" t="s">
        <v>900</v>
      </c>
      <c r="F70" s="148">
        <f>Calculations!B471</f>
        <v>0</v>
      </c>
      <c r="G70" s="148" t="str">
        <f>Calculations!C524</f>
        <v/>
      </c>
    </row>
    <row r="71" spans="1:11" customFormat="1">
      <c r="B71" s="164" t="s">
        <v>901</v>
      </c>
      <c r="F71" s="148">
        <f>-1*Calculations!B472</f>
        <v>0</v>
      </c>
      <c r="G71" s="148" t="str">
        <f>Calculations!C525</f>
        <v/>
      </c>
    </row>
    <row r="72" spans="1:11" customFormat="1">
      <c r="B72" s="1"/>
      <c r="D72" s="147"/>
      <c r="E72" s="127" t="s">
        <v>902</v>
      </c>
      <c r="F72" s="146">
        <f>Calculations!B473</f>
        <v>0</v>
      </c>
      <c r="G72" s="146" t="str">
        <f>Calculations!C527</f>
        <v/>
      </c>
    </row>
    <row r="73" spans="1:11" customFormat="1">
      <c r="B73" s="516" t="s">
        <v>903</v>
      </c>
      <c r="E73" s="121"/>
      <c r="F73" s="149"/>
      <c r="G73" s="149"/>
    </row>
    <row r="74" spans="1:11" customFormat="1">
      <c r="B74" s="164" t="s">
        <v>904</v>
      </c>
      <c r="E74" s="121"/>
      <c r="F74" s="269">
        <f>Calculations!B474</f>
        <v>0</v>
      </c>
      <c r="G74" s="269" t="str">
        <f>Calculations!C528</f>
        <v/>
      </c>
    </row>
    <row r="75" spans="1:11" customFormat="1">
      <c r="D75" s="147"/>
      <c r="E75" s="127" t="s">
        <v>905</v>
      </c>
      <c r="F75" s="146">
        <f>Calculations!B475</f>
        <v>0</v>
      </c>
      <c r="G75" s="146" t="str">
        <f>Calculations!C529</f>
        <v/>
      </c>
    </row>
    <row r="76" spans="1:11" customFormat="1"/>
    <row r="77" spans="1:11" customFormat="1">
      <c r="A77" s="172"/>
      <c r="B77" s="173" t="s">
        <v>906</v>
      </c>
      <c r="C77" s="172"/>
      <c r="D77" s="172"/>
      <c r="E77" s="172"/>
      <c r="F77" s="174" t="s">
        <v>888</v>
      </c>
      <c r="G77" s="174" t="s">
        <v>122</v>
      </c>
      <c r="H77" s="172"/>
      <c r="I77" s="172"/>
      <c r="J77" s="172"/>
      <c r="K77" s="172"/>
    </row>
    <row r="78" spans="1:11" customFormat="1">
      <c r="A78" s="150"/>
      <c r="B78" s="178" t="s">
        <v>907</v>
      </c>
      <c r="C78" s="178" t="s">
        <v>908</v>
      </c>
      <c r="D78" s="101" t="s">
        <v>909</v>
      </c>
      <c r="E78" s="178"/>
      <c r="F78" s="179" t="s">
        <v>910</v>
      </c>
      <c r="G78" s="179" t="s">
        <v>910</v>
      </c>
    </row>
    <row r="79" spans="1:11" customFormat="1">
      <c r="B79" s="150" t="str">
        <f>Calculations!A483</f>
        <v>0 bedroom</v>
      </c>
      <c r="C79" s="150">
        <f>Calculations!B483</f>
        <v>0</v>
      </c>
      <c r="D79" s="149">
        <f>Calculations!D483</f>
        <v>0</v>
      </c>
      <c r="F79" s="149">
        <f>Calculations!E483</f>
        <v>0</v>
      </c>
      <c r="G79" s="149" t="str">
        <f>Calculations!F537</f>
        <v/>
      </c>
    </row>
    <row r="80" spans="1:11" customFormat="1">
      <c r="B80" s="150" t="str">
        <f>Calculations!A484</f>
        <v>1 bedroom</v>
      </c>
      <c r="C80" s="150">
        <f>Calculations!B484</f>
        <v>0</v>
      </c>
      <c r="D80" s="149">
        <f>Calculations!D484</f>
        <v>0</v>
      </c>
      <c r="F80" s="149">
        <f>Calculations!E484</f>
        <v>0</v>
      </c>
      <c r="G80" s="149" t="str">
        <f>Calculations!F538</f>
        <v/>
      </c>
    </row>
    <row r="81" spans="1:11" customFormat="1">
      <c r="B81" s="150" t="str">
        <f>Calculations!A485</f>
        <v>2 bedroom</v>
      </c>
      <c r="C81" s="150">
        <f>Calculations!B485</f>
        <v>0</v>
      </c>
      <c r="D81" s="149">
        <f>Calculations!D485</f>
        <v>0</v>
      </c>
      <c r="F81" s="149">
        <f>Calculations!E485</f>
        <v>0</v>
      </c>
      <c r="G81" s="149" t="str">
        <f>Calculations!F539</f>
        <v/>
      </c>
    </row>
    <row r="82" spans="1:11" customFormat="1">
      <c r="B82" s="150" t="str">
        <f>Calculations!A486</f>
        <v>3 bedroom</v>
      </c>
      <c r="C82" s="150">
        <f>Calculations!B486</f>
        <v>0</v>
      </c>
      <c r="D82" s="149">
        <f>Calculations!D486</f>
        <v>0</v>
      </c>
      <c r="F82" s="149">
        <f>Calculations!E486</f>
        <v>0</v>
      </c>
      <c r="G82" s="149" t="str">
        <f>Calculations!F540</f>
        <v/>
      </c>
    </row>
    <row r="83" spans="1:11" customFormat="1">
      <c r="B83" s="150" t="str">
        <f>Calculations!A487</f>
        <v>4 bedroom</v>
      </c>
      <c r="C83" s="150">
        <f>Calculations!B487</f>
        <v>0</v>
      </c>
      <c r="D83" s="149">
        <f>Calculations!D487</f>
        <v>0</v>
      </c>
      <c r="F83" s="149">
        <f>Calculations!E487</f>
        <v>0</v>
      </c>
      <c r="G83" s="149" t="str">
        <f>Calculations!F541</f>
        <v/>
      </c>
    </row>
    <row r="84" spans="1:11" customFormat="1">
      <c r="B84" s="150" t="str">
        <f>Calculations!A488</f>
        <v>5 bedroom</v>
      </c>
      <c r="C84" s="150">
        <f>Calculations!B488</f>
        <v>0</v>
      </c>
      <c r="D84" s="149">
        <f>Calculations!D488</f>
        <v>0</v>
      </c>
      <c r="F84" s="149">
        <f>Calculations!E488</f>
        <v>0</v>
      </c>
      <c r="G84" s="149" t="str">
        <f>Calculations!F542</f>
        <v/>
      </c>
    </row>
    <row r="85" spans="1:11" customFormat="1">
      <c r="B85" s="150"/>
      <c r="C85" s="150"/>
      <c r="D85" s="147"/>
      <c r="E85" s="127" t="s">
        <v>911</v>
      </c>
      <c r="F85" s="146">
        <f>Calculations!E489</f>
        <v>0</v>
      </c>
      <c r="G85" s="146" t="str">
        <f>Calculations!F543</f>
        <v/>
      </c>
    </row>
    <row r="86" spans="1:11" customFormat="1">
      <c r="B86" s="516" t="s">
        <v>894</v>
      </c>
      <c r="E86" s="121"/>
      <c r="F86" s="149"/>
    </row>
    <row r="87" spans="1:11" customFormat="1">
      <c r="B87" s="164" t="s">
        <v>895</v>
      </c>
      <c r="E87" s="121"/>
      <c r="F87" s="175">
        <f>Calculations!B492</f>
        <v>1</v>
      </c>
      <c r="G87" s="175" t="str">
        <f>Calculations!C546</f>
        <v/>
      </c>
    </row>
    <row r="88" spans="1:11" customFormat="1">
      <c r="B88" s="164" t="s">
        <v>896</v>
      </c>
      <c r="E88" s="121"/>
      <c r="F88" s="176">
        <f>Calculations!B493</f>
        <v>0</v>
      </c>
      <c r="G88" s="176" t="str">
        <f>Calculations!C547</f>
        <v/>
      </c>
    </row>
    <row r="89" spans="1:11" customFormat="1">
      <c r="B89" s="164" t="s">
        <v>897</v>
      </c>
      <c r="E89" s="121"/>
      <c r="F89" s="177">
        <f>Calculations!B495</f>
        <v>0.04</v>
      </c>
      <c r="G89" s="177" t="str">
        <f>Calculations!C549</f>
        <v/>
      </c>
    </row>
    <row r="90" spans="1:11" customFormat="1">
      <c r="D90" s="147"/>
      <c r="E90" s="127" t="s">
        <v>912</v>
      </c>
      <c r="F90" s="146">
        <f>Calculations!B496</f>
        <v>0</v>
      </c>
      <c r="G90" s="146" t="str">
        <f>Calculations!C550</f>
        <v/>
      </c>
      <c r="H90" s="283" t="str">
        <f>Calculations!$D$496</f>
        <v/>
      </c>
    </row>
    <row r="91" spans="1:11" customFormat="1">
      <c r="E91" s="121"/>
      <c r="F91" s="149"/>
      <c r="G91" s="149"/>
    </row>
    <row r="92" spans="1:11" customFormat="1">
      <c r="A92" s="172"/>
      <c r="B92" s="173" t="s">
        <v>913</v>
      </c>
      <c r="C92" s="172"/>
      <c r="D92" s="172"/>
      <c r="E92" s="172"/>
      <c r="F92" s="174" t="s">
        <v>888</v>
      </c>
      <c r="G92" s="174" t="s">
        <v>122</v>
      </c>
      <c r="H92" s="172"/>
      <c r="I92" s="172"/>
      <c r="J92" s="172"/>
      <c r="K92" s="172"/>
    </row>
    <row r="93" spans="1:11" customFormat="1">
      <c r="E93" s="121" t="s">
        <v>914</v>
      </c>
      <c r="F93" s="149" t="e">
        <f>Calculations!B501</f>
        <v>#N/A</v>
      </c>
      <c r="G93" s="149">
        <f>Calculations!B573</f>
        <v>0</v>
      </c>
    </row>
    <row r="94" spans="1:11" customFormat="1">
      <c r="E94" s="121" t="s">
        <v>915</v>
      </c>
      <c r="F94" s="149">
        <f>Calculations!B502</f>
        <v>0</v>
      </c>
      <c r="G94" s="150" t="s">
        <v>916</v>
      </c>
    </row>
    <row r="95" spans="1:11" customFormat="1">
      <c r="D95" s="147"/>
      <c r="E95" s="127" t="s">
        <v>913</v>
      </c>
      <c r="F95" s="146" t="e">
        <f>Calculations!B505</f>
        <v>#N/A</v>
      </c>
      <c r="G95" s="146">
        <f>Calculations!B573</f>
        <v>0</v>
      </c>
    </row>
    <row r="96" spans="1:11">
      <c r="J96" s="1"/>
    </row>
    <row r="97" spans="1:13">
      <c r="A97" s="927" t="s">
        <v>917</v>
      </c>
      <c r="B97" s="927"/>
      <c r="C97" s="927"/>
      <c r="D97" s="927"/>
      <c r="E97" s="927"/>
      <c r="F97" s="927"/>
      <c r="G97" s="927"/>
      <c r="H97" s="927"/>
      <c r="I97" s="927"/>
      <c r="J97" s="927"/>
      <c r="K97" s="927"/>
      <c r="M97"/>
    </row>
    <row r="98" spans="1:13">
      <c r="J98" s="1"/>
    </row>
    <row r="99" spans="1:13" ht="30">
      <c r="A99" s="155"/>
      <c r="B99" s="74" t="s">
        <v>917</v>
      </c>
      <c r="C99" s="74"/>
      <c r="D99" s="74" t="s">
        <v>918</v>
      </c>
      <c r="E99" s="74" t="s">
        <v>919</v>
      </c>
      <c r="F99" s="155"/>
      <c r="G99" s="155"/>
      <c r="H99" s="155"/>
      <c r="I99" s="155"/>
      <c r="J99" s="155"/>
    </row>
    <row r="100" spans="1:13" ht="15" customHeight="1">
      <c r="B100" s="84" t="s">
        <v>920</v>
      </c>
      <c r="C100" s="1"/>
      <c r="D100" s="167">
        <f>Calculations!L61</f>
        <v>0</v>
      </c>
      <c r="E100" s="180">
        <f>Calculations!M61</f>
        <v>0</v>
      </c>
    </row>
    <row r="101" spans="1:13" ht="15" customHeight="1">
      <c r="B101" s="84" t="s">
        <v>921</v>
      </c>
      <c r="C101" s="1"/>
      <c r="D101" s="167">
        <f>Calculations!L63</f>
        <v>0</v>
      </c>
      <c r="E101" s="180">
        <f>Calculations!M63</f>
        <v>0</v>
      </c>
    </row>
    <row r="102" spans="1:13" ht="15" customHeight="1">
      <c r="B102" s="84" t="s">
        <v>325</v>
      </c>
      <c r="C102" s="1"/>
      <c r="D102" s="167">
        <f>Calculations!L64</f>
        <v>0</v>
      </c>
      <c r="E102" s="180">
        <f>Calculations!M64</f>
        <v>0</v>
      </c>
    </row>
    <row r="103" spans="1:13" ht="15" customHeight="1">
      <c r="B103" s="84" t="s">
        <v>922</v>
      </c>
      <c r="C103" s="1"/>
      <c r="D103" s="167">
        <f>Calculations!L65</f>
        <v>0</v>
      </c>
      <c r="E103" s="180">
        <f>Calculations!M65</f>
        <v>0</v>
      </c>
    </row>
    <row r="104" spans="1:13" ht="15" customHeight="1">
      <c r="B104" s="84" t="s">
        <v>327</v>
      </c>
      <c r="C104" s="1"/>
      <c r="D104" s="167">
        <f>Calculations!L66</f>
        <v>0</v>
      </c>
      <c r="E104" s="180">
        <f>Calculations!M66</f>
        <v>0</v>
      </c>
    </row>
    <row r="105" spans="1:13" ht="15" customHeight="1">
      <c r="B105" s="164" t="s">
        <v>328</v>
      </c>
      <c r="C105" s="1"/>
      <c r="D105" s="167">
        <f>Calculations!L67</f>
        <v>0</v>
      </c>
      <c r="E105" s="180">
        <f>Calculations!M67</f>
        <v>0</v>
      </c>
    </row>
    <row r="106" spans="1:13" ht="15" customHeight="1">
      <c r="B106" s="164" t="s">
        <v>923</v>
      </c>
      <c r="C106" s="164"/>
      <c r="D106" s="167">
        <f>Calculations!L68</f>
        <v>0</v>
      </c>
      <c r="E106" s="181">
        <f>Calculations!M68</f>
        <v>0</v>
      </c>
    </row>
    <row r="107" spans="1:13" ht="15" customHeight="1">
      <c r="B107" s="1" t="s">
        <v>924</v>
      </c>
      <c r="C107" s="1"/>
      <c r="D107" s="167">
        <f>Calculations!L69</f>
        <v>0</v>
      </c>
      <c r="E107" s="180">
        <f>Calculations!M69</f>
        <v>0</v>
      </c>
    </row>
    <row r="108" spans="1:13" ht="15" customHeight="1">
      <c r="B108" s="1"/>
      <c r="C108" s="1"/>
      <c r="D108" s="167"/>
      <c r="E108" s="180"/>
    </row>
    <row r="109" spans="1:13">
      <c r="A109" s="927" t="s">
        <v>925</v>
      </c>
      <c r="B109" s="927"/>
      <c r="C109" s="927"/>
      <c r="D109" s="927"/>
      <c r="E109" s="927"/>
      <c r="F109" s="927"/>
      <c r="G109" s="927"/>
      <c r="H109" s="927"/>
      <c r="I109" s="927"/>
      <c r="J109" s="927"/>
      <c r="K109" s="927"/>
    </row>
    <row r="110" spans="1:13">
      <c r="K110" s="67" t="s">
        <v>926</v>
      </c>
    </row>
    <row r="111" spans="1:13" ht="30" customHeight="1">
      <c r="B111" s="103"/>
      <c r="C111" s="104" t="s">
        <v>925</v>
      </c>
      <c r="D111" s="135" t="s">
        <v>412</v>
      </c>
      <c r="E111" s="136" t="s">
        <v>927</v>
      </c>
      <c r="F111" s="103"/>
      <c r="G111" s="103"/>
      <c r="H111" s="103"/>
      <c r="I111" s="103"/>
      <c r="J111" s="103"/>
      <c r="K111" s="103"/>
    </row>
    <row r="112" spans="1:13">
      <c r="C112" s="67" t="str">
        <f>Calculations!F786</f>
        <v>4%  Non Competitive Application Fee</v>
      </c>
      <c r="D112" s="189">
        <f>Calculations!G786</f>
        <v>10000</v>
      </c>
      <c r="E112" s="73" t="str">
        <f>Calculations!H786</f>
        <v>For Federal &amp; State Annual Credit (if applicable)</v>
      </c>
    </row>
    <row r="113" spans="2:11">
      <c r="B113"/>
      <c r="C113" s="67" t="str">
        <f>Calculations!F787</f>
        <v>4%  Non Competitive Initial Determination Fee</v>
      </c>
      <c r="D113" s="189" t="e">
        <f>Calculations!G787</f>
        <v>#N/A</v>
      </c>
      <c r="E113" s="73" t="str">
        <f>Calculations!H787</f>
        <v>For Federal and State (if applicable)</v>
      </c>
      <c r="G113" s="190"/>
      <c r="H113" s="190"/>
      <c r="I113" s="190"/>
      <c r="J113" s="190"/>
      <c r="K113" s="190"/>
    </row>
    <row r="114" spans="2:11" ht="30" customHeight="1">
      <c r="B114"/>
      <c r="C114" s="191" t="str">
        <f>Calculations!F788</f>
        <v>4%  Non Competitive Final Application Fee</v>
      </c>
      <c r="D114" s="189" t="e">
        <f>Calculations!G788</f>
        <v>#N/A</v>
      </c>
      <c r="E114" s="921" t="str">
        <f>Calculations!H788</f>
        <v>(Not applicable to developments that received a Carryover Allocation and paid a Carryover Application Fee)</v>
      </c>
      <c r="F114" s="921"/>
      <c r="G114" s="921"/>
      <c r="H114" s="921"/>
      <c r="I114" s="921"/>
      <c r="J114" s="921"/>
      <c r="K114" s="9"/>
    </row>
    <row r="115" spans="2:11" ht="21" customHeight="1">
      <c r="B115"/>
      <c r="C115" s="191" t="str">
        <f>Calculations!F789</f>
        <v>State Milestone Fee</v>
      </c>
      <c r="D115" s="508" t="str">
        <f>Calculations!G789</f>
        <v>#N/A</v>
      </c>
      <c r="E115" s="517"/>
      <c r="F115" s="517"/>
      <c r="G115" s="517"/>
      <c r="H115" s="517"/>
      <c r="I115" s="517"/>
      <c r="J115" s="517"/>
      <c r="K115" s="9"/>
    </row>
    <row r="116" spans="2:11" ht="75.75" customHeight="1">
      <c r="B116" s="186"/>
      <c r="C116" s="270" t="str">
        <f>Calculations!A804</f>
        <v>Compliance Monitoring Fee</v>
      </c>
      <c r="D116" s="189">
        <f>Calculations!G790</f>
        <v>0</v>
      </c>
      <c r="E116" s="922" t="str">
        <f>Calculations!A805</f>
        <v>Compliance Monitoring Fee is automatically calculated.  The Fee for projects receiving a reservation from 2016 on is $500 per low income &amp; employee unit. This Fee is due with the Placed-In-Service (PIS) or with the Final Application whichever occurs first.</v>
      </c>
      <c r="F116" s="922"/>
      <c r="G116" s="922"/>
      <c r="H116" s="922"/>
      <c r="I116" s="922"/>
      <c r="J116" s="922"/>
      <c r="K116" s="298"/>
    </row>
    <row r="117" spans="2:11">
      <c r="B117" s="102"/>
      <c r="C117" s="121" t="s">
        <v>928</v>
      </c>
      <c r="D117" s="132" t="e">
        <f>Calculations!G791</f>
        <v>#N/A</v>
      </c>
      <c r="E117" s="189"/>
      <c r="F117" s="190"/>
      <c r="G117" s="190"/>
      <c r="H117" s="190"/>
      <c r="I117" s="190"/>
      <c r="J117" s="190"/>
      <c r="K117" s="190"/>
    </row>
  </sheetData>
  <sheetProtection algorithmName="SHA-512" hashValue="cbtq4kr1DfnC+lgEiQqsuPxoRInu+z6qcmctSR9btEZo0NV9ECqsR8s/aFnmtXwHtjcvV7F5KkeVqjcp4NaMjg==" saltValue="x5M8HH1rJtHAV4uK+MbWog==" spinCount="100000" sheet="1" objects="1" scenarios="1"/>
  <mergeCells count="20">
    <mergeCell ref="A1:K1"/>
    <mergeCell ref="A8:K8"/>
    <mergeCell ref="A109:K109"/>
    <mergeCell ref="A13:K13"/>
    <mergeCell ref="B27:I27"/>
    <mergeCell ref="B36:I36"/>
    <mergeCell ref="B39:I39"/>
    <mergeCell ref="B41:I41"/>
    <mergeCell ref="B47:I47"/>
    <mergeCell ref="B53:H53"/>
    <mergeCell ref="A57:K57"/>
    <mergeCell ref="B42:I42"/>
    <mergeCell ref="B43:I43"/>
    <mergeCell ref="A97:K97"/>
    <mergeCell ref="E114:J114"/>
    <mergeCell ref="E116:J116"/>
    <mergeCell ref="B44:I44"/>
    <mergeCell ref="B50:I50"/>
    <mergeCell ref="B16:D18"/>
    <mergeCell ref="B19:D19"/>
  </mergeCells>
  <dataValidations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57:J57" location="'Development Budget'!A1" display="Determination of Annual Tax Credit Amount" xr:uid="{00000000-0004-0000-0900-000001000000}"/>
    <hyperlink ref="A97:J97"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6" max="11" man="1"/>
    <brk id="108"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4"/>
  <sheetViews>
    <sheetView showGridLines="0" zoomScale="99" zoomScaleNormal="99" zoomScaleSheetLayoutView="112" workbookViewId="0">
      <selection sqref="A1:K1"/>
    </sheetView>
  </sheetViews>
  <sheetFormatPr defaultColWidth="9" defaultRowHeight="15"/>
  <cols>
    <col min="1" max="1" width="0.5703125" customWidth="1"/>
    <col min="2" max="2" width="21" customWidth="1"/>
    <col min="3" max="3" width="12.5703125" customWidth="1"/>
    <col min="4" max="4" width="13" customWidth="1"/>
    <col min="5" max="6" width="12.5703125" customWidth="1"/>
    <col min="7" max="7" width="16" customWidth="1"/>
    <col min="8" max="10" width="12.5703125" customWidth="1"/>
    <col min="11" max="11" width="8" customWidth="1"/>
    <col min="12" max="12" width="16" customWidth="1"/>
  </cols>
  <sheetData>
    <row r="1" spans="1:11">
      <c r="A1" s="927" t="s">
        <v>63</v>
      </c>
      <c r="B1" s="927"/>
      <c r="C1" s="927"/>
      <c r="D1" s="927"/>
      <c r="E1" s="927"/>
      <c r="F1" s="927"/>
      <c r="G1" s="927"/>
      <c r="H1" s="927"/>
      <c r="I1" s="927"/>
      <c r="J1" s="927"/>
      <c r="K1" s="927"/>
    </row>
    <row r="2" spans="1:11">
      <c r="A2" s="341"/>
      <c r="B2" s="341"/>
      <c r="C2" s="341"/>
      <c r="D2" s="341"/>
      <c r="E2" s="341"/>
      <c r="F2" s="341"/>
      <c r="G2" s="341"/>
      <c r="H2" s="341"/>
      <c r="I2" s="341"/>
      <c r="J2" s="341"/>
      <c r="K2" s="341"/>
    </row>
    <row r="3" spans="1:11">
      <c r="B3" s="1" t="s">
        <v>929</v>
      </c>
      <c r="C3" s="73" t="str">
        <f ca="1">'Contact Summary'!B4</f>
        <v/>
      </c>
    </row>
    <row r="4" spans="1:11">
      <c r="B4" s="1" t="s">
        <v>864</v>
      </c>
      <c r="C4" s="73">
        <f>Application!B27</f>
        <v>0</v>
      </c>
      <c r="K4" s="1"/>
    </row>
    <row r="5" spans="1:11">
      <c r="B5" s="1" t="s">
        <v>930</v>
      </c>
      <c r="C5" s="73">
        <f>Application!B28</f>
        <v>0</v>
      </c>
      <c r="K5" s="1"/>
    </row>
    <row r="6" spans="1:11">
      <c r="B6" s="1" t="s">
        <v>238</v>
      </c>
      <c r="C6" s="73">
        <f>Application!B29</f>
        <v>0</v>
      </c>
      <c r="K6" s="1"/>
    </row>
    <row r="7" spans="1:11">
      <c r="B7" s="1" t="s">
        <v>829</v>
      </c>
      <c r="C7" s="73">
        <f>Application!B30</f>
        <v>0</v>
      </c>
      <c r="K7" s="1"/>
    </row>
    <row r="8" spans="1:11">
      <c r="B8" s="1" t="s">
        <v>239</v>
      </c>
      <c r="C8" s="73">
        <f>Application!B31</f>
        <v>0</v>
      </c>
      <c r="K8" s="1"/>
    </row>
    <row r="9" spans="1:11">
      <c r="B9" s="1" t="s">
        <v>224</v>
      </c>
      <c r="C9" s="73">
        <f>Application!B12</f>
        <v>0</v>
      </c>
      <c r="D9" s="73"/>
      <c r="I9" s="1"/>
      <c r="J9" s="152"/>
      <c r="K9" s="1"/>
    </row>
    <row r="10" spans="1:11">
      <c r="B10" s="1" t="s">
        <v>222</v>
      </c>
      <c r="C10" s="73">
        <f>Application!B10</f>
        <v>0</v>
      </c>
      <c r="D10" s="73"/>
      <c r="I10" s="1"/>
      <c r="J10" s="152"/>
      <c r="K10" s="1"/>
    </row>
    <row r="11" spans="1:11">
      <c r="B11" s="1" t="s">
        <v>216</v>
      </c>
      <c r="C11" s="73">
        <f>Application!B6</f>
        <v>0</v>
      </c>
      <c r="D11" s="73"/>
      <c r="I11" s="1"/>
      <c r="J11" s="152"/>
      <c r="K11" s="1"/>
    </row>
    <row r="12" spans="1:11">
      <c r="B12" s="1"/>
      <c r="C12" s="73"/>
      <c r="D12" s="73"/>
      <c r="I12" s="1"/>
      <c r="J12" s="152"/>
      <c r="K12" s="1"/>
    </row>
    <row r="13" spans="1:11">
      <c r="A13" s="927" t="s">
        <v>931</v>
      </c>
      <c r="B13" s="927"/>
      <c r="C13" s="927"/>
      <c r="D13" s="927"/>
      <c r="E13" s="927"/>
      <c r="F13" s="927"/>
      <c r="G13" s="927"/>
      <c r="H13" s="927"/>
      <c r="I13" s="927"/>
      <c r="J13" s="927"/>
      <c r="K13" s="927"/>
    </row>
    <row r="14" spans="1:11">
      <c r="A14" s="341"/>
      <c r="B14" s="341"/>
      <c r="C14" s="341"/>
      <c r="D14" s="341"/>
      <c r="E14" s="341"/>
      <c r="F14" s="341"/>
      <c r="G14" s="341"/>
      <c r="H14" s="341"/>
      <c r="I14" s="341"/>
      <c r="J14" s="341"/>
      <c r="K14" s="341"/>
    </row>
    <row r="15" spans="1:11">
      <c r="E15" s="375" t="s">
        <v>932</v>
      </c>
    </row>
    <row r="16" spans="1:11">
      <c r="C16" s="124" t="s">
        <v>933</v>
      </c>
      <c r="D16" s="343">
        <f>Calculations!H59</f>
        <v>0</v>
      </c>
      <c r="E16" s="70" t="e">
        <f>Calculations!O48</f>
        <v>#DIV/0!</v>
      </c>
      <c r="G16" s="114"/>
      <c r="H16" s="114" t="s">
        <v>934</v>
      </c>
      <c r="I16">
        <f>Calculations!F3</f>
        <v>0</v>
      </c>
    </row>
    <row r="17" spans="2:11">
      <c r="C17" s="114" t="s">
        <v>935</v>
      </c>
      <c r="D17" s="343">
        <f>Calculations!M52</f>
        <v>0</v>
      </c>
      <c r="E17" s="70" t="e">
        <f>Calculations!O52</f>
        <v>#DIV/0!</v>
      </c>
      <c r="H17" s="114" t="s">
        <v>936</v>
      </c>
      <c r="I17" s="200" t="str">
        <f>Calculations!F4</f>
        <v/>
      </c>
    </row>
    <row r="18" spans="2:11">
      <c r="C18" s="114" t="s">
        <v>937</v>
      </c>
      <c r="D18" s="343">
        <f>Calculations!M53</f>
        <v>0</v>
      </c>
      <c r="E18" s="70" t="e">
        <f>Calculations!O53</f>
        <v>#DIV/0!</v>
      </c>
    </row>
    <row r="19" spans="2:11">
      <c r="C19" s="124" t="s">
        <v>938</v>
      </c>
      <c r="D19" s="343">
        <f>Calculations!M55</f>
        <v>0</v>
      </c>
      <c r="E19" s="348"/>
      <c r="H19" s="114" t="s">
        <v>939</v>
      </c>
      <c r="I19" s="382">
        <f>Calculations!B288</f>
        <v>0</v>
      </c>
    </row>
    <row r="20" spans="2:11">
      <c r="B20" s="348"/>
      <c r="E20" s="122"/>
    </row>
    <row r="21" spans="2:11" ht="30">
      <c r="D21" s="74" t="s">
        <v>940</v>
      </c>
      <c r="E21" s="74" t="s">
        <v>941</v>
      </c>
      <c r="F21" s="74" t="s">
        <v>942</v>
      </c>
      <c r="H21" s="520"/>
      <c r="I21" s="520"/>
      <c r="J21" s="520"/>
      <c r="K21" s="520"/>
    </row>
    <row r="22" spans="2:11" ht="15" customHeight="1">
      <c r="C22" s="278" t="str">
        <f>Calculations!D823</f>
        <v>Total Development Costs</v>
      </c>
      <c r="D22" s="106">
        <f>Calculations!G823</f>
        <v>0</v>
      </c>
      <c r="E22" s="106">
        <f>Calculations!E823</f>
        <v>0</v>
      </c>
      <c r="F22" s="106">
        <f>Calculations!F823</f>
        <v>0</v>
      </c>
    </row>
    <row r="23" spans="2:11" ht="15" customHeight="1">
      <c r="C23" s="278" t="s">
        <v>943</v>
      </c>
      <c r="D23" s="106" t="e">
        <f>Calculations!G828</f>
        <v>#DIV/0!</v>
      </c>
      <c r="E23" s="106" t="e">
        <f>Calculations!E828</f>
        <v>#DIV/0!</v>
      </c>
      <c r="F23" s="106" t="e">
        <f>Calculations!F828</f>
        <v>#DIV/0!</v>
      </c>
    </row>
    <row r="24" spans="2:11" ht="15" customHeight="1">
      <c r="C24" s="278" t="str">
        <f>Calculations!D824</f>
        <v>Total Hard Costs</v>
      </c>
      <c r="D24" s="106">
        <f>Calculations!G824</f>
        <v>0</v>
      </c>
      <c r="E24" s="106">
        <f>Calculations!E824</f>
        <v>0</v>
      </c>
      <c r="F24" s="106">
        <f>Calculations!F824</f>
        <v>0</v>
      </c>
    </row>
    <row r="25" spans="2:11" ht="15" customHeight="1">
      <c r="C25" s="278" t="s">
        <v>944</v>
      </c>
      <c r="D25" s="106">
        <f>Calculations!G825</f>
        <v>0</v>
      </c>
      <c r="E25" s="106">
        <f>Calculations!E825</f>
        <v>0</v>
      </c>
      <c r="F25" s="106">
        <f>Calculations!F825</f>
        <v>0</v>
      </c>
    </row>
    <row r="26" spans="2:11" ht="15" customHeight="1">
      <c r="C26" s="278" t="str">
        <f>Calculations!D826</f>
        <v>Developer Fee</v>
      </c>
      <c r="D26" s="106">
        <f>Calculations!G826</f>
        <v>0</v>
      </c>
      <c r="E26" s="106">
        <f>Calculations!E826</f>
        <v>0</v>
      </c>
      <c r="F26" s="106">
        <f>Calculations!F826</f>
        <v>0</v>
      </c>
    </row>
    <row r="27" spans="2:11" ht="15" customHeight="1">
      <c r="C27" s="278" t="str">
        <f>Calculations!D827</f>
        <v>Total Reserves</v>
      </c>
      <c r="D27" s="106">
        <f>Calculations!G827</f>
        <v>0</v>
      </c>
      <c r="E27" s="106">
        <f>Calculations!E827</f>
        <v>0</v>
      </c>
      <c r="F27" s="106">
        <f>Calculations!F827</f>
        <v>0</v>
      </c>
    </row>
    <row r="28" spans="2:11" ht="15" customHeight="1">
      <c r="C28" s="278"/>
      <c r="D28" s="106"/>
      <c r="E28" s="106"/>
      <c r="F28" s="106"/>
    </row>
    <row r="29" spans="2:11">
      <c r="C29" s="114"/>
      <c r="D29" s="314">
        <v>0.04</v>
      </c>
      <c r="E29" s="314">
        <v>0.09</v>
      </c>
    </row>
    <row r="30" spans="2:11">
      <c r="C30" s="114" t="s">
        <v>822</v>
      </c>
      <c r="D30" s="106">
        <f>Calculations!C288</f>
        <v>0</v>
      </c>
      <c r="E30" s="106">
        <f>Calculations!D288</f>
        <v>0</v>
      </c>
    </row>
    <row r="31" spans="2:11">
      <c r="C31" s="114"/>
      <c r="D31" s="106"/>
    </row>
    <row r="32" spans="2:11">
      <c r="B32" s="123"/>
      <c r="C32" s="114" t="s">
        <v>945</v>
      </c>
      <c r="D32" s="276">
        <f>Calculations!B819</f>
        <v>0</v>
      </c>
      <c r="E32" s="18"/>
      <c r="F32" s="18"/>
      <c r="H32" s="121" t="s">
        <v>946</v>
      </c>
      <c r="I32" s="137">
        <f>Calculations!L40</f>
        <v>0</v>
      </c>
    </row>
    <row r="33" spans="1:12">
      <c r="B33" s="114"/>
      <c r="C33" s="114" t="s">
        <v>947</v>
      </c>
      <c r="D33" s="277">
        <f>Calculations!B821</f>
        <v>0</v>
      </c>
      <c r="E33" s="283" t="str">
        <f>Calculations!J821</f>
        <v/>
      </c>
      <c r="J33" s="370" t="str">
        <f>Calculations!M41</f>
        <v>Average Income midpoint is less than 60%</v>
      </c>
    </row>
    <row r="34" spans="1:12">
      <c r="B34" s="1"/>
      <c r="C34" s="114" t="s">
        <v>948</v>
      </c>
      <c r="D34" s="276">
        <f>Calculations!C820</f>
        <v>0</v>
      </c>
    </row>
    <row r="35" spans="1:12">
      <c r="B35" s="1"/>
      <c r="C35" s="114"/>
    </row>
    <row r="36" spans="1:12">
      <c r="C36" s="121" t="s">
        <v>949</v>
      </c>
      <c r="D36" s="494">
        <f>Calculations!E393</f>
        <v>1.1499999999999999</v>
      </c>
    </row>
    <row r="37" spans="1:12">
      <c r="C37" s="121" t="s">
        <v>950</v>
      </c>
      <c r="D37" s="496" t="str">
        <f>Calculations!B380</f>
        <v>Loans Missing</v>
      </c>
      <c r="F37" s="477" t="e">
        <f>Calculations!G393</f>
        <v>#VALUE!</v>
      </c>
      <c r="G37" s="477"/>
      <c r="H37" s="477"/>
      <c r="I37" s="321"/>
      <c r="J37" s="321"/>
      <c r="K37" s="321"/>
    </row>
    <row r="38" spans="1:12">
      <c r="C38" s="121"/>
      <c r="D38" s="120"/>
      <c r="F38" s="118"/>
    </row>
    <row r="39" spans="1:12">
      <c r="A39" s="927" t="s">
        <v>951</v>
      </c>
      <c r="B39" s="927"/>
      <c r="C39" s="927"/>
      <c r="D39" s="927"/>
      <c r="E39" s="927"/>
      <c r="F39" s="927"/>
      <c r="G39" s="927"/>
      <c r="H39" s="927"/>
      <c r="I39" s="927"/>
      <c r="J39" s="927"/>
      <c r="K39" s="927"/>
    </row>
    <row r="40" spans="1:12">
      <c r="K40" s="1"/>
    </row>
    <row r="41" spans="1:12">
      <c r="B41" s="1" t="s">
        <v>952</v>
      </c>
      <c r="C41" s="150">
        <f>Calculations!B294</f>
        <v>80</v>
      </c>
      <c r="F41" s="10" t="str">
        <f>Calculations!E317</f>
        <v>The minimum score requirement has NOT been met</v>
      </c>
      <c r="K41" s="1"/>
    </row>
    <row r="42" spans="1:12">
      <c r="B42" s="1" t="s">
        <v>953</v>
      </c>
      <c r="C42" s="243">
        <f>Calculations!B317</f>
        <v>15</v>
      </c>
      <c r="K42" s="1"/>
    </row>
    <row r="43" spans="1:12">
      <c r="B43" s="1"/>
      <c r="K43" s="1"/>
      <c r="L43" s="9"/>
    </row>
    <row r="44" spans="1:12">
      <c r="A44" s="927" t="s">
        <v>886</v>
      </c>
      <c r="B44" s="927"/>
      <c r="C44" s="927"/>
      <c r="D44" s="927"/>
      <c r="E44" s="927"/>
      <c r="F44" s="927"/>
      <c r="G44" s="927"/>
      <c r="H44" s="927"/>
      <c r="I44" s="927"/>
      <c r="J44" s="927"/>
      <c r="K44" s="927"/>
    </row>
    <row r="46" spans="1:12">
      <c r="E46" s="174" t="s">
        <v>888</v>
      </c>
      <c r="F46" s="174" t="s">
        <v>122</v>
      </c>
      <c r="I46" s="895"/>
      <c r="J46" s="895"/>
    </row>
    <row r="47" spans="1:12">
      <c r="B47" s="136" t="s">
        <v>954</v>
      </c>
      <c r="C47" s="337"/>
      <c r="E47" s="174" t="s">
        <v>910</v>
      </c>
      <c r="F47" s="174" t="s">
        <v>910</v>
      </c>
      <c r="I47" s="369"/>
      <c r="J47" s="369"/>
    </row>
    <row r="48" spans="1:12">
      <c r="B48" s="209" t="s">
        <v>955</v>
      </c>
      <c r="D48" s="147"/>
      <c r="E48" s="146" t="e">
        <f>Calculations!B468</f>
        <v>#N/A</v>
      </c>
      <c r="F48" s="146" t="str">
        <f>Calculations!C521</f>
        <v/>
      </c>
      <c r="I48" s="149"/>
      <c r="J48" s="149"/>
    </row>
    <row r="49" spans="1:11">
      <c r="B49" s="209" t="s">
        <v>956</v>
      </c>
      <c r="E49" s="149">
        <f>Calculations!B475</f>
        <v>0</v>
      </c>
      <c r="F49" s="149" t="str">
        <f>Calculations!C529</f>
        <v/>
      </c>
    </row>
    <row r="50" spans="1:11">
      <c r="B50" s="209" t="s">
        <v>957</v>
      </c>
      <c r="E50" s="149">
        <f>Calculations!B496</f>
        <v>0</v>
      </c>
      <c r="F50" s="149" t="str">
        <f>Calculations!C550</f>
        <v/>
      </c>
      <c r="G50" s="283" t="str">
        <f>Calculations!$D$496</f>
        <v/>
      </c>
      <c r="I50" s="114" t="s">
        <v>896</v>
      </c>
      <c r="J50" s="532">
        <f>Calculations!K73</f>
        <v>0</v>
      </c>
    </row>
    <row r="51" spans="1:11">
      <c r="B51" s="209"/>
      <c r="E51" s="149"/>
      <c r="F51" s="149"/>
    </row>
    <row r="52" spans="1:11">
      <c r="B52" s="1" t="s">
        <v>913</v>
      </c>
      <c r="E52" s="174" t="s">
        <v>888</v>
      </c>
      <c r="F52" s="174" t="s">
        <v>122</v>
      </c>
    </row>
    <row r="53" spans="1:11">
      <c r="D53" s="121" t="s">
        <v>914</v>
      </c>
      <c r="E53" s="149" t="e">
        <f>Calculations!B501</f>
        <v>#N/A</v>
      </c>
      <c r="F53" s="149">
        <f>Calculations!B573</f>
        <v>0</v>
      </c>
    </row>
    <row r="54" spans="1:11">
      <c r="D54" s="121" t="s">
        <v>915</v>
      </c>
      <c r="E54" s="149">
        <f>Calculations!B502</f>
        <v>0</v>
      </c>
      <c r="F54" s="150" t="s">
        <v>916</v>
      </c>
      <c r="I54" s="121" t="s">
        <v>958</v>
      </c>
      <c r="J54" s="137">
        <f>Calculations!B605</f>
        <v>0</v>
      </c>
    </row>
    <row r="55" spans="1:11">
      <c r="C55" s="147"/>
      <c r="D55" s="127" t="s">
        <v>913</v>
      </c>
      <c r="E55" s="146" t="e">
        <f>Calculations!B505</f>
        <v>#N/A</v>
      </c>
      <c r="F55" s="146">
        <f>Calculations!B573</f>
        <v>0</v>
      </c>
    </row>
    <row r="57" spans="1:11">
      <c r="B57" s="1" t="s">
        <v>959</v>
      </c>
      <c r="D57" s="151" t="str">
        <f>CONCATENATE(Calculations!C17," ",Calculations!C18," ",Calculations!C19)</f>
        <v xml:space="preserve">  </v>
      </c>
      <c r="E57" s="432"/>
      <c r="F57" s="432"/>
    </row>
    <row r="58" spans="1:11">
      <c r="B58" s="1"/>
      <c r="D58" s="151"/>
      <c r="E58" s="149"/>
      <c r="F58" s="149"/>
    </row>
    <row r="59" spans="1:11" ht="15" customHeight="1">
      <c r="A59" s="927" t="s">
        <v>960</v>
      </c>
      <c r="B59" s="927"/>
      <c r="C59" s="927"/>
      <c r="D59" s="927"/>
      <c r="E59" s="927"/>
      <c r="F59" s="927"/>
      <c r="G59" s="927"/>
      <c r="H59" s="927"/>
      <c r="I59" s="927"/>
      <c r="J59" s="927"/>
      <c r="K59" s="927"/>
    </row>
    <row r="60" spans="1:11" ht="15" customHeight="1">
      <c r="A60" s="341"/>
      <c r="B60" s="341"/>
      <c r="C60" s="341"/>
      <c r="D60" s="341"/>
      <c r="E60" s="341"/>
      <c r="F60" s="341"/>
      <c r="G60" s="341"/>
      <c r="H60" s="341"/>
      <c r="I60" s="341"/>
      <c r="J60" s="341"/>
      <c r="K60" s="341"/>
    </row>
    <row r="61" spans="1:11" ht="30" customHeight="1">
      <c r="B61" s="136"/>
      <c r="C61" s="104" t="s">
        <v>961</v>
      </c>
      <c r="D61" s="135" t="s">
        <v>962</v>
      </c>
      <c r="E61" s="135" t="s">
        <v>963</v>
      </c>
      <c r="F61" s="134"/>
      <c r="G61" s="134"/>
      <c r="H61" s="104" t="s">
        <v>964</v>
      </c>
      <c r="I61" s="135" t="s">
        <v>412</v>
      </c>
    </row>
    <row r="62" spans="1:11" ht="15" customHeight="1">
      <c r="B62" s="1"/>
      <c r="C62" s="67" t="s">
        <v>965</v>
      </c>
      <c r="D62" s="382">
        <f>Calculations!B137</f>
        <v>0</v>
      </c>
      <c r="E62" s="382">
        <f>Calculations!C137</f>
        <v>0</v>
      </c>
      <c r="F62" s="134"/>
      <c r="H62" s="67" t="str">
        <f>Calculations!A168</f>
        <v>Land &amp; Buildings</v>
      </c>
      <c r="I62" s="385">
        <f>Calculations!B172</f>
        <v>0</v>
      </c>
    </row>
    <row r="63" spans="1:11" ht="15" customHeight="1">
      <c r="C63" s="67" t="s">
        <v>966</v>
      </c>
      <c r="D63" s="382">
        <f>Calculations!B138</f>
        <v>0</v>
      </c>
      <c r="H63" s="67" t="str">
        <f>Calculations!A173</f>
        <v>Site Work</v>
      </c>
      <c r="I63" s="385">
        <f>Calculations!B176</f>
        <v>0</v>
      </c>
    </row>
    <row r="64" spans="1:11" ht="15" customHeight="1">
      <c r="C64" s="67" t="s">
        <v>397</v>
      </c>
      <c r="D64" s="382">
        <f>Calculations!B139</f>
        <v>0</v>
      </c>
      <c r="H64" s="67" t="str">
        <f>Calculations!A177</f>
        <v>Rehab. &amp; New Construction</v>
      </c>
      <c r="I64" s="385">
        <f>Calculations!B192</f>
        <v>0</v>
      </c>
    </row>
    <row r="65" spans="2:9" ht="15" customHeight="1">
      <c r="C65" s="67" t="s">
        <v>398</v>
      </c>
      <c r="D65" s="382">
        <f>Calculations!B140</f>
        <v>0</v>
      </c>
      <c r="F65" s="274"/>
      <c r="G65" s="129"/>
      <c r="H65" s="67" t="str">
        <f>Calculations!A193</f>
        <v>Professional Fees</v>
      </c>
      <c r="I65" s="385">
        <f>Calculations!B208</f>
        <v>0</v>
      </c>
    </row>
    <row r="66" spans="2:9">
      <c r="B66" s="936" t="s">
        <v>967</v>
      </c>
      <c r="C66" s="936"/>
      <c r="D66" s="428">
        <f>Calculations!B142</f>
        <v>0</v>
      </c>
      <c r="E66" s="10" t="s">
        <v>968</v>
      </c>
      <c r="H66" s="191" t="str">
        <f>Calculations!A209</f>
        <v>Construction Interim Costs</v>
      </c>
      <c r="I66" s="385">
        <f>Calculations!B227</f>
        <v>0</v>
      </c>
    </row>
    <row r="67" spans="2:9" ht="15" customHeight="1">
      <c r="B67" s="164"/>
      <c r="C67" s="67"/>
      <c r="D67" s="429"/>
      <c r="E67" s="119"/>
      <c r="F67" s="275"/>
      <c r="G67" s="129"/>
      <c r="H67" s="67" t="str">
        <f>Calculations!A228</f>
        <v>Permanent Financing</v>
      </c>
      <c r="I67" s="385">
        <f>Calculations!B243</f>
        <v>0</v>
      </c>
    </row>
    <row r="68" spans="2:9" ht="15" customHeight="1">
      <c r="C68" s="67" t="s">
        <v>969</v>
      </c>
      <c r="D68" s="382">
        <f>Calculations!E563</f>
        <v>0</v>
      </c>
      <c r="E68" s="429">
        <f>Calculations!B574</f>
        <v>0</v>
      </c>
      <c r="F68" s="129" t="s">
        <v>970</v>
      </c>
      <c r="H68" s="67" t="str">
        <f>Calculations!A244</f>
        <v>Soft Costs</v>
      </c>
      <c r="I68" s="385">
        <f>Calculations!B262</f>
        <v>0</v>
      </c>
    </row>
    <row r="69" spans="2:9" ht="15" customHeight="1">
      <c r="C69" s="67" t="s">
        <v>971</v>
      </c>
      <c r="D69" s="382" t="e">
        <f>Calculations!E564</f>
        <v>#N/A</v>
      </c>
      <c r="E69" s="431">
        <f>Calculations!B563</f>
        <v>0</v>
      </c>
      <c r="F69" s="129" t="s">
        <v>972</v>
      </c>
      <c r="H69" s="67" t="str">
        <f>Calculations!A263</f>
        <v>Syndication Costs</v>
      </c>
      <c r="I69" s="385">
        <f>Calculations!B270</f>
        <v>0</v>
      </c>
    </row>
    <row r="70" spans="2:9" ht="15" customHeight="1">
      <c r="C70" s="67" t="s">
        <v>973</v>
      </c>
      <c r="D70" s="382">
        <f>Calculations!E565</f>
        <v>0</v>
      </c>
      <c r="E70" s="119"/>
      <c r="F70" s="130"/>
      <c r="G70" s="129"/>
      <c r="H70" s="67" t="str">
        <f>Calculations!A271</f>
        <v>Developer Fees</v>
      </c>
      <c r="I70" s="385">
        <f>Calculations!B279</f>
        <v>0</v>
      </c>
    </row>
    <row r="71" spans="2:9" ht="15" customHeight="1">
      <c r="C71" s="67" t="s">
        <v>974</v>
      </c>
      <c r="D71" s="499">
        <f>Calculations!B163</f>
        <v>0</v>
      </c>
      <c r="E71" s="119"/>
      <c r="F71" s="500"/>
      <c r="G71" s="129"/>
      <c r="H71" s="67" t="str">
        <f>Calculations!A280</f>
        <v>Project Reserves</v>
      </c>
      <c r="I71" s="382">
        <f>Calculations!B287</f>
        <v>0</v>
      </c>
    </row>
    <row r="72" spans="2:9" ht="15" customHeight="1">
      <c r="B72" s="128"/>
      <c r="C72" s="127" t="s">
        <v>975</v>
      </c>
      <c r="D72" s="383" t="e">
        <f>Calculations!E566</f>
        <v>#N/A</v>
      </c>
      <c r="E72" s="119"/>
      <c r="H72" s="67" t="s">
        <v>391</v>
      </c>
      <c r="I72" s="386">
        <f>Calculations!B288</f>
        <v>0</v>
      </c>
    </row>
    <row r="73" spans="2:9" ht="15" customHeight="1">
      <c r="C73" s="121" t="s">
        <v>976</v>
      </c>
      <c r="D73" s="382">
        <f>Calculations!E567</f>
        <v>0</v>
      </c>
      <c r="E73" s="283" t="str">
        <f>Calculations!G566</f>
        <v>Total Funds for Development do not equal Total Development Budget</v>
      </c>
      <c r="F73" s="123"/>
      <c r="G73" s="123"/>
      <c r="H73" s="123"/>
    </row>
    <row r="74" spans="2:9" ht="15" customHeight="1">
      <c r="B74" s="128"/>
      <c r="C74" s="127" t="s">
        <v>977</v>
      </c>
      <c r="D74" s="383" t="e">
        <f>Calculations!E568</f>
        <v>#N/A</v>
      </c>
      <c r="E74" s="119"/>
      <c r="H74" s="67" t="s">
        <v>590</v>
      </c>
      <c r="I74" s="501">
        <f>Calculations!B633</f>
        <v>0</v>
      </c>
    </row>
    <row r="75" spans="2:9" ht="15" customHeight="1">
      <c r="B75" s="102"/>
      <c r="C75" s="121"/>
      <c r="D75" s="382"/>
      <c r="E75" s="119"/>
      <c r="F75" s="125"/>
      <c r="H75" s="121" t="s">
        <v>978</v>
      </c>
      <c r="I75" s="502">
        <f>Calculations!E567</f>
        <v>0</v>
      </c>
    </row>
    <row r="76" spans="2:9">
      <c r="B76" s="114"/>
      <c r="C76" s="124" t="s">
        <v>979</v>
      </c>
      <c r="D76" s="382">
        <f>Calculations!H128</f>
        <v>0</v>
      </c>
      <c r="F76" s="118"/>
    </row>
    <row r="77" spans="2:9">
      <c r="C77" s="124" t="s">
        <v>980</v>
      </c>
      <c r="D77" s="499">
        <f>Calculations!H129</f>
        <v>0</v>
      </c>
      <c r="E77" s="283" t="str">
        <f>Calculations!K129</f>
        <v>Construction interest actual exceeds construction interest test</v>
      </c>
      <c r="F77" s="123"/>
      <c r="G77" s="123"/>
    </row>
    <row r="78" spans="2:9">
      <c r="C78" s="124"/>
      <c r="D78" s="499"/>
      <c r="E78" s="122"/>
      <c r="F78" s="118"/>
    </row>
    <row r="79" spans="2:9">
      <c r="C79" s="121" t="s">
        <v>981</v>
      </c>
      <c r="D79" s="479" t="e">
        <f>Calculations!B421</f>
        <v>#N/A</v>
      </c>
    </row>
    <row r="80" spans="2:9">
      <c r="C80" s="121" t="s">
        <v>982</v>
      </c>
      <c r="D80" s="382">
        <f>Calculations!E424</f>
        <v>0</v>
      </c>
    </row>
    <row r="81" spans="1:11">
      <c r="B81" s="1"/>
      <c r="C81" s="384" t="s">
        <v>983</v>
      </c>
      <c r="D81" s="430">
        <f>Calculations!B829</f>
        <v>0</v>
      </c>
    </row>
    <row r="82" spans="1:11">
      <c r="B82" s="1"/>
      <c r="C82" s="121"/>
      <c r="F82" s="274"/>
    </row>
    <row r="83" spans="1:11" s="88" customFormat="1">
      <c r="A83" s="927" t="s">
        <v>984</v>
      </c>
      <c r="B83" s="927"/>
      <c r="C83" s="927"/>
      <c r="D83" s="927"/>
      <c r="E83" s="927"/>
      <c r="F83" s="927"/>
      <c r="G83" s="927"/>
      <c r="H83" s="927"/>
      <c r="I83" s="927"/>
      <c r="J83" s="927"/>
      <c r="K83" s="927"/>
    </row>
    <row r="84" spans="1:11" s="88" customFormat="1">
      <c r="B84" s="84"/>
      <c r="C84" s="83"/>
      <c r="D84" s="83"/>
      <c r="E84" s="83"/>
      <c r="F84" s="83"/>
      <c r="G84" s="83"/>
      <c r="H84" s="83"/>
    </row>
    <row r="85" spans="1:11" s="88" customFormat="1">
      <c r="B85" s="84"/>
      <c r="C85" s="83"/>
      <c r="D85" s="75" t="s">
        <v>985</v>
      </c>
      <c r="E85" s="83"/>
      <c r="F85" s="83"/>
      <c r="G85" s="83"/>
      <c r="H85" s="83"/>
    </row>
    <row r="86" spans="1:11" s="88" customFormat="1">
      <c r="B86" s="84"/>
      <c r="C86" s="184" t="s">
        <v>986</v>
      </c>
      <c r="D86" s="83">
        <f>Calculations!B357</f>
        <v>0</v>
      </c>
      <c r="E86" s="83"/>
    </row>
    <row r="87" spans="1:11" s="88" customFormat="1">
      <c r="B87" s="186"/>
      <c r="C87" s="185" t="s">
        <v>987</v>
      </c>
      <c r="D87" s="338">
        <f>Calculations!B356</f>
        <v>0</v>
      </c>
      <c r="E87" s="139"/>
      <c r="F87" s="83"/>
      <c r="G87" s="83"/>
      <c r="H87" s="83"/>
    </row>
    <row r="88" spans="1:11" s="88" customFormat="1">
      <c r="B88" s="102"/>
      <c r="C88" s="121" t="s">
        <v>988</v>
      </c>
      <c r="D88" s="83">
        <f>Calculations!B358</f>
        <v>0</v>
      </c>
      <c r="E88" s="83"/>
      <c r="F88" s="83"/>
      <c r="G88" s="83"/>
      <c r="H88" s="83"/>
    </row>
    <row r="89" spans="1:11" s="88" customFormat="1">
      <c r="B89" s="933" t="s">
        <v>989</v>
      </c>
      <c r="C89" s="934"/>
      <c r="D89" s="338">
        <f>Calculations!B359</f>
        <v>0</v>
      </c>
      <c r="E89" s="83"/>
      <c r="F89" s="303" t="str">
        <f>Calculations!C354</f>
        <v>* Calculating at a Standard Vacancy Allowance of 7.0%</v>
      </c>
      <c r="G89" s="83"/>
      <c r="H89" s="83"/>
    </row>
    <row r="90" spans="1:11" s="88" customFormat="1">
      <c r="B90" s="84"/>
      <c r="C90" s="121" t="s">
        <v>990</v>
      </c>
      <c r="D90" s="83">
        <f>Calculations!B360</f>
        <v>0</v>
      </c>
      <c r="E90" s="83"/>
      <c r="F90" s="83"/>
      <c r="G90" s="83"/>
      <c r="H90" s="83"/>
    </row>
    <row r="91" spans="1:11" s="88" customFormat="1">
      <c r="B91" s="84"/>
      <c r="C91" s="83"/>
      <c r="D91" s="83"/>
      <c r="E91" s="83"/>
      <c r="F91" s="83"/>
      <c r="G91" s="83"/>
      <c r="H91" s="83"/>
    </row>
    <row r="92" spans="1:11" s="88" customFormat="1">
      <c r="B92" s="84"/>
      <c r="C92" s="83"/>
      <c r="D92" s="75" t="s">
        <v>991</v>
      </c>
      <c r="E92" s="83"/>
      <c r="F92" s="83"/>
      <c r="G92" s="83"/>
      <c r="H92" s="83"/>
    </row>
    <row r="93" spans="1:11" s="88" customFormat="1">
      <c r="B93" s="84"/>
      <c r="C93" s="184" t="s">
        <v>992</v>
      </c>
      <c r="D93" s="83">
        <f>Calculations!F356</f>
        <v>0</v>
      </c>
      <c r="E93" s="83"/>
      <c r="F93" s="83"/>
      <c r="G93" s="139"/>
      <c r="H93" s="83"/>
    </row>
    <row r="94" spans="1:11" s="88" customFormat="1">
      <c r="B94" s="84"/>
      <c r="C94" s="184" t="s">
        <v>993</v>
      </c>
      <c r="D94" s="83">
        <f>Calculations!F357</f>
        <v>0</v>
      </c>
      <c r="E94" s="83"/>
      <c r="F94" s="139"/>
      <c r="G94" s="83"/>
      <c r="H94" s="83"/>
    </row>
    <row r="95" spans="1:11" s="88" customFormat="1">
      <c r="B95" s="186"/>
      <c r="C95" s="185" t="s">
        <v>994</v>
      </c>
      <c r="D95" s="83">
        <f>Calculations!F358</f>
        <v>0</v>
      </c>
      <c r="E95" s="83"/>
      <c r="F95" s="83"/>
      <c r="G95" s="83"/>
      <c r="H95" s="83"/>
    </row>
    <row r="96" spans="1:11" s="88" customFormat="1">
      <c r="B96" s="102"/>
      <c r="C96" s="121" t="s">
        <v>995</v>
      </c>
      <c r="D96" s="83">
        <f>Calculations!F359</f>
        <v>0</v>
      </c>
      <c r="E96" s="83"/>
      <c r="F96" s="139"/>
      <c r="G96" s="83"/>
      <c r="H96" s="83"/>
    </row>
    <row r="97" spans="1:12" s="88" customFormat="1">
      <c r="B97" s="84"/>
      <c r="C97" s="799"/>
      <c r="D97" s="800"/>
      <c r="E97" s="83"/>
      <c r="F97" s="83"/>
      <c r="G97" s="83"/>
      <c r="H97" s="83"/>
    </row>
    <row r="98" spans="1:12" s="88" customFormat="1">
      <c r="B98" s="102"/>
      <c r="C98" s="121"/>
      <c r="D98" s="801"/>
      <c r="E98" s="83"/>
      <c r="F98" s="83"/>
      <c r="G98" s="83"/>
      <c r="H98" s="83"/>
    </row>
    <row r="99" spans="1:12" s="88" customFormat="1">
      <c r="B99" s="102"/>
      <c r="C99" s="121"/>
      <c r="D99" s="83"/>
      <c r="E99" s="83"/>
      <c r="F99" s="83"/>
      <c r="G99" s="83"/>
      <c r="H99" s="83"/>
    </row>
    <row r="100" spans="1:12" ht="15" customHeight="1">
      <c r="A100" s="927" t="s">
        <v>996</v>
      </c>
      <c r="B100" s="927"/>
      <c r="C100" s="927"/>
      <c r="D100" s="927"/>
      <c r="E100" s="927"/>
      <c r="F100" s="927"/>
      <c r="G100" s="927"/>
      <c r="H100" s="927"/>
      <c r="I100" s="927"/>
      <c r="J100" s="927"/>
      <c r="K100" s="927"/>
    </row>
    <row r="102" spans="1:12" ht="30">
      <c r="D102" s="74" t="s">
        <v>997</v>
      </c>
      <c r="E102" s="74" t="s">
        <v>998</v>
      </c>
      <c r="F102" s="115" t="s">
        <v>999</v>
      </c>
      <c r="G102" s="10" t="s">
        <v>1000</v>
      </c>
    </row>
    <row r="103" spans="1:12" ht="15" customHeight="1">
      <c r="C103" s="114" t="s">
        <v>1001</v>
      </c>
      <c r="D103" s="106">
        <f>Calculations!B346</f>
        <v>0</v>
      </c>
      <c r="E103" s="106">
        <f>Calculations!C346</f>
        <v>0</v>
      </c>
      <c r="F103" s="106">
        <f>Calculations!D346</f>
        <v>4500</v>
      </c>
      <c r="G103" s="283" t="str">
        <f>Calculations!G346</f>
        <v/>
      </c>
    </row>
    <row r="104" spans="1:12">
      <c r="C104" s="114" t="s">
        <v>505</v>
      </c>
      <c r="D104" s="106">
        <f>Calculations!B347</f>
        <v>0</v>
      </c>
      <c r="E104" s="106">
        <f>Calculations!C347</f>
        <v>0</v>
      </c>
      <c r="F104" s="106">
        <f>Calculations!D347</f>
        <v>300</v>
      </c>
      <c r="G104" s="283" t="str">
        <f>Calculations!G347</f>
        <v/>
      </c>
    </row>
    <row r="105" spans="1:12">
      <c r="C105" s="114" t="s">
        <v>1002</v>
      </c>
      <c r="D105" s="106">
        <f>Calculations!B349</f>
        <v>0</v>
      </c>
      <c r="F105" s="106">
        <f>Calculations!D349</f>
        <v>0</v>
      </c>
      <c r="G105" s="283" t="str">
        <f>Calculations!G349</f>
        <v>The minimum development operating reserves requirement has been met</v>
      </c>
    </row>
    <row r="107" spans="1:12" s="88" customFormat="1">
      <c r="A107" s="927" t="s">
        <v>1003</v>
      </c>
      <c r="B107" s="927"/>
      <c r="C107" s="927"/>
      <c r="D107" s="927"/>
      <c r="E107" s="927"/>
      <c r="F107" s="927"/>
      <c r="G107" s="927"/>
      <c r="H107" s="927"/>
      <c r="I107" s="927"/>
      <c r="J107" s="927"/>
      <c r="K107" s="927"/>
    </row>
    <row r="108" spans="1:12" s="88" customFormat="1">
      <c r="A108" s="935" t="s">
        <v>1004</v>
      </c>
      <c r="B108" s="935"/>
      <c r="C108" s="935"/>
      <c r="D108" s="935"/>
      <c r="E108" s="935"/>
      <c r="F108" s="935"/>
      <c r="G108" s="935"/>
      <c r="H108" s="935"/>
      <c r="I108" s="935"/>
      <c r="J108" s="935"/>
      <c r="K108" s="935"/>
    </row>
    <row r="109" spans="1:12" s="88" customFormat="1">
      <c r="L109" s="18"/>
    </row>
    <row r="110" spans="1:12" s="88" customFormat="1">
      <c r="C110" s="74" t="s">
        <v>559</v>
      </c>
      <c r="D110" s="74" t="s">
        <v>1005</v>
      </c>
      <c r="E110" s="74" t="s">
        <v>561</v>
      </c>
      <c r="F110" s="74" t="s">
        <v>562</v>
      </c>
      <c r="G110" s="74" t="s">
        <v>563</v>
      </c>
      <c r="H110" s="74" t="s">
        <v>564</v>
      </c>
      <c r="I110" s="74" t="s">
        <v>565</v>
      </c>
      <c r="J110" s="74" t="s">
        <v>566</v>
      </c>
    </row>
    <row r="111" spans="1:12" s="88" customFormat="1">
      <c r="B111" s="187" t="str">
        <f>Calculations!A373</f>
        <v>Effective Gross Income</v>
      </c>
      <c r="C111" s="106">
        <f>Calculations!B373</f>
        <v>0</v>
      </c>
      <c r="D111" s="106">
        <f>Calculations!C373</f>
        <v>0</v>
      </c>
      <c r="E111" s="106">
        <f>Calculations!D373</f>
        <v>0</v>
      </c>
      <c r="F111" s="106">
        <f>Calculations!E373</f>
        <v>0</v>
      </c>
      <c r="G111" s="106">
        <f>Calculations!F373</f>
        <v>0</v>
      </c>
      <c r="H111" s="106">
        <f>Calculations!G373</f>
        <v>0</v>
      </c>
      <c r="I111" s="106">
        <f>Calculations!H373</f>
        <v>0</v>
      </c>
      <c r="J111" s="106">
        <f>Calculations!I373</f>
        <v>0</v>
      </c>
    </row>
    <row r="112" spans="1:12" s="88" customFormat="1">
      <c r="B112" s="187" t="str">
        <f>Calculations!A374</f>
        <v>Total Project Expenses</v>
      </c>
      <c r="C112" s="106">
        <f>Calculations!B374</f>
        <v>0</v>
      </c>
      <c r="D112" s="106">
        <f>Calculations!C374</f>
        <v>0</v>
      </c>
      <c r="E112" s="106">
        <f>Calculations!D374</f>
        <v>0</v>
      </c>
      <c r="F112" s="106">
        <f>Calculations!E374</f>
        <v>0</v>
      </c>
      <c r="G112" s="106">
        <f>Calculations!F374</f>
        <v>0</v>
      </c>
      <c r="H112" s="106">
        <f>Calculations!G374</f>
        <v>0</v>
      </c>
      <c r="I112" s="106">
        <f>Calculations!H374</f>
        <v>0</v>
      </c>
      <c r="J112" s="106">
        <f>Calculations!I374</f>
        <v>0</v>
      </c>
    </row>
    <row r="113" spans="2:10" s="88" customFormat="1">
      <c r="B113" s="187" t="str">
        <f>Calculations!A375</f>
        <v>Net Operating Income</v>
      </c>
      <c r="C113" s="106">
        <f>Calculations!B375</f>
        <v>0</v>
      </c>
      <c r="D113" s="106">
        <f>Calculations!C375</f>
        <v>0</v>
      </c>
      <c r="E113" s="106">
        <f>Calculations!D375</f>
        <v>0</v>
      </c>
      <c r="F113" s="106">
        <f>Calculations!E375</f>
        <v>0</v>
      </c>
      <c r="G113" s="106">
        <f>Calculations!F375</f>
        <v>0</v>
      </c>
      <c r="H113" s="106">
        <f>Calculations!G375</f>
        <v>0</v>
      </c>
      <c r="I113" s="106">
        <f>Calculations!H375</f>
        <v>0</v>
      </c>
      <c r="J113" s="106">
        <f>Calculations!I375</f>
        <v>0</v>
      </c>
    </row>
    <row r="114" spans="2:10" s="88" customFormat="1">
      <c r="B114" s="187" t="str">
        <f>Calculations!A376</f>
        <v>First Mortgage</v>
      </c>
      <c r="C114" s="106">
        <f>Calculations!B376</f>
        <v>0</v>
      </c>
      <c r="D114" s="106">
        <f>Calculations!C376</f>
        <v>0</v>
      </c>
      <c r="E114" s="106">
        <f>Calculations!D376</f>
        <v>0</v>
      </c>
      <c r="F114" s="106">
        <f>Calculations!E376</f>
        <v>0</v>
      </c>
      <c r="G114" s="106">
        <f>Calculations!F376</f>
        <v>0</v>
      </c>
      <c r="H114" s="106">
        <f>Calculations!G376</f>
        <v>0</v>
      </c>
      <c r="I114" s="106">
        <f>Calculations!H376</f>
        <v>0</v>
      </c>
      <c r="J114" s="106">
        <f>Calculations!I376</f>
        <v>0</v>
      </c>
    </row>
    <row r="115" spans="2:10" s="88" customFormat="1">
      <c r="B115" s="187" t="str">
        <f>Calculations!A377</f>
        <v>Second Mortgage</v>
      </c>
      <c r="C115" s="106">
        <f>Calculations!B377</f>
        <v>0</v>
      </c>
      <c r="D115" s="106">
        <f>Calculations!C377</f>
        <v>0</v>
      </c>
      <c r="E115" s="106">
        <f>Calculations!D377</f>
        <v>0</v>
      </c>
      <c r="F115" s="106">
        <f>Calculations!E377</f>
        <v>0</v>
      </c>
      <c r="G115" s="106">
        <f>Calculations!F377</f>
        <v>0</v>
      </c>
      <c r="H115" s="106">
        <f>Calculations!G377</f>
        <v>0</v>
      </c>
      <c r="I115" s="106">
        <f>Calculations!H377</f>
        <v>0</v>
      </c>
      <c r="J115" s="106">
        <f>Calculations!I377</f>
        <v>0</v>
      </c>
    </row>
    <row r="116" spans="2:10" s="88" customFormat="1">
      <c r="B116" s="187" t="str">
        <f>Calculations!A378</f>
        <v>Third Mortgage</v>
      </c>
      <c r="C116" s="106">
        <f>Calculations!B378</f>
        <v>0</v>
      </c>
      <c r="D116" s="106">
        <f>Calculations!C378</f>
        <v>0</v>
      </c>
      <c r="E116" s="106">
        <f>Calculations!D378</f>
        <v>0</v>
      </c>
      <c r="F116" s="106">
        <f>Calculations!E378</f>
        <v>0</v>
      </c>
      <c r="G116" s="106">
        <f>Calculations!F378</f>
        <v>0</v>
      </c>
      <c r="H116" s="106">
        <f>Calculations!G378</f>
        <v>0</v>
      </c>
      <c r="I116" s="106">
        <f>Calculations!H378</f>
        <v>0</v>
      </c>
      <c r="J116" s="106">
        <f>Calculations!I378</f>
        <v>0</v>
      </c>
    </row>
    <row r="117" spans="2:10" s="88" customFormat="1">
      <c r="B117" s="187" t="str">
        <f>Calculations!A379</f>
        <v>Net Project Cash Flow</v>
      </c>
      <c r="C117" s="106">
        <f>Calculations!B379</f>
        <v>0</v>
      </c>
      <c r="D117" s="106">
        <f>Calculations!C379</f>
        <v>0</v>
      </c>
      <c r="E117" s="106">
        <f>Calculations!D379</f>
        <v>0</v>
      </c>
      <c r="F117" s="106">
        <f>Calculations!E379</f>
        <v>0</v>
      </c>
      <c r="G117" s="106">
        <f>Calculations!F379</f>
        <v>0</v>
      </c>
      <c r="H117" s="106">
        <f>Calculations!G379</f>
        <v>0</v>
      </c>
      <c r="I117" s="106">
        <f>Calculations!H379</f>
        <v>0</v>
      </c>
      <c r="J117" s="106">
        <f>Calculations!I379</f>
        <v>0</v>
      </c>
    </row>
    <row r="118" spans="2:10" s="88" customFormat="1">
      <c r="B118" s="187" t="str">
        <f>Calculations!A380</f>
        <v>Debt Coverage Ratio</v>
      </c>
      <c r="C118" s="339" t="str">
        <f>Calculations!B380</f>
        <v>Loans Missing</v>
      </c>
      <c r="D118" s="339" t="str">
        <f>Calculations!C380</f>
        <v>Loans Missing</v>
      </c>
      <c r="E118" s="339" t="str">
        <f>Calculations!D380</f>
        <v>Loans Missing</v>
      </c>
      <c r="F118" s="339" t="str">
        <f>Calculations!E380</f>
        <v>Loans Missing</v>
      </c>
      <c r="G118" s="339" t="str">
        <f>Calculations!F380</f>
        <v>Loans Missing</v>
      </c>
      <c r="H118" s="339" t="str">
        <f>Calculations!G380</f>
        <v>Loans Missing</v>
      </c>
      <c r="I118" s="339" t="str">
        <f>Calculations!H380</f>
        <v>Loans Missing</v>
      </c>
      <c r="J118" s="339" t="str">
        <f>Calculations!I380</f>
        <v>Loans Missing</v>
      </c>
    </row>
    <row r="119" spans="2:10" s="88" customFormat="1">
      <c r="B119" s="187"/>
      <c r="C119" s="106"/>
      <c r="D119" s="106"/>
      <c r="E119" s="106"/>
      <c r="F119" s="106"/>
      <c r="G119" s="106"/>
      <c r="H119" s="106"/>
      <c r="I119" s="106"/>
      <c r="J119" s="106"/>
    </row>
    <row r="120" spans="2:10" s="88" customFormat="1" ht="30">
      <c r="B120" s="188" t="str">
        <f>Calculations!A382</f>
        <v>Cash Flow Available for Distribution</v>
      </c>
      <c r="C120" s="113">
        <f>Calculations!B382</f>
        <v>0</v>
      </c>
      <c r="D120" s="113">
        <f>Calculations!C382</f>
        <v>0</v>
      </c>
      <c r="E120" s="113">
        <f>Calculations!D382</f>
        <v>0</v>
      </c>
      <c r="F120" s="113">
        <f>Calculations!E382</f>
        <v>0</v>
      </c>
      <c r="G120" s="113">
        <f>Calculations!F382</f>
        <v>0</v>
      </c>
      <c r="H120" s="113">
        <f>Calculations!G382</f>
        <v>0</v>
      </c>
      <c r="I120" s="113">
        <f>Calculations!H382</f>
        <v>0</v>
      </c>
      <c r="J120" s="113">
        <f>Calculations!I382</f>
        <v>0</v>
      </c>
    </row>
    <row r="121" spans="2:10" s="88" customFormat="1" ht="30">
      <c r="B121" s="188" t="str">
        <f>Calculations!A383</f>
        <v>Partnership/Asset Mgt. Fees</v>
      </c>
      <c r="C121" s="113">
        <f>Calculations!B383</f>
        <v>0</v>
      </c>
      <c r="D121" s="113">
        <f>Calculations!C383</f>
        <v>0</v>
      </c>
      <c r="E121" s="113">
        <f>Calculations!D383</f>
        <v>0</v>
      </c>
      <c r="F121" s="113">
        <f>Calculations!E383</f>
        <v>0</v>
      </c>
      <c r="G121" s="113">
        <f>Calculations!F383</f>
        <v>0</v>
      </c>
      <c r="H121" s="113">
        <f>Calculations!G383</f>
        <v>0</v>
      </c>
      <c r="I121" s="113">
        <f>Calculations!H383</f>
        <v>0</v>
      </c>
      <c r="J121" s="113">
        <f>Calculations!I383</f>
        <v>0</v>
      </c>
    </row>
    <row r="122" spans="2:10" s="88" customFormat="1" ht="30">
      <c r="B122" s="188" t="str">
        <f>Calculations!A384</f>
        <v>Bond Fees (if applicable)</v>
      </c>
      <c r="C122" s="113">
        <f>Calculations!B384</f>
        <v>0</v>
      </c>
      <c r="D122" s="113">
        <f>Calculations!C384</f>
        <v>0</v>
      </c>
      <c r="E122" s="113">
        <f>Calculations!D384</f>
        <v>0</v>
      </c>
      <c r="F122" s="113">
        <f>Calculations!E384</f>
        <v>0</v>
      </c>
      <c r="G122" s="113">
        <f>Calculations!F384</f>
        <v>0</v>
      </c>
      <c r="H122" s="113">
        <f>Calculations!G384</f>
        <v>0</v>
      </c>
      <c r="I122" s="113">
        <f>Calculations!H384</f>
        <v>0</v>
      </c>
      <c r="J122" s="113">
        <f>Calculations!I384</f>
        <v>0</v>
      </c>
    </row>
    <row r="123" spans="2:10" s="88" customFormat="1" ht="30">
      <c r="B123" s="188" t="str">
        <f>Calculations!A385</f>
        <v>Deferred Developer Fee Repayment*</v>
      </c>
      <c r="C123" s="113">
        <f>Calculations!B385</f>
        <v>0</v>
      </c>
      <c r="D123" s="113">
        <f>Calculations!C385</f>
        <v>0</v>
      </c>
      <c r="E123" s="113">
        <f>Calculations!D385</f>
        <v>0</v>
      </c>
      <c r="F123" s="113">
        <f>Calculations!E385</f>
        <v>0</v>
      </c>
      <c r="G123" s="113">
        <f>Calculations!F385</f>
        <v>0</v>
      </c>
      <c r="H123" s="113">
        <f>Calculations!G385</f>
        <v>0</v>
      </c>
      <c r="I123" s="113">
        <f>Calculations!H385</f>
        <v>0</v>
      </c>
      <c r="J123" s="113">
        <f>Calculations!I385</f>
        <v>0</v>
      </c>
    </row>
    <row r="124" spans="2:10" s="88" customFormat="1">
      <c r="B124" s="188" t="str">
        <f>Calculations!A386</f>
        <v>Other (Specify)</v>
      </c>
      <c r="C124" s="113">
        <f>Calculations!B386</f>
        <v>0</v>
      </c>
      <c r="D124" s="113">
        <f>Calculations!C386</f>
        <v>0</v>
      </c>
      <c r="E124" s="113">
        <f>Calculations!D386</f>
        <v>0</v>
      </c>
      <c r="F124" s="113">
        <f>Calculations!E386</f>
        <v>0</v>
      </c>
      <c r="G124" s="113">
        <f>Calculations!F386</f>
        <v>0</v>
      </c>
      <c r="H124" s="113">
        <f>Calculations!G386</f>
        <v>0</v>
      </c>
      <c r="I124" s="113">
        <f>Calculations!H386</f>
        <v>0</v>
      </c>
      <c r="J124" s="113">
        <f>Calculations!I386</f>
        <v>0</v>
      </c>
    </row>
    <row r="125" spans="2:10" s="88" customFormat="1" ht="32.25" customHeight="1">
      <c r="B125" s="188" t="str">
        <f>Calculations!A387</f>
        <v>Cash Flow Paid for Services</v>
      </c>
      <c r="C125" s="113">
        <f>Calculations!B387</f>
        <v>0</v>
      </c>
      <c r="D125" s="113">
        <f>Calculations!C387</f>
        <v>0</v>
      </c>
      <c r="E125" s="113">
        <f>Calculations!D387</f>
        <v>0</v>
      </c>
      <c r="F125" s="113">
        <f>Calculations!E387</f>
        <v>0</v>
      </c>
      <c r="G125" s="113">
        <f>Calculations!F387</f>
        <v>0</v>
      </c>
      <c r="H125" s="113">
        <f>Calculations!G387</f>
        <v>0</v>
      </c>
      <c r="I125" s="113">
        <f>Calculations!H387</f>
        <v>0</v>
      </c>
      <c r="J125" s="113">
        <f>Calculations!I387</f>
        <v>0</v>
      </c>
    </row>
    <row r="126" spans="2:10" s="88" customFormat="1" ht="45">
      <c r="B126" s="188" t="str">
        <f>Calculations!A388</f>
        <v>Cash Flow Available after above obligations</v>
      </c>
      <c r="C126" s="113">
        <f>Calculations!B388</f>
        <v>0</v>
      </c>
      <c r="D126" s="113">
        <f>Calculations!C388</f>
        <v>0</v>
      </c>
      <c r="E126" s="113">
        <f>Calculations!D388</f>
        <v>0</v>
      </c>
      <c r="F126" s="113">
        <f>Calculations!E388</f>
        <v>0</v>
      </c>
      <c r="G126" s="113">
        <f>Calculations!F388</f>
        <v>0</v>
      </c>
      <c r="H126" s="113">
        <f>Calculations!G388</f>
        <v>0</v>
      </c>
      <c r="I126" s="113">
        <f>Calculations!H388</f>
        <v>0</v>
      </c>
      <c r="J126" s="113">
        <f>Calculations!I388</f>
        <v>0</v>
      </c>
    </row>
    <row r="127" spans="2:10" s="88" customFormat="1"/>
    <row r="128" spans="2:10" s="88" customFormat="1">
      <c r="C128" s="74" t="s">
        <v>567</v>
      </c>
      <c r="D128" s="74" t="s">
        <v>568</v>
      </c>
      <c r="E128" s="74" t="s">
        <v>569</v>
      </c>
      <c r="F128" s="74" t="s">
        <v>570</v>
      </c>
      <c r="G128" s="74" t="s">
        <v>571</v>
      </c>
      <c r="H128" s="74" t="s">
        <v>572</v>
      </c>
      <c r="I128" s="74" t="s">
        <v>573</v>
      </c>
      <c r="J128" s="182"/>
    </row>
    <row r="129" spans="2:9" s="88" customFormat="1">
      <c r="B129" s="187" t="str">
        <f>Calculations!A373</f>
        <v>Effective Gross Income</v>
      </c>
      <c r="C129" s="113">
        <f>Calculations!J373</f>
        <v>0</v>
      </c>
      <c r="D129" s="113">
        <f>Calculations!K373</f>
        <v>0</v>
      </c>
      <c r="E129" s="113">
        <f>Calculations!L373</f>
        <v>0</v>
      </c>
      <c r="F129" s="113">
        <f>Calculations!M373</f>
        <v>0</v>
      </c>
      <c r="G129" s="113">
        <f>Calculations!N373</f>
        <v>0</v>
      </c>
      <c r="H129" s="113">
        <f>Calculations!O373</f>
        <v>0</v>
      </c>
      <c r="I129" s="113">
        <f>Calculations!P373</f>
        <v>0</v>
      </c>
    </row>
    <row r="130" spans="2:9" s="88" customFormat="1">
      <c r="B130" s="187" t="str">
        <f>Calculations!A374</f>
        <v>Total Project Expenses</v>
      </c>
      <c r="C130" s="113">
        <f>Calculations!J374</f>
        <v>0</v>
      </c>
      <c r="D130" s="113">
        <f>Calculations!K374</f>
        <v>0</v>
      </c>
      <c r="E130" s="113">
        <f>Calculations!L374</f>
        <v>0</v>
      </c>
      <c r="F130" s="113">
        <f>Calculations!M374</f>
        <v>0</v>
      </c>
      <c r="G130" s="113">
        <f>Calculations!N374</f>
        <v>0</v>
      </c>
      <c r="H130" s="113">
        <f>Calculations!O374</f>
        <v>0</v>
      </c>
      <c r="I130" s="113">
        <f>Calculations!P374</f>
        <v>0</v>
      </c>
    </row>
    <row r="131" spans="2:9" s="88" customFormat="1">
      <c r="B131" s="187" t="str">
        <f>Calculations!A375</f>
        <v>Net Operating Income</v>
      </c>
      <c r="C131" s="113">
        <f>Calculations!J375</f>
        <v>0</v>
      </c>
      <c r="D131" s="113">
        <f>Calculations!K375</f>
        <v>0</v>
      </c>
      <c r="E131" s="113">
        <f>Calculations!L375</f>
        <v>0</v>
      </c>
      <c r="F131" s="113">
        <f>Calculations!M375</f>
        <v>0</v>
      </c>
      <c r="G131" s="113">
        <f>Calculations!N375</f>
        <v>0</v>
      </c>
      <c r="H131" s="113">
        <f>Calculations!O375</f>
        <v>0</v>
      </c>
      <c r="I131" s="113">
        <f>Calculations!P375</f>
        <v>0</v>
      </c>
    </row>
    <row r="132" spans="2:9" s="88" customFormat="1">
      <c r="B132" s="187" t="str">
        <f>Calculations!A376</f>
        <v>First Mortgage</v>
      </c>
      <c r="C132" s="113">
        <f>Calculations!J376</f>
        <v>0</v>
      </c>
      <c r="D132" s="113">
        <f>Calculations!K376</f>
        <v>0</v>
      </c>
      <c r="E132" s="113">
        <f>Calculations!L376</f>
        <v>0</v>
      </c>
      <c r="F132" s="113">
        <f>Calculations!M376</f>
        <v>0</v>
      </c>
      <c r="G132" s="113">
        <f>Calculations!N376</f>
        <v>0</v>
      </c>
      <c r="H132" s="113">
        <f>Calculations!O376</f>
        <v>0</v>
      </c>
      <c r="I132" s="113">
        <f>Calculations!P376</f>
        <v>0</v>
      </c>
    </row>
    <row r="133" spans="2:9" s="88" customFormat="1">
      <c r="B133" s="187" t="str">
        <f>Calculations!A377</f>
        <v>Second Mortgage</v>
      </c>
      <c r="C133" s="113">
        <f>Calculations!J377</f>
        <v>0</v>
      </c>
      <c r="D133" s="113">
        <f>Calculations!K377</f>
        <v>0</v>
      </c>
      <c r="E133" s="113">
        <f>Calculations!L377</f>
        <v>0</v>
      </c>
      <c r="F133" s="113">
        <f>Calculations!M377</f>
        <v>0</v>
      </c>
      <c r="G133" s="113">
        <f>Calculations!N377</f>
        <v>0</v>
      </c>
      <c r="H133" s="113">
        <f>Calculations!O377</f>
        <v>0</v>
      </c>
      <c r="I133" s="113">
        <f>Calculations!P377</f>
        <v>0</v>
      </c>
    </row>
    <row r="134" spans="2:9" s="88" customFormat="1">
      <c r="B134" s="187" t="str">
        <f>Calculations!A378</f>
        <v>Third Mortgage</v>
      </c>
      <c r="C134" s="113">
        <f>Calculations!J378</f>
        <v>0</v>
      </c>
      <c r="D134" s="113">
        <f>Calculations!K378</f>
        <v>0</v>
      </c>
      <c r="E134" s="113">
        <f>Calculations!L378</f>
        <v>0</v>
      </c>
      <c r="F134" s="113">
        <f>Calculations!M378</f>
        <v>0</v>
      </c>
      <c r="G134" s="113">
        <f>Calculations!N378</f>
        <v>0</v>
      </c>
      <c r="H134" s="113">
        <f>Calculations!O378</f>
        <v>0</v>
      </c>
      <c r="I134" s="113">
        <f>Calculations!P378</f>
        <v>0</v>
      </c>
    </row>
    <row r="135" spans="2:9" s="88" customFormat="1">
      <c r="B135" s="187" t="str">
        <f>Calculations!A379</f>
        <v>Net Project Cash Flow</v>
      </c>
      <c r="C135" s="113">
        <f>Calculations!J379</f>
        <v>0</v>
      </c>
      <c r="D135" s="113">
        <f>Calculations!K379</f>
        <v>0</v>
      </c>
      <c r="E135" s="113">
        <f>Calculations!L379</f>
        <v>0</v>
      </c>
      <c r="F135" s="113">
        <f>Calculations!M379</f>
        <v>0</v>
      </c>
      <c r="G135" s="113">
        <f>Calculations!N379</f>
        <v>0</v>
      </c>
      <c r="H135" s="113">
        <f>Calculations!O379</f>
        <v>0</v>
      </c>
      <c r="I135" s="113">
        <f>Calculations!P379</f>
        <v>0</v>
      </c>
    </row>
    <row r="136" spans="2:9" s="88" customFormat="1">
      <c r="B136" s="187" t="str">
        <f>Calculations!A380</f>
        <v>Debt Coverage Ratio</v>
      </c>
      <c r="C136" s="339" t="str">
        <f>Calculations!J380</f>
        <v>Loans Missing</v>
      </c>
      <c r="D136" s="339" t="str">
        <f>Calculations!K380</f>
        <v>Loans Missing</v>
      </c>
      <c r="E136" s="339" t="str">
        <f>Calculations!L380</f>
        <v>Loans Missing</v>
      </c>
      <c r="F136" s="339" t="str">
        <f>Calculations!M380</f>
        <v>Loans Missing</v>
      </c>
      <c r="G136" s="339" t="str">
        <f>Calculations!N380</f>
        <v>Loans Missing</v>
      </c>
      <c r="H136" s="339" t="str">
        <f>Calculations!O380</f>
        <v>Loans Missing</v>
      </c>
      <c r="I136" s="339" t="str">
        <f>Calculations!P380</f>
        <v>Loans Missing</v>
      </c>
    </row>
    <row r="137" spans="2:9" s="88" customFormat="1">
      <c r="B137" s="187"/>
      <c r="C137" s="106"/>
      <c r="D137" s="106"/>
      <c r="E137" s="106"/>
      <c r="F137" s="106"/>
      <c r="G137" s="106"/>
      <c r="H137" s="106"/>
      <c r="I137" s="106"/>
    </row>
    <row r="138" spans="2:9" s="88" customFormat="1" ht="30">
      <c r="B138" s="188" t="str">
        <f>Calculations!A382</f>
        <v>Cash Flow Available for Distribution</v>
      </c>
      <c r="C138" s="113">
        <f>Calculations!J382</f>
        <v>0</v>
      </c>
      <c r="D138" s="113">
        <f>Calculations!K382</f>
        <v>0</v>
      </c>
      <c r="E138" s="113">
        <f>Calculations!L382</f>
        <v>0</v>
      </c>
      <c r="F138" s="113">
        <f>Calculations!M382</f>
        <v>0</v>
      </c>
      <c r="G138" s="113">
        <f>Calculations!N382</f>
        <v>0</v>
      </c>
      <c r="H138" s="113">
        <f>Calculations!O382</f>
        <v>0</v>
      </c>
      <c r="I138" s="113">
        <f>Calculations!P382</f>
        <v>0</v>
      </c>
    </row>
    <row r="139" spans="2:9" s="88" customFormat="1" ht="30">
      <c r="B139" s="188" t="str">
        <f>Calculations!A383</f>
        <v>Partnership/Asset Mgt. Fees</v>
      </c>
      <c r="C139" s="113">
        <f>Calculations!J383</f>
        <v>0</v>
      </c>
      <c r="D139" s="113">
        <f>Calculations!K383</f>
        <v>0</v>
      </c>
      <c r="E139" s="113">
        <f>Calculations!L383</f>
        <v>0</v>
      </c>
      <c r="F139" s="113">
        <f>Calculations!M383</f>
        <v>0</v>
      </c>
      <c r="G139" s="113">
        <f>Calculations!N383</f>
        <v>0</v>
      </c>
      <c r="H139" s="113">
        <f>Calculations!O383</f>
        <v>0</v>
      </c>
      <c r="I139" s="113">
        <f>Calculations!P383</f>
        <v>0</v>
      </c>
    </row>
    <row r="140" spans="2:9" s="88" customFormat="1" ht="30">
      <c r="B140" s="188" t="str">
        <f>Calculations!A384</f>
        <v>Bond Fees (if applicable)</v>
      </c>
      <c r="C140" s="113">
        <f>Calculations!J384</f>
        <v>0</v>
      </c>
      <c r="D140" s="113">
        <f>Calculations!K384</f>
        <v>0</v>
      </c>
      <c r="E140" s="113">
        <f>Calculations!L384</f>
        <v>0</v>
      </c>
      <c r="F140" s="113">
        <f>Calculations!M384</f>
        <v>0</v>
      </c>
      <c r="G140" s="113">
        <f>Calculations!N384</f>
        <v>0</v>
      </c>
      <c r="H140" s="113">
        <f>Calculations!O384</f>
        <v>0</v>
      </c>
      <c r="I140" s="113">
        <f>Calculations!P384</f>
        <v>0</v>
      </c>
    </row>
    <row r="141" spans="2:9" s="88" customFormat="1" ht="30">
      <c r="B141" s="188" t="str">
        <f>Calculations!A385</f>
        <v>Deferred Developer Fee Repayment*</v>
      </c>
      <c r="C141" s="113">
        <f>Calculations!J385</f>
        <v>0</v>
      </c>
      <c r="D141" s="113">
        <f>Calculations!K385</f>
        <v>0</v>
      </c>
      <c r="E141" s="113">
        <f>Calculations!L385</f>
        <v>0</v>
      </c>
      <c r="F141" s="113">
        <f>Calculations!M385</f>
        <v>0</v>
      </c>
      <c r="G141" s="113">
        <f>Calculations!N385</f>
        <v>0</v>
      </c>
      <c r="H141" s="113">
        <f>Calculations!O385</f>
        <v>0</v>
      </c>
      <c r="I141" s="113">
        <f>Calculations!P385</f>
        <v>0</v>
      </c>
    </row>
    <row r="142" spans="2:9" s="88" customFormat="1">
      <c r="B142" s="188" t="str">
        <f>Calculations!A386</f>
        <v>Other (Specify)</v>
      </c>
      <c r="C142" s="113">
        <f>Calculations!J386</f>
        <v>0</v>
      </c>
      <c r="D142" s="113">
        <f>Calculations!K386</f>
        <v>0</v>
      </c>
      <c r="E142" s="113">
        <f>Calculations!L386</f>
        <v>0</v>
      </c>
      <c r="F142" s="113">
        <f>Calculations!M386</f>
        <v>0</v>
      </c>
      <c r="G142" s="113">
        <f>Calculations!N386</f>
        <v>0</v>
      </c>
      <c r="H142" s="113">
        <f>Calculations!O386</f>
        <v>0</v>
      </c>
      <c r="I142" s="113">
        <f>Calculations!P386</f>
        <v>0</v>
      </c>
    </row>
    <row r="143" spans="2:9" s="88" customFormat="1" ht="30">
      <c r="B143" s="188" t="str">
        <f>Calculations!A387</f>
        <v>Cash Flow Paid for Services</v>
      </c>
      <c r="C143" s="113">
        <f>Calculations!J387</f>
        <v>0</v>
      </c>
      <c r="D143" s="113">
        <f>Calculations!K387</f>
        <v>0</v>
      </c>
      <c r="E143" s="113">
        <f>Calculations!L387</f>
        <v>0</v>
      </c>
      <c r="F143" s="113">
        <f>Calculations!M387</f>
        <v>0</v>
      </c>
      <c r="G143" s="113">
        <f>Calculations!N387</f>
        <v>0</v>
      </c>
      <c r="H143" s="113">
        <f>Calculations!O387</f>
        <v>0</v>
      </c>
      <c r="I143" s="113">
        <f>Calculations!P387</f>
        <v>0</v>
      </c>
    </row>
    <row r="144" spans="2:9" s="88" customFormat="1" ht="29.25" customHeight="1">
      <c r="B144" s="188" t="str">
        <f>Calculations!A388</f>
        <v>Cash Flow Available after above obligations</v>
      </c>
      <c r="C144" s="113">
        <f>Calculations!J388</f>
        <v>0</v>
      </c>
      <c r="D144" s="113">
        <f>Calculations!K388</f>
        <v>0</v>
      </c>
      <c r="E144" s="113">
        <f>Calculations!L388</f>
        <v>0</v>
      </c>
      <c r="F144" s="113">
        <f>Calculations!M388</f>
        <v>0</v>
      </c>
      <c r="G144" s="113">
        <f>Calculations!N388</f>
        <v>0</v>
      </c>
      <c r="H144" s="113">
        <f>Calculations!O388</f>
        <v>0</v>
      </c>
      <c r="I144" s="113">
        <f>Calculations!P388</f>
        <v>0</v>
      </c>
    </row>
    <row r="145" spans="1:13" s="88" customFormat="1" ht="14.25" customHeight="1">
      <c r="B145" s="188"/>
      <c r="C145" s="113"/>
      <c r="D145" s="113"/>
      <c r="E145" s="113"/>
      <c r="F145" s="113"/>
      <c r="G145" s="113"/>
      <c r="H145" s="113"/>
      <c r="I145" s="113"/>
    </row>
    <row r="146" spans="1:13" s="88" customFormat="1" ht="14.25" customHeight="1">
      <c r="B146" s="188"/>
      <c r="C146" s="113"/>
      <c r="D146" s="113"/>
      <c r="E146" s="113"/>
      <c r="F146" s="858" t="str">
        <f>Calculations!G390</f>
        <v>Cash Flow After Above Obligations Must Be Positive</v>
      </c>
      <c r="G146" s="113"/>
      <c r="H146" s="113"/>
      <c r="I146" s="113"/>
    </row>
    <row r="147" spans="1:13" s="88" customFormat="1">
      <c r="C147" s="114" t="s">
        <v>397</v>
      </c>
      <c r="D147" s="106">
        <f>Calculations!B139</f>
        <v>0</v>
      </c>
      <c r="F147" s="870" t="str">
        <f>Calculations!C390</f>
        <v>DDF Paid off</v>
      </c>
      <c r="G147" s="857" t="str">
        <f>Calculations!D390</f>
        <v>IN YEAR 1</v>
      </c>
      <c r="M147"/>
    </row>
    <row r="148" spans="1:13">
      <c r="C148" s="114" t="s">
        <v>1006</v>
      </c>
      <c r="D148" s="106">
        <f>Calculations!B391</f>
        <v>0</v>
      </c>
      <c r="E148" s="119"/>
      <c r="F148" s="283" t="str">
        <f>Calculations!G391</f>
        <v>The 10 Year cash flow available after obligations payable test has been met</v>
      </c>
    </row>
    <row r="149" spans="1:13">
      <c r="B149" s="1"/>
      <c r="C149" s="114" t="s">
        <v>1007</v>
      </c>
      <c r="D149" s="106">
        <f>Calculations!B392</f>
        <v>0</v>
      </c>
      <c r="E149" s="119"/>
      <c r="F149" s="283" t="str">
        <f>Calculations!G392</f>
        <v>The 15 Year cash flow available after obligations payable test has been met</v>
      </c>
    </row>
    <row r="150" spans="1:13" s="88" customFormat="1">
      <c r="M150"/>
    </row>
    <row r="151" spans="1:13">
      <c r="A151" s="927" t="s">
        <v>1008</v>
      </c>
      <c r="B151" s="927"/>
      <c r="C151" s="927"/>
      <c r="D151" s="927"/>
      <c r="E151" s="927"/>
      <c r="F151" s="927"/>
      <c r="G151" s="927"/>
      <c r="H151" s="927"/>
      <c r="I151" s="927"/>
      <c r="J151" s="927"/>
      <c r="K151" s="927"/>
    </row>
    <row r="152" spans="1:13">
      <c r="A152" s="930" t="s">
        <v>1009</v>
      </c>
      <c r="B152" s="930"/>
      <c r="C152" s="930"/>
      <c r="D152" s="930"/>
      <c r="E152" s="930"/>
      <c r="F152" s="930"/>
      <c r="G152" s="930"/>
      <c r="H152" s="930"/>
      <c r="I152" s="930"/>
      <c r="J152" s="930"/>
      <c r="K152" s="930"/>
    </row>
    <row r="154" spans="1:13">
      <c r="B154" s="115"/>
      <c r="C154" s="115"/>
      <c r="D154" s="117" t="s">
        <v>1010</v>
      </c>
    </row>
    <row r="155" spans="1:13">
      <c r="C155" s="110" t="s">
        <v>430</v>
      </c>
      <c r="D155" s="106">
        <f>Calculations!B399</f>
        <v>0</v>
      </c>
    </row>
    <row r="156" spans="1:13">
      <c r="C156" s="110" t="s">
        <v>431</v>
      </c>
      <c r="D156" s="106">
        <f>Calculations!B400</f>
        <v>0</v>
      </c>
    </row>
    <row r="157" spans="1:13">
      <c r="B157" s="109"/>
      <c r="C157" s="108" t="s">
        <v>1011</v>
      </c>
      <c r="D157" s="107">
        <f>Calculations!B401</f>
        <v>0</v>
      </c>
    </row>
    <row r="158" spans="1:13">
      <c r="D158" s="112"/>
    </row>
    <row r="159" spans="1:13">
      <c r="B159" s="115"/>
      <c r="C159" s="115"/>
      <c r="D159" s="116" t="s">
        <v>1012</v>
      </c>
      <c r="E159" s="305" t="s">
        <v>1013</v>
      </c>
      <c r="F159" s="117"/>
    </row>
    <row r="160" spans="1:13">
      <c r="C160" s="110" t="s">
        <v>1014</v>
      </c>
      <c r="D160" s="106">
        <f>Calculations!B403</f>
        <v>0</v>
      </c>
    </row>
    <row r="161" spans="1:11">
      <c r="C161" s="110" t="s">
        <v>1015</v>
      </c>
      <c r="D161" s="106">
        <f>Calculations!B404</f>
        <v>0</v>
      </c>
    </row>
    <row r="162" spans="1:11">
      <c r="C162" s="110" t="s">
        <v>1016</v>
      </c>
      <c r="D162" s="106">
        <f>Calculations!B405</f>
        <v>0</v>
      </c>
    </row>
    <row r="163" spans="1:11">
      <c r="C163" s="110" t="s">
        <v>510</v>
      </c>
      <c r="D163" s="106">
        <f>Calculations!B406</f>
        <v>0</v>
      </c>
    </row>
    <row r="164" spans="1:11">
      <c r="B164" s="109"/>
      <c r="C164" s="108" t="s">
        <v>1017</v>
      </c>
      <c r="D164" s="107">
        <f>Calculations!B407</f>
        <v>0</v>
      </c>
    </row>
    <row r="165" spans="1:11">
      <c r="C165" s="110" t="s">
        <v>1011</v>
      </c>
      <c r="D165" s="106">
        <f>Calculations!B401</f>
        <v>0</v>
      </c>
      <c r="E165" s="106" t="e">
        <f>Calculations!B408</f>
        <v>#N/A</v>
      </c>
    </row>
    <row r="166" spans="1:11">
      <c r="B166" s="109"/>
      <c r="C166" s="108" t="s">
        <v>1018</v>
      </c>
      <c r="D166" s="312">
        <f>Calculations!E408</f>
        <v>0</v>
      </c>
      <c r="E166" s="312" t="e">
        <f>Calculations!B398</f>
        <v>#N/A</v>
      </c>
    </row>
    <row r="167" spans="1:11">
      <c r="C167" s="114"/>
      <c r="D167" s="106"/>
    </row>
    <row r="168" spans="1:11">
      <c r="C168" s="67" t="s">
        <v>1019</v>
      </c>
      <c r="D168" s="106" t="e">
        <f>Calculations!B409</f>
        <v>#N/A</v>
      </c>
    </row>
    <row r="169" spans="1:11">
      <c r="C169" s="114"/>
      <c r="D169" s="112"/>
    </row>
    <row r="170" spans="1:11">
      <c r="A170" s="930" t="s">
        <v>1020</v>
      </c>
      <c r="B170" s="930"/>
      <c r="C170" s="930"/>
      <c r="D170" s="930"/>
      <c r="E170" s="930"/>
      <c r="F170" s="930"/>
      <c r="G170" s="930"/>
      <c r="H170" s="930"/>
      <c r="I170" s="930"/>
      <c r="J170" s="930"/>
      <c r="K170" s="930"/>
    </row>
    <row r="172" spans="1:11">
      <c r="B172" s="115"/>
      <c r="C172" s="115"/>
      <c r="D172" s="116" t="s">
        <v>1021</v>
      </c>
      <c r="E172" s="305" t="s">
        <v>1013</v>
      </c>
      <c r="F172" s="117"/>
    </row>
    <row r="173" spans="1:11">
      <c r="C173" s="110" t="s">
        <v>1022</v>
      </c>
      <c r="D173" s="106">
        <f>Calculations!B414</f>
        <v>0</v>
      </c>
    </row>
    <row r="174" spans="1:11">
      <c r="C174" s="639" t="s">
        <v>1023</v>
      </c>
      <c r="D174" s="497">
        <f>Calculations!B416</f>
        <v>0</v>
      </c>
    </row>
    <row r="175" spans="1:11">
      <c r="B175" s="931" t="s">
        <v>1024</v>
      </c>
      <c r="C175" s="931"/>
      <c r="D175" s="497" t="e">
        <f>Calculations!B415</f>
        <v>#N/A</v>
      </c>
      <c r="F175" s="497"/>
      <c r="G175" s="73"/>
    </row>
    <row r="176" spans="1:11">
      <c r="C176" s="110" t="s">
        <v>1025</v>
      </c>
      <c r="D176" s="106">
        <f>Calculations!B417</f>
        <v>0</v>
      </c>
      <c r="F176" s="112"/>
      <c r="G176" s="111"/>
    </row>
    <row r="177" spans="1:11">
      <c r="C177" s="110" t="s">
        <v>1026</v>
      </c>
      <c r="D177" s="106">
        <f>Calculations!B418</f>
        <v>0</v>
      </c>
      <c r="F177" s="112"/>
      <c r="G177" s="111"/>
    </row>
    <row r="178" spans="1:11">
      <c r="C178" s="110" t="s">
        <v>1027</v>
      </c>
      <c r="D178" s="106">
        <f>Calculations!B419</f>
        <v>0</v>
      </c>
    </row>
    <row r="179" spans="1:11">
      <c r="B179" s="109"/>
      <c r="C179" s="108" t="s">
        <v>1028</v>
      </c>
      <c r="D179" s="107" t="e">
        <f>Calculations!B420</f>
        <v>#N/A</v>
      </c>
    </row>
    <row r="180" spans="1:11">
      <c r="C180" s="114"/>
      <c r="D180" s="112"/>
      <c r="E180" t="s">
        <v>1029</v>
      </c>
    </row>
    <row r="181" spans="1:11" ht="15" customHeight="1">
      <c r="C181" s="67" t="s">
        <v>1030</v>
      </c>
      <c r="D181" s="106">
        <f>Calculations!B275</f>
        <v>0</v>
      </c>
      <c r="E181" s="381">
        <f>Calculations!E423</f>
        <v>0</v>
      </c>
      <c r="F181" s="10" t="str">
        <f>Calculations!G423</f>
        <v/>
      </c>
    </row>
    <row r="182" spans="1:11">
      <c r="C182" s="67" t="s">
        <v>494</v>
      </c>
      <c r="D182" s="106">
        <f>Calculations!B422</f>
        <v>0</v>
      </c>
      <c r="E182" s="380">
        <f>Calculations!E422</f>
        <v>0</v>
      </c>
      <c r="F182" t="str">
        <f>Calculations!G422</f>
        <v/>
      </c>
    </row>
    <row r="183" spans="1:11">
      <c r="B183" s="109"/>
      <c r="C183" s="108" t="s">
        <v>1031</v>
      </c>
      <c r="D183" s="107">
        <f>Calculations!B279</f>
        <v>0</v>
      </c>
      <c r="E183" s="379" t="e">
        <f>Calculations!B425</f>
        <v>#N/A</v>
      </c>
    </row>
    <row r="184" spans="1:11">
      <c r="C184" s="67" t="s">
        <v>1019</v>
      </c>
      <c r="D184" s="106" t="e">
        <f>Calculations!B424</f>
        <v>#N/A</v>
      </c>
    </row>
    <row r="186" spans="1:11" ht="15" customHeight="1">
      <c r="A186" s="927" t="s">
        <v>1032</v>
      </c>
      <c r="B186" s="927"/>
      <c r="C186" s="927"/>
      <c r="D186" s="927"/>
      <c r="E186" s="927"/>
      <c r="F186" s="927"/>
      <c r="G186" s="927"/>
      <c r="H186" s="927"/>
      <c r="I186" s="927"/>
      <c r="J186" s="927"/>
      <c r="K186" s="927"/>
    </row>
    <row r="188" spans="1:11" ht="30">
      <c r="B188" s="145" t="s">
        <v>917</v>
      </c>
      <c r="C188" s="74" t="s">
        <v>918</v>
      </c>
      <c r="D188" s="74"/>
      <c r="E188" s="498" t="str">
        <f>Calculations!B32</f>
        <v>0 Bed*</v>
      </c>
      <c r="F188" s="498" t="str">
        <f>Calculations!C32</f>
        <v>1 Bed*</v>
      </c>
      <c r="G188" s="498" t="str">
        <f>Calculations!D32</f>
        <v>2 Bed*</v>
      </c>
      <c r="H188" s="498" t="str">
        <f>Calculations!E32</f>
        <v>3 Bed*</v>
      </c>
      <c r="I188" s="498" t="str">
        <f>Calculations!F32</f>
        <v>4 Bed*</v>
      </c>
      <c r="J188" s="498" t="str">
        <f>Calculations!G32</f>
        <v>5 Bed*</v>
      </c>
      <c r="K188" s="74"/>
    </row>
    <row r="189" spans="1:11">
      <c r="B189" s="143" t="s">
        <v>1033</v>
      </c>
      <c r="C189" s="416">
        <f>Calculations!H33</f>
        <v>0</v>
      </c>
      <c r="D189" s="182"/>
      <c r="E189" s="416">
        <f>Calculations!B33</f>
        <v>0</v>
      </c>
      <c r="F189" s="416">
        <f>Calculations!C33</f>
        <v>0</v>
      </c>
      <c r="G189" s="416">
        <f>Calculations!D33</f>
        <v>0</v>
      </c>
      <c r="H189" s="416">
        <f>Calculations!E33</f>
        <v>0</v>
      </c>
      <c r="I189" s="416">
        <f>Calculations!F33</f>
        <v>0</v>
      </c>
      <c r="J189" s="416">
        <f>Calculations!G33</f>
        <v>0</v>
      </c>
      <c r="K189" s="182"/>
    </row>
    <row r="190" spans="1:11">
      <c r="B190" s="143" t="s">
        <v>1034</v>
      </c>
      <c r="C190" s="416">
        <f>Calculations!H34</f>
        <v>0</v>
      </c>
      <c r="D190" s="80"/>
      <c r="E190" s="416">
        <f>Calculations!B34</f>
        <v>0</v>
      </c>
      <c r="F190" s="416">
        <f>Calculations!C34</f>
        <v>0</v>
      </c>
      <c r="G190" s="416">
        <f>Calculations!D34</f>
        <v>0</v>
      </c>
      <c r="H190" s="416">
        <f>Calculations!E34</f>
        <v>0</v>
      </c>
      <c r="I190" s="416">
        <f>Calculations!F34</f>
        <v>0</v>
      </c>
      <c r="J190" s="416">
        <f>Calculations!G34</f>
        <v>0</v>
      </c>
      <c r="K190" s="182"/>
    </row>
    <row r="191" spans="1:11">
      <c r="B191" s="143" t="s">
        <v>1035</v>
      </c>
      <c r="C191" s="416">
        <f>Calculations!H35</f>
        <v>0</v>
      </c>
      <c r="D191" s="80"/>
      <c r="E191" s="416">
        <f>Calculations!B35</f>
        <v>0</v>
      </c>
      <c r="F191" s="416">
        <f>Calculations!C35</f>
        <v>0</v>
      </c>
      <c r="G191" s="416">
        <f>Calculations!D35</f>
        <v>0</v>
      </c>
      <c r="H191" s="416">
        <f>Calculations!E35</f>
        <v>0</v>
      </c>
      <c r="I191" s="416">
        <f>Calculations!F35</f>
        <v>0</v>
      </c>
      <c r="J191" s="416">
        <f>Calculations!G35</f>
        <v>0</v>
      </c>
      <c r="K191" s="182"/>
    </row>
    <row r="192" spans="1:11">
      <c r="B192" s="143" t="s">
        <v>1036</v>
      </c>
      <c r="C192" s="416">
        <f>Calculations!H36</f>
        <v>0</v>
      </c>
      <c r="D192" s="80"/>
      <c r="E192" s="416">
        <f>Calculations!B36</f>
        <v>0</v>
      </c>
      <c r="F192" s="416">
        <f>Calculations!C36</f>
        <v>0</v>
      </c>
      <c r="G192" s="416">
        <f>Calculations!D36</f>
        <v>0</v>
      </c>
      <c r="H192" s="416">
        <f>Calculations!E36</f>
        <v>0</v>
      </c>
      <c r="I192" s="416">
        <f>Calculations!F36</f>
        <v>0</v>
      </c>
      <c r="J192" s="416">
        <f>Calculations!G36</f>
        <v>0</v>
      </c>
      <c r="K192" s="182"/>
    </row>
    <row r="193" spans="2:11">
      <c r="B193" s="143" t="s">
        <v>1037</v>
      </c>
      <c r="C193" s="416">
        <f>Calculations!H37</f>
        <v>0</v>
      </c>
      <c r="D193" s="80"/>
      <c r="E193" s="416">
        <f>Calculations!B37</f>
        <v>0</v>
      </c>
      <c r="F193" s="416">
        <f>Calculations!C37</f>
        <v>0</v>
      </c>
      <c r="G193" s="416">
        <f>Calculations!D37</f>
        <v>0</v>
      </c>
      <c r="H193" s="416">
        <f>Calculations!E37</f>
        <v>0</v>
      </c>
      <c r="I193" s="416">
        <f>Calculations!F37</f>
        <v>0</v>
      </c>
      <c r="J193" s="416">
        <f>Calculations!G37</f>
        <v>0</v>
      </c>
      <c r="K193" s="182"/>
    </row>
    <row r="194" spans="2:11">
      <c r="B194" s="143" t="s">
        <v>1038</v>
      </c>
      <c r="C194" s="416">
        <f>Calculations!H38</f>
        <v>0</v>
      </c>
      <c r="D194" s="80"/>
      <c r="E194" s="416">
        <f>Calculations!B38</f>
        <v>0</v>
      </c>
      <c r="F194" s="416">
        <f>Calculations!C38</f>
        <v>0</v>
      </c>
      <c r="G194" s="416">
        <f>Calculations!D38</f>
        <v>0</v>
      </c>
      <c r="H194" s="416">
        <f>Calculations!E38</f>
        <v>0</v>
      </c>
      <c r="I194" s="416">
        <f>Calculations!F38</f>
        <v>0</v>
      </c>
      <c r="J194" s="416">
        <f>Calculations!G38</f>
        <v>0</v>
      </c>
      <c r="K194" s="182"/>
    </row>
    <row r="195" spans="2:11">
      <c r="B195" s="143" t="s">
        <v>1039</v>
      </c>
      <c r="C195" s="417">
        <f>Calculations!H39</f>
        <v>0</v>
      </c>
      <c r="D195" s="79"/>
      <c r="E195" s="416">
        <f>Calculations!B39</f>
        <v>0</v>
      </c>
      <c r="F195" s="416">
        <f>Calculations!C39</f>
        <v>0</v>
      </c>
      <c r="G195" s="416">
        <f>Calculations!D39</f>
        <v>0</v>
      </c>
      <c r="H195" s="416">
        <f>Calculations!E39</f>
        <v>0</v>
      </c>
      <c r="I195" s="416">
        <f>Calculations!F39</f>
        <v>0</v>
      </c>
      <c r="J195" s="416">
        <f>Calculations!G39</f>
        <v>0</v>
      </c>
      <c r="K195" s="182"/>
    </row>
    <row r="196" spans="2:11">
      <c r="B196" s="144" t="s">
        <v>1040</v>
      </c>
      <c r="C196" s="415">
        <f>Calculations!H40</f>
        <v>0</v>
      </c>
      <c r="D196" s="80"/>
      <c r="E196" s="415">
        <f>Calculations!B40</f>
        <v>0</v>
      </c>
      <c r="F196" s="415">
        <f>Calculations!C40</f>
        <v>0</v>
      </c>
      <c r="G196" s="492">
        <f>Calculations!D40</f>
        <v>0</v>
      </c>
      <c r="H196" s="415">
        <f>Calculations!E40</f>
        <v>0</v>
      </c>
      <c r="I196" s="415">
        <f>Calculations!F40</f>
        <v>0</v>
      </c>
      <c r="J196" s="415">
        <f>Calculations!G40</f>
        <v>0</v>
      </c>
      <c r="K196" s="182"/>
    </row>
    <row r="197" spans="2:11">
      <c r="B197" s="143" t="s">
        <v>1041</v>
      </c>
      <c r="C197" s="387">
        <f>Calculations!H42</f>
        <v>0</v>
      </c>
      <c r="D197" s="80"/>
      <c r="E197" s="817">
        <f>Calculations!B42</f>
        <v>0</v>
      </c>
      <c r="F197" s="817">
        <f>Calculations!C42</f>
        <v>0</v>
      </c>
      <c r="G197" s="817">
        <f>Calculations!D42</f>
        <v>0</v>
      </c>
      <c r="H197" s="817">
        <f>Calculations!E42</f>
        <v>0</v>
      </c>
      <c r="I197" s="817">
        <f>Calculations!F42</f>
        <v>0</v>
      </c>
      <c r="J197" s="817">
        <f>Calculations!G42</f>
        <v>0</v>
      </c>
    </row>
    <row r="198" spans="2:11" ht="15" customHeight="1">
      <c r="B198" s="420" t="s">
        <v>1042</v>
      </c>
      <c r="C198" s="388">
        <f>Calculations!H43</f>
        <v>0</v>
      </c>
      <c r="D198" s="79"/>
      <c r="E198" s="817">
        <f>Calculations!B43</f>
        <v>0</v>
      </c>
      <c r="F198" s="817">
        <f>Calculations!C43</f>
        <v>0</v>
      </c>
      <c r="G198" s="817">
        <f>Calculations!D43</f>
        <v>0</v>
      </c>
      <c r="H198" s="817">
        <f>Calculations!E43</f>
        <v>0</v>
      </c>
      <c r="I198" s="817">
        <f>Calculations!F43</f>
        <v>0</v>
      </c>
      <c r="J198" s="817">
        <f>Calculations!G43</f>
        <v>0</v>
      </c>
    </row>
    <row r="199" spans="2:11">
      <c r="B199" s="1" t="s">
        <v>1043</v>
      </c>
      <c r="C199" s="415">
        <f>Calculations!H44</f>
        <v>0</v>
      </c>
      <c r="D199" s="80"/>
      <c r="E199" s="140"/>
    </row>
    <row r="200" spans="2:11" ht="30" customHeight="1">
      <c r="B200" s="1" t="s">
        <v>1044</v>
      </c>
      <c r="C200" s="74"/>
      <c r="D200" s="74" t="s">
        <v>1045</v>
      </c>
      <c r="E200" s="115" t="s">
        <v>1046</v>
      </c>
    </row>
    <row r="201" spans="2:11" ht="15" customHeight="1">
      <c r="B201" s="76" t="s">
        <v>1047</v>
      </c>
      <c r="D201" s="80">
        <f>Calculations!M52</f>
        <v>0</v>
      </c>
      <c r="E201" s="376" t="e">
        <f>Calculations!O52</f>
        <v>#DIV/0!</v>
      </c>
    </row>
    <row r="202" spans="2:11" ht="15" customHeight="1">
      <c r="B202" s="78" t="s">
        <v>1048</v>
      </c>
      <c r="C202" s="78"/>
      <c r="D202" s="79">
        <f>Calculations!M53</f>
        <v>0</v>
      </c>
      <c r="E202" s="377" t="e">
        <f>Calculations!O53</f>
        <v>#DIV/0!</v>
      </c>
    </row>
    <row r="203" spans="2:11" ht="15" customHeight="1">
      <c r="B203" s="1" t="s">
        <v>1049</v>
      </c>
      <c r="C203" s="1"/>
      <c r="D203" s="80">
        <f>Calculations!M54</f>
        <v>0</v>
      </c>
      <c r="E203" s="378" t="e">
        <f>Calculations!O54</f>
        <v>#DIV/0!</v>
      </c>
    </row>
    <row r="204" spans="2:11" ht="15" customHeight="1">
      <c r="B204" s="78" t="s">
        <v>1043</v>
      </c>
      <c r="C204" s="78"/>
      <c r="D204" s="79">
        <f>Calculations!H59</f>
        <v>0</v>
      </c>
      <c r="E204" s="377" t="e">
        <f>Calculations!O48</f>
        <v>#DIV/0!</v>
      </c>
    </row>
    <row r="205" spans="2:11" ht="15" customHeight="1">
      <c r="B205" s="1" t="s">
        <v>1050</v>
      </c>
      <c r="C205" s="1"/>
      <c r="D205" s="80">
        <f>Calculations!M55</f>
        <v>0</v>
      </c>
      <c r="E205" s="80"/>
    </row>
    <row r="206" spans="2:11" ht="15" customHeight="1">
      <c r="D206" s="77"/>
    </row>
    <row r="207" spans="2:11" ht="28.5" customHeight="1">
      <c r="C207" s="74" t="s">
        <v>918</v>
      </c>
      <c r="D207" s="74" t="s">
        <v>1045</v>
      </c>
    </row>
    <row r="208" spans="2:11">
      <c r="B208" s="518" t="s">
        <v>896</v>
      </c>
      <c r="C208" s="137">
        <f>Calculations!K72</f>
        <v>0</v>
      </c>
      <c r="D208" s="137">
        <f>Calculations!L72</f>
        <v>0</v>
      </c>
      <c r="E208" s="123" t="s">
        <v>1051</v>
      </c>
    </row>
    <row r="209" spans="1:12" ht="28.5" customHeight="1">
      <c r="B209" s="932" t="s">
        <v>1052</v>
      </c>
      <c r="C209" s="932"/>
      <c r="D209" s="392">
        <f>Calculations!K73</f>
        <v>0</v>
      </c>
    </row>
    <row r="210" spans="1:12" ht="15" customHeight="1">
      <c r="B210" s="138"/>
      <c r="D210" s="137"/>
    </row>
    <row r="211" spans="1:12" ht="13.5" customHeight="1">
      <c r="A211" s="927" t="s">
        <v>1053</v>
      </c>
      <c r="B211" s="927"/>
      <c r="C211" s="927"/>
      <c r="D211" s="927"/>
      <c r="E211" s="927"/>
      <c r="F211" s="927"/>
      <c r="G211" s="927"/>
      <c r="H211" s="927"/>
      <c r="I211" s="927"/>
      <c r="J211" s="927"/>
      <c r="K211" s="927"/>
    </row>
    <row r="212" spans="1:12" ht="27.75" customHeight="1">
      <c r="A212" s="341"/>
      <c r="B212" s="3" t="s">
        <v>373</v>
      </c>
      <c r="C212" s="3" t="s">
        <v>374</v>
      </c>
      <c r="D212" s="3" t="s">
        <v>375</v>
      </c>
      <c r="E212" s="3" t="s">
        <v>376</v>
      </c>
      <c r="F212" s="514" t="s">
        <v>1054</v>
      </c>
      <c r="G212" s="514" t="s">
        <v>1055</v>
      </c>
      <c r="H212" s="374" t="s">
        <v>1056</v>
      </c>
      <c r="I212" s="123"/>
      <c r="J212" s="510"/>
      <c r="K212" s="510"/>
      <c r="L212" s="123"/>
    </row>
    <row r="213" spans="1:12">
      <c r="B213" s="70">
        <f>Calculations!A833</f>
        <v>0</v>
      </c>
      <c r="C213">
        <f>Calculations!B833</f>
        <v>0</v>
      </c>
      <c r="D213" s="77">
        <f>Calculations!C833</f>
        <v>0</v>
      </c>
      <c r="E213" s="92">
        <f>Calculations!D833</f>
        <v>0</v>
      </c>
      <c r="F213" s="149">
        <f>Calculations!E833</f>
        <v>0</v>
      </c>
      <c r="G213" s="149">
        <f>Calculations!F833</f>
        <v>0</v>
      </c>
      <c r="H213" s="149">
        <f>Calculations!G833</f>
        <v>0</v>
      </c>
      <c r="I213" s="511" t="str">
        <f>Calculations!H833</f>
        <v/>
      </c>
      <c r="J213" s="123"/>
      <c r="K213" s="123"/>
      <c r="L213" s="123"/>
    </row>
    <row r="214" spans="1:12">
      <c r="B214" s="70">
        <f>Calculations!A834</f>
        <v>0</v>
      </c>
      <c r="C214">
        <f>Calculations!B834</f>
        <v>0</v>
      </c>
      <c r="D214" s="77">
        <f>Calculations!C834</f>
        <v>0</v>
      </c>
      <c r="E214" s="92">
        <f>Calculations!D834</f>
        <v>0</v>
      </c>
      <c r="F214" s="149">
        <f>Calculations!E834</f>
        <v>0</v>
      </c>
      <c r="G214" s="149">
        <f>Calculations!F834</f>
        <v>0</v>
      </c>
      <c r="H214" s="149">
        <f>Calculations!G834</f>
        <v>0</v>
      </c>
      <c r="I214" s="511" t="str">
        <f>Calculations!H834</f>
        <v/>
      </c>
      <c r="J214" s="123"/>
      <c r="K214" s="123"/>
      <c r="L214" s="123"/>
    </row>
    <row r="215" spans="1:12">
      <c r="B215" s="70">
        <f>Calculations!A835</f>
        <v>0</v>
      </c>
      <c r="C215">
        <f>Calculations!B835</f>
        <v>0</v>
      </c>
      <c r="D215" s="77">
        <f>Calculations!C835</f>
        <v>0</v>
      </c>
      <c r="E215" s="92">
        <f>Calculations!D835</f>
        <v>0</v>
      </c>
      <c r="F215" s="149">
        <f>Calculations!E835</f>
        <v>0</v>
      </c>
      <c r="G215" s="149">
        <f>Calculations!F835</f>
        <v>0</v>
      </c>
      <c r="H215" s="149">
        <f>Calculations!G835</f>
        <v>0</v>
      </c>
      <c r="I215" s="511" t="str">
        <f>Calculations!H835</f>
        <v/>
      </c>
      <c r="J215" s="123"/>
      <c r="K215" s="123"/>
      <c r="L215" s="123"/>
    </row>
    <row r="216" spans="1:12">
      <c r="B216" s="70">
        <f>Calculations!A836</f>
        <v>0</v>
      </c>
      <c r="C216">
        <f>Calculations!B836</f>
        <v>0</v>
      </c>
      <c r="D216" s="77">
        <f>Calculations!C836</f>
        <v>0</v>
      </c>
      <c r="E216" s="92">
        <f>Calculations!D836</f>
        <v>0</v>
      </c>
      <c r="F216" s="149">
        <f>Calculations!E836</f>
        <v>0</v>
      </c>
      <c r="G216" s="149">
        <f>Calculations!F836</f>
        <v>0</v>
      </c>
      <c r="H216" s="149">
        <f>Calculations!G836</f>
        <v>0</v>
      </c>
      <c r="I216" s="511" t="str">
        <f>Calculations!H836</f>
        <v/>
      </c>
      <c r="J216" s="123"/>
      <c r="K216" s="123"/>
      <c r="L216" s="123"/>
    </row>
    <row r="217" spans="1:12">
      <c r="B217" s="70">
        <f>Calculations!A837</f>
        <v>0</v>
      </c>
      <c r="C217">
        <f>Calculations!B837</f>
        <v>0</v>
      </c>
      <c r="D217" s="77">
        <f>Calculations!C837</f>
        <v>0</v>
      </c>
      <c r="E217" s="92">
        <f>Calculations!D837</f>
        <v>0</v>
      </c>
      <c r="F217" s="149">
        <f>Calculations!E837</f>
        <v>0</v>
      </c>
      <c r="G217" s="149">
        <f>Calculations!F837</f>
        <v>0</v>
      </c>
      <c r="H217" s="149">
        <f>Calculations!G837</f>
        <v>0</v>
      </c>
      <c r="I217" s="511" t="str">
        <f>Calculations!H837</f>
        <v/>
      </c>
      <c r="J217" s="123"/>
      <c r="K217" s="123"/>
      <c r="L217" s="123"/>
    </row>
    <row r="218" spans="1:12">
      <c r="B218" s="70">
        <f>Calculations!A838</f>
        <v>0</v>
      </c>
      <c r="C218">
        <f>Calculations!B838</f>
        <v>0</v>
      </c>
      <c r="D218" s="77">
        <f>Calculations!C838</f>
        <v>0</v>
      </c>
      <c r="E218" s="92">
        <f>Calculations!D838</f>
        <v>0</v>
      </c>
      <c r="F218" s="149">
        <f>Calculations!E838</f>
        <v>0</v>
      </c>
      <c r="G218" s="149">
        <f>Calculations!F838</f>
        <v>0</v>
      </c>
      <c r="H218" s="149">
        <f>Calculations!G838</f>
        <v>0</v>
      </c>
      <c r="I218" s="511" t="str">
        <f>Calculations!H838</f>
        <v/>
      </c>
      <c r="J218" s="123"/>
      <c r="K218" s="123"/>
      <c r="L218" s="123"/>
    </row>
    <row r="219" spans="1:12">
      <c r="B219" s="70">
        <f>Calculations!A839</f>
        <v>0</v>
      </c>
      <c r="C219">
        <f>Calculations!B839</f>
        <v>0</v>
      </c>
      <c r="D219" s="77">
        <f>Calculations!C839</f>
        <v>0</v>
      </c>
      <c r="E219" s="92">
        <f>Calculations!D839</f>
        <v>0</v>
      </c>
      <c r="F219" s="149">
        <f>Calculations!E839</f>
        <v>0</v>
      </c>
      <c r="G219" s="149">
        <f>Calculations!F839</f>
        <v>0</v>
      </c>
      <c r="H219" s="149">
        <f>Calculations!G839</f>
        <v>0</v>
      </c>
      <c r="I219" s="511" t="str">
        <f>Calculations!H839</f>
        <v/>
      </c>
      <c r="J219" s="123"/>
      <c r="K219" s="123"/>
      <c r="L219" s="123"/>
    </row>
    <row r="220" spans="1:12">
      <c r="B220" s="70">
        <f>Calculations!A840</f>
        <v>0</v>
      </c>
      <c r="C220">
        <f>Calculations!B840</f>
        <v>0</v>
      </c>
      <c r="D220" s="77">
        <f>Calculations!C840</f>
        <v>0</v>
      </c>
      <c r="E220" s="92">
        <f>Calculations!D840</f>
        <v>0</v>
      </c>
      <c r="F220" s="149">
        <f>Calculations!E840</f>
        <v>0</v>
      </c>
      <c r="G220" s="149">
        <f>Calculations!F840</f>
        <v>0</v>
      </c>
      <c r="H220" s="149">
        <f>Calculations!G840</f>
        <v>0</v>
      </c>
      <c r="I220" s="511" t="str">
        <f>Calculations!H840</f>
        <v/>
      </c>
      <c r="J220" s="123"/>
      <c r="K220" s="123"/>
      <c r="L220" s="123"/>
    </row>
    <row r="221" spans="1:12">
      <c r="B221" s="70">
        <f>Calculations!A841</f>
        <v>0</v>
      </c>
      <c r="C221">
        <f>Calculations!B841</f>
        <v>0</v>
      </c>
      <c r="D221" s="77">
        <f>Calculations!C841</f>
        <v>0</v>
      </c>
      <c r="E221" s="92">
        <f>Calculations!D841</f>
        <v>0</v>
      </c>
      <c r="F221" s="149">
        <f>Calculations!E841</f>
        <v>0</v>
      </c>
      <c r="G221" s="149">
        <f>Calculations!F841</f>
        <v>0</v>
      </c>
      <c r="H221" s="149">
        <f>Calculations!G841</f>
        <v>0</v>
      </c>
      <c r="I221" s="511" t="str">
        <f>Calculations!H841</f>
        <v/>
      </c>
      <c r="J221" s="123"/>
      <c r="K221" s="123"/>
      <c r="L221" s="123"/>
    </row>
    <row r="222" spans="1:12">
      <c r="B222" s="70">
        <f>Calculations!A842</f>
        <v>0</v>
      </c>
      <c r="C222">
        <f>Calculations!B842</f>
        <v>0</v>
      </c>
      <c r="D222" s="77">
        <f>Calculations!C842</f>
        <v>0</v>
      </c>
      <c r="E222" s="92">
        <f>Calculations!D842</f>
        <v>0</v>
      </c>
      <c r="F222" s="149">
        <f>Calculations!E842</f>
        <v>0</v>
      </c>
      <c r="G222" s="149">
        <f>Calculations!F842</f>
        <v>0</v>
      </c>
      <c r="H222" s="149">
        <f>Calculations!G842</f>
        <v>0</v>
      </c>
      <c r="I222" s="511" t="str">
        <f>Calculations!H842</f>
        <v/>
      </c>
      <c r="J222" s="123"/>
      <c r="K222" s="123"/>
      <c r="L222" s="123"/>
    </row>
    <row r="223" spans="1:12">
      <c r="B223" s="70">
        <f>Calculations!A843</f>
        <v>0</v>
      </c>
      <c r="C223">
        <f>Calculations!B843</f>
        <v>0</v>
      </c>
      <c r="D223" s="77">
        <f>Calculations!C843</f>
        <v>0</v>
      </c>
      <c r="E223" s="92">
        <f>Calculations!D843</f>
        <v>0</v>
      </c>
      <c r="F223" s="149">
        <f>Calculations!E843</f>
        <v>0</v>
      </c>
      <c r="G223" s="149">
        <f>Calculations!F843</f>
        <v>0</v>
      </c>
      <c r="H223" s="149">
        <f>Calculations!G843</f>
        <v>0</v>
      </c>
      <c r="I223" s="511" t="str">
        <f>Calculations!H843</f>
        <v/>
      </c>
      <c r="J223" s="123"/>
      <c r="K223" s="123"/>
      <c r="L223" s="123"/>
    </row>
    <row r="224" spans="1:12">
      <c r="B224" s="70">
        <f>Calculations!A844</f>
        <v>0</v>
      </c>
      <c r="C224">
        <f>Calculations!B844</f>
        <v>0</v>
      </c>
      <c r="D224" s="77">
        <f>Calculations!C844</f>
        <v>0</v>
      </c>
      <c r="E224" s="92">
        <f>Calculations!D844</f>
        <v>0</v>
      </c>
      <c r="F224" s="149">
        <f>Calculations!E844</f>
        <v>0</v>
      </c>
      <c r="G224" s="149">
        <f>Calculations!F844</f>
        <v>0</v>
      </c>
      <c r="H224" s="149">
        <f>Calculations!G844</f>
        <v>0</v>
      </c>
      <c r="I224" s="511" t="str">
        <f>Calculations!H844</f>
        <v/>
      </c>
      <c r="J224" s="123"/>
      <c r="K224" s="123"/>
      <c r="L224" s="123"/>
    </row>
    <row r="225" spans="2:12">
      <c r="B225" s="70">
        <f>Calculations!A845</f>
        <v>0</v>
      </c>
      <c r="C225">
        <f>Calculations!B845</f>
        <v>0</v>
      </c>
      <c r="D225" s="77">
        <f>Calculations!C845</f>
        <v>0</v>
      </c>
      <c r="E225" s="92">
        <f>Calculations!D845</f>
        <v>0</v>
      </c>
      <c r="F225" s="149">
        <f>Calculations!E845</f>
        <v>0</v>
      </c>
      <c r="G225" s="149">
        <f>Calculations!F845</f>
        <v>0</v>
      </c>
      <c r="H225" s="149">
        <f>Calculations!G845</f>
        <v>0</v>
      </c>
      <c r="I225" s="511" t="str">
        <f>Calculations!H845</f>
        <v/>
      </c>
      <c r="J225" s="123"/>
      <c r="K225" s="123"/>
      <c r="L225" s="123"/>
    </row>
    <row r="226" spans="2:12">
      <c r="B226" s="70">
        <f>Calculations!A846</f>
        <v>0</v>
      </c>
      <c r="C226">
        <f>Calculations!B846</f>
        <v>0</v>
      </c>
      <c r="D226" s="77">
        <f>Calculations!C846</f>
        <v>0</v>
      </c>
      <c r="E226" s="92">
        <f>Calculations!D846</f>
        <v>0</v>
      </c>
      <c r="F226" s="149">
        <f>Calculations!E846</f>
        <v>0</v>
      </c>
      <c r="G226" s="149">
        <f>Calculations!F846</f>
        <v>0</v>
      </c>
      <c r="H226" s="149">
        <f>Calculations!G846</f>
        <v>0</v>
      </c>
      <c r="I226" s="511" t="str">
        <f>Calculations!H846</f>
        <v/>
      </c>
      <c r="J226" s="123"/>
      <c r="K226" s="123"/>
      <c r="L226" s="123"/>
    </row>
    <row r="227" spans="2:12">
      <c r="B227" s="70">
        <f>Calculations!A847</f>
        <v>0</v>
      </c>
      <c r="C227">
        <f>Calculations!B847</f>
        <v>0</v>
      </c>
      <c r="D227" s="77">
        <f>Calculations!C847</f>
        <v>0</v>
      </c>
      <c r="E227" s="92">
        <f>Calculations!D847</f>
        <v>0</v>
      </c>
      <c r="F227" s="149">
        <f>Calculations!E847</f>
        <v>0</v>
      </c>
      <c r="G227" s="149">
        <f>Calculations!F847</f>
        <v>0</v>
      </c>
      <c r="H227" s="149">
        <f>Calculations!G847</f>
        <v>0</v>
      </c>
      <c r="I227" s="511" t="str">
        <f>Calculations!H847</f>
        <v/>
      </c>
      <c r="J227" s="123"/>
      <c r="K227" s="123"/>
      <c r="L227" s="123"/>
    </row>
    <row r="228" spans="2:12">
      <c r="B228" s="70">
        <f>Calculations!A848</f>
        <v>0</v>
      </c>
      <c r="C228">
        <f>Calculations!B848</f>
        <v>0</v>
      </c>
      <c r="D228" s="77">
        <f>Calculations!C848</f>
        <v>0</v>
      </c>
      <c r="E228" s="92">
        <f>Calculations!D848</f>
        <v>0</v>
      </c>
      <c r="F228" s="149">
        <f>Calculations!E848</f>
        <v>0</v>
      </c>
      <c r="G228" s="149">
        <f>Calculations!F848</f>
        <v>0</v>
      </c>
      <c r="H228" s="149">
        <f>Calculations!G848</f>
        <v>0</v>
      </c>
      <c r="I228" s="511" t="str">
        <f>Calculations!H848</f>
        <v/>
      </c>
      <c r="J228" s="123"/>
      <c r="K228" s="123"/>
      <c r="L228" s="123"/>
    </row>
    <row r="229" spans="2:12">
      <c r="B229" s="70">
        <f>Calculations!A849</f>
        <v>0</v>
      </c>
      <c r="C229">
        <f>Calculations!B849</f>
        <v>0</v>
      </c>
      <c r="D229" s="77">
        <f>Calculations!C849</f>
        <v>0</v>
      </c>
      <c r="E229" s="92">
        <f>Calculations!D849</f>
        <v>0</v>
      </c>
      <c r="F229" s="149">
        <f>Calculations!E849</f>
        <v>0</v>
      </c>
      <c r="G229" s="149">
        <f>Calculations!F849</f>
        <v>0</v>
      </c>
      <c r="H229" s="149">
        <f>Calculations!G849</f>
        <v>0</v>
      </c>
      <c r="I229" s="511" t="str">
        <f>Calculations!H849</f>
        <v/>
      </c>
      <c r="J229" s="123"/>
      <c r="K229" s="123"/>
      <c r="L229" s="123"/>
    </row>
    <row r="230" spans="2:12">
      <c r="B230" s="70">
        <f>Calculations!A850</f>
        <v>0</v>
      </c>
      <c r="C230">
        <f>Calculations!B850</f>
        <v>0</v>
      </c>
      <c r="D230" s="77">
        <f>Calculations!C850</f>
        <v>0</v>
      </c>
      <c r="E230" s="92">
        <f>Calculations!D850</f>
        <v>0</v>
      </c>
      <c r="F230" s="149">
        <f>Calculations!E850</f>
        <v>0</v>
      </c>
      <c r="G230" s="149">
        <f>Calculations!F850</f>
        <v>0</v>
      </c>
      <c r="H230" s="149">
        <f>Calculations!G850</f>
        <v>0</v>
      </c>
      <c r="I230" s="511" t="str">
        <f>Calculations!H850</f>
        <v/>
      </c>
      <c r="J230" s="123"/>
      <c r="K230" s="123"/>
      <c r="L230" s="123"/>
    </row>
    <row r="231" spans="2:12">
      <c r="B231" s="70">
        <f>Calculations!A851</f>
        <v>0</v>
      </c>
      <c r="C231">
        <f>Calculations!B851</f>
        <v>0</v>
      </c>
      <c r="D231" s="77">
        <f>Calculations!C851</f>
        <v>0</v>
      </c>
      <c r="E231" s="92">
        <f>Calculations!D851</f>
        <v>0</v>
      </c>
      <c r="F231" s="149">
        <f>Calculations!E851</f>
        <v>0</v>
      </c>
      <c r="G231" s="149">
        <f>Calculations!F851</f>
        <v>0</v>
      </c>
      <c r="H231" s="149">
        <f>Calculations!G851</f>
        <v>0</v>
      </c>
      <c r="I231" s="511" t="str">
        <f>Calculations!H851</f>
        <v/>
      </c>
      <c r="J231" s="123"/>
      <c r="K231" s="123"/>
      <c r="L231" s="123"/>
    </row>
    <row r="232" spans="2:12">
      <c r="B232" s="70">
        <f>Calculations!A852</f>
        <v>0</v>
      </c>
      <c r="C232">
        <f>Calculations!B852</f>
        <v>0</v>
      </c>
      <c r="D232" s="77">
        <f>Calculations!C852</f>
        <v>0</v>
      </c>
      <c r="E232" s="92">
        <f>Calculations!D852</f>
        <v>0</v>
      </c>
      <c r="F232" s="149">
        <f>Calculations!E852</f>
        <v>0</v>
      </c>
      <c r="G232" s="149">
        <f>Calculations!F852</f>
        <v>0</v>
      </c>
      <c r="H232" s="149">
        <f>Calculations!G852</f>
        <v>0</v>
      </c>
      <c r="I232" s="511" t="str">
        <f>Calculations!H852</f>
        <v/>
      </c>
      <c r="J232" s="123"/>
      <c r="K232" s="123"/>
      <c r="L232" s="123"/>
    </row>
    <row r="233" spans="2:12">
      <c r="B233" s="70">
        <f>Calculations!A853</f>
        <v>0</v>
      </c>
      <c r="C233">
        <f>Calculations!B853</f>
        <v>0</v>
      </c>
      <c r="D233" s="77">
        <f>Calculations!C853</f>
        <v>0</v>
      </c>
      <c r="E233" s="92">
        <f>Calculations!D853</f>
        <v>0</v>
      </c>
      <c r="F233" s="149">
        <f>Calculations!E853</f>
        <v>0</v>
      </c>
      <c r="G233" s="149">
        <f>Calculations!F853</f>
        <v>0</v>
      </c>
      <c r="H233" s="149">
        <f>Calculations!G853</f>
        <v>0</v>
      </c>
      <c r="I233" s="511" t="str">
        <f>Calculations!H853</f>
        <v/>
      </c>
      <c r="J233" s="123"/>
      <c r="K233" s="123"/>
      <c r="L233" s="123"/>
    </row>
    <row r="234" spans="2:12">
      <c r="B234" s="70">
        <f>Calculations!A854</f>
        <v>0</v>
      </c>
      <c r="C234">
        <f>Calculations!B854</f>
        <v>0</v>
      </c>
      <c r="D234" s="77">
        <f>Calculations!C854</f>
        <v>0</v>
      </c>
      <c r="E234" s="92">
        <f>Calculations!D854</f>
        <v>0</v>
      </c>
      <c r="F234" s="149">
        <f>Calculations!E854</f>
        <v>0</v>
      </c>
      <c r="G234" s="149">
        <f>Calculations!F854</f>
        <v>0</v>
      </c>
      <c r="H234" s="149">
        <f>Calculations!G854</f>
        <v>0</v>
      </c>
      <c r="I234" s="511" t="str">
        <f>Calculations!H854</f>
        <v/>
      </c>
      <c r="J234" s="123"/>
      <c r="K234" s="123"/>
      <c r="L234" s="123"/>
    </row>
    <row r="235" spans="2:12">
      <c r="B235" s="70">
        <f>Calculations!A855</f>
        <v>0</v>
      </c>
      <c r="C235">
        <f>Calculations!B855</f>
        <v>0</v>
      </c>
      <c r="D235" s="77">
        <f>Calculations!C855</f>
        <v>0</v>
      </c>
      <c r="E235" s="92">
        <f>Calculations!D855</f>
        <v>0</v>
      </c>
      <c r="F235" s="149">
        <f>Calculations!E855</f>
        <v>0</v>
      </c>
      <c r="G235" s="149">
        <f>Calculations!F855</f>
        <v>0</v>
      </c>
      <c r="H235" s="149">
        <f>Calculations!G855</f>
        <v>0</v>
      </c>
      <c r="I235" s="511" t="str">
        <f>Calculations!H855</f>
        <v/>
      </c>
      <c r="J235" s="123"/>
      <c r="K235" s="123"/>
      <c r="L235" s="123"/>
    </row>
    <row r="236" spans="2:12">
      <c r="B236" s="70">
        <f>Calculations!A856</f>
        <v>0</v>
      </c>
      <c r="C236">
        <f>Calculations!B856</f>
        <v>0</v>
      </c>
      <c r="D236" s="77">
        <f>Calculations!C856</f>
        <v>0</v>
      </c>
      <c r="E236" s="92">
        <f>Calculations!D856</f>
        <v>0</v>
      </c>
      <c r="F236" s="149">
        <f>Calculations!E856</f>
        <v>0</v>
      </c>
      <c r="G236" s="149">
        <f>Calculations!F856</f>
        <v>0</v>
      </c>
      <c r="H236" s="149">
        <f>Calculations!G856</f>
        <v>0</v>
      </c>
      <c r="I236" s="511" t="str">
        <f>Calculations!H856</f>
        <v/>
      </c>
      <c r="J236" s="123"/>
      <c r="K236" s="123"/>
      <c r="L236" s="123"/>
    </row>
    <row r="237" spans="2:12">
      <c r="B237" s="70">
        <f>Calculations!A857</f>
        <v>0</v>
      </c>
      <c r="C237">
        <f>Calculations!B857</f>
        <v>0</v>
      </c>
      <c r="D237" s="77">
        <f>Calculations!C857</f>
        <v>0</v>
      </c>
      <c r="E237" s="92">
        <f>Calculations!D857</f>
        <v>0</v>
      </c>
      <c r="F237" s="149">
        <f>Calculations!E857</f>
        <v>0</v>
      </c>
      <c r="G237" s="149">
        <f>Calculations!F857</f>
        <v>0</v>
      </c>
      <c r="H237" s="149">
        <f>Calculations!G857</f>
        <v>0</v>
      </c>
      <c r="I237" s="511" t="str">
        <f>Calculations!H857</f>
        <v/>
      </c>
      <c r="J237" s="123"/>
      <c r="K237" s="123"/>
      <c r="L237" s="123"/>
    </row>
    <row r="238" spans="2:12">
      <c r="B238" s="70">
        <f>Calculations!A858</f>
        <v>0</v>
      </c>
      <c r="C238">
        <f>Calculations!B858</f>
        <v>0</v>
      </c>
      <c r="D238" s="77">
        <f>Calculations!C858</f>
        <v>0</v>
      </c>
      <c r="E238" s="92">
        <f>Calculations!D858</f>
        <v>0</v>
      </c>
      <c r="F238" s="149">
        <f>Calculations!E858</f>
        <v>0</v>
      </c>
      <c r="G238" s="149">
        <f>Calculations!F858</f>
        <v>0</v>
      </c>
      <c r="H238" s="149">
        <f>Calculations!G858</f>
        <v>0</v>
      </c>
      <c r="I238" s="511" t="str">
        <f>Calculations!H858</f>
        <v/>
      </c>
      <c r="J238" s="123"/>
      <c r="K238" s="123"/>
      <c r="L238" s="123"/>
    </row>
    <row r="239" spans="2:12">
      <c r="B239" s="70">
        <f>Calculations!A859</f>
        <v>0</v>
      </c>
      <c r="C239">
        <f>Calculations!B859</f>
        <v>0</v>
      </c>
      <c r="D239" s="77">
        <f>Calculations!C859</f>
        <v>0</v>
      </c>
      <c r="E239" s="92">
        <f>Calculations!D859</f>
        <v>0</v>
      </c>
      <c r="F239" s="149">
        <f>Calculations!E859</f>
        <v>0</v>
      </c>
      <c r="G239" s="149">
        <f>Calculations!F859</f>
        <v>0</v>
      </c>
      <c r="H239" s="149">
        <f>Calculations!G859</f>
        <v>0</v>
      </c>
      <c r="I239" s="511" t="str">
        <f>Calculations!H859</f>
        <v/>
      </c>
      <c r="J239" s="123"/>
      <c r="K239" s="123"/>
      <c r="L239" s="123"/>
    </row>
    <row r="240" spans="2:12">
      <c r="B240" s="70">
        <f>Calculations!A860</f>
        <v>0</v>
      </c>
      <c r="C240">
        <f>Calculations!B860</f>
        <v>0</v>
      </c>
      <c r="D240" s="77">
        <f>Calculations!C860</f>
        <v>0</v>
      </c>
      <c r="E240" s="92">
        <f>Calculations!D860</f>
        <v>0</v>
      </c>
      <c r="F240" s="149">
        <f>Calculations!E860</f>
        <v>0</v>
      </c>
      <c r="G240" s="149">
        <f>Calculations!F860</f>
        <v>0</v>
      </c>
      <c r="H240" s="149">
        <f>Calculations!G860</f>
        <v>0</v>
      </c>
      <c r="I240" s="511" t="str">
        <f>Calculations!H860</f>
        <v/>
      </c>
      <c r="J240" s="123"/>
      <c r="K240" s="123"/>
      <c r="L240" s="123"/>
    </row>
    <row r="241" spans="2:12">
      <c r="B241" s="70">
        <f>Calculations!A861</f>
        <v>0</v>
      </c>
      <c r="C241">
        <f>Calculations!B861</f>
        <v>0</v>
      </c>
      <c r="D241" s="77">
        <f>Calculations!C861</f>
        <v>0</v>
      </c>
      <c r="E241" s="92">
        <f>Calculations!D861</f>
        <v>0</v>
      </c>
      <c r="F241" s="149">
        <f>Calculations!E861</f>
        <v>0</v>
      </c>
      <c r="G241" s="149">
        <f>Calculations!F861</f>
        <v>0</v>
      </c>
      <c r="H241" s="149">
        <f>Calculations!G861</f>
        <v>0</v>
      </c>
      <c r="I241" s="511" t="str">
        <f>Calculations!H861</f>
        <v/>
      </c>
      <c r="J241" s="123"/>
      <c r="K241" s="123"/>
      <c r="L241" s="123"/>
    </row>
    <row r="242" spans="2:12">
      <c r="B242" s="70">
        <f>Calculations!A862</f>
        <v>0</v>
      </c>
      <c r="C242">
        <f>Calculations!B862</f>
        <v>0</v>
      </c>
      <c r="D242" s="77">
        <f>Calculations!C862</f>
        <v>0</v>
      </c>
      <c r="E242" s="92">
        <f>Calculations!D862</f>
        <v>0</v>
      </c>
      <c r="F242" s="149">
        <f>Calculations!E862</f>
        <v>0</v>
      </c>
      <c r="G242" s="149">
        <f>Calculations!F862</f>
        <v>0</v>
      </c>
      <c r="H242" s="149">
        <f>Calculations!G862</f>
        <v>0</v>
      </c>
      <c r="I242" s="511" t="str">
        <f>Calculations!H862</f>
        <v/>
      </c>
      <c r="J242" s="123"/>
      <c r="K242" s="123"/>
      <c r="L242" s="123"/>
    </row>
    <row r="243" spans="2:12">
      <c r="B243" s="70">
        <f>Calculations!A863</f>
        <v>0</v>
      </c>
      <c r="C243">
        <f>Calculations!B863</f>
        <v>0</v>
      </c>
      <c r="D243" s="77">
        <f>Calculations!C863</f>
        <v>0</v>
      </c>
      <c r="E243" s="92">
        <f>Calculations!D863</f>
        <v>0</v>
      </c>
      <c r="F243" s="149">
        <f>Calculations!E863</f>
        <v>0</v>
      </c>
      <c r="G243" s="149">
        <f>Calculations!F863</f>
        <v>0</v>
      </c>
      <c r="H243" s="149">
        <f>Calculations!G863</f>
        <v>0</v>
      </c>
      <c r="I243" s="511" t="str">
        <f>Calculations!H863</f>
        <v/>
      </c>
      <c r="J243" s="123"/>
      <c r="K243" s="123"/>
      <c r="L243" s="123"/>
    </row>
    <row r="244" spans="2:12">
      <c r="B244" s="70">
        <f>Calculations!A864</f>
        <v>0</v>
      </c>
      <c r="C244">
        <f>Calculations!B864</f>
        <v>0</v>
      </c>
      <c r="D244" s="77">
        <f>Calculations!C864</f>
        <v>0</v>
      </c>
      <c r="E244" s="92">
        <f>Calculations!D864</f>
        <v>0</v>
      </c>
      <c r="F244" s="149">
        <f>Calculations!E864</f>
        <v>0</v>
      </c>
      <c r="G244" s="149">
        <f>Calculations!F864</f>
        <v>0</v>
      </c>
      <c r="H244" s="149">
        <f>Calculations!G864</f>
        <v>0</v>
      </c>
      <c r="I244" s="511" t="str">
        <f>Calculations!H864</f>
        <v/>
      </c>
      <c r="J244" s="123"/>
      <c r="K244" s="123"/>
      <c r="L244" s="123"/>
    </row>
    <row r="245" spans="2:12">
      <c r="B245" s="70">
        <f>Calculations!A865</f>
        <v>0</v>
      </c>
      <c r="C245">
        <f>Calculations!B865</f>
        <v>0</v>
      </c>
      <c r="D245" s="77">
        <f>Calculations!C865</f>
        <v>0</v>
      </c>
      <c r="E245" s="92">
        <f>Calculations!D865</f>
        <v>0</v>
      </c>
      <c r="F245" s="149">
        <f>Calculations!E865</f>
        <v>0</v>
      </c>
      <c r="G245" s="149">
        <f>Calculations!F865</f>
        <v>0</v>
      </c>
      <c r="H245" s="149">
        <f>Calculations!G865</f>
        <v>0</v>
      </c>
      <c r="I245" s="511" t="str">
        <f>Calculations!H865</f>
        <v/>
      </c>
      <c r="J245" s="123"/>
      <c r="K245" s="123"/>
      <c r="L245" s="123"/>
    </row>
    <row r="246" spans="2:12">
      <c r="B246" s="70">
        <f>Calculations!A866</f>
        <v>0</v>
      </c>
      <c r="C246">
        <f>Calculations!B866</f>
        <v>0</v>
      </c>
      <c r="D246" s="77">
        <f>Calculations!C866</f>
        <v>0</v>
      </c>
      <c r="E246" s="92">
        <f>Calculations!D866</f>
        <v>0</v>
      </c>
      <c r="F246" s="149">
        <f>Calculations!E866</f>
        <v>0</v>
      </c>
      <c r="G246" s="149">
        <f>Calculations!F866</f>
        <v>0</v>
      </c>
      <c r="H246" s="149">
        <f>Calculations!G866</f>
        <v>0</v>
      </c>
      <c r="I246" s="511" t="str">
        <f>Calculations!H866</f>
        <v/>
      </c>
      <c r="J246" s="123"/>
      <c r="K246" s="123"/>
      <c r="L246" s="123"/>
    </row>
    <row r="247" spans="2:12">
      <c r="B247" s="70">
        <f>Calculations!A867</f>
        <v>0</v>
      </c>
      <c r="C247">
        <f>Calculations!B867</f>
        <v>0</v>
      </c>
      <c r="D247" s="77">
        <f>Calculations!C867</f>
        <v>0</v>
      </c>
      <c r="E247" s="92">
        <f>Calculations!D867</f>
        <v>0</v>
      </c>
      <c r="F247" s="149">
        <f>Calculations!E867</f>
        <v>0</v>
      </c>
      <c r="G247" s="149">
        <f>Calculations!F867</f>
        <v>0</v>
      </c>
      <c r="H247" s="149">
        <f>Calculations!G867</f>
        <v>0</v>
      </c>
      <c r="I247" s="511" t="str">
        <f>Calculations!H867</f>
        <v/>
      </c>
      <c r="J247" s="123"/>
      <c r="K247" s="123"/>
      <c r="L247" s="123"/>
    </row>
    <row r="248" spans="2:12">
      <c r="B248" s="70">
        <f>Calculations!A868</f>
        <v>0</v>
      </c>
      <c r="C248">
        <f>Calculations!B868</f>
        <v>0</v>
      </c>
      <c r="D248" s="77">
        <f>Calculations!C868</f>
        <v>0</v>
      </c>
      <c r="E248" s="92">
        <f>Calculations!D868</f>
        <v>0</v>
      </c>
      <c r="F248" s="149">
        <f>Calculations!E868</f>
        <v>0</v>
      </c>
      <c r="G248" s="149">
        <f>Calculations!F868</f>
        <v>0</v>
      </c>
      <c r="H248" s="149">
        <f>Calculations!G868</f>
        <v>0</v>
      </c>
      <c r="I248" s="511" t="str">
        <f>Calculations!H868</f>
        <v/>
      </c>
      <c r="J248" s="123"/>
      <c r="K248" s="123"/>
      <c r="L248" s="123"/>
    </row>
    <row r="249" spans="2:12">
      <c r="B249" s="70">
        <f>Calculations!A869</f>
        <v>0</v>
      </c>
      <c r="C249">
        <f>Calculations!B869</f>
        <v>0</v>
      </c>
      <c r="D249" s="77">
        <f>Calculations!C869</f>
        <v>0</v>
      </c>
      <c r="E249" s="92">
        <f>Calculations!D869</f>
        <v>0</v>
      </c>
      <c r="F249" s="149">
        <f>Calculations!E869</f>
        <v>0</v>
      </c>
      <c r="G249" s="149">
        <f>Calculations!F869</f>
        <v>0</v>
      </c>
      <c r="H249" s="149">
        <f>Calculations!G869</f>
        <v>0</v>
      </c>
      <c r="I249" s="511" t="str">
        <f>Calculations!H869</f>
        <v/>
      </c>
      <c r="J249" s="123"/>
      <c r="K249" s="123"/>
      <c r="L249" s="123"/>
    </row>
    <row r="250" spans="2:12">
      <c r="B250" s="70">
        <f>Calculations!A870</f>
        <v>0</v>
      </c>
      <c r="C250">
        <f>Calculations!B870</f>
        <v>0</v>
      </c>
      <c r="D250" s="77">
        <f>Calculations!C870</f>
        <v>0</v>
      </c>
      <c r="E250" s="92">
        <f>Calculations!D870</f>
        <v>0</v>
      </c>
      <c r="F250" s="149">
        <f>Calculations!E870</f>
        <v>0</v>
      </c>
      <c r="G250" s="149">
        <f>Calculations!F870</f>
        <v>0</v>
      </c>
      <c r="H250" s="149">
        <f>Calculations!G870</f>
        <v>0</v>
      </c>
      <c r="I250" s="511" t="str">
        <f>Calculations!H870</f>
        <v/>
      </c>
      <c r="J250" s="123"/>
      <c r="K250" s="123"/>
      <c r="L250" s="123"/>
    </row>
    <row r="251" spans="2:12">
      <c r="B251" s="70">
        <f>Calculations!A871</f>
        <v>0</v>
      </c>
      <c r="C251">
        <f>Calculations!B871</f>
        <v>0</v>
      </c>
      <c r="D251" s="77">
        <f>Calculations!C871</f>
        <v>0</v>
      </c>
      <c r="E251" s="92">
        <f>Calculations!D871</f>
        <v>0</v>
      </c>
      <c r="F251" s="149">
        <f>Calculations!E871</f>
        <v>0</v>
      </c>
      <c r="G251" s="149">
        <f>Calculations!F871</f>
        <v>0</v>
      </c>
      <c r="H251" s="149">
        <f>Calculations!G871</f>
        <v>0</v>
      </c>
      <c r="I251" s="511" t="str">
        <f>Calculations!H871</f>
        <v/>
      </c>
      <c r="J251" s="123"/>
      <c r="K251" s="123"/>
      <c r="L251" s="123"/>
    </row>
    <row r="252" spans="2:12">
      <c r="B252" s="70">
        <f>Calculations!A872</f>
        <v>0</v>
      </c>
      <c r="C252">
        <f>Calculations!B872</f>
        <v>0</v>
      </c>
      <c r="D252" s="77">
        <f>Calculations!C872</f>
        <v>0</v>
      </c>
      <c r="E252" s="92">
        <f>Calculations!D872</f>
        <v>0</v>
      </c>
      <c r="F252" s="149">
        <f>Calculations!E872</f>
        <v>0</v>
      </c>
      <c r="G252" s="149">
        <f>Calculations!F872</f>
        <v>0</v>
      </c>
      <c r="H252" s="149">
        <f>Calculations!G872</f>
        <v>0</v>
      </c>
      <c r="I252" s="511" t="str">
        <f>Calculations!H872</f>
        <v/>
      </c>
      <c r="J252" s="123"/>
      <c r="K252" s="123"/>
      <c r="L252" s="123"/>
    </row>
    <row r="253" spans="2:12">
      <c r="B253" s="70">
        <f>Calculations!A873</f>
        <v>0</v>
      </c>
      <c r="C253">
        <f>Calculations!B873</f>
        <v>0</v>
      </c>
      <c r="D253" s="77">
        <f>Calculations!C873</f>
        <v>0</v>
      </c>
      <c r="E253" s="92">
        <f>Calculations!D873</f>
        <v>0</v>
      </c>
      <c r="F253" s="149">
        <f>Calculations!E873</f>
        <v>0</v>
      </c>
      <c r="G253" s="149">
        <f>Calculations!F873</f>
        <v>0</v>
      </c>
      <c r="H253" s="149">
        <f>Calculations!G873</f>
        <v>0</v>
      </c>
      <c r="I253" s="511" t="str">
        <f>Calculations!H873</f>
        <v/>
      </c>
      <c r="J253" s="123"/>
      <c r="K253" s="123"/>
      <c r="L253" s="123"/>
    </row>
    <row r="254" spans="2:12">
      <c r="B254" s="70">
        <f>Calculations!A874</f>
        <v>0</v>
      </c>
      <c r="C254">
        <f>Calculations!B874</f>
        <v>0</v>
      </c>
      <c r="D254" s="77">
        <f>Calculations!C874</f>
        <v>0</v>
      </c>
      <c r="E254" s="92">
        <f>Calculations!D874</f>
        <v>0</v>
      </c>
      <c r="F254" s="149">
        <f>Calculations!E874</f>
        <v>0</v>
      </c>
      <c r="G254" s="149">
        <f>Calculations!F874</f>
        <v>0</v>
      </c>
      <c r="H254" s="149">
        <f>Calculations!G874</f>
        <v>0</v>
      </c>
      <c r="I254" s="511" t="str">
        <f>Calculations!H874</f>
        <v/>
      </c>
      <c r="J254" s="123"/>
      <c r="K254" s="123"/>
      <c r="L254" s="123"/>
    </row>
    <row r="255" spans="2:12">
      <c r="B255" s="70">
        <f>Calculations!A875</f>
        <v>0</v>
      </c>
      <c r="C255">
        <f>Calculations!B875</f>
        <v>0</v>
      </c>
      <c r="D255" s="77">
        <f>Calculations!C875</f>
        <v>0</v>
      </c>
      <c r="E255" s="92">
        <f>Calculations!D875</f>
        <v>0</v>
      </c>
      <c r="F255" s="149">
        <f>Calculations!E875</f>
        <v>0</v>
      </c>
      <c r="G255" s="149">
        <f>Calculations!F875</f>
        <v>0</v>
      </c>
      <c r="H255" s="149">
        <f>Calculations!G875</f>
        <v>0</v>
      </c>
      <c r="I255" s="511" t="str">
        <f>Calculations!H875</f>
        <v/>
      </c>
      <c r="J255" s="123"/>
      <c r="K255" s="123"/>
      <c r="L255" s="123"/>
    </row>
    <row r="256" spans="2:12">
      <c r="B256" s="70">
        <f>Calculations!A876</f>
        <v>0</v>
      </c>
      <c r="C256">
        <f>Calculations!B876</f>
        <v>0</v>
      </c>
      <c r="D256" s="77">
        <f>Calculations!C876</f>
        <v>0</v>
      </c>
      <c r="E256" s="92">
        <f>Calculations!D876</f>
        <v>0</v>
      </c>
      <c r="F256" s="149">
        <f>Calculations!E876</f>
        <v>0</v>
      </c>
      <c r="G256" s="149">
        <f>Calculations!F876</f>
        <v>0</v>
      </c>
      <c r="H256" s="149">
        <f>Calculations!G876</f>
        <v>0</v>
      </c>
      <c r="I256" s="511" t="str">
        <f>Calculations!H876</f>
        <v/>
      </c>
      <c r="J256" s="123"/>
      <c r="K256" s="123"/>
      <c r="L256" s="123"/>
    </row>
    <row r="257" spans="2:12">
      <c r="B257" s="70">
        <f>Calculations!A877</f>
        <v>0</v>
      </c>
      <c r="C257">
        <f>Calculations!B877</f>
        <v>0</v>
      </c>
      <c r="D257" s="77">
        <f>Calculations!C877</f>
        <v>0</v>
      </c>
      <c r="E257" s="92">
        <f>Calculations!D877</f>
        <v>0</v>
      </c>
      <c r="F257" s="149">
        <f>Calculations!E877</f>
        <v>0</v>
      </c>
      <c r="G257" s="149">
        <f>Calculations!F877</f>
        <v>0</v>
      </c>
      <c r="H257" s="149">
        <f>Calculations!G877</f>
        <v>0</v>
      </c>
      <c r="I257" s="511" t="str">
        <f>Calculations!H877</f>
        <v/>
      </c>
      <c r="J257" s="123"/>
      <c r="K257" s="123"/>
      <c r="L257" s="123"/>
    </row>
    <row r="258" spans="2:12">
      <c r="B258" s="70">
        <f>Calculations!A878</f>
        <v>0</v>
      </c>
      <c r="C258">
        <f>Calculations!B878</f>
        <v>0</v>
      </c>
      <c r="D258" s="77">
        <f>Calculations!C878</f>
        <v>0</v>
      </c>
      <c r="E258" s="92">
        <f>Calculations!D878</f>
        <v>0</v>
      </c>
      <c r="F258" s="149">
        <f>Calculations!E878</f>
        <v>0</v>
      </c>
      <c r="G258" s="149">
        <f>Calculations!F878</f>
        <v>0</v>
      </c>
      <c r="H258" s="149">
        <f>Calculations!G878</f>
        <v>0</v>
      </c>
      <c r="I258" s="511" t="str">
        <f>Calculations!H878</f>
        <v/>
      </c>
      <c r="J258" s="123"/>
      <c r="K258" s="123"/>
      <c r="L258" s="123"/>
    </row>
    <row r="259" spans="2:12">
      <c r="B259" s="70">
        <f>Calculations!A879</f>
        <v>0</v>
      </c>
      <c r="C259">
        <f>Calculations!B879</f>
        <v>0</v>
      </c>
      <c r="D259" s="77">
        <f>Calculations!C879</f>
        <v>0</v>
      </c>
      <c r="E259" s="92">
        <f>Calculations!D879</f>
        <v>0</v>
      </c>
      <c r="F259" s="149">
        <f>Calculations!E879</f>
        <v>0</v>
      </c>
      <c r="G259" s="149">
        <f>Calculations!F879</f>
        <v>0</v>
      </c>
      <c r="H259" s="149">
        <f>Calculations!G879</f>
        <v>0</v>
      </c>
      <c r="I259" s="511" t="str">
        <f>Calculations!H879</f>
        <v/>
      </c>
      <c r="J259" s="123"/>
      <c r="K259" s="123"/>
      <c r="L259" s="123"/>
    </row>
    <row r="260" spans="2:12">
      <c r="B260" s="70">
        <f>Calculations!A880</f>
        <v>0</v>
      </c>
      <c r="C260">
        <f>Calculations!B880</f>
        <v>0</v>
      </c>
      <c r="D260" s="77">
        <f>Calculations!C880</f>
        <v>0</v>
      </c>
      <c r="E260" s="92">
        <f>Calculations!D880</f>
        <v>0</v>
      </c>
      <c r="F260" s="149">
        <f>Calculations!E880</f>
        <v>0</v>
      </c>
      <c r="G260" s="149">
        <f>Calculations!F880</f>
        <v>0</v>
      </c>
      <c r="H260" s="149">
        <f>Calculations!G880</f>
        <v>0</v>
      </c>
      <c r="I260" s="511" t="str">
        <f>Calculations!H880</f>
        <v/>
      </c>
      <c r="J260" s="123"/>
      <c r="K260" s="123"/>
      <c r="L260" s="123"/>
    </row>
    <row r="261" spans="2:12">
      <c r="B261" s="70">
        <f>Calculations!A881</f>
        <v>0</v>
      </c>
      <c r="C261">
        <f>Calculations!B881</f>
        <v>0</v>
      </c>
      <c r="D261" s="77">
        <f>Calculations!C881</f>
        <v>0</v>
      </c>
      <c r="E261" s="92">
        <f>Calculations!D881</f>
        <v>0</v>
      </c>
      <c r="F261" s="149">
        <f>Calculations!E881</f>
        <v>0</v>
      </c>
      <c r="G261" s="149">
        <f>Calculations!F881</f>
        <v>0</v>
      </c>
      <c r="H261" s="149">
        <f>Calculations!G881</f>
        <v>0</v>
      </c>
      <c r="I261" s="511" t="str">
        <f>Calculations!H881</f>
        <v/>
      </c>
      <c r="J261" s="123"/>
      <c r="K261" s="123"/>
      <c r="L261" s="123"/>
    </row>
    <row r="262" spans="2:12">
      <c r="B262" s="70">
        <f>Calculations!A882</f>
        <v>0</v>
      </c>
      <c r="C262">
        <f>Calculations!B882</f>
        <v>0</v>
      </c>
      <c r="D262" s="77">
        <f>Calculations!C882</f>
        <v>0</v>
      </c>
      <c r="E262" s="92">
        <f>Calculations!D882</f>
        <v>0</v>
      </c>
      <c r="F262" s="149">
        <f>Calculations!E882</f>
        <v>0</v>
      </c>
      <c r="G262" s="149">
        <f>Calculations!F882</f>
        <v>0</v>
      </c>
      <c r="H262" s="149">
        <f>Calculations!G882</f>
        <v>0</v>
      </c>
      <c r="I262" s="511" t="str">
        <f>Calculations!H882</f>
        <v/>
      </c>
      <c r="J262" s="123"/>
      <c r="K262" s="123"/>
      <c r="L262" s="123"/>
    </row>
    <row r="263" spans="2:12">
      <c r="B263" s="70">
        <f>Calculations!A883</f>
        <v>0</v>
      </c>
      <c r="C263">
        <f>Calculations!B883</f>
        <v>0</v>
      </c>
      <c r="D263" s="77">
        <f>Calculations!C883</f>
        <v>0</v>
      </c>
      <c r="E263" s="92">
        <f>Calculations!D883</f>
        <v>0</v>
      </c>
      <c r="F263" s="149">
        <f>Calculations!E883</f>
        <v>0</v>
      </c>
      <c r="G263" s="149">
        <f>Calculations!F883</f>
        <v>0</v>
      </c>
      <c r="H263" s="149">
        <f>Calculations!G883</f>
        <v>0</v>
      </c>
      <c r="I263" s="511" t="str">
        <f>Calculations!H883</f>
        <v/>
      </c>
      <c r="J263" s="123"/>
      <c r="K263" s="123"/>
      <c r="L263" s="123"/>
    </row>
    <row r="264" spans="2:12">
      <c r="B264" s="70">
        <f>Calculations!A884</f>
        <v>0</v>
      </c>
      <c r="C264">
        <f>Calculations!B884</f>
        <v>0</v>
      </c>
      <c r="D264" s="77">
        <f>Calculations!C884</f>
        <v>0</v>
      </c>
      <c r="E264" s="92">
        <f>Calculations!D884</f>
        <v>0</v>
      </c>
      <c r="F264" s="149">
        <f>Calculations!E884</f>
        <v>0</v>
      </c>
      <c r="G264" s="149">
        <f>Calculations!F884</f>
        <v>0</v>
      </c>
      <c r="H264" s="149">
        <f>Calculations!G884</f>
        <v>0</v>
      </c>
      <c r="I264" s="511" t="str">
        <f>Calculations!H884</f>
        <v/>
      </c>
      <c r="J264" s="123"/>
      <c r="K264" s="123"/>
      <c r="L264" s="123"/>
    </row>
    <row r="265" spans="2:12">
      <c r="B265" s="70">
        <f>Calculations!A885</f>
        <v>0</v>
      </c>
      <c r="C265">
        <f>Calculations!B885</f>
        <v>0</v>
      </c>
      <c r="D265" s="77">
        <f>Calculations!C885</f>
        <v>0</v>
      </c>
      <c r="E265" s="92">
        <f>Calculations!D885</f>
        <v>0</v>
      </c>
      <c r="F265" s="149">
        <f>Calculations!E885</f>
        <v>0</v>
      </c>
      <c r="G265" s="149">
        <f>Calculations!F885</f>
        <v>0</v>
      </c>
      <c r="H265" s="149">
        <f>Calculations!G885</f>
        <v>0</v>
      </c>
      <c r="I265" s="511" t="str">
        <f>Calculations!H885</f>
        <v/>
      </c>
      <c r="J265" s="123"/>
      <c r="K265" s="123"/>
      <c r="L265" s="123"/>
    </row>
    <row r="266" spans="2:12">
      <c r="B266" s="70">
        <f>Calculations!A886</f>
        <v>0</v>
      </c>
      <c r="C266">
        <f>Calculations!B886</f>
        <v>0</v>
      </c>
      <c r="D266" s="77">
        <f>Calculations!C886</f>
        <v>0</v>
      </c>
      <c r="E266" s="92">
        <f>Calculations!D886</f>
        <v>0</v>
      </c>
      <c r="F266" s="149">
        <f>Calculations!E886</f>
        <v>0</v>
      </c>
      <c r="G266" s="149">
        <f>Calculations!F886</f>
        <v>0</v>
      </c>
      <c r="H266" s="149">
        <f>Calculations!G886</f>
        <v>0</v>
      </c>
      <c r="I266" s="511" t="str">
        <f>Calculations!H886</f>
        <v/>
      </c>
      <c r="J266" s="123"/>
      <c r="K266" s="123"/>
      <c r="L266" s="123"/>
    </row>
    <row r="267" spans="2:12">
      <c r="B267" s="70">
        <f>Calculations!A887</f>
        <v>0</v>
      </c>
      <c r="C267">
        <f>Calculations!B887</f>
        <v>0</v>
      </c>
      <c r="D267" s="77">
        <f>Calculations!C887</f>
        <v>0</v>
      </c>
      <c r="E267" s="92">
        <f>Calculations!D887</f>
        <v>0</v>
      </c>
      <c r="F267" s="149">
        <f>Calculations!E887</f>
        <v>0</v>
      </c>
      <c r="G267" s="149">
        <f>Calculations!F887</f>
        <v>0</v>
      </c>
      <c r="H267" s="149">
        <f>Calculations!G887</f>
        <v>0</v>
      </c>
      <c r="I267" s="511" t="str">
        <f>Calculations!H887</f>
        <v/>
      </c>
      <c r="J267" s="123"/>
      <c r="K267" s="123"/>
      <c r="L267" s="123"/>
    </row>
    <row r="268" spans="2:12">
      <c r="B268" s="70">
        <f>Calculations!A888</f>
        <v>0</v>
      </c>
      <c r="C268">
        <f>Calculations!B888</f>
        <v>0</v>
      </c>
      <c r="D268" s="77">
        <f>Calculations!C888</f>
        <v>0</v>
      </c>
      <c r="E268" s="92">
        <f>Calculations!D888</f>
        <v>0</v>
      </c>
      <c r="F268" s="149">
        <f>Calculations!E888</f>
        <v>0</v>
      </c>
      <c r="G268" s="149">
        <f>Calculations!F888</f>
        <v>0</v>
      </c>
      <c r="H268" s="149">
        <f>Calculations!G888</f>
        <v>0</v>
      </c>
      <c r="I268" s="511" t="str">
        <f>Calculations!H888</f>
        <v/>
      </c>
      <c r="J268" s="123"/>
      <c r="K268" s="123"/>
      <c r="L268" s="123"/>
    </row>
    <row r="269" spans="2:12">
      <c r="B269" s="70">
        <f>Calculations!A889</f>
        <v>0</v>
      </c>
      <c r="C269">
        <f>Calculations!B889</f>
        <v>0</v>
      </c>
      <c r="D269" s="77">
        <f>Calculations!C889</f>
        <v>0</v>
      </c>
      <c r="E269" s="92">
        <f>Calculations!D889</f>
        <v>0</v>
      </c>
      <c r="F269" s="149">
        <f>Calculations!E889</f>
        <v>0</v>
      </c>
      <c r="G269" s="149">
        <f>Calculations!F889</f>
        <v>0</v>
      </c>
      <c r="H269" s="149">
        <f>Calculations!G889</f>
        <v>0</v>
      </c>
      <c r="I269" s="511" t="str">
        <f>Calculations!H889</f>
        <v/>
      </c>
      <c r="J269" s="123"/>
      <c r="K269" s="123"/>
      <c r="L269" s="123"/>
    </row>
    <row r="270" spans="2:12">
      <c r="B270" s="70">
        <f>Calculations!A890</f>
        <v>0</v>
      </c>
      <c r="C270">
        <f>Calculations!B890</f>
        <v>0</v>
      </c>
      <c r="D270" s="77">
        <f>Calculations!C890</f>
        <v>0</v>
      </c>
      <c r="E270" s="92">
        <f>Calculations!D890</f>
        <v>0</v>
      </c>
      <c r="F270" s="149">
        <f>Calculations!E890</f>
        <v>0</v>
      </c>
      <c r="G270" s="149">
        <f>Calculations!F890</f>
        <v>0</v>
      </c>
      <c r="H270" s="149">
        <f>Calculations!G890</f>
        <v>0</v>
      </c>
      <c r="I270" s="511" t="str">
        <f>Calculations!H890</f>
        <v/>
      </c>
      <c r="J270" s="123"/>
      <c r="K270" s="123"/>
      <c r="L270" s="123"/>
    </row>
    <row r="271" spans="2:12">
      <c r="B271" s="70">
        <f>Calculations!A891</f>
        <v>0</v>
      </c>
      <c r="C271">
        <f>Calculations!B891</f>
        <v>0</v>
      </c>
      <c r="D271" s="77">
        <f>Calculations!C891</f>
        <v>0</v>
      </c>
      <c r="E271" s="92">
        <f>Calculations!D891</f>
        <v>0</v>
      </c>
      <c r="F271" s="149">
        <f>Calculations!E891</f>
        <v>0</v>
      </c>
      <c r="G271" s="149">
        <f>Calculations!F891</f>
        <v>0</v>
      </c>
      <c r="H271" s="149">
        <f>Calculations!G891</f>
        <v>0</v>
      </c>
      <c r="I271" s="511" t="str">
        <f>Calculations!H891</f>
        <v/>
      </c>
      <c r="J271" s="123"/>
      <c r="K271" s="123"/>
      <c r="L271" s="123"/>
    </row>
    <row r="272" spans="2:12">
      <c r="B272" s="70">
        <f>Calculations!A892</f>
        <v>0</v>
      </c>
      <c r="C272">
        <f>Calculations!B892</f>
        <v>0</v>
      </c>
      <c r="D272" s="77">
        <f>Calculations!C892</f>
        <v>0</v>
      </c>
      <c r="E272" s="92">
        <f>Calculations!D892</f>
        <v>0</v>
      </c>
      <c r="F272" s="149">
        <f>Calculations!E892</f>
        <v>0</v>
      </c>
      <c r="G272" s="149">
        <f>Calculations!F892</f>
        <v>0</v>
      </c>
      <c r="H272" s="149">
        <f>Calculations!G892</f>
        <v>0</v>
      </c>
      <c r="I272" s="511" t="str">
        <f>Calculations!H892</f>
        <v/>
      </c>
      <c r="J272" s="123"/>
      <c r="K272" s="123"/>
      <c r="L272" s="123"/>
    </row>
    <row r="273" spans="2:9">
      <c r="B273" s="70">
        <f>Calculations!A893</f>
        <v>0</v>
      </c>
      <c r="C273">
        <f>Calculations!B893</f>
        <v>0</v>
      </c>
      <c r="D273" s="77">
        <f>Calculations!C893</f>
        <v>0</v>
      </c>
      <c r="E273" s="92">
        <f>Calculations!D893</f>
        <v>0</v>
      </c>
      <c r="F273" s="149">
        <f>Calculations!E893</f>
        <v>0</v>
      </c>
      <c r="G273" s="149">
        <f>Calculations!F893</f>
        <v>0</v>
      </c>
      <c r="H273" s="149">
        <f>Calculations!G893</f>
        <v>0</v>
      </c>
      <c r="I273" s="373">
        <f>Calculations!H893</f>
        <v>0</v>
      </c>
    </row>
    <row r="274" spans="2:9">
      <c r="B274" s="70">
        <f>Calculations!A894</f>
        <v>0</v>
      </c>
      <c r="C274">
        <f>Calculations!B894</f>
        <v>0</v>
      </c>
      <c r="D274" s="77">
        <f>Calculations!C894</f>
        <v>0</v>
      </c>
      <c r="E274" s="92">
        <f>Calculations!D894</f>
        <v>0</v>
      </c>
      <c r="F274" s="149">
        <f>Calculations!E894</f>
        <v>0</v>
      </c>
      <c r="G274" s="149">
        <f>Calculations!F894</f>
        <v>0</v>
      </c>
      <c r="H274" s="149">
        <f>Calculations!G894</f>
        <v>0</v>
      </c>
      <c r="I274" s="373">
        <f>Calculations!H894</f>
        <v>0</v>
      </c>
    </row>
    <row r="275" spans="2:9">
      <c r="B275" s="70">
        <f>Calculations!A895</f>
        <v>0</v>
      </c>
      <c r="C275">
        <f>Calculations!B895</f>
        <v>0</v>
      </c>
      <c r="D275" s="77">
        <f>Calculations!C895</f>
        <v>0</v>
      </c>
      <c r="E275" s="92">
        <f>Calculations!D895</f>
        <v>0</v>
      </c>
      <c r="F275" s="149">
        <f>Calculations!E895</f>
        <v>0</v>
      </c>
      <c r="G275" s="149">
        <f>Calculations!F895</f>
        <v>0</v>
      </c>
      <c r="H275" s="149">
        <f>Calculations!G895</f>
        <v>0</v>
      </c>
      <c r="I275" s="373">
        <f>Calculations!H895</f>
        <v>0</v>
      </c>
    </row>
    <row r="276" spans="2:9">
      <c r="B276" s="70">
        <f>Calculations!A896</f>
        <v>0</v>
      </c>
      <c r="C276">
        <f>Calculations!B896</f>
        <v>0</v>
      </c>
      <c r="D276" s="77">
        <f>Calculations!C896</f>
        <v>0</v>
      </c>
      <c r="E276" s="92">
        <f>Calculations!D896</f>
        <v>0</v>
      </c>
      <c r="F276" s="149">
        <f>Calculations!E896</f>
        <v>0</v>
      </c>
      <c r="G276" s="149">
        <f>Calculations!F896</f>
        <v>0</v>
      </c>
      <c r="H276" s="149">
        <f>Calculations!G896</f>
        <v>0</v>
      </c>
      <c r="I276" s="373">
        <f>Calculations!H896</f>
        <v>0</v>
      </c>
    </row>
    <row r="277" spans="2:9">
      <c r="B277" s="70">
        <f>Calculations!A897</f>
        <v>0</v>
      </c>
      <c r="C277">
        <f>Calculations!B897</f>
        <v>0</v>
      </c>
      <c r="D277" s="77">
        <f>Calculations!C897</f>
        <v>0</v>
      </c>
      <c r="E277" s="92">
        <f>Calculations!D897</f>
        <v>0</v>
      </c>
      <c r="F277" s="149">
        <f>Calculations!E897</f>
        <v>0</v>
      </c>
      <c r="G277" s="149">
        <f>Calculations!F897</f>
        <v>0</v>
      </c>
      <c r="H277" s="149">
        <f>Calculations!G897</f>
        <v>0</v>
      </c>
      <c r="I277" s="373">
        <f>Calculations!H897</f>
        <v>0</v>
      </c>
    </row>
    <row r="278" spans="2:9">
      <c r="B278" s="70">
        <f>Calculations!A898</f>
        <v>0</v>
      </c>
      <c r="C278">
        <f>Calculations!B898</f>
        <v>0</v>
      </c>
      <c r="D278" s="77">
        <f>Calculations!C898</f>
        <v>0</v>
      </c>
      <c r="E278" s="92">
        <f>Calculations!D898</f>
        <v>0</v>
      </c>
      <c r="F278" s="149">
        <f>Calculations!E898</f>
        <v>0</v>
      </c>
      <c r="G278" s="149">
        <f>Calculations!F898</f>
        <v>0</v>
      </c>
      <c r="H278" s="149">
        <f>Calculations!G898</f>
        <v>0</v>
      </c>
      <c r="I278" s="373">
        <f>Calculations!H898</f>
        <v>0</v>
      </c>
    </row>
    <row r="279" spans="2:9">
      <c r="B279" s="70">
        <f>Calculations!A899</f>
        <v>0</v>
      </c>
      <c r="C279">
        <f>Calculations!B899</f>
        <v>0</v>
      </c>
      <c r="D279" s="77">
        <f>Calculations!C899</f>
        <v>0</v>
      </c>
      <c r="E279" s="92">
        <f>Calculations!D899</f>
        <v>0</v>
      </c>
      <c r="F279" s="149">
        <f>Calculations!E899</f>
        <v>0</v>
      </c>
      <c r="G279" s="149">
        <f>Calculations!F899</f>
        <v>0</v>
      </c>
      <c r="H279" s="149">
        <f>Calculations!G899</f>
        <v>0</v>
      </c>
      <c r="I279" s="373">
        <f>Calculations!H899</f>
        <v>0</v>
      </c>
    </row>
    <row r="280" spans="2:9">
      <c r="B280" s="70">
        <f>Calculations!A900</f>
        <v>0</v>
      </c>
      <c r="C280">
        <f>Calculations!B900</f>
        <v>0</v>
      </c>
      <c r="D280" s="77">
        <f>Calculations!C900</f>
        <v>0</v>
      </c>
      <c r="E280" s="92">
        <f>Calculations!D900</f>
        <v>0</v>
      </c>
      <c r="F280" s="149">
        <f>Calculations!E900</f>
        <v>0</v>
      </c>
      <c r="G280" s="149">
        <f>Calculations!F900</f>
        <v>0</v>
      </c>
      <c r="H280" s="149">
        <f>Calculations!G900</f>
        <v>0</v>
      </c>
      <c r="I280" s="373">
        <f>Calculations!H900</f>
        <v>0</v>
      </c>
    </row>
    <row r="281" spans="2:9">
      <c r="B281" s="70">
        <f>Calculations!A901</f>
        <v>0</v>
      </c>
      <c r="C281">
        <f>Calculations!B901</f>
        <v>0</v>
      </c>
      <c r="D281" s="77">
        <f>Calculations!C901</f>
        <v>0</v>
      </c>
      <c r="E281" s="92">
        <f>Calculations!D901</f>
        <v>0</v>
      </c>
      <c r="F281" s="149">
        <f>Calculations!E901</f>
        <v>0</v>
      </c>
      <c r="G281" s="149">
        <f>Calculations!F901</f>
        <v>0</v>
      </c>
      <c r="H281" s="149">
        <f>Calculations!G901</f>
        <v>0</v>
      </c>
      <c r="I281" s="373">
        <f>Calculations!H901</f>
        <v>0</v>
      </c>
    </row>
    <row r="282" spans="2:9">
      <c r="B282" s="70">
        <f>Calculations!A902</f>
        <v>0</v>
      </c>
      <c r="C282">
        <f>Calculations!B902</f>
        <v>0</v>
      </c>
      <c r="D282" s="77">
        <f>Calculations!C902</f>
        <v>0</v>
      </c>
      <c r="E282" s="92">
        <f>Calculations!D902</f>
        <v>0</v>
      </c>
      <c r="F282" s="149">
        <f>Calculations!E902</f>
        <v>0</v>
      </c>
      <c r="G282" s="149">
        <f>Calculations!F902</f>
        <v>0</v>
      </c>
      <c r="H282" s="149">
        <f>Calculations!G902</f>
        <v>0</v>
      </c>
      <c r="I282" s="373">
        <f>Calculations!H902</f>
        <v>0</v>
      </c>
    </row>
    <row r="283" spans="2:9">
      <c r="B283" s="70">
        <f>Calculations!A903</f>
        <v>0</v>
      </c>
      <c r="C283">
        <f>Calculations!B903</f>
        <v>0</v>
      </c>
      <c r="D283" s="77">
        <f>Calculations!C903</f>
        <v>0</v>
      </c>
      <c r="E283" s="92">
        <f>Calculations!D903</f>
        <v>0</v>
      </c>
      <c r="F283" s="149">
        <f>Calculations!E903</f>
        <v>0</v>
      </c>
      <c r="G283" s="149">
        <f>Calculations!F903</f>
        <v>0</v>
      </c>
      <c r="H283" s="149">
        <f>Calculations!G903</f>
        <v>0</v>
      </c>
      <c r="I283" s="373">
        <f>Calculations!H903</f>
        <v>0</v>
      </c>
    </row>
    <row r="284" spans="2:9">
      <c r="B284" s="70">
        <f>Calculations!A904</f>
        <v>0</v>
      </c>
      <c r="C284">
        <f>Calculations!B904</f>
        <v>0</v>
      </c>
      <c r="D284" s="77">
        <f>Calculations!C904</f>
        <v>0</v>
      </c>
      <c r="E284" s="92">
        <f>Calculations!D904</f>
        <v>0</v>
      </c>
      <c r="F284" s="149">
        <f>Calculations!E904</f>
        <v>0</v>
      </c>
      <c r="G284" s="149">
        <f>Calculations!F904</f>
        <v>0</v>
      </c>
      <c r="H284" s="149">
        <f>Calculations!G904</f>
        <v>0</v>
      </c>
      <c r="I284" s="373">
        <f>Calculations!H904</f>
        <v>0</v>
      </c>
    </row>
    <row r="285" spans="2:9">
      <c r="B285" s="70">
        <f>Calculations!A905</f>
        <v>0</v>
      </c>
      <c r="C285">
        <f>Calculations!B905</f>
        <v>0</v>
      </c>
      <c r="D285" s="77">
        <f>Calculations!C905</f>
        <v>0</v>
      </c>
      <c r="E285" s="92">
        <f>Calculations!D905</f>
        <v>0</v>
      </c>
      <c r="F285" s="149">
        <f>Calculations!E905</f>
        <v>0</v>
      </c>
      <c r="G285" s="149">
        <f>Calculations!F905</f>
        <v>0</v>
      </c>
      <c r="H285" s="149">
        <f>Calculations!G905</f>
        <v>0</v>
      </c>
      <c r="I285" s="373">
        <f>Calculations!H905</f>
        <v>0</v>
      </c>
    </row>
    <row r="286" spans="2:9">
      <c r="B286" s="70">
        <f>Calculations!A906</f>
        <v>0</v>
      </c>
      <c r="C286">
        <f>Calculations!B906</f>
        <v>0</v>
      </c>
      <c r="D286" s="77">
        <f>Calculations!C906</f>
        <v>0</v>
      </c>
      <c r="E286" s="92">
        <f>Calculations!D906</f>
        <v>0</v>
      </c>
      <c r="F286" s="149">
        <f>Calculations!E906</f>
        <v>0</v>
      </c>
      <c r="G286" s="149">
        <f>Calculations!F906</f>
        <v>0</v>
      </c>
      <c r="H286" s="149">
        <f>Calculations!G906</f>
        <v>0</v>
      </c>
      <c r="I286" s="373">
        <f>Calculations!H906</f>
        <v>0</v>
      </c>
    </row>
    <row r="287" spans="2:9">
      <c r="B287" s="70">
        <f>Calculations!A907</f>
        <v>0</v>
      </c>
      <c r="C287">
        <f>Calculations!B907</f>
        <v>0</v>
      </c>
      <c r="D287" s="77">
        <f>Calculations!C907</f>
        <v>0</v>
      </c>
      <c r="E287" s="92">
        <f>Calculations!D907</f>
        <v>0</v>
      </c>
      <c r="F287" s="149">
        <f>Calculations!E907</f>
        <v>0</v>
      </c>
      <c r="G287" s="149">
        <f>Calculations!F907</f>
        <v>0</v>
      </c>
      <c r="H287" s="149">
        <f>Calculations!G907</f>
        <v>0</v>
      </c>
      <c r="I287" s="373">
        <f>Calculations!H907</f>
        <v>0</v>
      </c>
    </row>
    <row r="288" spans="2:9">
      <c r="B288" s="70">
        <f>Calculations!A908</f>
        <v>0</v>
      </c>
      <c r="C288">
        <f>Calculations!B908</f>
        <v>0</v>
      </c>
      <c r="D288" s="77">
        <f>Calculations!C908</f>
        <v>0</v>
      </c>
      <c r="E288" s="92">
        <f>Calculations!D908</f>
        <v>0</v>
      </c>
      <c r="F288" s="149">
        <f>Calculations!E908</f>
        <v>0</v>
      </c>
      <c r="G288" s="149">
        <f>Calculations!F908</f>
        <v>0</v>
      </c>
      <c r="H288" s="149">
        <f>Calculations!G908</f>
        <v>0</v>
      </c>
      <c r="I288" s="373">
        <f>Calculations!H908</f>
        <v>0</v>
      </c>
    </row>
    <row r="289" spans="2:9">
      <c r="B289" s="70">
        <f>Calculations!A909</f>
        <v>0</v>
      </c>
      <c r="C289">
        <f>Calculations!B909</f>
        <v>0</v>
      </c>
      <c r="D289" s="77">
        <f>Calculations!C909</f>
        <v>0</v>
      </c>
      <c r="E289" s="92">
        <f>Calculations!D909</f>
        <v>0</v>
      </c>
      <c r="F289" s="149">
        <f>Calculations!E909</f>
        <v>0</v>
      </c>
      <c r="G289" s="149">
        <f>Calculations!F909</f>
        <v>0</v>
      </c>
      <c r="H289" s="149">
        <f>Calculations!G909</f>
        <v>0</v>
      </c>
      <c r="I289" s="373">
        <f>Calculations!H909</f>
        <v>0</v>
      </c>
    </row>
    <row r="290" spans="2:9">
      <c r="B290" s="70">
        <f>Calculations!A910</f>
        <v>0</v>
      </c>
      <c r="C290">
        <f>Calculations!B910</f>
        <v>0</v>
      </c>
      <c r="D290" s="77">
        <f>Calculations!C910</f>
        <v>0</v>
      </c>
      <c r="E290" s="92">
        <f>Calculations!D910</f>
        <v>0</v>
      </c>
      <c r="F290" s="149">
        <f>Calculations!E910</f>
        <v>0</v>
      </c>
      <c r="G290" s="149">
        <f>Calculations!F910</f>
        <v>0</v>
      </c>
      <c r="H290" s="149">
        <f>Calculations!G910</f>
        <v>0</v>
      </c>
      <c r="I290" s="373">
        <f>Calculations!H910</f>
        <v>0</v>
      </c>
    </row>
    <row r="291" spans="2:9">
      <c r="B291" s="70">
        <f>Calculations!A911</f>
        <v>0</v>
      </c>
      <c r="C291">
        <f>Calculations!B911</f>
        <v>0</v>
      </c>
      <c r="D291" s="77">
        <f>Calculations!C911</f>
        <v>0</v>
      </c>
      <c r="E291" s="92">
        <f>Calculations!D911</f>
        <v>0</v>
      </c>
      <c r="F291" s="149">
        <f>Calculations!E911</f>
        <v>0</v>
      </c>
      <c r="G291" s="149">
        <f>Calculations!F911</f>
        <v>0</v>
      </c>
      <c r="H291" s="149">
        <f>Calculations!G911</f>
        <v>0</v>
      </c>
      <c r="I291" s="373">
        <f>Calculations!H911</f>
        <v>0</v>
      </c>
    </row>
    <row r="292" spans="2:9">
      <c r="B292" s="70">
        <f>Calculations!A912</f>
        <v>0</v>
      </c>
      <c r="C292">
        <f>Calculations!B912</f>
        <v>0</v>
      </c>
      <c r="D292" s="77">
        <f>Calculations!C912</f>
        <v>0</v>
      </c>
      <c r="E292" s="92">
        <f>Calculations!D912</f>
        <v>0</v>
      </c>
      <c r="F292" s="149">
        <f>Calculations!E912</f>
        <v>0</v>
      </c>
      <c r="G292" s="149">
        <f>Calculations!F912</f>
        <v>0</v>
      </c>
      <c r="H292" s="149">
        <f>Calculations!G912</f>
        <v>0</v>
      </c>
      <c r="I292" s="373">
        <f>Calculations!H912</f>
        <v>0</v>
      </c>
    </row>
    <row r="293" spans="2:9">
      <c r="B293" s="70">
        <f>Calculations!A913</f>
        <v>0</v>
      </c>
      <c r="C293">
        <f>Calculations!B913</f>
        <v>0</v>
      </c>
      <c r="D293" s="77">
        <f>Calculations!C913</f>
        <v>0</v>
      </c>
      <c r="E293" s="92">
        <f>Calculations!D913</f>
        <v>0</v>
      </c>
      <c r="F293" s="149">
        <f>Calculations!E913</f>
        <v>0</v>
      </c>
      <c r="G293" s="149">
        <f>Calculations!F913</f>
        <v>0</v>
      </c>
      <c r="H293" s="149">
        <f>Calculations!G913</f>
        <v>0</v>
      </c>
      <c r="I293" s="373">
        <f>Calculations!H913</f>
        <v>0</v>
      </c>
    </row>
    <row r="294" spans="2:9">
      <c r="B294" s="70">
        <f>Calculations!A914</f>
        <v>0</v>
      </c>
      <c r="C294">
        <f>Calculations!B914</f>
        <v>0</v>
      </c>
      <c r="D294" s="77">
        <f>Calculations!C914</f>
        <v>0</v>
      </c>
      <c r="E294" s="92">
        <f>Calculations!D914</f>
        <v>0</v>
      </c>
      <c r="F294" s="149">
        <f>Calculations!E914</f>
        <v>0</v>
      </c>
      <c r="G294" s="149">
        <f>Calculations!F914</f>
        <v>0</v>
      </c>
      <c r="H294" s="149">
        <f>Calculations!G914</f>
        <v>0</v>
      </c>
      <c r="I294" s="373">
        <f>Calculations!H914</f>
        <v>0</v>
      </c>
    </row>
    <row r="295" spans="2:9">
      <c r="B295" s="70">
        <f>Calculations!A915</f>
        <v>0</v>
      </c>
      <c r="C295">
        <f>Calculations!B915</f>
        <v>0</v>
      </c>
      <c r="D295" s="77">
        <f>Calculations!C915</f>
        <v>0</v>
      </c>
      <c r="E295" s="92">
        <f>Calculations!D915</f>
        <v>0</v>
      </c>
      <c r="F295" s="149">
        <f>Calculations!E915</f>
        <v>0</v>
      </c>
      <c r="G295" s="149">
        <f>Calculations!F915</f>
        <v>0</v>
      </c>
      <c r="H295" s="149">
        <f>Calculations!G915</f>
        <v>0</v>
      </c>
      <c r="I295" s="373">
        <f>Calculations!H915</f>
        <v>0</v>
      </c>
    </row>
    <row r="296" spans="2:9">
      <c r="B296" s="70">
        <f>Calculations!A916</f>
        <v>0</v>
      </c>
      <c r="C296">
        <f>Calculations!B916</f>
        <v>0</v>
      </c>
      <c r="D296" s="77">
        <f>Calculations!C916</f>
        <v>0</v>
      </c>
      <c r="E296" s="92">
        <f>Calculations!D916</f>
        <v>0</v>
      </c>
      <c r="F296" s="149">
        <f>Calculations!E916</f>
        <v>0</v>
      </c>
      <c r="G296" s="149">
        <f>Calculations!F916</f>
        <v>0</v>
      </c>
      <c r="H296" s="149">
        <f>Calculations!G916</f>
        <v>0</v>
      </c>
      <c r="I296" s="373">
        <f>Calculations!H916</f>
        <v>0</v>
      </c>
    </row>
    <row r="297" spans="2:9">
      <c r="B297" s="70">
        <f>Calculations!A917</f>
        <v>0</v>
      </c>
      <c r="C297">
        <f>Calculations!B917</f>
        <v>0</v>
      </c>
      <c r="D297" s="77">
        <f>Calculations!C917</f>
        <v>0</v>
      </c>
      <c r="E297" s="92">
        <f>Calculations!D917</f>
        <v>0</v>
      </c>
      <c r="F297" s="149">
        <f>Calculations!E917</f>
        <v>0</v>
      </c>
      <c r="G297" s="149">
        <f>Calculations!F917</f>
        <v>0</v>
      </c>
      <c r="H297" s="149">
        <f>Calculations!G917</f>
        <v>0</v>
      </c>
      <c r="I297" s="373">
        <f>Calculations!H917</f>
        <v>0</v>
      </c>
    </row>
    <row r="298" spans="2:9">
      <c r="B298" s="70">
        <f>Calculations!A918</f>
        <v>0</v>
      </c>
      <c r="C298">
        <f>Calculations!B918</f>
        <v>0</v>
      </c>
      <c r="D298" s="77">
        <f>Calculations!C918</f>
        <v>0</v>
      </c>
      <c r="E298" s="92">
        <f>Calculations!D918</f>
        <v>0</v>
      </c>
      <c r="F298" s="149">
        <f>Calculations!E918</f>
        <v>0</v>
      </c>
      <c r="G298" s="149">
        <f>Calculations!F918</f>
        <v>0</v>
      </c>
      <c r="H298" s="149">
        <f>Calculations!G918</f>
        <v>0</v>
      </c>
      <c r="I298" s="373">
        <f>Calculations!H918</f>
        <v>0</v>
      </c>
    </row>
    <row r="299" spans="2:9">
      <c r="B299" s="70">
        <f>Calculations!A919</f>
        <v>0</v>
      </c>
      <c r="C299">
        <f>Calculations!B919</f>
        <v>0</v>
      </c>
      <c r="D299" s="77">
        <f>Calculations!C919</f>
        <v>0</v>
      </c>
      <c r="E299" s="92">
        <f>Calculations!D919</f>
        <v>0</v>
      </c>
      <c r="F299" s="149">
        <f>Calculations!E919</f>
        <v>0</v>
      </c>
      <c r="G299" s="149">
        <f>Calculations!F919</f>
        <v>0</v>
      </c>
      <c r="H299" s="149">
        <f>Calculations!G919</f>
        <v>0</v>
      </c>
      <c r="I299" s="373">
        <f>Calculations!H919</f>
        <v>0</v>
      </c>
    </row>
    <row r="300" spans="2:9">
      <c r="B300" s="70">
        <f>Calculations!A920</f>
        <v>0</v>
      </c>
      <c r="C300">
        <f>Calculations!B920</f>
        <v>0</v>
      </c>
      <c r="D300" s="77">
        <f>Calculations!C920</f>
        <v>0</v>
      </c>
      <c r="E300" s="92">
        <f>Calculations!D920</f>
        <v>0</v>
      </c>
      <c r="F300" s="149">
        <f>Calculations!E920</f>
        <v>0</v>
      </c>
      <c r="G300" s="149">
        <f>Calculations!F920</f>
        <v>0</v>
      </c>
      <c r="H300" s="149">
        <f>Calculations!G920</f>
        <v>0</v>
      </c>
      <c r="I300" s="373">
        <f>Calculations!H920</f>
        <v>0</v>
      </c>
    </row>
    <row r="301" spans="2:9">
      <c r="B301" s="70">
        <f>Calculations!A921</f>
        <v>0</v>
      </c>
      <c r="C301">
        <f>Calculations!B921</f>
        <v>0</v>
      </c>
      <c r="D301" s="77">
        <f>Calculations!C921</f>
        <v>0</v>
      </c>
      <c r="E301" s="92">
        <f>Calculations!D921</f>
        <v>0</v>
      </c>
      <c r="F301" s="149">
        <f>Calculations!E921</f>
        <v>0</v>
      </c>
      <c r="G301" s="149">
        <f>Calculations!F921</f>
        <v>0</v>
      </c>
      <c r="H301" s="149">
        <f>Calculations!G921</f>
        <v>0</v>
      </c>
      <c r="I301" s="373">
        <f>Calculations!H921</f>
        <v>0</v>
      </c>
    </row>
    <row r="302" spans="2:9">
      <c r="B302" s="70">
        <f>Calculations!A922</f>
        <v>0</v>
      </c>
      <c r="C302">
        <f>Calculations!B922</f>
        <v>0</v>
      </c>
      <c r="D302" s="77">
        <f>Calculations!C922</f>
        <v>0</v>
      </c>
      <c r="E302" s="92">
        <f>Calculations!D922</f>
        <v>0</v>
      </c>
      <c r="F302" s="149">
        <f>Calculations!E922</f>
        <v>0</v>
      </c>
      <c r="G302" s="149">
        <f>Calculations!F922</f>
        <v>0</v>
      </c>
      <c r="H302" s="149">
        <f>Calculations!G922</f>
        <v>0</v>
      </c>
      <c r="I302" s="373">
        <f>Calculations!H922</f>
        <v>0</v>
      </c>
    </row>
    <row r="303" spans="2:9">
      <c r="B303" s="70">
        <f>Calculations!A923</f>
        <v>0</v>
      </c>
      <c r="C303">
        <f>Calculations!B923</f>
        <v>0</v>
      </c>
      <c r="D303" s="77">
        <f>Calculations!C923</f>
        <v>0</v>
      </c>
      <c r="E303" s="92">
        <f>Calculations!D923</f>
        <v>0</v>
      </c>
      <c r="F303" s="149">
        <f>Calculations!E923</f>
        <v>0</v>
      </c>
      <c r="G303" s="149">
        <f>Calculations!F923</f>
        <v>0</v>
      </c>
      <c r="H303" s="149">
        <f>Calculations!G923</f>
        <v>0</v>
      </c>
      <c r="I303" s="373">
        <f>Calculations!H923</f>
        <v>0</v>
      </c>
    </row>
    <row r="304" spans="2:9">
      <c r="B304" s="70">
        <f>Calculations!A924</f>
        <v>0</v>
      </c>
      <c r="C304">
        <f>Calculations!B924</f>
        <v>0</v>
      </c>
      <c r="D304" s="77">
        <f>Calculations!C924</f>
        <v>0</v>
      </c>
      <c r="E304" s="92">
        <f>Calculations!D924</f>
        <v>0</v>
      </c>
      <c r="F304" s="149">
        <f>Calculations!E924</f>
        <v>0</v>
      </c>
      <c r="G304" s="149">
        <f>Calculations!F924</f>
        <v>0</v>
      </c>
      <c r="H304" s="149">
        <f>Calculations!G924</f>
        <v>0</v>
      </c>
      <c r="I304" s="373">
        <f>Calculations!H924</f>
        <v>0</v>
      </c>
    </row>
    <row r="305" spans="2:9">
      <c r="B305" s="70">
        <f>Calculations!A925</f>
        <v>0</v>
      </c>
      <c r="C305">
        <f>Calculations!B925</f>
        <v>0</v>
      </c>
      <c r="D305" s="77">
        <f>Calculations!C925</f>
        <v>0</v>
      </c>
      <c r="E305" s="92">
        <f>Calculations!D925</f>
        <v>0</v>
      </c>
      <c r="F305" s="149">
        <f>Calculations!E925</f>
        <v>0</v>
      </c>
      <c r="G305" s="149">
        <f>Calculations!F925</f>
        <v>0</v>
      </c>
      <c r="H305" s="149">
        <f>Calculations!G925</f>
        <v>0</v>
      </c>
      <c r="I305" s="373">
        <f>Calculations!H925</f>
        <v>0</v>
      </c>
    </row>
    <row r="306" spans="2:9">
      <c r="B306" s="70">
        <f>Calculations!A926</f>
        <v>0</v>
      </c>
      <c r="C306">
        <f>Calculations!B926</f>
        <v>0</v>
      </c>
      <c r="D306" s="77">
        <f>Calculations!C926</f>
        <v>0</v>
      </c>
      <c r="E306" s="92">
        <f>Calculations!D926</f>
        <v>0</v>
      </c>
      <c r="F306" s="149">
        <f>Calculations!E926</f>
        <v>0</v>
      </c>
      <c r="G306" s="149">
        <f>Calculations!F926</f>
        <v>0</v>
      </c>
      <c r="H306" s="149">
        <f>Calculations!G926</f>
        <v>0</v>
      </c>
      <c r="I306" s="373">
        <f>Calculations!H926</f>
        <v>0</v>
      </c>
    </row>
    <row r="307" spans="2:9">
      <c r="B307" s="70">
        <f>Calculations!A927</f>
        <v>0</v>
      </c>
      <c r="C307">
        <f>Calculations!B927</f>
        <v>0</v>
      </c>
      <c r="D307" s="77">
        <f>Calculations!C927</f>
        <v>0</v>
      </c>
      <c r="E307" s="92">
        <f>Calculations!D927</f>
        <v>0</v>
      </c>
      <c r="F307" s="149">
        <f>Calculations!E927</f>
        <v>0</v>
      </c>
      <c r="G307" s="149">
        <f>Calculations!F927</f>
        <v>0</v>
      </c>
      <c r="H307" s="149">
        <f>Calculations!G927</f>
        <v>0</v>
      </c>
      <c r="I307" s="373">
        <f>Calculations!H927</f>
        <v>0</v>
      </c>
    </row>
    <row r="308" spans="2:9">
      <c r="B308" s="70">
        <f>Calculations!A928</f>
        <v>0</v>
      </c>
      <c r="C308">
        <f>Calculations!B928</f>
        <v>0</v>
      </c>
      <c r="D308" s="77">
        <f>Calculations!C928</f>
        <v>0</v>
      </c>
      <c r="E308" s="92">
        <f>Calculations!D928</f>
        <v>0</v>
      </c>
      <c r="F308" s="149">
        <f>Calculations!E928</f>
        <v>0</v>
      </c>
      <c r="G308" s="149">
        <f>Calculations!F928</f>
        <v>0</v>
      </c>
      <c r="H308" s="149">
        <f>Calculations!G928</f>
        <v>0</v>
      </c>
      <c r="I308" s="373">
        <f>Calculations!H928</f>
        <v>0</v>
      </c>
    </row>
    <row r="309" spans="2:9">
      <c r="B309" s="70">
        <f>Calculations!A929</f>
        <v>0</v>
      </c>
      <c r="C309">
        <f>Calculations!B929</f>
        <v>0</v>
      </c>
      <c r="D309" s="77">
        <f>Calculations!C929</f>
        <v>0</v>
      </c>
      <c r="E309" s="92">
        <f>Calculations!D929</f>
        <v>0</v>
      </c>
      <c r="F309" s="149">
        <f>Calculations!E929</f>
        <v>0</v>
      </c>
      <c r="G309" s="149">
        <f>Calculations!F929</f>
        <v>0</v>
      </c>
      <c r="H309" s="149">
        <f>Calculations!G929</f>
        <v>0</v>
      </c>
      <c r="I309" s="373">
        <f>Calculations!H929</f>
        <v>0</v>
      </c>
    </row>
    <row r="310" spans="2:9">
      <c r="B310" s="70">
        <f>Calculations!A930</f>
        <v>0</v>
      </c>
      <c r="C310">
        <f>Calculations!B930</f>
        <v>0</v>
      </c>
      <c r="D310" s="77">
        <f>Calculations!C930</f>
        <v>0</v>
      </c>
      <c r="E310" s="92">
        <f>Calculations!D930</f>
        <v>0</v>
      </c>
      <c r="F310" s="149">
        <f>Calculations!E930</f>
        <v>0</v>
      </c>
      <c r="G310" s="149">
        <f>Calculations!F930</f>
        <v>0</v>
      </c>
      <c r="H310" s="149">
        <f>Calculations!G930</f>
        <v>0</v>
      </c>
      <c r="I310" s="373">
        <f>Calculations!H930</f>
        <v>0</v>
      </c>
    </row>
    <row r="311" spans="2:9">
      <c r="B311" s="70">
        <f>Calculations!A931</f>
        <v>0</v>
      </c>
      <c r="C311">
        <f>Calculations!B931</f>
        <v>0</v>
      </c>
      <c r="D311" s="77">
        <f>Calculations!C931</f>
        <v>0</v>
      </c>
      <c r="E311" s="92">
        <f>Calculations!D931</f>
        <v>0</v>
      </c>
      <c r="F311" s="149">
        <f>Calculations!E931</f>
        <v>0</v>
      </c>
      <c r="G311" s="149">
        <f>Calculations!F931</f>
        <v>0</v>
      </c>
      <c r="H311" s="149">
        <f>Calculations!G931</f>
        <v>0</v>
      </c>
      <c r="I311" s="373">
        <f>Calculations!H931</f>
        <v>0</v>
      </c>
    </row>
    <row r="312" spans="2:9">
      <c r="B312" s="70">
        <f>Calculations!A932</f>
        <v>0</v>
      </c>
      <c r="C312">
        <f>Calculations!B932</f>
        <v>0</v>
      </c>
      <c r="D312" s="77">
        <f>Calculations!C932</f>
        <v>0</v>
      </c>
      <c r="E312" s="92">
        <f>Calculations!D932</f>
        <v>0</v>
      </c>
      <c r="F312" s="149">
        <f>Calculations!E932</f>
        <v>0</v>
      </c>
      <c r="G312" s="149">
        <f>Calculations!F932</f>
        <v>0</v>
      </c>
      <c r="H312" s="149">
        <f>Calculations!G932</f>
        <v>0</v>
      </c>
      <c r="I312" s="373">
        <f>Calculations!H932</f>
        <v>0</v>
      </c>
    </row>
    <row r="313" spans="2:9">
      <c r="B313" s="70">
        <f>Calculations!A933</f>
        <v>0</v>
      </c>
      <c r="C313">
        <f>Calculations!B933</f>
        <v>0</v>
      </c>
      <c r="D313" s="77">
        <f>Calculations!C933</f>
        <v>0</v>
      </c>
      <c r="E313" s="92">
        <f>Calculations!D933</f>
        <v>0</v>
      </c>
      <c r="F313" s="149">
        <f>Calculations!E933</f>
        <v>0</v>
      </c>
      <c r="G313" s="149">
        <f>Calculations!F933</f>
        <v>0</v>
      </c>
      <c r="H313" s="149">
        <f>Calculations!G933</f>
        <v>0</v>
      </c>
      <c r="I313" s="373">
        <f>Calculations!H933</f>
        <v>0</v>
      </c>
    </row>
    <row r="314" spans="2:9">
      <c r="B314" s="70">
        <f>Calculations!A934</f>
        <v>0</v>
      </c>
      <c r="C314">
        <f>Calculations!B934</f>
        <v>0</v>
      </c>
      <c r="D314" s="77">
        <f>Calculations!C934</f>
        <v>0</v>
      </c>
      <c r="E314" s="92">
        <f>Calculations!D934</f>
        <v>0</v>
      </c>
      <c r="F314" s="149">
        <f>Calculations!E934</f>
        <v>0</v>
      </c>
      <c r="G314" s="149">
        <f>Calculations!F934</f>
        <v>0</v>
      </c>
      <c r="H314" s="149">
        <f>Calculations!G934</f>
        <v>0</v>
      </c>
      <c r="I314" s="373">
        <f>Calculations!H934</f>
        <v>0</v>
      </c>
    </row>
    <row r="315" spans="2:9">
      <c r="B315" s="70">
        <f>Calculations!A935</f>
        <v>0</v>
      </c>
      <c r="C315">
        <f>Calculations!B935</f>
        <v>0</v>
      </c>
      <c r="D315" s="77">
        <f>Calculations!C935</f>
        <v>0</v>
      </c>
      <c r="E315" s="92">
        <f>Calculations!D935</f>
        <v>0</v>
      </c>
      <c r="F315" s="149">
        <f>Calculations!E935</f>
        <v>0</v>
      </c>
      <c r="G315" s="149">
        <f>Calculations!F935</f>
        <v>0</v>
      </c>
      <c r="H315" s="149">
        <f>Calculations!G935</f>
        <v>0</v>
      </c>
      <c r="I315" s="373">
        <f>Calculations!H935</f>
        <v>0</v>
      </c>
    </row>
    <row r="316" spans="2:9">
      <c r="B316" s="70">
        <f>Calculations!A936</f>
        <v>0</v>
      </c>
      <c r="C316">
        <f>Calculations!B936</f>
        <v>0</v>
      </c>
      <c r="D316" s="77">
        <f>Calculations!C936</f>
        <v>0</v>
      </c>
      <c r="E316" s="92">
        <f>Calculations!D936</f>
        <v>0</v>
      </c>
      <c r="F316" s="149">
        <f>Calculations!E936</f>
        <v>0</v>
      </c>
      <c r="G316" s="149">
        <f>Calculations!F936</f>
        <v>0</v>
      </c>
      <c r="H316" s="149">
        <f>Calculations!G936</f>
        <v>0</v>
      </c>
      <c r="I316" s="373">
        <f>Calculations!H936</f>
        <v>0</v>
      </c>
    </row>
    <row r="317" spans="2:9">
      <c r="B317" s="70">
        <f>Calculations!A937</f>
        <v>0</v>
      </c>
      <c r="C317">
        <f>Calculations!B937</f>
        <v>0</v>
      </c>
      <c r="D317" s="77">
        <f>Calculations!C937</f>
        <v>0</v>
      </c>
      <c r="E317" s="92">
        <f>Calculations!D937</f>
        <v>0</v>
      </c>
      <c r="F317" s="149">
        <f>Calculations!E937</f>
        <v>0</v>
      </c>
      <c r="G317" s="149">
        <f>Calculations!F937</f>
        <v>0</v>
      </c>
      <c r="H317" s="149">
        <f>Calculations!G937</f>
        <v>0</v>
      </c>
      <c r="I317" s="373">
        <f>Calculations!H937</f>
        <v>0</v>
      </c>
    </row>
    <row r="318" spans="2:9">
      <c r="B318" s="70">
        <f>Calculations!A938</f>
        <v>0</v>
      </c>
      <c r="C318">
        <f>Calculations!B938</f>
        <v>0</v>
      </c>
      <c r="D318" s="77">
        <f>Calculations!C938</f>
        <v>0</v>
      </c>
      <c r="E318" s="92">
        <f>Calculations!D938</f>
        <v>0</v>
      </c>
      <c r="F318" s="149">
        <f>Calculations!E938</f>
        <v>0</v>
      </c>
      <c r="G318" s="149">
        <f>Calculations!F938</f>
        <v>0</v>
      </c>
      <c r="H318" s="149">
        <f>Calculations!G938</f>
        <v>0</v>
      </c>
      <c r="I318" s="373">
        <f>Calculations!H938</f>
        <v>0</v>
      </c>
    </row>
    <row r="319" spans="2:9">
      <c r="B319" s="70">
        <f>Calculations!A939</f>
        <v>0</v>
      </c>
      <c r="C319">
        <f>Calculations!B939</f>
        <v>0</v>
      </c>
      <c r="D319" s="77">
        <f>Calculations!C939</f>
        <v>0</v>
      </c>
      <c r="E319" s="92">
        <f>Calculations!D939</f>
        <v>0</v>
      </c>
      <c r="F319" s="149">
        <f>Calculations!E939</f>
        <v>0</v>
      </c>
      <c r="G319" s="149">
        <f>Calculations!F939</f>
        <v>0</v>
      </c>
      <c r="H319" s="149">
        <f>Calculations!G939</f>
        <v>0</v>
      </c>
      <c r="I319" s="373">
        <f>Calculations!H939</f>
        <v>0</v>
      </c>
    </row>
    <row r="320" spans="2:9">
      <c r="B320" s="70">
        <f>Calculations!A940</f>
        <v>0</v>
      </c>
      <c r="C320">
        <f>Calculations!B940</f>
        <v>0</v>
      </c>
      <c r="D320" s="77">
        <f>Calculations!C940</f>
        <v>0</v>
      </c>
      <c r="E320" s="92">
        <f>Calculations!D940</f>
        <v>0</v>
      </c>
      <c r="F320" s="149">
        <f>Calculations!E940</f>
        <v>0</v>
      </c>
      <c r="G320" s="149">
        <f>Calculations!F940</f>
        <v>0</v>
      </c>
      <c r="H320" s="149">
        <f>Calculations!G940</f>
        <v>0</v>
      </c>
      <c r="I320" s="373">
        <f>Calculations!H940</f>
        <v>0</v>
      </c>
    </row>
    <row r="321" spans="2:9">
      <c r="B321" s="70">
        <f>Calculations!A941</f>
        <v>0</v>
      </c>
      <c r="C321">
        <f>Calculations!B941</f>
        <v>0</v>
      </c>
      <c r="D321" s="77">
        <f>Calculations!C941</f>
        <v>0</v>
      </c>
      <c r="E321" s="92">
        <f>Calculations!D941</f>
        <v>0</v>
      </c>
      <c r="F321" s="149">
        <f>Calculations!E941</f>
        <v>0</v>
      </c>
      <c r="G321" s="149">
        <f>Calculations!F941</f>
        <v>0</v>
      </c>
      <c r="H321" s="149">
        <f>Calculations!G941</f>
        <v>0</v>
      </c>
      <c r="I321" s="373">
        <f>Calculations!H941</f>
        <v>0</v>
      </c>
    </row>
    <row r="322" spans="2:9">
      <c r="B322" s="70">
        <f>Calculations!A942</f>
        <v>0</v>
      </c>
      <c r="C322">
        <f>Calculations!B942</f>
        <v>0</v>
      </c>
      <c r="D322" s="77">
        <f>Calculations!C942</f>
        <v>0</v>
      </c>
      <c r="E322" s="92">
        <f>Calculations!D942</f>
        <v>0</v>
      </c>
      <c r="F322" s="149">
        <f>Calculations!E942</f>
        <v>0</v>
      </c>
      <c r="G322" s="149">
        <f>Calculations!F942</f>
        <v>0</v>
      </c>
      <c r="H322" s="149">
        <f>Calculations!G942</f>
        <v>0</v>
      </c>
      <c r="I322" s="373">
        <f>Calculations!H942</f>
        <v>0</v>
      </c>
    </row>
    <row r="323" spans="2:9">
      <c r="B323" s="70">
        <f>Calculations!A943</f>
        <v>0</v>
      </c>
      <c r="C323">
        <f>Calculations!B943</f>
        <v>0</v>
      </c>
      <c r="D323" s="77">
        <f>Calculations!C943</f>
        <v>0</v>
      </c>
      <c r="E323" s="92">
        <f>Calculations!D943</f>
        <v>0</v>
      </c>
      <c r="F323" s="149">
        <f>Calculations!E943</f>
        <v>0</v>
      </c>
      <c r="G323" s="149">
        <f>Calculations!F943</f>
        <v>0</v>
      </c>
      <c r="H323" s="149">
        <f>Calculations!G943</f>
        <v>0</v>
      </c>
      <c r="I323" s="373">
        <f>Calculations!H943</f>
        <v>0</v>
      </c>
    </row>
    <row r="324" spans="2:9">
      <c r="B324" s="70">
        <f>Calculations!A944</f>
        <v>0</v>
      </c>
      <c r="C324">
        <f>Calculations!B944</f>
        <v>0</v>
      </c>
      <c r="D324" s="77">
        <f>Calculations!C944</f>
        <v>0</v>
      </c>
      <c r="E324" s="92">
        <f>Calculations!D944</f>
        <v>0</v>
      </c>
      <c r="F324" s="149">
        <f>Calculations!E944</f>
        <v>0</v>
      </c>
      <c r="G324" s="149">
        <f>Calculations!F944</f>
        <v>0</v>
      </c>
      <c r="H324" s="149">
        <f>Calculations!G944</f>
        <v>0</v>
      </c>
      <c r="I324" s="373">
        <f>Calculations!H944</f>
        <v>0</v>
      </c>
    </row>
    <row r="325" spans="2:9">
      <c r="B325" s="70">
        <f>Calculations!A945</f>
        <v>0</v>
      </c>
      <c r="C325">
        <f>Calculations!B945</f>
        <v>0</v>
      </c>
      <c r="D325" s="77">
        <f>Calculations!C945</f>
        <v>0</v>
      </c>
      <c r="E325" s="92">
        <f>Calculations!D945</f>
        <v>0</v>
      </c>
      <c r="F325" s="149">
        <f>Calculations!E945</f>
        <v>0</v>
      </c>
      <c r="G325" s="149">
        <f>Calculations!F945</f>
        <v>0</v>
      </c>
      <c r="H325" s="149">
        <f>Calculations!G945</f>
        <v>0</v>
      </c>
      <c r="I325" s="373">
        <f>Calculations!H945</f>
        <v>0</v>
      </c>
    </row>
    <row r="326" spans="2:9">
      <c r="B326" s="70">
        <f>Calculations!A946</f>
        <v>0</v>
      </c>
      <c r="C326">
        <f>Calculations!B946</f>
        <v>0</v>
      </c>
      <c r="D326" s="77">
        <f>Calculations!C946</f>
        <v>0</v>
      </c>
      <c r="E326" s="92">
        <f>Calculations!D946</f>
        <v>0</v>
      </c>
      <c r="F326" s="149">
        <f>Calculations!E946</f>
        <v>0</v>
      </c>
      <c r="G326" s="149">
        <f>Calculations!F946</f>
        <v>0</v>
      </c>
      <c r="H326" s="149">
        <f>Calculations!G946</f>
        <v>0</v>
      </c>
      <c r="I326" s="373">
        <f>Calculations!H946</f>
        <v>0</v>
      </c>
    </row>
    <row r="327" spans="2:9">
      <c r="B327" s="70">
        <f>Calculations!A947</f>
        <v>0</v>
      </c>
      <c r="C327">
        <f>Calculations!B947</f>
        <v>0</v>
      </c>
      <c r="D327" s="77">
        <f>Calculations!C947</f>
        <v>0</v>
      </c>
      <c r="E327" s="92">
        <f>Calculations!D947</f>
        <v>0</v>
      </c>
      <c r="F327" s="149">
        <f>Calculations!E947</f>
        <v>0</v>
      </c>
      <c r="G327" s="149">
        <f>Calculations!F947</f>
        <v>0</v>
      </c>
      <c r="H327" s="149">
        <f>Calculations!G947</f>
        <v>0</v>
      </c>
      <c r="I327" s="373">
        <f>Calculations!H947</f>
        <v>0</v>
      </c>
    </row>
    <row r="328" spans="2:9">
      <c r="B328" s="70">
        <f>Calculations!A948</f>
        <v>0</v>
      </c>
      <c r="C328">
        <f>Calculations!B948</f>
        <v>0</v>
      </c>
      <c r="D328" s="77">
        <f>Calculations!C948</f>
        <v>0</v>
      </c>
      <c r="E328" s="92">
        <f>Calculations!D948</f>
        <v>0</v>
      </c>
      <c r="F328" s="149">
        <f>Calculations!E948</f>
        <v>0</v>
      </c>
      <c r="G328" s="149">
        <f>Calculations!F948</f>
        <v>0</v>
      </c>
      <c r="H328" s="149">
        <f>Calculations!G948</f>
        <v>0</v>
      </c>
      <c r="I328" s="373">
        <f>Calculations!H948</f>
        <v>0</v>
      </c>
    </row>
    <row r="329" spans="2:9">
      <c r="B329" s="70">
        <f>Calculations!A949</f>
        <v>0</v>
      </c>
      <c r="C329">
        <f>Calculations!B949</f>
        <v>0</v>
      </c>
      <c r="D329" s="77">
        <f>Calculations!C949</f>
        <v>0</v>
      </c>
      <c r="E329" s="92">
        <f>Calculations!D949</f>
        <v>0</v>
      </c>
      <c r="F329" s="149">
        <f>Calculations!E949</f>
        <v>0</v>
      </c>
      <c r="G329" s="149">
        <f>Calculations!F949</f>
        <v>0</v>
      </c>
      <c r="H329" s="149">
        <f>Calculations!G949</f>
        <v>0</v>
      </c>
      <c r="I329" s="373">
        <f>Calculations!H949</f>
        <v>0</v>
      </c>
    </row>
    <row r="330" spans="2:9">
      <c r="B330" s="70">
        <f>Calculations!A950</f>
        <v>0</v>
      </c>
      <c r="C330">
        <f>Calculations!B950</f>
        <v>0</v>
      </c>
      <c r="D330" s="77">
        <f>Calculations!C950</f>
        <v>0</v>
      </c>
      <c r="E330" s="92">
        <f>Calculations!D950</f>
        <v>0</v>
      </c>
      <c r="F330" s="149">
        <f>Calculations!E950</f>
        <v>0</v>
      </c>
      <c r="G330" s="149">
        <f>Calculations!F950</f>
        <v>0</v>
      </c>
      <c r="H330" s="149">
        <f>Calculations!G950</f>
        <v>0</v>
      </c>
      <c r="I330" s="373">
        <f>Calculations!H950</f>
        <v>0</v>
      </c>
    </row>
    <row r="331" spans="2:9">
      <c r="B331" s="70">
        <f>Calculations!A951</f>
        <v>0</v>
      </c>
      <c r="C331">
        <f>Calculations!B951</f>
        <v>0</v>
      </c>
      <c r="D331" s="77">
        <f>Calculations!C951</f>
        <v>0</v>
      </c>
      <c r="E331" s="92">
        <f>Calculations!D951</f>
        <v>0</v>
      </c>
      <c r="F331" s="149">
        <f>Calculations!E951</f>
        <v>0</v>
      </c>
      <c r="G331" s="149">
        <f>Calculations!F951</f>
        <v>0</v>
      </c>
      <c r="H331" s="149">
        <f>Calculations!G951</f>
        <v>0</v>
      </c>
      <c r="I331" s="373">
        <f>Calculations!H951</f>
        <v>0</v>
      </c>
    </row>
    <row r="332" spans="2:9">
      <c r="B332" s="70">
        <f>Calculations!A952</f>
        <v>0</v>
      </c>
      <c r="C332">
        <f>Calculations!B952</f>
        <v>0</v>
      </c>
      <c r="D332" s="77">
        <f>Calculations!C952</f>
        <v>0</v>
      </c>
      <c r="E332" s="92">
        <f>Calculations!D952</f>
        <v>0</v>
      </c>
      <c r="F332" s="149">
        <f>Calculations!E952</f>
        <v>0</v>
      </c>
      <c r="G332" s="149">
        <f>Calculations!F952</f>
        <v>0</v>
      </c>
      <c r="H332" s="149">
        <f>Calculations!G952</f>
        <v>0</v>
      </c>
      <c r="I332" s="373">
        <f>Calculations!H952</f>
        <v>0</v>
      </c>
    </row>
    <row r="333" spans="2:9">
      <c r="B333" s="70">
        <f>Calculations!A953</f>
        <v>0</v>
      </c>
      <c r="C333">
        <f>Calculations!B953</f>
        <v>0</v>
      </c>
      <c r="D333" s="77">
        <f>Calculations!C953</f>
        <v>0</v>
      </c>
      <c r="E333" s="92">
        <f>Calculations!D953</f>
        <v>0</v>
      </c>
      <c r="F333" s="149">
        <f>Calculations!E953</f>
        <v>0</v>
      </c>
      <c r="G333" s="149">
        <f>Calculations!F953</f>
        <v>0</v>
      </c>
      <c r="H333" s="149">
        <f>Calculations!G953</f>
        <v>0</v>
      </c>
      <c r="I333" s="373">
        <f>Calculations!H953</f>
        <v>0</v>
      </c>
    </row>
    <row r="334" spans="2:9">
      <c r="B334" s="70">
        <f>Calculations!A954</f>
        <v>0</v>
      </c>
      <c r="C334">
        <f>Calculations!B954</f>
        <v>0</v>
      </c>
      <c r="D334" s="77">
        <f>Calculations!C954</f>
        <v>0</v>
      </c>
      <c r="E334" s="92">
        <f>Calculations!D954</f>
        <v>0</v>
      </c>
      <c r="F334" s="149">
        <f>Calculations!E954</f>
        <v>0</v>
      </c>
      <c r="G334" s="149">
        <f>Calculations!F954</f>
        <v>0</v>
      </c>
      <c r="H334" s="149">
        <f>Calculations!G954</f>
        <v>0</v>
      </c>
      <c r="I334" s="373">
        <f>Calculations!H954</f>
        <v>0</v>
      </c>
    </row>
  </sheetData>
  <sheetProtection algorithmName="SHA-512" hashValue="MlWyhB3S/FHkOmF8DMeiy8kh11OIOyzB55Vxh7Fhwt475eHpV723M2VjZJO+neL5x06fwIcJ92lO6Cdk+oXCJw==" saltValue="k5+R0a5KU22mw6VkP+r0YA==" spinCount="100000" sheet="1" objects="1" scenarios="1"/>
  <mergeCells count="19">
    <mergeCell ref="A1:K1"/>
    <mergeCell ref="B66:C66"/>
    <mergeCell ref="A13:K13"/>
    <mergeCell ref="A39:K39"/>
    <mergeCell ref="A44:K44"/>
    <mergeCell ref="A59:K59"/>
    <mergeCell ref="I46:J46"/>
    <mergeCell ref="A83:K83"/>
    <mergeCell ref="B89:C89"/>
    <mergeCell ref="A107:K107"/>
    <mergeCell ref="A108:K108"/>
    <mergeCell ref="A151:K151"/>
    <mergeCell ref="A100:K100"/>
    <mergeCell ref="A152:K152"/>
    <mergeCell ref="A170:K170"/>
    <mergeCell ref="B175:C175"/>
    <mergeCell ref="A211:K211"/>
    <mergeCell ref="A186:K186"/>
    <mergeCell ref="B209:C209"/>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0:K100" location="'Proforma, Income &amp; Expense'!A1" display="Annual Operating Expenses" xr:uid="{00000000-0004-0000-0A00-000002000000}"/>
    <hyperlink ref="A151:K151" location="'Development Budget'!A1" display="Contractor - Developer Fee Limits" xr:uid="{00000000-0004-0000-0A00-000003000000}"/>
    <hyperlink ref="A186:K186" location="'Unit Mix &amp; Rents'!A1" display="Units Mix &amp; Rents" xr:uid="{00000000-0004-0000-0A00-000004000000}"/>
    <hyperlink ref="A83:J83" location="'Proforma, Income &amp; Expense'!A1" display="Development Income" xr:uid="{00000000-0004-0000-0A00-000005000000}"/>
    <hyperlink ref="A107:J107"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6" max="10" man="1"/>
    <brk id="150" max="16383" man="1"/>
    <brk id="185" max="10" man="1"/>
    <brk id="239" max="10" man="1"/>
    <brk id="299"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5"/>
  <cols>
    <col min="1" max="1" width="42.5703125" customWidth="1"/>
    <col min="2" max="5" width="13.5703125" customWidth="1"/>
    <col min="6" max="6" width="9" customWidth="1"/>
    <col min="7" max="7" width="14.42578125" customWidth="1"/>
    <col min="8" max="8" width="13.5703125" customWidth="1"/>
    <col min="9" max="9" width="9" customWidth="1"/>
  </cols>
  <sheetData>
    <row r="1" spans="1:16">
      <c r="A1" s="927" t="s">
        <v>1057</v>
      </c>
      <c r="B1" s="927"/>
      <c r="C1" s="927"/>
      <c r="D1" s="927"/>
      <c r="E1" s="927"/>
      <c r="F1" s="927"/>
      <c r="G1" s="927"/>
      <c r="H1" s="927"/>
      <c r="I1" s="927"/>
      <c r="J1" s="9"/>
      <c r="K1" s="9"/>
    </row>
    <row r="2" spans="1:16">
      <c r="A2" s="9"/>
      <c r="B2" s="9"/>
      <c r="C2" s="9"/>
      <c r="D2" s="9"/>
      <c r="E2" s="9"/>
      <c r="F2" s="9"/>
      <c r="G2" s="9"/>
      <c r="H2" s="9"/>
      <c r="I2" s="9"/>
      <c r="J2" s="9"/>
      <c r="K2" s="9"/>
    </row>
    <row r="3" spans="1:16">
      <c r="A3" s="1" t="s">
        <v>864</v>
      </c>
      <c r="B3" s="73">
        <f>Application!B27</f>
        <v>0</v>
      </c>
      <c r="C3" s="9"/>
      <c r="D3" s="9"/>
      <c r="E3" s="9"/>
      <c r="F3" s="9"/>
      <c r="G3" s="9"/>
      <c r="H3" s="9"/>
      <c r="I3" s="9"/>
      <c r="J3" s="9"/>
      <c r="K3" s="9"/>
    </row>
    <row r="4" spans="1:16">
      <c r="A4" s="1" t="s">
        <v>216</v>
      </c>
      <c r="B4" s="73">
        <f>Application!B6</f>
        <v>0</v>
      </c>
      <c r="F4" s="123"/>
    </row>
    <row r="5" spans="1:16" s="9" customFormat="1" ht="60" customHeight="1">
      <c r="A5" s="192" t="str">
        <f>Calculations!A168</f>
        <v>Land &amp; Buildings</v>
      </c>
      <c r="B5" s="135" t="str">
        <f>Calculations!B168</f>
        <v>Amount</v>
      </c>
      <c r="C5" s="135" t="str">
        <f>Calculations!C168</f>
        <v>4% LIHTC Basis Calculation</v>
      </c>
      <c r="D5" s="135" t="str">
        <f>Calculations!D168</f>
        <v>9% LIHTC Basis Calculation</v>
      </c>
      <c r="E5" s="135" t="str">
        <f>Calculations!E168</f>
        <v>Amount Last Provided to CHFA*</v>
      </c>
      <c r="F5" s="689" t="s">
        <v>1058</v>
      </c>
      <c r="G5" s="135" t="str">
        <f>Calculations!G168</f>
        <v>Difference
if Applicable</v>
      </c>
      <c r="H5" s="135" t="str">
        <f>Calculations!H168</f>
        <v>10% Carryover Actual Incurred Costs</v>
      </c>
      <c r="I5" s="135" t="str">
        <f>Calculations!I168</f>
        <v>% of Total Expected Project Basis</v>
      </c>
      <c r="P5"/>
    </row>
    <row r="6" spans="1:16">
      <c r="A6" s="164" t="str">
        <f>Calculations!A169</f>
        <v>Land</v>
      </c>
      <c r="B6" s="66">
        <f>Calculations!B169</f>
        <v>0</v>
      </c>
      <c r="C6" s="66">
        <f>Calculations!C169</f>
        <v>0</v>
      </c>
      <c r="D6" s="66">
        <f>Calculations!D169</f>
        <v>0</v>
      </c>
      <c r="E6" s="66">
        <f>Calculations!E169</f>
        <v>0</v>
      </c>
      <c r="F6" s="8">
        <f>Calculations!F169</f>
        <v>0</v>
      </c>
      <c r="G6" s="66">
        <f>Calculations!G169</f>
        <v>0</v>
      </c>
      <c r="H6" s="66" t="str">
        <f>Calculations!H169</f>
        <v/>
      </c>
      <c r="I6" s="197" t="str">
        <f>Calculations!I169</f>
        <v/>
      </c>
    </row>
    <row r="7" spans="1:16">
      <c r="A7" s="164" t="str">
        <f>Calculations!A170</f>
        <v>Existing Structures</v>
      </c>
      <c r="B7" s="66">
        <f>Calculations!B170</f>
        <v>0</v>
      </c>
      <c r="C7" s="66">
        <f>Calculations!C170</f>
        <v>0</v>
      </c>
      <c r="D7" s="66">
        <f>Calculations!D170</f>
        <v>0</v>
      </c>
      <c r="E7" s="66">
        <f>Calculations!E170</f>
        <v>0</v>
      </c>
      <c r="F7" s="8">
        <f>Calculations!F170</f>
        <v>0</v>
      </c>
      <c r="G7" s="66">
        <f>Calculations!G170</f>
        <v>0</v>
      </c>
      <c r="H7" s="66" t="str">
        <f>Calculations!H170</f>
        <v/>
      </c>
      <c r="I7" s="197" t="str">
        <f>Calculations!I170</f>
        <v/>
      </c>
    </row>
    <row r="8" spans="1:16">
      <c r="A8" s="164" t="str">
        <f>Calculations!A171</f>
        <v>Demolition</v>
      </c>
      <c r="B8" s="66">
        <f>Calculations!B171</f>
        <v>0</v>
      </c>
      <c r="C8" s="66">
        <f>Calculations!C171</f>
        <v>0</v>
      </c>
      <c r="D8" s="66">
        <f>Calculations!D171</f>
        <v>0</v>
      </c>
      <c r="E8" s="66">
        <f>Calculations!E171</f>
        <v>0</v>
      </c>
      <c r="F8" s="8">
        <f>Calculations!F171</f>
        <v>0</v>
      </c>
      <c r="G8" s="66">
        <f>Calculations!G171</f>
        <v>0</v>
      </c>
      <c r="H8" s="66" t="str">
        <f>Calculations!H171</f>
        <v/>
      </c>
      <c r="I8" s="197" t="str">
        <f>Calculations!I171</f>
        <v/>
      </c>
    </row>
    <row r="9" spans="1:16">
      <c r="A9" s="164"/>
      <c r="B9" s="199">
        <f>Calculations!B172</f>
        <v>0</v>
      </c>
      <c r="C9" s="199">
        <f>Calculations!C172</f>
        <v>0</v>
      </c>
      <c r="D9" s="199">
        <f>Calculations!D172</f>
        <v>0</v>
      </c>
      <c r="E9" s="199">
        <f>Calculations!E172</f>
        <v>0</v>
      </c>
      <c r="F9" s="199"/>
      <c r="G9" s="199">
        <f>Calculations!G172</f>
        <v>0</v>
      </c>
      <c r="H9" s="199" t="str">
        <f>Calculations!H172</f>
        <v/>
      </c>
      <c r="I9" s="251" t="str">
        <f>Calculations!I172</f>
        <v/>
      </c>
    </row>
    <row r="10" spans="1:16">
      <c r="A10" s="192" t="str">
        <f>Calculations!A173</f>
        <v>Site Work</v>
      </c>
      <c r="B10" s="101"/>
      <c r="C10" s="101"/>
      <c r="D10" s="101"/>
      <c r="E10" s="101"/>
      <c r="F10" s="101"/>
      <c r="G10" s="101"/>
      <c r="H10" s="101"/>
      <c r="I10" s="101"/>
    </row>
    <row r="11" spans="1:16">
      <c r="A11" s="164" t="str">
        <f>Calculations!A174</f>
        <v>On Site Work</v>
      </c>
      <c r="B11" s="66">
        <f>Calculations!B174</f>
        <v>0</v>
      </c>
      <c r="C11" s="66">
        <f>Calculations!C174</f>
        <v>0</v>
      </c>
      <c r="D11" s="66">
        <f>Calculations!D174</f>
        <v>0</v>
      </c>
      <c r="E11" s="66">
        <f>Calculations!E174</f>
        <v>0</v>
      </c>
      <c r="F11" s="8">
        <f>Calculations!F174</f>
        <v>0</v>
      </c>
      <c r="G11" s="66">
        <f>Calculations!G174</f>
        <v>0</v>
      </c>
      <c r="H11" s="66" t="str">
        <f>Calculations!H174</f>
        <v/>
      </c>
      <c r="I11" s="197" t="str">
        <f>Calculations!I174</f>
        <v/>
      </c>
    </row>
    <row r="12" spans="1:16">
      <c r="A12" s="164" t="str">
        <f>Calculations!A175</f>
        <v>Off Site Work</v>
      </c>
      <c r="B12" s="66">
        <f>Calculations!B175</f>
        <v>0</v>
      </c>
      <c r="C12" s="66">
        <f>Calculations!C175</f>
        <v>0</v>
      </c>
      <c r="D12" s="66">
        <f>Calculations!D175</f>
        <v>0</v>
      </c>
      <c r="E12" s="66">
        <f>Calculations!E175</f>
        <v>0</v>
      </c>
      <c r="F12" s="8">
        <f>Calculations!F175</f>
        <v>0</v>
      </c>
      <c r="G12" s="66">
        <f>Calculations!G175</f>
        <v>0</v>
      </c>
      <c r="H12" s="66" t="str">
        <f>Calculations!H175</f>
        <v/>
      </c>
      <c r="I12" s="197" t="str">
        <f>Calculations!I175</f>
        <v/>
      </c>
    </row>
    <row r="13" spans="1:16">
      <c r="A13" s="164"/>
      <c r="B13" s="199">
        <f>Calculations!B176</f>
        <v>0</v>
      </c>
      <c r="C13" s="199">
        <f>Calculations!C176</f>
        <v>0</v>
      </c>
      <c r="D13" s="199">
        <f>Calculations!D176</f>
        <v>0</v>
      </c>
      <c r="E13" s="199">
        <f>Calculations!E176</f>
        <v>0</v>
      </c>
      <c r="F13" s="199"/>
      <c r="G13" s="199">
        <f>Calculations!G176</f>
        <v>0</v>
      </c>
      <c r="H13" s="199" t="str">
        <f>Calculations!H176</f>
        <v/>
      </c>
      <c r="I13" s="251" t="str">
        <f>Calculations!I176</f>
        <v/>
      </c>
    </row>
    <row r="14" spans="1:16">
      <c r="A14" s="101" t="str">
        <f>Calculations!A177</f>
        <v>Rehab. &amp; New Construction</v>
      </c>
      <c r="B14" s="101"/>
      <c r="C14" s="101"/>
      <c r="D14" s="101"/>
      <c r="E14" s="101"/>
      <c r="F14" s="101"/>
      <c r="G14" s="101"/>
      <c r="H14" s="101"/>
      <c r="I14" s="101"/>
    </row>
    <row r="15" spans="1:16">
      <c r="A15" s="164" t="str">
        <f>Calculations!A178</f>
        <v>New Structures</v>
      </c>
      <c r="B15" s="66">
        <f>Calculations!B178</f>
        <v>0</v>
      </c>
      <c r="C15" s="66">
        <f>Calculations!C178</f>
        <v>0</v>
      </c>
      <c r="D15" s="66">
        <f>Calculations!D178</f>
        <v>0</v>
      </c>
      <c r="E15" s="66">
        <f>Calculations!E178</f>
        <v>0</v>
      </c>
      <c r="F15" s="8">
        <f>Calculations!F178</f>
        <v>0</v>
      </c>
      <c r="G15" s="66">
        <f>Calculations!G178</f>
        <v>0</v>
      </c>
      <c r="H15" s="66" t="str">
        <f>Calculations!H178</f>
        <v/>
      </c>
      <c r="I15" s="197" t="str">
        <f>Calculations!I178</f>
        <v/>
      </c>
    </row>
    <row r="16" spans="1:16">
      <c r="A16" s="164" t="str">
        <f>Calculations!A179</f>
        <v>Rehabilitation</v>
      </c>
      <c r="B16" s="66">
        <f>Calculations!B179</f>
        <v>0</v>
      </c>
      <c r="C16" s="66">
        <f>Calculations!C179</f>
        <v>0</v>
      </c>
      <c r="D16" s="66">
        <f>Calculations!D179</f>
        <v>0</v>
      </c>
      <c r="E16" s="66">
        <f>Calculations!E179</f>
        <v>0</v>
      </c>
      <c r="F16" s="8">
        <f>Calculations!F179</f>
        <v>0</v>
      </c>
      <c r="G16" s="66">
        <f>Calculations!G179</f>
        <v>0</v>
      </c>
      <c r="H16" s="66" t="str">
        <f>Calculations!H179</f>
        <v/>
      </c>
      <c r="I16" s="197" t="str">
        <f>Calculations!I179</f>
        <v/>
      </c>
    </row>
    <row r="17" spans="1:9">
      <c r="A17" s="164" t="str">
        <f>Calculations!A180</f>
        <v>Accessory Structures (CSF, storage, garage(s))</v>
      </c>
      <c r="B17" s="66">
        <f>Calculations!B180</f>
        <v>0</v>
      </c>
      <c r="C17" s="66">
        <f>Calculations!C180</f>
        <v>0</v>
      </c>
      <c r="D17" s="66">
        <f>Calculations!D180</f>
        <v>0</v>
      </c>
      <c r="E17" s="66">
        <f>Calculations!E180</f>
        <v>0</v>
      </c>
      <c r="F17" s="8">
        <f>Calculations!F180</f>
        <v>0</v>
      </c>
      <c r="G17" s="66">
        <f>Calculations!G180</f>
        <v>0</v>
      </c>
      <c r="H17" s="66" t="str">
        <f>Calculations!H180</f>
        <v/>
      </c>
      <c r="I17" s="197" t="str">
        <f>Calculations!I180</f>
        <v/>
      </c>
    </row>
    <row r="18" spans="1:9">
      <c r="A18" s="164" t="str">
        <f>Calculations!A181</f>
        <v>Green Systems (Solar, Geothermal, Other, etc.)</v>
      </c>
      <c r="B18" s="66">
        <f>Calculations!B181</f>
        <v>0</v>
      </c>
      <c r="C18" s="66">
        <f>Calculations!C181</f>
        <v>0</v>
      </c>
      <c r="D18" s="66">
        <f>Calculations!D181</f>
        <v>0</v>
      </c>
      <c r="E18" s="66">
        <f>Calculations!E181</f>
        <v>0</v>
      </c>
      <c r="F18" s="8">
        <f>Calculations!F181</f>
        <v>0</v>
      </c>
      <c r="G18" s="66">
        <f>Calculations!G181</f>
        <v>0</v>
      </c>
      <c r="H18" s="66" t="str">
        <f>Calculations!H181</f>
        <v/>
      </c>
      <c r="I18" s="197" t="str">
        <f>Calculations!I181</f>
        <v/>
      </c>
    </row>
    <row r="19" spans="1:9">
      <c r="A19" s="164" t="str">
        <f>Calculations!A182</f>
        <v>General Requirements</v>
      </c>
      <c r="B19" s="66">
        <f>Calculations!B182</f>
        <v>0</v>
      </c>
      <c r="C19" s="66">
        <f>Calculations!C182</f>
        <v>0</v>
      </c>
      <c r="D19" s="66">
        <f>Calculations!D182</f>
        <v>0</v>
      </c>
      <c r="E19" s="66">
        <f>Calculations!E182</f>
        <v>0</v>
      </c>
      <c r="F19" s="8">
        <f>Calculations!F182</f>
        <v>0</v>
      </c>
      <c r="G19" s="66">
        <f>Calculations!G182</f>
        <v>0</v>
      </c>
      <c r="H19" s="66" t="str">
        <f>Calculations!H182</f>
        <v/>
      </c>
      <c r="I19" s="197" t="str">
        <f>Calculations!I182</f>
        <v/>
      </c>
    </row>
    <row r="20" spans="1:9">
      <c r="A20" s="164" t="str">
        <f>Calculations!A183</f>
        <v>Contractor Overhead</v>
      </c>
      <c r="B20" s="66">
        <f>Calculations!B183</f>
        <v>0</v>
      </c>
      <c r="C20" s="66">
        <f>Calculations!C183</f>
        <v>0</v>
      </c>
      <c r="D20" s="66">
        <f>Calculations!D183</f>
        <v>0</v>
      </c>
      <c r="E20" s="66">
        <f>Calculations!E183</f>
        <v>0</v>
      </c>
      <c r="F20" s="8">
        <f>Calculations!F183</f>
        <v>0</v>
      </c>
      <c r="G20" s="66">
        <f>Calculations!G183</f>
        <v>0</v>
      </c>
      <c r="H20" s="66" t="str">
        <f>Calculations!H183</f>
        <v/>
      </c>
      <c r="I20" s="197" t="str">
        <f>Calculations!I183</f>
        <v/>
      </c>
    </row>
    <row r="21" spans="1:9">
      <c r="A21" s="164" t="str">
        <f>Calculations!A184</f>
        <v>Contractor Profit</v>
      </c>
      <c r="B21" s="66">
        <f>Calculations!B184</f>
        <v>0</v>
      </c>
      <c r="C21" s="66">
        <f>Calculations!C184</f>
        <v>0</v>
      </c>
      <c r="D21" s="66">
        <f>Calculations!D184</f>
        <v>0</v>
      </c>
      <c r="E21" s="66">
        <f>Calculations!E184</f>
        <v>0</v>
      </c>
      <c r="F21" s="8">
        <f>Calculations!F184</f>
        <v>0</v>
      </c>
      <c r="G21" s="66">
        <f>Calculations!G184</f>
        <v>0</v>
      </c>
      <c r="H21" s="66" t="str">
        <f>Calculations!H184</f>
        <v/>
      </c>
      <c r="I21" s="197" t="str">
        <f>Calculations!I184</f>
        <v/>
      </c>
    </row>
    <row r="22" spans="1:9">
      <c r="A22" s="164" t="str">
        <f>Calculations!A185</f>
        <v>Contractor Construction Contingency</v>
      </c>
      <c r="B22" s="66">
        <f>Calculations!B185</f>
        <v>0</v>
      </c>
      <c r="C22" s="66">
        <f>Calculations!C185</f>
        <v>0</v>
      </c>
      <c r="D22" s="66">
        <f>Calculations!D185</f>
        <v>0</v>
      </c>
      <c r="E22" s="66">
        <f>Calculations!E185</f>
        <v>0</v>
      </c>
      <c r="F22" s="8">
        <f>Calculations!F185</f>
        <v>0</v>
      </c>
      <c r="G22" s="66">
        <f>Calculations!G185</f>
        <v>0</v>
      </c>
      <c r="H22" s="66" t="str">
        <f>Calculations!H185</f>
        <v/>
      </c>
      <c r="I22" s="197" t="str">
        <f>Calculations!I185</f>
        <v/>
      </c>
    </row>
    <row r="23" spans="1:9">
      <c r="A23" s="164" t="str">
        <f>Calculations!A186</f>
        <v>Owner Hard Cost Contingency</v>
      </c>
      <c r="B23" s="66">
        <f>Calculations!B186</f>
        <v>0</v>
      </c>
      <c r="C23" s="66">
        <f>Calculations!C186</f>
        <v>0</v>
      </c>
      <c r="D23" s="66">
        <f>Calculations!D186</f>
        <v>0</v>
      </c>
      <c r="E23" s="66">
        <f>Calculations!E186</f>
        <v>0</v>
      </c>
      <c r="F23" s="8">
        <f>Calculations!F186</f>
        <v>0</v>
      </c>
      <c r="G23" s="66">
        <f>Calculations!G186</f>
        <v>0</v>
      </c>
      <c r="H23" s="66" t="str">
        <f>Calculations!H186</f>
        <v/>
      </c>
      <c r="I23" s="197" t="str">
        <f>Calculations!I186</f>
        <v/>
      </c>
    </row>
    <row r="24" spans="1:9">
      <c r="A24" s="164" t="str">
        <f>Calculations!A187</f>
        <v>Furniture, Fixtures, &amp; Equipment</v>
      </c>
      <c r="B24" s="66">
        <f>Calculations!B187</f>
        <v>0</v>
      </c>
      <c r="C24" s="66">
        <f>Calculations!C187</f>
        <v>0</v>
      </c>
      <c r="D24" s="66">
        <f>Calculations!D187</f>
        <v>0</v>
      </c>
      <c r="E24" s="66">
        <f>Calculations!E187</f>
        <v>0</v>
      </c>
      <c r="F24" s="8">
        <f>Calculations!F187</f>
        <v>0</v>
      </c>
      <c r="G24" s="66">
        <f>Calculations!G187</f>
        <v>0</v>
      </c>
      <c r="H24" s="66" t="str">
        <f>Calculations!H187</f>
        <v/>
      </c>
      <c r="I24" s="197" t="str">
        <f>Calculations!I187</f>
        <v/>
      </c>
    </row>
    <row r="25" spans="1:9">
      <c r="A25" s="164" t="str">
        <f>Calculations!A188</f>
        <v>Building Permits</v>
      </c>
      <c r="B25" s="66">
        <f>Calculations!B188</f>
        <v>0</v>
      </c>
      <c r="C25" s="66">
        <f>Calculations!C188</f>
        <v>0</v>
      </c>
      <c r="D25" s="66">
        <f>Calculations!D188</f>
        <v>0</v>
      </c>
      <c r="E25" s="66">
        <f>Calculations!E188</f>
        <v>0</v>
      </c>
      <c r="F25" s="8">
        <f>Calculations!F188</f>
        <v>0</v>
      </c>
      <c r="G25" s="66">
        <f>Calculations!G188</f>
        <v>0</v>
      </c>
      <c r="H25" s="66" t="str">
        <f>Calculations!H188</f>
        <v/>
      </c>
      <c r="I25" s="197" t="str">
        <f>Calculations!I188</f>
        <v/>
      </c>
    </row>
    <row r="26" spans="1:9">
      <c r="A26" s="164" t="str">
        <f>Calculations!A189</f>
        <v>Other (Specify)</v>
      </c>
      <c r="B26" s="66">
        <f>Calculations!B189</f>
        <v>0</v>
      </c>
      <c r="C26" s="66">
        <f>Calculations!C189</f>
        <v>0</v>
      </c>
      <c r="D26" s="66">
        <f>Calculations!D189</f>
        <v>0</v>
      </c>
      <c r="E26" s="66">
        <f>Calculations!E189</f>
        <v>0</v>
      </c>
      <c r="F26" s="8">
        <f>Calculations!F189</f>
        <v>0</v>
      </c>
      <c r="G26" s="66">
        <f>Calculations!G189</f>
        <v>0</v>
      </c>
      <c r="H26" s="66" t="str">
        <f>Calculations!H189</f>
        <v/>
      </c>
      <c r="I26" s="197" t="str">
        <f>Calculations!I189</f>
        <v/>
      </c>
    </row>
    <row r="27" spans="1:9">
      <c r="A27" s="164" t="str">
        <f>Calculations!A190</f>
        <v>Other (Specify)</v>
      </c>
      <c r="B27" s="66">
        <f>Calculations!B190</f>
        <v>0</v>
      </c>
      <c r="C27" s="66">
        <f>Calculations!C190</f>
        <v>0</v>
      </c>
      <c r="D27" s="66">
        <f>Calculations!D190</f>
        <v>0</v>
      </c>
      <c r="E27" s="66">
        <f>Calculations!E190</f>
        <v>0</v>
      </c>
      <c r="F27" s="8">
        <f>Calculations!F190</f>
        <v>0</v>
      </c>
      <c r="G27" s="66">
        <f>Calculations!G190</f>
        <v>0</v>
      </c>
      <c r="H27" s="66" t="str">
        <f>Calculations!H190</f>
        <v/>
      </c>
      <c r="I27" s="197" t="str">
        <f>Calculations!I190</f>
        <v/>
      </c>
    </row>
    <row r="28" spans="1:9">
      <c r="A28" s="164" t="str">
        <f>Calculations!A191</f>
        <v>Other (Specify)</v>
      </c>
      <c r="B28" s="66">
        <f>Calculations!B191</f>
        <v>0</v>
      </c>
      <c r="C28" s="66">
        <f>Calculations!C191</f>
        <v>0</v>
      </c>
      <c r="D28" s="66">
        <f>Calculations!D191</f>
        <v>0</v>
      </c>
      <c r="E28" s="66">
        <f>Calculations!E191</f>
        <v>0</v>
      </c>
      <c r="F28" s="8">
        <f>Calculations!F191</f>
        <v>0</v>
      </c>
      <c r="G28" s="66">
        <f>Calculations!G191</f>
        <v>0</v>
      </c>
      <c r="H28" s="66" t="str">
        <f>Calculations!H191</f>
        <v/>
      </c>
      <c r="I28" s="197" t="str">
        <f>Calculations!I191</f>
        <v/>
      </c>
    </row>
    <row r="29" spans="1:9">
      <c r="A29" s="164"/>
      <c r="B29" s="199">
        <f>Calculations!B192</f>
        <v>0</v>
      </c>
      <c r="C29" s="199">
        <f>Calculations!C192</f>
        <v>0</v>
      </c>
      <c r="D29" s="199">
        <f>Calculations!D192</f>
        <v>0</v>
      </c>
      <c r="E29" s="199">
        <f>Calculations!E192</f>
        <v>0</v>
      </c>
      <c r="F29" s="199"/>
      <c r="G29" s="199">
        <f>Calculations!G192</f>
        <v>0</v>
      </c>
      <c r="H29" s="199" t="str">
        <f>Calculations!H192</f>
        <v/>
      </c>
      <c r="I29" s="251" t="str">
        <f>Calculations!I192</f>
        <v/>
      </c>
    </row>
    <row r="30" spans="1:9">
      <c r="A30" s="101" t="str">
        <f>Calculations!A193</f>
        <v>Professional Fees</v>
      </c>
      <c r="B30" s="101"/>
      <c r="C30" s="101"/>
      <c r="D30" s="101"/>
      <c r="E30" s="101"/>
      <c r="F30" s="101"/>
      <c r="G30" s="101"/>
      <c r="H30" s="101"/>
      <c r="I30" s="101"/>
    </row>
    <row r="31" spans="1:9">
      <c r="A31" s="164" t="str">
        <f>Calculations!A194</f>
        <v>Architect, Design</v>
      </c>
      <c r="B31" s="66">
        <f>Calculations!B194</f>
        <v>0</v>
      </c>
      <c r="C31" s="66">
        <f>Calculations!C194</f>
        <v>0</v>
      </c>
      <c r="D31" s="66">
        <f>Calculations!D194</f>
        <v>0</v>
      </c>
      <c r="E31" s="66">
        <f>Calculations!E194</f>
        <v>0</v>
      </c>
      <c r="F31" s="8">
        <f>Calculations!F194</f>
        <v>0</v>
      </c>
      <c r="G31" s="66">
        <f>Calculations!G194</f>
        <v>0</v>
      </c>
      <c r="H31" s="66" t="str">
        <f>Calculations!H194</f>
        <v/>
      </c>
      <c r="I31" s="197" t="str">
        <f>Calculations!I194</f>
        <v/>
      </c>
    </row>
    <row r="32" spans="1:9">
      <c r="A32" s="164" t="str">
        <f>Calculations!A195</f>
        <v>Architect Construction Management/Admin</v>
      </c>
      <c r="B32" s="66">
        <f>Calculations!B195</f>
        <v>0</v>
      </c>
      <c r="C32" s="66">
        <f>Calculations!C195</f>
        <v>0</v>
      </c>
      <c r="D32" s="66">
        <f>Calculations!D195</f>
        <v>0</v>
      </c>
      <c r="E32" s="66">
        <f>Calculations!E195</f>
        <v>0</v>
      </c>
      <c r="F32" s="8">
        <f>Calculations!F195</f>
        <v>0</v>
      </c>
      <c r="G32" s="66">
        <f>Calculations!G195</f>
        <v>0</v>
      </c>
      <c r="H32" s="66" t="str">
        <f>Calculations!H195</f>
        <v/>
      </c>
      <c r="I32" s="197" t="str">
        <f>Calculations!I195</f>
        <v/>
      </c>
    </row>
    <row r="33" spans="1:9">
      <c r="A33" s="164" t="str">
        <f>Calculations!A196</f>
        <v>Landscape Design</v>
      </c>
      <c r="B33" s="66">
        <f>Calculations!B196</f>
        <v>0</v>
      </c>
      <c r="C33" s="66">
        <f>Calculations!C196</f>
        <v>0</v>
      </c>
      <c r="D33" s="66">
        <f>Calculations!D196</f>
        <v>0</v>
      </c>
      <c r="E33" s="66">
        <f>Calculations!E196</f>
        <v>0</v>
      </c>
      <c r="F33" s="8">
        <f>Calculations!F196</f>
        <v>0</v>
      </c>
      <c r="G33" s="66">
        <f>Calculations!G196</f>
        <v>0</v>
      </c>
      <c r="H33" s="66" t="str">
        <f>Calculations!H196</f>
        <v/>
      </c>
      <c r="I33" s="197" t="str">
        <f>Calculations!I196</f>
        <v/>
      </c>
    </row>
    <row r="34" spans="1:9">
      <c r="A34" s="164" t="str">
        <f>Calculations!A197</f>
        <v>Structural Engineering</v>
      </c>
      <c r="B34" s="66">
        <f>Calculations!B197</f>
        <v>0</v>
      </c>
      <c r="C34" s="66">
        <f>Calculations!C197</f>
        <v>0</v>
      </c>
      <c r="D34" s="66">
        <f>Calculations!D197</f>
        <v>0</v>
      </c>
      <c r="E34" s="66">
        <f>Calculations!E197</f>
        <v>0</v>
      </c>
      <c r="F34" s="8">
        <f>Calculations!F197</f>
        <v>0</v>
      </c>
      <c r="G34" s="66">
        <f>Calculations!G197</f>
        <v>0</v>
      </c>
      <c r="H34" s="66" t="str">
        <f>Calculations!H197</f>
        <v/>
      </c>
      <c r="I34" s="197" t="str">
        <f>Calculations!I197</f>
        <v/>
      </c>
    </row>
    <row r="35" spans="1:9">
      <c r="A35" s="164" t="str">
        <f>Calculations!A198</f>
        <v>Civil Engineering</v>
      </c>
      <c r="B35" s="66">
        <f>Calculations!B198</f>
        <v>0</v>
      </c>
      <c r="C35" s="66">
        <f>Calculations!C198</f>
        <v>0</v>
      </c>
      <c r="D35" s="66">
        <f>Calculations!D198</f>
        <v>0</v>
      </c>
      <c r="E35" s="66">
        <f>Calculations!E198</f>
        <v>0</v>
      </c>
      <c r="F35" s="8">
        <f>Calculations!F198</f>
        <v>0</v>
      </c>
      <c r="G35" s="66">
        <f>Calculations!G198</f>
        <v>0</v>
      </c>
      <c r="H35" s="66" t="str">
        <f>Calculations!H198</f>
        <v/>
      </c>
      <c r="I35" s="197" t="str">
        <f>Calculations!I198</f>
        <v/>
      </c>
    </row>
    <row r="36" spans="1:9">
      <c r="A36" s="164" t="str">
        <f>Calculations!A199</f>
        <v>Other Engineering</v>
      </c>
      <c r="B36" s="66">
        <f>Calculations!B199</f>
        <v>0</v>
      </c>
      <c r="C36" s="66">
        <f>Calculations!C199</f>
        <v>0</v>
      </c>
      <c r="D36" s="66">
        <f>Calculations!D199</f>
        <v>0</v>
      </c>
      <c r="E36" s="66">
        <f>Calculations!E199</f>
        <v>0</v>
      </c>
      <c r="F36" s="8">
        <f>Calculations!F199</f>
        <v>0</v>
      </c>
      <c r="G36" s="66">
        <f>Calculations!G199</f>
        <v>0</v>
      </c>
      <c r="H36" s="66" t="str">
        <f>Calculations!H199</f>
        <v/>
      </c>
      <c r="I36" s="197" t="str">
        <f>Calculations!I199</f>
        <v/>
      </c>
    </row>
    <row r="37" spans="1:9">
      <c r="A37" s="164" t="str">
        <f>Calculations!A200</f>
        <v>Surveyor</v>
      </c>
      <c r="B37" s="66">
        <f>Calculations!B200</f>
        <v>0</v>
      </c>
      <c r="C37" s="66">
        <f>Calculations!C200</f>
        <v>0</v>
      </c>
      <c r="D37" s="66">
        <f>Calculations!D200</f>
        <v>0</v>
      </c>
      <c r="E37" s="66">
        <f>Calculations!E200</f>
        <v>0</v>
      </c>
      <c r="F37" s="8">
        <f>Calculations!F200</f>
        <v>0</v>
      </c>
      <c r="G37" s="66">
        <f>Calculations!G200</f>
        <v>0</v>
      </c>
      <c r="H37" s="66" t="str">
        <f>Calculations!H200</f>
        <v/>
      </c>
      <c r="I37" s="197" t="str">
        <f>Calculations!I200</f>
        <v/>
      </c>
    </row>
    <row r="38" spans="1:9">
      <c r="A38" s="164" t="str">
        <f>Calculations!A201</f>
        <v>Attorney, Real Estate</v>
      </c>
      <c r="B38" s="66">
        <f>Calculations!B201</f>
        <v>0</v>
      </c>
      <c r="C38" s="66">
        <f>Calculations!C201</f>
        <v>0</v>
      </c>
      <c r="D38" s="66">
        <f>Calculations!D201</f>
        <v>0</v>
      </c>
      <c r="E38" s="66">
        <f>Calculations!E201</f>
        <v>0</v>
      </c>
      <c r="F38" s="8">
        <f>Calculations!F201</f>
        <v>0</v>
      </c>
      <c r="G38" s="66">
        <f>Calculations!G201</f>
        <v>0</v>
      </c>
      <c r="H38" s="66" t="str">
        <f>Calculations!H201</f>
        <v/>
      </c>
      <c r="I38" s="197" t="str">
        <f>Calculations!I201</f>
        <v/>
      </c>
    </row>
    <row r="39" spans="1:9">
      <c r="A39" s="164" t="str">
        <f>Calculations!A202</f>
        <v>Green Consultant</v>
      </c>
      <c r="B39" s="66">
        <f>Calculations!B202</f>
        <v>0</v>
      </c>
      <c r="C39" s="66">
        <f>Calculations!C202</f>
        <v>0</v>
      </c>
      <c r="D39" s="66">
        <f>Calculations!D202</f>
        <v>0</v>
      </c>
      <c r="E39" s="66">
        <f>Calculations!E202</f>
        <v>0</v>
      </c>
      <c r="F39" s="8">
        <f>Calculations!F202</f>
        <v>0</v>
      </c>
      <c r="G39" s="66">
        <f>Calculations!G202</f>
        <v>0</v>
      </c>
      <c r="H39" s="66" t="str">
        <f>Calculations!H202</f>
        <v/>
      </c>
      <c r="I39" s="197" t="str">
        <f>Calculations!I202</f>
        <v/>
      </c>
    </row>
    <row r="40" spans="1:9">
      <c r="A40" s="164" t="str">
        <f>Calculations!A203</f>
        <v>Green Charrette</v>
      </c>
      <c r="B40" s="66">
        <f>Calculations!B203</f>
        <v>0</v>
      </c>
      <c r="C40" s="66">
        <f>Calculations!C203</f>
        <v>0</v>
      </c>
      <c r="D40" s="66">
        <f>Calculations!D203</f>
        <v>0</v>
      </c>
      <c r="E40" s="66">
        <f>Calculations!E203</f>
        <v>0</v>
      </c>
      <c r="F40" s="8">
        <f>Calculations!F203</f>
        <v>0</v>
      </c>
      <c r="G40" s="66">
        <f>Calculations!G203</f>
        <v>0</v>
      </c>
      <c r="H40" s="66" t="str">
        <f>Calculations!H203</f>
        <v/>
      </c>
      <c r="I40" s="197" t="str">
        <f>Calculations!I203</f>
        <v/>
      </c>
    </row>
    <row r="41" spans="1:9">
      <c r="A41" s="164" t="str">
        <f>Calculations!A204</f>
        <v>Construction Accounting</v>
      </c>
      <c r="B41" s="66">
        <f>Calculations!B204</f>
        <v>0</v>
      </c>
      <c r="C41" s="66">
        <f>Calculations!C204</f>
        <v>0</v>
      </c>
      <c r="D41" s="66">
        <f>Calculations!D204</f>
        <v>0</v>
      </c>
      <c r="E41" s="66">
        <f>Calculations!E204</f>
        <v>0</v>
      </c>
      <c r="F41" s="8">
        <f>Calculations!F204</f>
        <v>0</v>
      </c>
      <c r="G41" s="66">
        <f>Calculations!G204</f>
        <v>0</v>
      </c>
      <c r="H41" s="66" t="str">
        <f>Calculations!H204</f>
        <v/>
      </c>
      <c r="I41" s="197" t="str">
        <f>Calculations!I204</f>
        <v/>
      </c>
    </row>
    <row r="42" spans="1:9">
      <c r="A42" s="164" t="str">
        <f>Calculations!A205</f>
        <v>Other (Specify)</v>
      </c>
      <c r="B42" s="66">
        <f>Calculations!B205</f>
        <v>0</v>
      </c>
      <c r="C42" s="66">
        <f>Calculations!C205</f>
        <v>0</v>
      </c>
      <c r="D42" s="66">
        <f>Calculations!D205</f>
        <v>0</v>
      </c>
      <c r="E42" s="66">
        <f>Calculations!E205</f>
        <v>0</v>
      </c>
      <c r="F42" s="8">
        <f>Calculations!F205</f>
        <v>0</v>
      </c>
      <c r="G42" s="66">
        <f>Calculations!G205</f>
        <v>0</v>
      </c>
      <c r="H42" s="66" t="str">
        <f>Calculations!H205</f>
        <v/>
      </c>
      <c r="I42" s="197" t="str">
        <f>Calculations!I205</f>
        <v/>
      </c>
    </row>
    <row r="43" spans="1:9">
      <c r="A43" s="164" t="str">
        <f>Calculations!A206</f>
        <v>Other (Specify)</v>
      </c>
      <c r="B43" s="66">
        <f>Calculations!B206</f>
        <v>0</v>
      </c>
      <c r="C43" s="66">
        <f>Calculations!C206</f>
        <v>0</v>
      </c>
      <c r="D43" s="66">
        <f>Calculations!D206</f>
        <v>0</v>
      </c>
      <c r="E43" s="66">
        <f>Calculations!E206</f>
        <v>0</v>
      </c>
      <c r="F43" s="8">
        <f>Calculations!F206</f>
        <v>0</v>
      </c>
      <c r="G43" s="66">
        <f>Calculations!G206</f>
        <v>0</v>
      </c>
      <c r="H43" s="66" t="str">
        <f>Calculations!H206</f>
        <v/>
      </c>
      <c r="I43" s="197" t="str">
        <f>Calculations!I206</f>
        <v/>
      </c>
    </row>
    <row r="44" spans="1:9">
      <c r="A44" s="164" t="str">
        <f>Calculations!A207</f>
        <v>Other (Specify)</v>
      </c>
      <c r="B44" s="66">
        <f>Calculations!B207</f>
        <v>0</v>
      </c>
      <c r="C44" s="66">
        <f>Calculations!C207</f>
        <v>0</v>
      </c>
      <c r="D44" s="66">
        <f>Calculations!D207</f>
        <v>0</v>
      </c>
      <c r="E44" s="66">
        <f>Calculations!E207</f>
        <v>0</v>
      </c>
      <c r="F44" s="8">
        <f>Calculations!F207</f>
        <v>0</v>
      </c>
      <c r="G44" s="66">
        <f>Calculations!G207</f>
        <v>0</v>
      </c>
      <c r="H44" s="66" t="str">
        <f>Calculations!H207</f>
        <v/>
      </c>
      <c r="I44" s="197" t="str">
        <f>Calculations!I207</f>
        <v/>
      </c>
    </row>
    <row r="45" spans="1:9">
      <c r="A45" s="164"/>
      <c r="B45" s="199">
        <f>Calculations!B208</f>
        <v>0</v>
      </c>
      <c r="C45" s="199">
        <f>Calculations!C208</f>
        <v>0</v>
      </c>
      <c r="D45" s="199">
        <f>Calculations!D208</f>
        <v>0</v>
      </c>
      <c r="E45" s="199">
        <f>Calculations!E208</f>
        <v>0</v>
      </c>
      <c r="F45" s="199"/>
      <c r="G45" s="199">
        <f>Calculations!G208</f>
        <v>0</v>
      </c>
      <c r="H45" s="199" t="str">
        <f>Calculations!H208</f>
        <v/>
      </c>
      <c r="I45" s="251" t="str">
        <f>Calculations!I208</f>
        <v/>
      </c>
    </row>
    <row r="46" spans="1:9">
      <c r="A46" s="101" t="str">
        <f>Calculations!A209</f>
        <v>Construction Interim Costs</v>
      </c>
      <c r="B46" s="101"/>
      <c r="C46" s="101"/>
      <c r="D46" s="101"/>
      <c r="E46" s="101"/>
      <c r="F46" s="101"/>
      <c r="G46" s="101"/>
      <c r="H46" s="101"/>
      <c r="I46" s="101"/>
    </row>
    <row r="47" spans="1:9">
      <c r="A47" s="164" t="str">
        <f>Calculations!A210</f>
        <v>Hazard &amp; Liability Insurance</v>
      </c>
      <c r="B47" s="66">
        <f>Calculations!B210</f>
        <v>0</v>
      </c>
      <c r="C47" s="66">
        <f>Calculations!C210</f>
        <v>0</v>
      </c>
      <c r="D47" s="66">
        <f>Calculations!D210</f>
        <v>0</v>
      </c>
      <c r="E47" s="66">
        <f>Calculations!E210</f>
        <v>0</v>
      </c>
      <c r="F47" s="8">
        <f>Calculations!F210</f>
        <v>0</v>
      </c>
      <c r="G47" s="66">
        <f>Calculations!G210</f>
        <v>0</v>
      </c>
      <c r="H47" s="66" t="str">
        <f>Calculations!H210</f>
        <v/>
      </c>
      <c r="I47" s="197" t="str">
        <f>Calculations!I210</f>
        <v/>
      </c>
    </row>
    <row r="48" spans="1:9">
      <c r="A48" s="164" t="str">
        <f>Calculations!A211</f>
        <v>Builder's Risk Insurance</v>
      </c>
      <c r="B48" s="66">
        <f>Calculations!B211</f>
        <v>0</v>
      </c>
      <c r="C48" s="66">
        <f>Calculations!C211</f>
        <v>0</v>
      </c>
      <c r="D48" s="66">
        <f>Calculations!D211</f>
        <v>0</v>
      </c>
      <c r="E48" s="66">
        <f>Calculations!E211</f>
        <v>0</v>
      </c>
      <c r="F48" s="8">
        <f>Calculations!F211</f>
        <v>0</v>
      </c>
      <c r="G48" s="66">
        <f>Calculations!G211</f>
        <v>0</v>
      </c>
      <c r="H48" s="66" t="str">
        <f>Calculations!H211</f>
        <v/>
      </c>
      <c r="I48" s="197" t="str">
        <f>Calculations!I211</f>
        <v/>
      </c>
    </row>
    <row r="49" spans="1:9">
      <c r="A49" s="164" t="str">
        <f>Calculations!A212</f>
        <v>Perform. &amp; Pymt Bonds</v>
      </c>
      <c r="B49" s="66">
        <f>Calculations!B212</f>
        <v>0</v>
      </c>
      <c r="C49" s="66">
        <f>Calculations!C212</f>
        <v>0</v>
      </c>
      <c r="D49" s="66">
        <f>Calculations!D212</f>
        <v>0</v>
      </c>
      <c r="E49" s="66">
        <f>Calculations!E212</f>
        <v>0</v>
      </c>
      <c r="F49" s="8">
        <f>Calculations!F212</f>
        <v>0</v>
      </c>
      <c r="G49" s="66">
        <f>Calculations!G212</f>
        <v>0</v>
      </c>
      <c r="H49" s="66" t="str">
        <f>Calculations!H212</f>
        <v/>
      </c>
      <c r="I49" s="197" t="str">
        <f>Calculations!I212</f>
        <v/>
      </c>
    </row>
    <row r="50" spans="1:9">
      <c r="A50" s="164" t="str">
        <f>Calculations!A213</f>
        <v>Construction Interest</v>
      </c>
      <c r="B50" s="66">
        <f>Calculations!B213</f>
        <v>0</v>
      </c>
      <c r="C50" s="66">
        <f>Calculations!C213</f>
        <v>0</v>
      </c>
      <c r="D50" s="66">
        <f>Calculations!D213</f>
        <v>0</v>
      </c>
      <c r="E50" s="66">
        <f>Calculations!E213</f>
        <v>0</v>
      </c>
      <c r="F50" s="8">
        <f>Calculations!F213</f>
        <v>0</v>
      </c>
      <c r="G50" s="66">
        <f>Calculations!G213</f>
        <v>0</v>
      </c>
      <c r="H50" s="66" t="str">
        <f>Calculations!H213</f>
        <v/>
      </c>
      <c r="I50" s="197" t="str">
        <f>Calculations!I213</f>
        <v/>
      </c>
    </row>
    <row r="51" spans="1:9">
      <c r="A51" s="164" t="str">
        <f>Calculations!A214</f>
        <v>Constr. Origination Fees</v>
      </c>
      <c r="B51" s="66">
        <f>Calculations!B214</f>
        <v>0</v>
      </c>
      <c r="C51" s="66">
        <f>Calculations!C214</f>
        <v>0</v>
      </c>
      <c r="D51" s="66">
        <f>Calculations!D214</f>
        <v>0</v>
      </c>
      <c r="E51" s="66">
        <f>Calculations!E214</f>
        <v>0</v>
      </c>
      <c r="F51" s="8">
        <f>Calculations!F214</f>
        <v>0</v>
      </c>
      <c r="G51" s="66">
        <f>Calculations!G214</f>
        <v>0</v>
      </c>
      <c r="H51" s="66" t="str">
        <f>Calculations!H214</f>
        <v/>
      </c>
      <c r="I51" s="197" t="str">
        <f>Calculations!I214</f>
        <v/>
      </c>
    </row>
    <row r="52" spans="1:9">
      <c r="A52" s="164" t="str">
        <f>Calculations!A215</f>
        <v>Tap Fees (Water/Sewer)</v>
      </c>
      <c r="B52" s="66">
        <f>Calculations!B215</f>
        <v>0</v>
      </c>
      <c r="C52" s="66">
        <f>Calculations!C215</f>
        <v>0</v>
      </c>
      <c r="D52" s="66">
        <f>Calculations!D215</f>
        <v>0</v>
      </c>
      <c r="E52" s="66">
        <f>Calculations!E215</f>
        <v>0</v>
      </c>
      <c r="F52" s="8">
        <f>Calculations!F215</f>
        <v>0</v>
      </c>
      <c r="G52" s="66">
        <f>Calculations!G215</f>
        <v>0</v>
      </c>
      <c r="H52" s="66" t="str">
        <f>Calculations!H215</f>
        <v/>
      </c>
      <c r="I52" s="197" t="str">
        <f>Calculations!I215</f>
        <v/>
      </c>
    </row>
    <row r="53" spans="1:9">
      <c r="A53" s="164" t="str">
        <f>Calculations!A216</f>
        <v>Impact fees</v>
      </c>
      <c r="B53" s="66">
        <f>Calculations!B216</f>
        <v>0</v>
      </c>
      <c r="C53" s="66">
        <f>Calculations!C216</f>
        <v>0</v>
      </c>
      <c r="D53" s="66">
        <f>Calculations!D216</f>
        <v>0</v>
      </c>
      <c r="E53" s="66">
        <f>Calculations!E216</f>
        <v>0</v>
      </c>
      <c r="F53" s="8">
        <f>Calculations!F216</f>
        <v>0</v>
      </c>
      <c r="G53" s="66">
        <f>Calculations!G216</f>
        <v>0</v>
      </c>
      <c r="H53" s="66" t="str">
        <f>Calculations!H216</f>
        <v/>
      </c>
      <c r="I53" s="197" t="str">
        <f>Calculations!I216</f>
        <v/>
      </c>
    </row>
    <row r="54" spans="1:9">
      <c r="A54" s="164" t="str">
        <f>Calculations!A217</f>
        <v>Materials Testing</v>
      </c>
      <c r="B54" s="66">
        <f>Calculations!B217</f>
        <v>0</v>
      </c>
      <c r="C54" s="66">
        <f>Calculations!C217</f>
        <v>0</v>
      </c>
      <c r="D54" s="66">
        <f>Calculations!D217</f>
        <v>0</v>
      </c>
      <c r="E54" s="66">
        <f>Calculations!E217</f>
        <v>0</v>
      </c>
      <c r="F54" s="8">
        <f>Calculations!F217</f>
        <v>0</v>
      </c>
      <c r="G54" s="66">
        <f>Calculations!G217</f>
        <v>0</v>
      </c>
      <c r="H54" s="66" t="str">
        <f>Calculations!H217</f>
        <v/>
      </c>
      <c r="I54" s="197" t="str">
        <f>Calculations!I217</f>
        <v/>
      </c>
    </row>
    <row r="55" spans="1:9">
      <c r="A55" s="164" t="str">
        <f>Calculations!A218</f>
        <v>Power and Telecom Provider fees</v>
      </c>
      <c r="B55" s="66">
        <f>Calculations!B218</f>
        <v>0</v>
      </c>
      <c r="C55" s="66">
        <f>Calculations!C218</f>
        <v>0</v>
      </c>
      <c r="D55" s="66">
        <f>Calculations!D218</f>
        <v>0</v>
      </c>
      <c r="E55" s="66">
        <f>Calculations!E218</f>
        <v>0</v>
      </c>
      <c r="F55" s="8">
        <f>Calculations!F218</f>
        <v>0</v>
      </c>
      <c r="G55" s="66">
        <f>Calculations!G218</f>
        <v>0</v>
      </c>
      <c r="H55" s="66" t="str">
        <f>Calculations!H218</f>
        <v/>
      </c>
      <c r="I55" s="197" t="str">
        <f>Calculations!I218</f>
        <v/>
      </c>
    </row>
    <row r="56" spans="1:9">
      <c r="A56" s="164" t="str">
        <f>Calculations!A219</f>
        <v>3rd Party/Bank Inspections/Admin</v>
      </c>
      <c r="B56" s="66">
        <f>Calculations!B219</f>
        <v>0</v>
      </c>
      <c r="C56" s="66">
        <f>Calculations!C219</f>
        <v>0</v>
      </c>
      <c r="D56" s="66">
        <f>Calculations!D219</f>
        <v>0</v>
      </c>
      <c r="E56" s="66">
        <f>Calculations!E219</f>
        <v>0</v>
      </c>
      <c r="F56" s="8">
        <f>Calculations!F219</f>
        <v>0</v>
      </c>
      <c r="G56" s="66">
        <f>Calculations!G219</f>
        <v>0</v>
      </c>
      <c r="H56" s="66" t="str">
        <f>Calculations!H219</f>
        <v/>
      </c>
      <c r="I56" s="197" t="str">
        <f>Calculations!I219</f>
        <v/>
      </c>
    </row>
    <row r="57" spans="1:9">
      <c r="A57" s="164" t="str">
        <f>Calculations!A220</f>
        <v>Title &amp; Recording</v>
      </c>
      <c r="B57" s="66">
        <f>Calculations!B220</f>
        <v>0</v>
      </c>
      <c r="C57" s="66">
        <f>Calculations!C220</f>
        <v>0</v>
      </c>
      <c r="D57" s="66">
        <f>Calculations!D220</f>
        <v>0</v>
      </c>
      <c r="E57" s="66">
        <f>Calculations!E220</f>
        <v>0</v>
      </c>
      <c r="F57" s="8">
        <f>Calculations!F220</f>
        <v>0</v>
      </c>
      <c r="G57" s="66">
        <f>Calculations!G220</f>
        <v>0</v>
      </c>
      <c r="H57" s="66" t="str">
        <f>Calculations!H220</f>
        <v/>
      </c>
      <c r="I57" s="197" t="str">
        <f>Calculations!I220</f>
        <v/>
      </c>
    </row>
    <row r="58" spans="1:9">
      <c r="A58" s="164" t="str">
        <f>Calculations!A221</f>
        <v>Construction Lender Legal Fees</v>
      </c>
      <c r="B58" s="66">
        <f>Calculations!B221</f>
        <v>0</v>
      </c>
      <c r="C58" s="66">
        <f>Calculations!C221</f>
        <v>0</v>
      </c>
      <c r="D58" s="66">
        <f>Calculations!D221</f>
        <v>0</v>
      </c>
      <c r="E58" s="66">
        <f>Calculations!E221</f>
        <v>0</v>
      </c>
      <c r="F58" s="8">
        <f>Calculations!F221</f>
        <v>0</v>
      </c>
      <c r="G58" s="66">
        <f>Calculations!G221</f>
        <v>0</v>
      </c>
      <c r="H58" s="66" t="str">
        <f>Calculations!H221</f>
        <v/>
      </c>
      <c r="I58" s="197" t="str">
        <f>Calculations!I221</f>
        <v/>
      </c>
    </row>
    <row r="59" spans="1:9">
      <c r="A59" s="164" t="str">
        <f>Calculations!A222</f>
        <v>Prop. Taxes During Construction</v>
      </c>
      <c r="B59" s="66">
        <f>Calculations!B222</f>
        <v>0</v>
      </c>
      <c r="C59" s="66">
        <f>Calculations!C222</f>
        <v>0</v>
      </c>
      <c r="D59" s="66">
        <f>Calculations!D222</f>
        <v>0</v>
      </c>
      <c r="E59" s="66">
        <f>Calculations!E222</f>
        <v>0</v>
      </c>
      <c r="F59" s="8">
        <f>Calculations!F222</f>
        <v>0</v>
      </c>
      <c r="G59" s="66">
        <f>Calculations!G222</f>
        <v>0</v>
      </c>
      <c r="H59" s="66" t="str">
        <f>Calculations!H222</f>
        <v/>
      </c>
      <c r="I59" s="197" t="str">
        <f>Calculations!I222</f>
        <v/>
      </c>
    </row>
    <row r="60" spans="1:9">
      <c r="A60" s="164" t="str">
        <f>Calculations!A223</f>
        <v>Bridge Loan</v>
      </c>
      <c r="B60" s="66">
        <f>Calculations!B223</f>
        <v>0</v>
      </c>
      <c r="C60" s="66">
        <f>Calculations!C223</f>
        <v>0</v>
      </c>
      <c r="D60" s="66">
        <f>Calculations!D223</f>
        <v>0</v>
      </c>
      <c r="E60" s="66">
        <f>Calculations!E223</f>
        <v>0</v>
      </c>
      <c r="F60" s="8">
        <f>Calculations!F223</f>
        <v>0</v>
      </c>
      <c r="G60" s="66">
        <f>Calculations!G223</f>
        <v>0</v>
      </c>
      <c r="H60" s="66" t="str">
        <f>Calculations!H223</f>
        <v/>
      </c>
      <c r="I60" s="197" t="str">
        <f>Calculations!I223</f>
        <v/>
      </c>
    </row>
    <row r="61" spans="1:9">
      <c r="A61" s="164" t="str">
        <f>Calculations!A224</f>
        <v>Other (Specify)</v>
      </c>
      <c r="B61" s="66">
        <f>Calculations!B224</f>
        <v>0</v>
      </c>
      <c r="C61" s="66">
        <f>Calculations!C224</f>
        <v>0</v>
      </c>
      <c r="D61" s="66">
        <f>Calculations!D224</f>
        <v>0</v>
      </c>
      <c r="E61" s="66">
        <f>Calculations!E224</f>
        <v>0</v>
      </c>
      <c r="F61" s="8">
        <f>Calculations!F224</f>
        <v>0</v>
      </c>
      <c r="G61" s="66">
        <f>Calculations!G224</f>
        <v>0</v>
      </c>
      <c r="H61" s="66" t="str">
        <f>Calculations!H224</f>
        <v/>
      </c>
      <c r="I61" s="197" t="str">
        <f>Calculations!I224</f>
        <v/>
      </c>
    </row>
    <row r="62" spans="1:9">
      <c r="A62" s="164" t="str">
        <f>Calculations!A225</f>
        <v>Other (Specify)</v>
      </c>
      <c r="B62" s="66">
        <f>Calculations!B225</f>
        <v>0</v>
      </c>
      <c r="C62" s="66">
        <f>Calculations!C225</f>
        <v>0</v>
      </c>
      <c r="D62" s="66">
        <f>Calculations!D225</f>
        <v>0</v>
      </c>
      <c r="E62" s="66">
        <f>Calculations!E225</f>
        <v>0</v>
      </c>
      <c r="F62" s="8">
        <f>Calculations!F225</f>
        <v>0</v>
      </c>
      <c r="G62" s="66">
        <f>Calculations!G225</f>
        <v>0</v>
      </c>
      <c r="H62" s="66" t="str">
        <f>Calculations!H225</f>
        <v/>
      </c>
      <c r="I62" s="197" t="str">
        <f>Calculations!I225</f>
        <v/>
      </c>
    </row>
    <row r="63" spans="1:9">
      <c r="A63" s="164" t="str">
        <f>Calculations!A226</f>
        <v>Other (Specify)</v>
      </c>
      <c r="B63" s="66">
        <f>Calculations!B226</f>
        <v>0</v>
      </c>
      <c r="C63" s="66">
        <f>Calculations!C226</f>
        <v>0</v>
      </c>
      <c r="D63" s="66">
        <f>Calculations!D226</f>
        <v>0</v>
      </c>
      <c r="E63" s="66">
        <f>Calculations!E226</f>
        <v>0</v>
      </c>
      <c r="F63" s="8">
        <f>Calculations!F226</f>
        <v>0</v>
      </c>
      <c r="G63" s="66">
        <f>Calculations!G226</f>
        <v>0</v>
      </c>
      <c r="H63" s="66" t="str">
        <f>Calculations!H226</f>
        <v/>
      </c>
      <c r="I63" s="197" t="str">
        <f>Calculations!I226</f>
        <v/>
      </c>
    </row>
    <row r="64" spans="1:9">
      <c r="A64" s="164"/>
      <c r="B64" s="199">
        <f>Calculations!B227</f>
        <v>0</v>
      </c>
      <c r="C64" s="199">
        <f>Calculations!C227</f>
        <v>0</v>
      </c>
      <c r="D64" s="199">
        <f>Calculations!D227</f>
        <v>0</v>
      </c>
      <c r="E64" s="199">
        <f>Calculations!E227</f>
        <v>0</v>
      </c>
      <c r="F64" s="199"/>
      <c r="G64" s="199">
        <f>Calculations!G227</f>
        <v>0</v>
      </c>
      <c r="H64" s="199" t="str">
        <f>Calculations!H227</f>
        <v/>
      </c>
      <c r="I64" s="251" t="str">
        <f>Calculations!I227</f>
        <v/>
      </c>
    </row>
    <row r="65" spans="1:9">
      <c r="A65" s="101" t="str">
        <f>Calculations!A228</f>
        <v>Permanent Financing</v>
      </c>
      <c r="B65" s="101"/>
      <c r="C65" s="101"/>
      <c r="D65" s="101"/>
      <c r="E65" s="101"/>
      <c r="F65" s="101"/>
      <c r="G65" s="101"/>
      <c r="H65" s="101"/>
      <c r="I65" s="272" t="str">
        <f>Calculations!I228</f>
        <v/>
      </c>
    </row>
    <row r="66" spans="1:9">
      <c r="A66" s="164" t="str">
        <f>Calculations!A229</f>
        <v>Bond Premium</v>
      </c>
      <c r="B66" s="66">
        <f>Calculations!B229</f>
        <v>0</v>
      </c>
      <c r="C66">
        <f>Calculations!C229</f>
        <v>0</v>
      </c>
      <c r="D66">
        <f>Calculations!D229</f>
        <v>0</v>
      </c>
      <c r="E66" s="66">
        <f>Calculations!E229</f>
        <v>0</v>
      </c>
      <c r="F66" s="8">
        <f>Calculations!F229</f>
        <v>0</v>
      </c>
      <c r="G66" s="66">
        <f>Calculations!G229</f>
        <v>0</v>
      </c>
      <c r="H66" s="66" t="str">
        <f>Calculations!H229</f>
        <v/>
      </c>
      <c r="I66" s="197" t="str">
        <f>Calculations!I229</f>
        <v/>
      </c>
    </row>
    <row r="67" spans="1:9">
      <c r="A67" s="164" t="str">
        <f>Calculations!A230</f>
        <v>Bond Issue 30-day lag reserve</v>
      </c>
      <c r="B67" s="66">
        <f>Calculations!B230</f>
        <v>0</v>
      </c>
      <c r="C67">
        <f>Calculations!C230</f>
        <v>0</v>
      </c>
      <c r="D67">
        <f>Calculations!D230</f>
        <v>0</v>
      </c>
      <c r="E67" s="66">
        <f>Calculations!E230</f>
        <v>0</v>
      </c>
      <c r="F67" s="8">
        <f>Calculations!F230</f>
        <v>0</v>
      </c>
      <c r="G67" s="66">
        <f>Calculations!G230</f>
        <v>0</v>
      </c>
      <c r="H67" s="66" t="str">
        <f>Calculations!H230</f>
        <v/>
      </c>
      <c r="I67" s="197" t="str">
        <f>Calculations!I230</f>
        <v/>
      </c>
    </row>
    <row r="68" spans="1:9">
      <c r="A68" s="164" t="str">
        <f>Calculations!A231</f>
        <v>Bond Cost of Issuance</v>
      </c>
      <c r="B68" s="66">
        <f>Calculations!B231</f>
        <v>0</v>
      </c>
      <c r="C68">
        <f>Calculations!C231</f>
        <v>0</v>
      </c>
      <c r="D68">
        <f>Calculations!D231</f>
        <v>0</v>
      </c>
      <c r="E68" s="66">
        <f>Calculations!E231</f>
        <v>0</v>
      </c>
      <c r="F68" s="8">
        <f>Calculations!F231</f>
        <v>0</v>
      </c>
      <c r="G68" s="66">
        <f>Calculations!G231</f>
        <v>0</v>
      </c>
      <c r="H68" s="66" t="str">
        <f>Calculations!H231</f>
        <v/>
      </c>
      <c r="I68" s="197" t="str">
        <f>Calculations!I231</f>
        <v/>
      </c>
    </row>
    <row r="69" spans="1:9">
      <c r="A69" s="164" t="str">
        <f>Calculations!A232</f>
        <v>Discount Points</v>
      </c>
      <c r="B69" s="66">
        <f>Calculations!B232</f>
        <v>0</v>
      </c>
      <c r="C69">
        <f>Calculations!C232</f>
        <v>0</v>
      </c>
      <c r="D69">
        <f>Calculations!D232</f>
        <v>0</v>
      </c>
      <c r="E69" s="66">
        <f>Calculations!E232</f>
        <v>0</v>
      </c>
      <c r="F69" s="8">
        <f>Calculations!F232</f>
        <v>0</v>
      </c>
      <c r="G69" s="66">
        <f>Calculations!G232</f>
        <v>0</v>
      </c>
      <c r="H69" s="66" t="str">
        <f>Calculations!H232</f>
        <v/>
      </c>
      <c r="I69" s="197" t="str">
        <f>Calculations!I232</f>
        <v/>
      </c>
    </row>
    <row r="70" spans="1:9">
      <c r="A70" s="164" t="str">
        <f>Calculations!A233</f>
        <v>Perm Loan Origination</v>
      </c>
      <c r="B70" s="66">
        <f>Calculations!B233</f>
        <v>0</v>
      </c>
      <c r="C70">
        <f>Calculations!C233</f>
        <v>0</v>
      </c>
      <c r="D70">
        <f>Calculations!D233</f>
        <v>0</v>
      </c>
      <c r="E70" s="66">
        <f>Calculations!E233</f>
        <v>0</v>
      </c>
      <c r="F70" s="8">
        <f>Calculations!F233</f>
        <v>0</v>
      </c>
      <c r="G70" s="66">
        <f>Calculations!G233</f>
        <v>0</v>
      </c>
      <c r="H70" s="66" t="str">
        <f>Calculations!H233</f>
        <v/>
      </c>
      <c r="I70" s="197" t="str">
        <f>Calculations!I233</f>
        <v/>
      </c>
    </row>
    <row r="71" spans="1:9">
      <c r="A71" s="164" t="str">
        <f>Calculations!A234</f>
        <v>Credit Enhancement</v>
      </c>
      <c r="B71" s="66">
        <f>Calculations!B234</f>
        <v>0</v>
      </c>
      <c r="C71">
        <f>Calculations!C234</f>
        <v>0</v>
      </c>
      <c r="D71">
        <f>Calculations!D234</f>
        <v>0</v>
      </c>
      <c r="E71" s="66">
        <f>Calculations!E234</f>
        <v>0</v>
      </c>
      <c r="F71" s="8">
        <f>Calculations!F234</f>
        <v>0</v>
      </c>
      <c r="G71" s="66">
        <f>Calculations!G234</f>
        <v>0</v>
      </c>
      <c r="H71" s="66" t="str">
        <f>Calculations!H234</f>
        <v/>
      </c>
      <c r="I71" s="197" t="str">
        <f>Calculations!I234</f>
        <v/>
      </c>
    </row>
    <row r="72" spans="1:9">
      <c r="A72" s="164" t="str">
        <f>Calculations!A235</f>
        <v>Title &amp; Recording</v>
      </c>
      <c r="B72" s="66">
        <f>Calculations!B235</f>
        <v>0</v>
      </c>
      <c r="C72">
        <f>Calculations!C235</f>
        <v>0</v>
      </c>
      <c r="D72">
        <f>Calculations!D235</f>
        <v>0</v>
      </c>
      <c r="E72" s="66">
        <f>Calculations!E235</f>
        <v>0</v>
      </c>
      <c r="F72" s="8">
        <f>Calculations!F235</f>
        <v>0</v>
      </c>
      <c r="G72" s="66">
        <f>Calculations!G235</f>
        <v>0</v>
      </c>
      <c r="H72" s="66" t="str">
        <f>Calculations!H235</f>
        <v/>
      </c>
      <c r="I72" s="197" t="str">
        <f>Calculations!I235</f>
        <v/>
      </c>
    </row>
    <row r="73" spans="1:9">
      <c r="A73" s="164" t="str">
        <f>Calculations!A236</f>
        <v>Legal Fees</v>
      </c>
      <c r="B73" s="66">
        <f>Calculations!B236</f>
        <v>0</v>
      </c>
      <c r="C73">
        <f>Calculations!C236</f>
        <v>0</v>
      </c>
      <c r="D73">
        <f>Calculations!D236</f>
        <v>0</v>
      </c>
      <c r="E73" s="66">
        <f>Calculations!E236</f>
        <v>0</v>
      </c>
      <c r="F73" s="8">
        <f>Calculations!F236</f>
        <v>0</v>
      </c>
      <c r="G73" s="66">
        <f>Calculations!G236</f>
        <v>0</v>
      </c>
      <c r="H73" s="66" t="str">
        <f>Calculations!H236</f>
        <v/>
      </c>
      <c r="I73" s="197" t="str">
        <f>Calculations!I236</f>
        <v/>
      </c>
    </row>
    <row r="74" spans="1:9">
      <c r="A74" s="164" t="str">
        <f>Calculations!A237</f>
        <v>Prepaid MIP</v>
      </c>
      <c r="B74" s="66">
        <f>Calculations!B237</f>
        <v>0</v>
      </c>
      <c r="C74">
        <f>Calculations!C237</f>
        <v>0</v>
      </c>
      <c r="D74">
        <f>Calculations!D237</f>
        <v>0</v>
      </c>
      <c r="E74" s="66">
        <f>Calculations!E237</f>
        <v>0</v>
      </c>
      <c r="F74" s="8">
        <f>Calculations!F237</f>
        <v>0</v>
      </c>
      <c r="G74" s="66">
        <f>Calculations!G237</f>
        <v>0</v>
      </c>
      <c r="H74" s="66" t="str">
        <f>Calculations!H237</f>
        <v/>
      </c>
      <c r="I74" s="197" t="str">
        <f>Calculations!I237</f>
        <v/>
      </c>
    </row>
    <row r="75" spans="1:9">
      <c r="A75" s="164" t="str">
        <f>Calculations!A238</f>
        <v>Forward Rate Lock</v>
      </c>
      <c r="B75" s="66">
        <f>Calculations!B238</f>
        <v>0</v>
      </c>
      <c r="C75">
        <f>Calculations!C238</f>
        <v>0</v>
      </c>
      <c r="D75">
        <f>Calculations!D238</f>
        <v>0</v>
      </c>
      <c r="E75" s="66">
        <f>Calculations!E238</f>
        <v>0</v>
      </c>
      <c r="F75" s="8">
        <f>Calculations!F238</f>
        <v>0</v>
      </c>
      <c r="G75" s="66">
        <f>Calculations!G238</f>
        <v>0</v>
      </c>
      <c r="H75" s="66" t="str">
        <f>Calculations!H238</f>
        <v/>
      </c>
      <c r="I75" s="197" t="str">
        <f>Calculations!I238</f>
        <v/>
      </c>
    </row>
    <row r="76" spans="1:9">
      <c r="A76" s="164" t="str">
        <f>Calculations!A239</f>
        <v>Conversion Fee</v>
      </c>
      <c r="B76" s="66">
        <f>Calculations!B239</f>
        <v>0</v>
      </c>
      <c r="C76">
        <f>Calculations!C239</f>
        <v>0</v>
      </c>
      <c r="D76">
        <f>Calculations!D239</f>
        <v>0</v>
      </c>
      <c r="E76" s="66">
        <f>Calculations!E239</f>
        <v>0</v>
      </c>
      <c r="F76" s="8">
        <f>Calculations!F239</f>
        <v>0</v>
      </c>
      <c r="G76" s="66">
        <f>Calculations!G239</f>
        <v>0</v>
      </c>
      <c r="H76" s="66" t="str">
        <f>Calculations!H239</f>
        <v/>
      </c>
      <c r="I76" s="197" t="str">
        <f>Calculations!I239</f>
        <v/>
      </c>
    </row>
    <row r="77" spans="1:9">
      <c r="A77" s="164" t="str">
        <f>Calculations!A240</f>
        <v>Other (Specify)</v>
      </c>
      <c r="B77" s="66">
        <f>Calculations!B240</f>
        <v>0</v>
      </c>
      <c r="C77">
        <f>Calculations!C240</f>
        <v>0</v>
      </c>
      <c r="D77">
        <f>Calculations!D240</f>
        <v>0</v>
      </c>
      <c r="E77" s="66">
        <f>Calculations!E240</f>
        <v>0</v>
      </c>
      <c r="F77" s="8">
        <f>Calculations!F240</f>
        <v>0</v>
      </c>
      <c r="G77" s="66">
        <f>Calculations!G240</f>
        <v>0</v>
      </c>
      <c r="H77" s="66" t="str">
        <f>Calculations!H240</f>
        <v/>
      </c>
      <c r="I77" s="197" t="str">
        <f>Calculations!I240</f>
        <v/>
      </c>
    </row>
    <row r="78" spans="1:9">
      <c r="A78" s="164" t="str">
        <f>Calculations!A241</f>
        <v>Other (Specify)</v>
      </c>
      <c r="B78" s="66">
        <f>Calculations!B241</f>
        <v>0</v>
      </c>
      <c r="C78">
        <f>Calculations!C241</f>
        <v>0</v>
      </c>
      <c r="D78">
        <f>Calculations!D241</f>
        <v>0</v>
      </c>
      <c r="E78" s="66">
        <f>Calculations!E241</f>
        <v>0</v>
      </c>
      <c r="F78" s="8">
        <f>Calculations!F241</f>
        <v>0</v>
      </c>
      <c r="G78" s="66">
        <f>Calculations!G241</f>
        <v>0</v>
      </c>
      <c r="H78" s="66" t="str">
        <f>Calculations!H241</f>
        <v/>
      </c>
      <c r="I78" s="197" t="str">
        <f>Calculations!I241</f>
        <v/>
      </c>
    </row>
    <row r="79" spans="1:9">
      <c r="A79" s="164" t="str">
        <f>Calculations!A242</f>
        <v>Other (Specify)</v>
      </c>
      <c r="B79" s="66">
        <f>Calculations!B242</f>
        <v>0</v>
      </c>
      <c r="C79">
        <f>Calculations!C242</f>
        <v>0</v>
      </c>
      <c r="D79">
        <f>Calculations!D242</f>
        <v>0</v>
      </c>
      <c r="E79" s="66">
        <f>Calculations!E242</f>
        <v>0</v>
      </c>
      <c r="F79" s="8">
        <f>Calculations!F242</f>
        <v>0</v>
      </c>
      <c r="G79" s="66">
        <f>Calculations!G242</f>
        <v>0</v>
      </c>
      <c r="H79" s="66" t="str">
        <f>Calculations!H242</f>
        <v/>
      </c>
      <c r="I79" s="197" t="str">
        <f>Calculations!I242</f>
        <v/>
      </c>
    </row>
    <row r="80" spans="1:9">
      <c r="A80" s="164"/>
      <c r="B80" s="199">
        <f>Calculations!B243</f>
        <v>0</v>
      </c>
      <c r="C80" s="199">
        <f>Calculations!C243</f>
        <v>0</v>
      </c>
      <c r="D80" s="199">
        <f>Calculations!D243</f>
        <v>0</v>
      </c>
      <c r="E80" s="199">
        <f>Calculations!E243</f>
        <v>0</v>
      </c>
      <c r="F80" s="199"/>
      <c r="G80" s="199">
        <f>Calculations!G243</f>
        <v>0</v>
      </c>
      <c r="H80" s="199" t="str">
        <f>Calculations!H243</f>
        <v/>
      </c>
      <c r="I80" s="251" t="str">
        <f>Calculations!I243</f>
        <v/>
      </c>
    </row>
    <row r="81" spans="1:9">
      <c r="A81" s="101" t="str">
        <f>Calculations!A244</f>
        <v>Soft Costs</v>
      </c>
      <c r="B81" s="101"/>
      <c r="C81" s="101"/>
      <c r="D81" s="101"/>
      <c r="E81" s="101"/>
      <c r="F81" s="101"/>
      <c r="G81" s="101"/>
      <c r="H81" s="101"/>
      <c r="I81" s="101"/>
    </row>
    <row r="82" spans="1:9">
      <c r="A82" s="164" t="str">
        <f>Calculations!A245</f>
        <v>Marketing/Leasing Costs</v>
      </c>
      <c r="B82" s="66">
        <f>Calculations!B245</f>
        <v>0</v>
      </c>
      <c r="C82" s="66">
        <f>Calculations!C245</f>
        <v>0</v>
      </c>
      <c r="D82" s="66">
        <f>Calculations!D245</f>
        <v>0</v>
      </c>
      <c r="E82" s="66">
        <f>Calculations!E245</f>
        <v>0</v>
      </c>
      <c r="F82" s="8">
        <f>Calculations!F245</f>
        <v>0</v>
      </c>
      <c r="G82" s="66">
        <f>Calculations!G245</f>
        <v>0</v>
      </c>
      <c r="H82" s="66" t="str">
        <f>Calculations!H245</f>
        <v/>
      </c>
      <c r="I82" s="197" t="str">
        <f>Calculations!I245</f>
        <v/>
      </c>
    </row>
    <row r="83" spans="1:9">
      <c r="A83" s="164" t="str">
        <f>Calculations!A246</f>
        <v>Cost Estimating/Capital Needs Assessment</v>
      </c>
      <c r="B83" s="66">
        <f>Calculations!B246</f>
        <v>0</v>
      </c>
      <c r="C83" s="66">
        <f>Calculations!C246</f>
        <v>0</v>
      </c>
      <c r="D83" s="66">
        <f>Calculations!D246</f>
        <v>0</v>
      </c>
      <c r="E83" s="66">
        <f>Calculations!E246</f>
        <v>0</v>
      </c>
      <c r="F83" s="8">
        <f>Calculations!F246</f>
        <v>0</v>
      </c>
      <c r="G83" s="66">
        <f>Calculations!G246</f>
        <v>0</v>
      </c>
      <c r="H83" s="66" t="str">
        <f>Calculations!H246</f>
        <v/>
      </c>
      <c r="I83" s="197" t="str">
        <f>Calculations!I246</f>
        <v/>
      </c>
    </row>
    <row r="84" spans="1:9">
      <c r="A84" s="164" t="str">
        <f>Calculations!A247</f>
        <v>Geotechnical/Soils Study</v>
      </c>
      <c r="B84" s="66">
        <f>Calculations!B247</f>
        <v>0</v>
      </c>
      <c r="C84" s="66">
        <f>Calculations!C247</f>
        <v>0</v>
      </c>
      <c r="D84" s="66">
        <f>Calculations!D247</f>
        <v>0</v>
      </c>
      <c r="E84" s="66">
        <f>Calculations!E247</f>
        <v>0</v>
      </c>
      <c r="F84" s="8">
        <f>Calculations!F247</f>
        <v>0</v>
      </c>
      <c r="G84" s="66">
        <f>Calculations!G247</f>
        <v>0</v>
      </c>
      <c r="H84" s="66" t="str">
        <f>Calculations!H247</f>
        <v/>
      </c>
      <c r="I84" s="197" t="str">
        <f>Calculations!I247</f>
        <v/>
      </c>
    </row>
    <row r="85" spans="1:9">
      <c r="A85" s="164" t="str">
        <f>Calculations!A248</f>
        <v>Appraisal</v>
      </c>
      <c r="B85" s="66">
        <f>Calculations!B248</f>
        <v>0</v>
      </c>
      <c r="C85" s="66">
        <f>Calculations!C248</f>
        <v>0</v>
      </c>
      <c r="D85" s="66">
        <f>Calculations!D248</f>
        <v>0</v>
      </c>
      <c r="E85" s="66">
        <f>Calculations!E248</f>
        <v>0</v>
      </c>
      <c r="F85" s="8">
        <f>Calculations!F248</f>
        <v>0</v>
      </c>
      <c r="G85" s="66">
        <f>Calculations!G248</f>
        <v>0</v>
      </c>
      <c r="H85" s="66" t="str">
        <f>Calculations!H248</f>
        <v/>
      </c>
      <c r="I85" s="197" t="str">
        <f>Calculations!I248</f>
        <v/>
      </c>
    </row>
    <row r="86" spans="1:9">
      <c r="A86" s="164" t="str">
        <f>Calculations!A249</f>
        <v>Market Study</v>
      </c>
      <c r="B86" s="66">
        <f>Calculations!B249</f>
        <v>0</v>
      </c>
      <c r="C86" s="66">
        <f>Calculations!C249</f>
        <v>0</v>
      </c>
      <c r="D86" s="66">
        <f>Calculations!D249</f>
        <v>0</v>
      </c>
      <c r="E86" s="66">
        <f>Calculations!E249</f>
        <v>0</v>
      </c>
      <c r="F86" s="8">
        <f>Calculations!F249</f>
        <v>0</v>
      </c>
      <c r="G86" s="66">
        <f>Calculations!G249</f>
        <v>0</v>
      </c>
      <c r="H86" s="66" t="str">
        <f>Calculations!H249</f>
        <v/>
      </c>
      <c r="I86" s="197" t="str">
        <f>Calculations!I249</f>
        <v/>
      </c>
    </row>
    <row r="87" spans="1:9">
      <c r="A87" s="164" t="str">
        <f>Calculations!A250</f>
        <v>Environmental Study (Phase 1, Phase 2, Lead, Asbestos, etc.)</v>
      </c>
      <c r="B87" s="66">
        <f>Calculations!B250</f>
        <v>0</v>
      </c>
      <c r="C87" s="66">
        <f>Calculations!C250</f>
        <v>0</v>
      </c>
      <c r="D87" s="66">
        <f>Calculations!D250</f>
        <v>0</v>
      </c>
      <c r="E87" s="66">
        <f>Calculations!E250</f>
        <v>0</v>
      </c>
      <c r="F87" s="8">
        <f>Calculations!F250</f>
        <v>0</v>
      </c>
      <c r="G87" s="66">
        <f>Calculations!G250</f>
        <v>0</v>
      </c>
      <c r="H87" s="66" t="str">
        <f>Calculations!H250</f>
        <v/>
      </c>
      <c r="I87" s="197" t="str">
        <f>Calculations!I250</f>
        <v/>
      </c>
    </row>
    <row r="88" spans="1:9">
      <c r="A88" s="164" t="str">
        <f>Calculations!A251</f>
        <v>Other Studies (traffic, wetlands, etc.)</v>
      </c>
      <c r="B88" s="66">
        <f>Calculations!B251</f>
        <v>0</v>
      </c>
      <c r="C88" s="66">
        <f>Calculations!C251</f>
        <v>0</v>
      </c>
      <c r="D88" s="66">
        <f>Calculations!D251</f>
        <v>0</v>
      </c>
      <c r="E88" s="66">
        <f>Calculations!E251</f>
        <v>0</v>
      </c>
      <c r="F88" s="8">
        <f>Calculations!F251</f>
        <v>0</v>
      </c>
      <c r="G88" s="66">
        <f>Calculations!G251</f>
        <v>0</v>
      </c>
      <c r="H88" s="66" t="str">
        <f>Calculations!H251</f>
        <v/>
      </c>
      <c r="I88" s="197" t="str">
        <f>Calculations!I251</f>
        <v/>
      </c>
    </row>
    <row r="89" spans="1:9">
      <c r="A89" s="164" t="str">
        <f>Calculations!A252</f>
        <v>Tax Credit Fees</v>
      </c>
      <c r="B89" s="66">
        <f>Calculations!B252</f>
        <v>0</v>
      </c>
      <c r="C89" s="66">
        <f>Calculations!C252</f>
        <v>0</v>
      </c>
      <c r="D89" s="66">
        <f>Calculations!D252</f>
        <v>0</v>
      </c>
      <c r="E89" s="66">
        <f>Calculations!E252</f>
        <v>0</v>
      </c>
      <c r="F89" s="8">
        <f>Calculations!F252</f>
        <v>0</v>
      </c>
      <c r="G89" s="66">
        <f>Calculations!G252</f>
        <v>0</v>
      </c>
      <c r="H89" s="66" t="str">
        <f>Calculations!H252</f>
        <v/>
      </c>
      <c r="I89" s="197" t="str">
        <f>Calculations!I252</f>
        <v/>
      </c>
    </row>
    <row r="90" spans="1:9">
      <c r="A90" s="164" t="str">
        <f>Calculations!A253</f>
        <v>Compliance Fees</v>
      </c>
      <c r="B90" s="66">
        <f>Calculations!B253</f>
        <v>0</v>
      </c>
      <c r="C90" s="66">
        <f>Calculations!C253</f>
        <v>0</v>
      </c>
      <c r="D90" s="66">
        <f>Calculations!D253</f>
        <v>0</v>
      </c>
      <c r="E90" s="66">
        <f>Calculations!E253</f>
        <v>0</v>
      </c>
      <c r="F90" s="8">
        <f>Calculations!F253</f>
        <v>0</v>
      </c>
      <c r="G90" s="66">
        <f>Calculations!G253</f>
        <v>0</v>
      </c>
      <c r="H90" s="66" t="str">
        <f>Calculations!H253</f>
        <v/>
      </c>
      <c r="I90" s="197" t="str">
        <f>Calculations!I253</f>
        <v/>
      </c>
    </row>
    <row r="91" spans="1:9">
      <c r="A91" s="164" t="str">
        <f>Calculations!A254</f>
        <v>Cost Certification</v>
      </c>
      <c r="B91" s="66">
        <f>Calculations!B254</f>
        <v>0</v>
      </c>
      <c r="C91" s="66">
        <f>Calculations!C254</f>
        <v>0</v>
      </c>
      <c r="D91" s="66">
        <f>Calculations!D254</f>
        <v>0</v>
      </c>
      <c r="E91" s="66">
        <f>Calculations!E254</f>
        <v>0</v>
      </c>
      <c r="F91" s="8">
        <f>Calculations!F254</f>
        <v>0</v>
      </c>
      <c r="G91" s="66">
        <f>Calculations!G254</f>
        <v>0</v>
      </c>
      <c r="H91" s="66" t="str">
        <f>Calculations!H254</f>
        <v/>
      </c>
      <c r="I91" s="197" t="str">
        <f>Calculations!I254</f>
        <v/>
      </c>
    </row>
    <row r="92" spans="1:9">
      <c r="A92" s="164" t="str">
        <f>Calculations!A255</f>
        <v>Green Certification Fees (LEED Certification, etc.)</v>
      </c>
      <c r="B92" s="66">
        <f>Calculations!B255</f>
        <v>0</v>
      </c>
      <c r="C92" s="66">
        <f>Calculations!C255</f>
        <v>0</v>
      </c>
      <c r="D92" s="66">
        <f>Calculations!D255</f>
        <v>0</v>
      </c>
      <c r="E92" s="66">
        <f>Calculations!E255</f>
        <v>0</v>
      </c>
      <c r="F92" s="8">
        <f>Calculations!F255</f>
        <v>0</v>
      </c>
      <c r="G92" s="66">
        <f>Calculations!G255</f>
        <v>0</v>
      </c>
      <c r="H92" s="66" t="str">
        <f>Calculations!H255</f>
        <v/>
      </c>
      <c r="I92" s="197" t="str">
        <f>Calculations!I255</f>
        <v/>
      </c>
    </row>
    <row r="93" spans="1:9">
      <c r="A93" s="164" t="str">
        <f>Calculations!A256</f>
        <v>Relocation - Temporary</v>
      </c>
      <c r="B93" s="66">
        <f>Calculations!B256</f>
        <v>0</v>
      </c>
      <c r="C93" s="66">
        <f>Calculations!C256</f>
        <v>0</v>
      </c>
      <c r="D93" s="66">
        <f>Calculations!D256</f>
        <v>0</v>
      </c>
      <c r="E93" s="66">
        <f>Calculations!E256</f>
        <v>0</v>
      </c>
      <c r="F93" s="8">
        <f>Calculations!F256</f>
        <v>0</v>
      </c>
      <c r="G93" s="66">
        <f>Calculations!G256</f>
        <v>0</v>
      </c>
      <c r="H93" s="66" t="str">
        <f>Calculations!H256</f>
        <v/>
      </c>
      <c r="I93" s="197" t="str">
        <f>Calculations!I256</f>
        <v/>
      </c>
    </row>
    <row r="94" spans="1:9">
      <c r="A94" s="164" t="str">
        <f>Calculations!A257</f>
        <v>Relocation - Permanent</v>
      </c>
      <c r="B94" s="66">
        <f>Calculations!B257</f>
        <v>0</v>
      </c>
      <c r="C94" s="66">
        <f>Calculations!C257</f>
        <v>0</v>
      </c>
      <c r="D94" s="66">
        <f>Calculations!D257</f>
        <v>0</v>
      </c>
      <c r="E94" s="66">
        <f>Calculations!E257</f>
        <v>0</v>
      </c>
      <c r="F94" s="8">
        <f>Calculations!F257</f>
        <v>0</v>
      </c>
      <c r="G94" s="66">
        <f>Calculations!G257</f>
        <v>0</v>
      </c>
      <c r="H94" s="66" t="str">
        <f>Calculations!H257</f>
        <v/>
      </c>
      <c r="I94" s="197" t="str">
        <f>Calculations!I257</f>
        <v/>
      </c>
    </row>
    <row r="95" spans="1:9">
      <c r="A95" s="164" t="str">
        <f>Calculations!A258</f>
        <v>Soft Cost Contingency</v>
      </c>
      <c r="B95" s="66">
        <f>Calculations!B258</f>
        <v>0</v>
      </c>
      <c r="C95" s="66">
        <f>Calculations!C258</f>
        <v>0</v>
      </c>
      <c r="D95" s="66">
        <f>Calculations!D258</f>
        <v>0</v>
      </c>
      <c r="E95" s="66">
        <f>Calculations!E258</f>
        <v>0</v>
      </c>
      <c r="F95" s="8">
        <f>Calculations!F258</f>
        <v>0</v>
      </c>
      <c r="G95" s="66">
        <f>Calculations!G258</f>
        <v>0</v>
      </c>
      <c r="H95" s="66" t="str">
        <f>Calculations!H258</f>
        <v/>
      </c>
      <c r="I95" s="197" t="str">
        <f>Calculations!I258</f>
        <v/>
      </c>
    </row>
    <row r="96" spans="1:9">
      <c r="A96" s="164" t="str">
        <f>Calculations!A259</f>
        <v>Other (Specify)</v>
      </c>
      <c r="B96" s="66">
        <f>Calculations!B259</f>
        <v>0</v>
      </c>
      <c r="C96" s="66">
        <f>Calculations!C259</f>
        <v>0</v>
      </c>
      <c r="D96" s="66">
        <f>Calculations!D259</f>
        <v>0</v>
      </c>
      <c r="E96" s="66">
        <f>Calculations!E259</f>
        <v>0</v>
      </c>
      <c r="F96" s="8">
        <f>Calculations!F259</f>
        <v>0</v>
      </c>
      <c r="G96" s="66">
        <f>Calculations!G259</f>
        <v>0</v>
      </c>
      <c r="H96" s="66" t="str">
        <f>Calculations!H259</f>
        <v/>
      </c>
      <c r="I96" s="197" t="str">
        <f>Calculations!I259</f>
        <v/>
      </c>
    </row>
    <row r="97" spans="1:9">
      <c r="A97" s="164" t="str">
        <f>Calculations!A260</f>
        <v>Other (Specify)</v>
      </c>
      <c r="B97" s="66">
        <f>Calculations!B260</f>
        <v>0</v>
      </c>
      <c r="C97" s="66">
        <f>Calculations!C260</f>
        <v>0</v>
      </c>
      <c r="D97" s="66">
        <f>Calculations!D260</f>
        <v>0</v>
      </c>
      <c r="E97" s="66">
        <f>Calculations!E260</f>
        <v>0</v>
      </c>
      <c r="F97" s="8">
        <f>Calculations!F260</f>
        <v>0</v>
      </c>
      <c r="G97" s="66">
        <f>Calculations!G260</f>
        <v>0</v>
      </c>
      <c r="H97" s="66" t="str">
        <f>Calculations!H260</f>
        <v/>
      </c>
      <c r="I97" s="197" t="str">
        <f>Calculations!I260</f>
        <v/>
      </c>
    </row>
    <row r="98" spans="1:9">
      <c r="A98" s="164" t="str">
        <f>Calculations!A261</f>
        <v>Other (Specify)</v>
      </c>
      <c r="B98" s="66">
        <f>Calculations!B261</f>
        <v>0</v>
      </c>
      <c r="C98" s="66">
        <f>Calculations!C261</f>
        <v>0</v>
      </c>
      <c r="D98" s="66">
        <f>Calculations!D261</f>
        <v>0</v>
      </c>
      <c r="E98" s="66">
        <f>Calculations!E261</f>
        <v>0</v>
      </c>
      <c r="F98" s="8">
        <f>Calculations!F261</f>
        <v>0</v>
      </c>
      <c r="G98" s="66">
        <f>Calculations!G261</f>
        <v>0</v>
      </c>
      <c r="H98" s="66" t="str">
        <f>Calculations!H261</f>
        <v/>
      </c>
      <c r="I98" s="197" t="str">
        <f>Calculations!I261</f>
        <v/>
      </c>
    </row>
    <row r="99" spans="1:9">
      <c r="A99" s="164"/>
      <c r="B99" s="199">
        <f>Calculations!B262</f>
        <v>0</v>
      </c>
      <c r="C99" s="199">
        <f>Calculations!C262</f>
        <v>0</v>
      </c>
      <c r="D99" s="199">
        <f>Calculations!D262</f>
        <v>0</v>
      </c>
      <c r="E99" s="199">
        <f>Calculations!E262</f>
        <v>0</v>
      </c>
      <c r="F99" s="199"/>
      <c r="G99" s="199">
        <f>Calculations!G262</f>
        <v>0</v>
      </c>
      <c r="H99" s="199" t="str">
        <f>Calculations!H262</f>
        <v/>
      </c>
      <c r="I99" s="251" t="str">
        <f>Calculations!I262</f>
        <v/>
      </c>
    </row>
    <row r="100" spans="1:9">
      <c r="A100" s="101" t="str">
        <f>Calculations!A263</f>
        <v>Syndication Costs</v>
      </c>
      <c r="B100" s="101"/>
      <c r="C100" s="101"/>
      <c r="D100" s="101"/>
      <c r="E100" s="101"/>
      <c r="F100" s="101"/>
      <c r="G100" s="101"/>
      <c r="H100" s="101"/>
      <c r="I100" s="101"/>
    </row>
    <row r="101" spans="1:9">
      <c r="A101" s="164" t="str">
        <f>Calculations!A264</f>
        <v>Organization Costs</v>
      </c>
      <c r="B101" s="66">
        <f>Calculations!B264</f>
        <v>0</v>
      </c>
      <c r="C101" s="66">
        <f>Calculations!C264</f>
        <v>0</v>
      </c>
      <c r="D101" s="66">
        <f>Calculations!D264</f>
        <v>0</v>
      </c>
      <c r="E101" s="66">
        <f>Calculations!E264</f>
        <v>0</v>
      </c>
      <c r="F101" s="8">
        <f>Calculations!F264</f>
        <v>0</v>
      </c>
      <c r="G101" s="66">
        <f>Calculations!G264</f>
        <v>0</v>
      </c>
      <c r="H101" s="66" t="str">
        <f>Calculations!H264</f>
        <v/>
      </c>
      <c r="I101" s="197" t="str">
        <f>Calculations!I264</f>
        <v/>
      </c>
    </row>
    <row r="102" spans="1:9">
      <c r="A102" s="164" t="str">
        <f>Calculations!A265</f>
        <v>Tax Opinion</v>
      </c>
      <c r="B102" s="66">
        <f>Calculations!B265</f>
        <v>0</v>
      </c>
      <c r="C102" s="66">
        <f>Calculations!C265</f>
        <v>0</v>
      </c>
      <c r="D102" s="66">
        <f>Calculations!D265</f>
        <v>0</v>
      </c>
      <c r="E102" s="66">
        <f>Calculations!E265</f>
        <v>0</v>
      </c>
      <c r="F102" s="8">
        <f>Calculations!F265</f>
        <v>0</v>
      </c>
      <c r="G102" s="66">
        <f>Calculations!G265</f>
        <v>0</v>
      </c>
      <c r="H102" s="66" t="str">
        <f>Calculations!H265</f>
        <v/>
      </c>
      <c r="I102" s="197" t="str">
        <f>Calculations!I265</f>
        <v/>
      </c>
    </row>
    <row r="103" spans="1:9">
      <c r="A103" s="164" t="str">
        <f>Calculations!A266</f>
        <v>Syndication Legal Fees</v>
      </c>
      <c r="B103" s="66">
        <f>Calculations!B266</f>
        <v>0</v>
      </c>
      <c r="C103" s="66">
        <f>Calculations!C266</f>
        <v>0</v>
      </c>
      <c r="D103" s="66">
        <f>Calculations!D266</f>
        <v>0</v>
      </c>
      <c r="E103" s="66">
        <f>Calculations!E266</f>
        <v>0</v>
      </c>
      <c r="F103" s="8">
        <f>Calculations!F266</f>
        <v>0</v>
      </c>
      <c r="G103" s="66">
        <f>Calculations!G266</f>
        <v>0</v>
      </c>
      <c r="H103" s="66" t="str">
        <f>Calculations!H266</f>
        <v/>
      </c>
      <c r="I103" s="197" t="str">
        <f>Calculations!I266</f>
        <v/>
      </c>
    </row>
    <row r="104" spans="1:9">
      <c r="A104" s="164" t="str">
        <f>Calculations!A267</f>
        <v>Other (Specify)</v>
      </c>
      <c r="B104" s="66">
        <f>Calculations!B267</f>
        <v>0</v>
      </c>
      <c r="C104" s="66">
        <f>Calculations!C267</f>
        <v>0</v>
      </c>
      <c r="D104" s="66">
        <f>Calculations!D267</f>
        <v>0</v>
      </c>
      <c r="E104" s="66">
        <f>Calculations!E267</f>
        <v>0</v>
      </c>
      <c r="F104" s="8">
        <f>Calculations!F267</f>
        <v>0</v>
      </c>
      <c r="G104" s="66">
        <f>Calculations!G267</f>
        <v>0</v>
      </c>
      <c r="H104" s="66" t="str">
        <f>Calculations!H267</f>
        <v/>
      </c>
      <c r="I104" s="197" t="str">
        <f>Calculations!I267</f>
        <v/>
      </c>
    </row>
    <row r="105" spans="1:9">
      <c r="A105" s="164" t="str">
        <f>Calculations!A268</f>
        <v>Other (Specify)</v>
      </c>
      <c r="B105" s="66">
        <f>Calculations!B268</f>
        <v>0</v>
      </c>
      <c r="C105" s="66">
        <f>Calculations!C268</f>
        <v>0</v>
      </c>
      <c r="D105" s="66">
        <f>Calculations!D268</f>
        <v>0</v>
      </c>
      <c r="E105" s="66">
        <f>Calculations!E268</f>
        <v>0</v>
      </c>
      <c r="F105" s="8">
        <f>Calculations!F268</f>
        <v>0</v>
      </c>
      <c r="G105" s="66">
        <f>Calculations!G268</f>
        <v>0</v>
      </c>
      <c r="H105" s="66" t="str">
        <f>Calculations!H268</f>
        <v/>
      </c>
      <c r="I105" s="197" t="str">
        <f>Calculations!I268</f>
        <v/>
      </c>
    </row>
    <row r="106" spans="1:9">
      <c r="A106" s="164" t="str">
        <f>Calculations!A269</f>
        <v>Other (Specify)</v>
      </c>
      <c r="B106" s="66">
        <f>Calculations!B269</f>
        <v>0</v>
      </c>
      <c r="C106" s="66">
        <f>Calculations!C269</f>
        <v>0</v>
      </c>
      <c r="D106" s="66">
        <f>Calculations!D269</f>
        <v>0</v>
      </c>
      <c r="E106" s="66">
        <f>Calculations!E269</f>
        <v>0</v>
      </c>
      <c r="F106" s="8">
        <f>Calculations!F269</f>
        <v>0</v>
      </c>
      <c r="G106" s="66">
        <f>Calculations!G269</f>
        <v>0</v>
      </c>
      <c r="H106" s="66" t="str">
        <f>Calculations!H269</f>
        <v/>
      </c>
      <c r="I106" s="197" t="str">
        <f>Calculations!I269</f>
        <v/>
      </c>
    </row>
    <row r="107" spans="1:9">
      <c r="A107" s="164"/>
      <c r="B107" s="199">
        <f>Calculations!B270</f>
        <v>0</v>
      </c>
      <c r="C107" s="199">
        <f>Calculations!C270</f>
        <v>0</v>
      </c>
      <c r="D107" s="199">
        <f>Calculations!D270</f>
        <v>0</v>
      </c>
      <c r="E107" s="199">
        <f>Calculations!E270</f>
        <v>0</v>
      </c>
      <c r="F107" s="199"/>
      <c r="G107" s="199">
        <f>Calculations!G270</f>
        <v>0</v>
      </c>
      <c r="H107" s="199" t="str">
        <f>Calculations!H270</f>
        <v/>
      </c>
      <c r="I107" s="251" t="str">
        <f>Calculations!I270</f>
        <v/>
      </c>
    </row>
    <row r="108" spans="1:9">
      <c r="A108" s="101" t="str">
        <f>Calculations!A271</f>
        <v>Developer Fees</v>
      </c>
      <c r="B108" s="101"/>
      <c r="C108" s="101"/>
      <c r="D108" s="101"/>
      <c r="E108" s="101"/>
      <c r="F108" s="101"/>
      <c r="G108" s="101"/>
      <c r="H108" s="101"/>
      <c r="I108" s="101"/>
    </row>
    <row r="109" spans="1:9">
      <c r="A109" s="164" t="str">
        <f>Calculations!A272</f>
        <v>Developer Fee</v>
      </c>
      <c r="B109" s="66">
        <f>Calculations!B272</f>
        <v>0</v>
      </c>
      <c r="C109" s="66">
        <f>Calculations!C272</f>
        <v>0</v>
      </c>
      <c r="D109" s="66">
        <f>Calculations!D272</f>
        <v>0</v>
      </c>
      <c r="E109" s="66">
        <f>Calculations!E272</f>
        <v>0</v>
      </c>
      <c r="F109" s="8">
        <f>Calculations!F272</f>
        <v>0</v>
      </c>
      <c r="G109" s="66">
        <f>Calculations!G272</f>
        <v>0</v>
      </c>
      <c r="H109" s="66" t="str">
        <f>Calculations!H272</f>
        <v/>
      </c>
      <c r="I109" s="197" t="str">
        <f>Calculations!I272</f>
        <v/>
      </c>
    </row>
    <row r="110" spans="1:9">
      <c r="A110" s="164" t="str">
        <f>Calculations!A273</f>
        <v>Developer Overhead</v>
      </c>
      <c r="B110" s="66">
        <f>Calculations!B273</f>
        <v>0</v>
      </c>
      <c r="C110" s="66">
        <f>Calculations!C273</f>
        <v>0</v>
      </c>
      <c r="D110" s="66">
        <f>Calculations!D273</f>
        <v>0</v>
      </c>
      <c r="E110" s="66">
        <f>Calculations!E273</f>
        <v>0</v>
      </c>
      <c r="F110" s="8">
        <f>Calculations!F273</f>
        <v>0</v>
      </c>
      <c r="G110" s="66">
        <f>Calculations!G273</f>
        <v>0</v>
      </c>
      <c r="H110" s="66" t="str">
        <f>Calculations!H273</f>
        <v/>
      </c>
      <c r="I110" s="197" t="str">
        <f>Calculations!I273</f>
        <v/>
      </c>
    </row>
    <row r="111" spans="1:9">
      <c r="A111" s="164" t="str">
        <f>Calculations!A274</f>
        <v>Developer Profit</v>
      </c>
      <c r="B111" s="66">
        <f>Calculations!B274</f>
        <v>0</v>
      </c>
      <c r="C111" s="66">
        <f>Calculations!C274</f>
        <v>0</v>
      </c>
      <c r="D111" s="66">
        <f>Calculations!D274</f>
        <v>0</v>
      </c>
      <c r="E111" s="66">
        <f>Calculations!E274</f>
        <v>0</v>
      </c>
      <c r="F111" s="8">
        <f>Calculations!F274</f>
        <v>0</v>
      </c>
      <c r="G111" s="66">
        <f>Calculations!G274</f>
        <v>0</v>
      </c>
      <c r="H111" s="66" t="str">
        <f>Calculations!H274</f>
        <v/>
      </c>
      <c r="I111" s="197" t="str">
        <f>Calculations!I274</f>
        <v/>
      </c>
    </row>
    <row r="112" spans="1:9">
      <c r="A112" s="164" t="s">
        <v>498</v>
      </c>
      <c r="B112" s="66">
        <f>Calculations!B275</f>
        <v>0</v>
      </c>
      <c r="C112" s="66">
        <f>Calculations!C275</f>
        <v>0</v>
      </c>
      <c r="D112" s="66">
        <f>Calculations!D275</f>
        <v>0</v>
      </c>
      <c r="E112" s="66">
        <f>Calculations!E275</f>
        <v>0</v>
      </c>
      <c r="F112" s="8">
        <f>Calculations!F275</f>
        <v>0</v>
      </c>
      <c r="G112" s="66">
        <f>Calculations!G275</f>
        <v>0</v>
      </c>
      <c r="H112" s="66" t="str">
        <f>Calculations!H275</f>
        <v/>
      </c>
      <c r="I112" s="197">
        <f>Calculations!I275</f>
        <v>0</v>
      </c>
    </row>
    <row r="113" spans="1:13">
      <c r="A113" s="164" t="str">
        <f>Calculations!A276</f>
        <v>Third Party Development Management/Owner's Rep</v>
      </c>
      <c r="B113" s="66">
        <f>Calculations!B276</f>
        <v>0</v>
      </c>
      <c r="C113" s="66">
        <f>Calculations!C276</f>
        <v>0</v>
      </c>
      <c r="D113" s="66">
        <f>Calculations!D276</f>
        <v>0</v>
      </c>
      <c r="E113" s="66">
        <f>Calculations!E276</f>
        <v>0</v>
      </c>
      <c r="F113" s="8">
        <f>Calculations!F276</f>
        <v>0</v>
      </c>
      <c r="G113" s="66">
        <f>Calculations!G276</f>
        <v>0</v>
      </c>
      <c r="H113" s="66" t="str">
        <f>Calculations!H276</f>
        <v/>
      </c>
      <c r="I113" s="197" t="str">
        <f>Calculations!I276</f>
        <v/>
      </c>
    </row>
    <row r="114" spans="1:13">
      <c r="A114" s="164" t="str">
        <f>Calculations!A277</f>
        <v>Financial/Tax Credit Consultant, Application Preparation, etc.</v>
      </c>
      <c r="B114" s="66">
        <f>Calculations!B277</f>
        <v>0</v>
      </c>
      <c r="C114" s="66">
        <f>Calculations!C277</f>
        <v>0</v>
      </c>
      <c r="D114" s="66">
        <f>Calculations!D277</f>
        <v>0</v>
      </c>
      <c r="E114" s="66">
        <f>Calculations!E277</f>
        <v>0</v>
      </c>
      <c r="F114" s="8">
        <f>Calculations!F277</f>
        <v>0</v>
      </c>
      <c r="G114" s="66">
        <f>Calculations!G277</f>
        <v>0</v>
      </c>
      <c r="H114" s="66" t="str">
        <f>Calculations!H277</f>
        <v/>
      </c>
      <c r="I114" s="197" t="str">
        <f>Calculations!I277</f>
        <v/>
      </c>
    </row>
    <row r="115" spans="1:13">
      <c r="A115" s="164" t="str">
        <f>Calculations!A278</f>
        <v>Other Consultant Fees</v>
      </c>
      <c r="B115" s="66">
        <f>Calculations!B278</f>
        <v>0</v>
      </c>
      <c r="C115" s="66">
        <f>Calculations!C278</f>
        <v>0</v>
      </c>
      <c r="D115" s="66">
        <f>Calculations!D278</f>
        <v>0</v>
      </c>
      <c r="E115" s="66">
        <f>Calculations!E278</f>
        <v>0</v>
      </c>
      <c r="F115" s="8">
        <f>Calculations!F278</f>
        <v>0</v>
      </c>
      <c r="G115" s="66">
        <f>Calculations!G278</f>
        <v>0</v>
      </c>
      <c r="H115" s="66" t="str">
        <f>Calculations!H278</f>
        <v/>
      </c>
      <c r="I115" s="197" t="str">
        <f>Calculations!I278</f>
        <v/>
      </c>
    </row>
    <row r="116" spans="1:13">
      <c r="A116" s="164"/>
      <c r="B116" s="199">
        <f>Calculations!B279</f>
        <v>0</v>
      </c>
      <c r="C116" s="199">
        <f>Calculations!C279</f>
        <v>0</v>
      </c>
      <c r="D116" s="199">
        <f>Calculations!D279</f>
        <v>0</v>
      </c>
      <c r="E116" s="199">
        <f>Calculations!E279</f>
        <v>0</v>
      </c>
      <c r="F116" s="199"/>
      <c r="G116" s="199">
        <f>Calculations!G279</f>
        <v>0</v>
      </c>
      <c r="H116" s="199" t="str">
        <f>Calculations!H279</f>
        <v/>
      </c>
      <c r="I116" s="251" t="str">
        <f>Calculations!I279</f>
        <v/>
      </c>
    </row>
    <row r="117" spans="1:13">
      <c r="A117" s="101" t="str">
        <f>Calculations!A280</f>
        <v>Project Reserves</v>
      </c>
      <c r="B117" s="101"/>
      <c r="C117" s="101"/>
      <c r="D117" s="101"/>
      <c r="E117" s="101"/>
      <c r="F117" s="101"/>
      <c r="G117" s="101"/>
      <c r="H117" s="101"/>
      <c r="I117" s="101"/>
    </row>
    <row r="118" spans="1:13">
      <c r="A118" s="164" t="str">
        <f>Calculations!A281</f>
        <v>Rent-up Reserves</v>
      </c>
      <c r="B118" s="66">
        <f>Calculations!B281</f>
        <v>0</v>
      </c>
      <c r="C118" s="66">
        <f>Calculations!C281</f>
        <v>0</v>
      </c>
      <c r="D118" s="66">
        <f>Calculations!D281</f>
        <v>0</v>
      </c>
      <c r="E118" s="66">
        <f>Calculations!E281</f>
        <v>0</v>
      </c>
      <c r="F118" s="8">
        <f>Calculations!F281</f>
        <v>0</v>
      </c>
      <c r="G118" s="66">
        <f>Calculations!G281</f>
        <v>0</v>
      </c>
      <c r="H118" s="66" t="str">
        <f>Calculations!H281</f>
        <v/>
      </c>
      <c r="I118" s="197" t="str">
        <f>Calculations!I281</f>
        <v/>
      </c>
    </row>
    <row r="119" spans="1:13">
      <c r="A119" s="164" t="str">
        <f>Calculations!A282</f>
        <v>Operating Reserves</v>
      </c>
      <c r="B119" s="66">
        <f>Calculations!B282</f>
        <v>0</v>
      </c>
      <c r="C119" s="66">
        <f>Calculations!C282</f>
        <v>0</v>
      </c>
      <c r="D119" s="66">
        <f>Calculations!D282</f>
        <v>0</v>
      </c>
      <c r="E119" s="66">
        <f>Calculations!E282</f>
        <v>0</v>
      </c>
      <c r="F119" s="8">
        <f>Calculations!F282</f>
        <v>0</v>
      </c>
      <c r="G119" s="66">
        <f>Calculations!G282</f>
        <v>0</v>
      </c>
      <c r="H119" s="66" t="str">
        <f>Calculations!H282</f>
        <v/>
      </c>
      <c r="I119" s="197" t="str">
        <f>Calculations!I282</f>
        <v/>
      </c>
    </row>
    <row r="120" spans="1:13">
      <c r="A120" s="164" t="str">
        <f>Calculations!A283</f>
        <v>Replacement Reserves</v>
      </c>
      <c r="B120" s="66">
        <f>Calculations!B283</f>
        <v>0</v>
      </c>
      <c r="C120" s="66">
        <f>Calculations!C283</f>
        <v>0</v>
      </c>
      <c r="D120" s="66">
        <f>Calculations!D283</f>
        <v>0</v>
      </c>
      <c r="E120" s="66">
        <f>Calculations!E283</f>
        <v>0</v>
      </c>
      <c r="F120" s="8">
        <f>Calculations!F283</f>
        <v>0</v>
      </c>
      <c r="G120" s="66">
        <f>Calculations!G283</f>
        <v>0</v>
      </c>
      <c r="H120" s="66" t="str">
        <f>Calculations!H283</f>
        <v/>
      </c>
      <c r="I120" s="197" t="str">
        <f>Calculations!I283</f>
        <v/>
      </c>
    </row>
    <row r="121" spans="1:13">
      <c r="A121" s="164" t="str">
        <f>Calculations!A284</f>
        <v>Debt Service Reserves</v>
      </c>
      <c r="B121" s="66">
        <f>Calculations!B284</f>
        <v>0</v>
      </c>
      <c r="C121" s="66">
        <f>Calculations!C284</f>
        <v>0</v>
      </c>
      <c r="D121" s="66">
        <f>Calculations!D284</f>
        <v>0</v>
      </c>
      <c r="E121" s="66">
        <f>Calculations!E284</f>
        <v>0</v>
      </c>
      <c r="F121" s="8">
        <f>Calculations!F284</f>
        <v>0</v>
      </c>
      <c r="G121" s="66">
        <f>Calculations!G284</f>
        <v>0</v>
      </c>
      <c r="H121" s="66"/>
      <c r="I121" s="197"/>
    </row>
    <row r="122" spans="1:13" ht="15" customHeight="1">
      <c r="A122" s="164" t="str">
        <f>Calculations!A285</f>
        <v>Other (Specify)</v>
      </c>
      <c r="B122" s="66">
        <f>Calculations!B285</f>
        <v>0</v>
      </c>
      <c r="C122" s="66">
        <f>Calculations!C285</f>
        <v>0</v>
      </c>
      <c r="D122" s="66">
        <f>Calculations!D285</f>
        <v>0</v>
      </c>
      <c r="E122" s="66">
        <f>Calculations!E285</f>
        <v>0</v>
      </c>
      <c r="F122" s="8">
        <f>Calculations!F285</f>
        <v>0</v>
      </c>
      <c r="G122" s="66">
        <f>Calculations!G285</f>
        <v>0</v>
      </c>
      <c r="H122" s="66" t="str">
        <f>Calculations!H285</f>
        <v/>
      </c>
      <c r="I122" s="197" t="str">
        <f>Calculations!I285</f>
        <v/>
      </c>
      <c r="J122" s="938"/>
      <c r="K122" s="938"/>
    </row>
    <row r="123" spans="1:13" ht="15" customHeight="1">
      <c r="A123" s="164" t="str">
        <f>Calculations!A286</f>
        <v>Other (Specify)</v>
      </c>
      <c r="B123" s="66">
        <f>Calculations!B286</f>
        <v>0</v>
      </c>
      <c r="C123" s="66">
        <f>Calculations!C286</f>
        <v>0</v>
      </c>
      <c r="D123" s="66">
        <f>Calculations!D286</f>
        <v>0</v>
      </c>
      <c r="E123" s="66">
        <f>Calculations!E286</f>
        <v>0</v>
      </c>
      <c r="F123" s="8">
        <f>Calculations!F286</f>
        <v>0</v>
      </c>
      <c r="G123" s="66">
        <f>Calculations!G286</f>
        <v>0</v>
      </c>
      <c r="H123" s="66" t="str">
        <f>Calculations!H286</f>
        <v/>
      </c>
      <c r="I123" s="197" t="str">
        <f>Calculations!I286</f>
        <v/>
      </c>
      <c r="J123" s="938"/>
      <c r="K123" s="938"/>
    </row>
    <row r="124" spans="1:13" ht="15.75" thickBot="1">
      <c r="A124" s="192"/>
      <c r="B124" s="199">
        <f>Calculations!B287</f>
        <v>0</v>
      </c>
      <c r="C124" s="199">
        <f>Calculations!C287</f>
        <v>0</v>
      </c>
      <c r="D124" s="199">
        <f>Calculations!D287</f>
        <v>0</v>
      </c>
      <c r="E124" s="199">
        <f>Calculations!E287</f>
        <v>0</v>
      </c>
      <c r="F124" s="199"/>
      <c r="G124" s="199">
        <f>Calculations!G287</f>
        <v>0</v>
      </c>
      <c r="H124" s="199" t="str">
        <f>Calculations!H287</f>
        <v/>
      </c>
      <c r="I124" s="404" t="str">
        <f>Calculations!I287</f>
        <v/>
      </c>
      <c r="J124" s="938"/>
      <c r="K124" s="938"/>
      <c r="L124" s="251"/>
      <c r="M124" s="251"/>
    </row>
    <row r="125" spans="1:13" ht="15.75" thickTop="1">
      <c r="A125" s="68" t="str">
        <f>Calculations!A288</f>
        <v>Total</v>
      </c>
      <c r="B125" s="198">
        <f>Calculations!B288</f>
        <v>0</v>
      </c>
      <c r="C125" s="198">
        <f>Calculations!C288</f>
        <v>0</v>
      </c>
      <c r="D125" s="198">
        <f>Calculations!D288</f>
        <v>0</v>
      </c>
      <c r="E125" s="198">
        <f>Calculations!E288</f>
        <v>0</v>
      </c>
      <c r="F125" s="198"/>
      <c r="G125" s="198">
        <f>Calculations!G288</f>
        <v>0</v>
      </c>
      <c r="H125" s="198">
        <f>Calculations!H288</f>
        <v>0</v>
      </c>
      <c r="I125" s="251" t="str">
        <f>Calculations!I288</f>
        <v/>
      </c>
      <c r="J125" s="937"/>
      <c r="K125" s="937"/>
    </row>
    <row r="126" spans="1:13">
      <c r="A126" s="68"/>
      <c r="B126" s="199"/>
      <c r="C126" s="199"/>
      <c r="D126" s="199"/>
      <c r="E126" s="199"/>
      <c r="F126" s="199"/>
      <c r="G126" s="199"/>
      <c r="H126" s="199"/>
      <c r="I126" s="251"/>
      <c r="J126" s="519"/>
      <c r="K126" s="519"/>
    </row>
    <row r="127" spans="1:13">
      <c r="A127" s="405"/>
      <c r="B127" s="199"/>
      <c r="C127" s="199"/>
      <c r="D127" s="199"/>
      <c r="E127" s="199"/>
      <c r="F127" s="199"/>
      <c r="G127" s="406" t="s">
        <v>1059</v>
      </c>
      <c r="H127" s="939">
        <f>Calculations!K285</f>
        <v>0</v>
      </c>
      <c r="I127" s="939"/>
      <c r="J127" s="519"/>
      <c r="K127" s="519"/>
    </row>
    <row r="129" spans="1:12">
      <c r="A129" s="927" t="s">
        <v>508</v>
      </c>
      <c r="B129" s="927"/>
      <c r="C129" s="927"/>
      <c r="D129" s="927"/>
      <c r="E129" s="927"/>
      <c r="F129" s="927"/>
      <c r="G129" s="927"/>
      <c r="H129" s="927"/>
      <c r="I129" s="927"/>
      <c r="J129" s="88"/>
      <c r="K129" s="88"/>
      <c r="L129" s="88"/>
    </row>
    <row r="130" spans="1:12">
      <c r="D130" s="88"/>
      <c r="E130" s="88"/>
      <c r="F130" s="88"/>
      <c r="G130" s="88"/>
      <c r="H130" s="88"/>
      <c r="I130" s="88"/>
      <c r="J130" s="88"/>
      <c r="K130" s="88"/>
      <c r="L130" s="88"/>
    </row>
    <row r="131" spans="1:12" ht="45" customHeight="1">
      <c r="A131" s="192" t="str">
        <f>Calculations!K168</f>
        <v>Land &amp; Buildings</v>
      </c>
      <c r="B131" s="135" t="str">
        <f>Calculations!L168</f>
        <v>Amount</v>
      </c>
      <c r="E131" s="135" t="str">
        <f>Calculations!M168</f>
        <v>Amount Last Provided to CHFA*</v>
      </c>
      <c r="F131" s="135"/>
      <c r="G131" s="135" t="str">
        <f>Calculations!N168</f>
        <v>Difference</v>
      </c>
      <c r="I131" s="88"/>
      <c r="J131" s="88"/>
      <c r="K131" s="88"/>
    </row>
    <row r="132" spans="1:12">
      <c r="A132" s="164" t="str">
        <f>Calculations!K169</f>
        <v>Land</v>
      </c>
      <c r="B132" s="106">
        <f>Calculations!L169</f>
        <v>0</v>
      </c>
      <c r="E132" s="106">
        <f>Calculations!M169</f>
        <v>0</v>
      </c>
      <c r="F132" s="106"/>
      <c r="G132" s="106">
        <f>Calculations!N169</f>
        <v>0</v>
      </c>
      <c r="I132" s="88"/>
      <c r="J132" s="88"/>
      <c r="K132" s="88"/>
    </row>
    <row r="133" spans="1:12">
      <c r="A133" s="164" t="str">
        <f>Calculations!K170</f>
        <v>Existing Structures</v>
      </c>
      <c r="B133" s="106">
        <f>Calculations!L170</f>
        <v>0</v>
      </c>
      <c r="E133" s="106">
        <f>Calculations!M170</f>
        <v>0</v>
      </c>
      <c r="F133" s="106"/>
      <c r="G133" s="106">
        <f>Calculations!N170</f>
        <v>0</v>
      </c>
      <c r="I133" s="88"/>
      <c r="J133" s="88"/>
      <c r="K133" s="88"/>
    </row>
    <row r="134" spans="1:12">
      <c r="A134" s="164" t="str">
        <f>Calculations!K171</f>
        <v>Demolition</v>
      </c>
      <c r="B134" s="193">
        <f>Calculations!L171</f>
        <v>0</v>
      </c>
      <c r="E134" s="193">
        <f>Calculations!M171</f>
        <v>0</v>
      </c>
      <c r="F134" s="193"/>
      <c r="G134" s="193">
        <f>Calculations!N171</f>
        <v>0</v>
      </c>
      <c r="I134" s="88"/>
      <c r="J134" s="88"/>
      <c r="K134" s="88"/>
    </row>
    <row r="135" spans="1:12">
      <c r="A135" s="88"/>
      <c r="B135" s="105">
        <f>Calculations!L172</f>
        <v>0</v>
      </c>
      <c r="E135" s="132">
        <f>Calculations!M172</f>
        <v>0</v>
      </c>
      <c r="F135" s="132"/>
      <c r="G135" s="132">
        <f>Calculations!N172</f>
        <v>0</v>
      </c>
      <c r="I135" s="88"/>
      <c r="J135" s="88"/>
      <c r="K135" s="88"/>
    </row>
    <row r="136" spans="1:12">
      <c r="A136" s="192" t="str">
        <f>Calculations!K173</f>
        <v>Site Work</v>
      </c>
      <c r="B136" s="135"/>
      <c r="E136" s="135"/>
      <c r="F136" s="135"/>
      <c r="G136" s="135"/>
      <c r="I136" s="88"/>
      <c r="J136" s="88"/>
      <c r="K136" s="88"/>
    </row>
    <row r="137" spans="1:12">
      <c r="A137" s="164" t="str">
        <f>Calculations!K174</f>
        <v>On Site Work</v>
      </c>
      <c r="B137" s="106">
        <f>Calculations!L174</f>
        <v>0</v>
      </c>
      <c r="E137" s="106">
        <f>Calculations!M174</f>
        <v>0</v>
      </c>
      <c r="F137" s="106"/>
      <c r="G137" s="106">
        <f>Calculations!N174</f>
        <v>0</v>
      </c>
      <c r="I137" s="88"/>
      <c r="J137" s="88"/>
      <c r="K137" s="88"/>
    </row>
    <row r="138" spans="1:12">
      <c r="A138" s="164" t="str">
        <f>Calculations!K175</f>
        <v>Off Site Work</v>
      </c>
      <c r="B138" s="193">
        <f>Calculations!L175</f>
        <v>0</v>
      </c>
      <c r="E138" s="193">
        <f>Calculations!M175</f>
        <v>0</v>
      </c>
      <c r="F138" s="193"/>
      <c r="G138" s="193">
        <f>Calculations!N175</f>
        <v>0</v>
      </c>
      <c r="I138" s="88"/>
      <c r="J138" s="88"/>
      <c r="K138" s="88"/>
    </row>
    <row r="139" spans="1:12">
      <c r="A139" s="88"/>
      <c r="B139" s="105">
        <f>Calculations!L176</f>
        <v>0</v>
      </c>
      <c r="E139" s="132">
        <f>Calculations!M176</f>
        <v>0</v>
      </c>
      <c r="F139" s="132"/>
      <c r="G139" s="132">
        <f>Calculations!N176</f>
        <v>0</v>
      </c>
      <c r="I139" s="88"/>
      <c r="J139" s="88"/>
      <c r="K139" s="88"/>
    </row>
    <row r="140" spans="1:12">
      <c r="A140" s="192" t="str">
        <f>Calculations!K177</f>
        <v>Rehab. &amp; New Construction</v>
      </c>
      <c r="B140" s="135"/>
      <c r="E140" s="135"/>
      <c r="F140" s="135"/>
      <c r="G140" s="135"/>
      <c r="I140" s="88"/>
      <c r="J140" s="88"/>
      <c r="K140" s="88"/>
    </row>
    <row r="141" spans="1:12">
      <c r="A141" s="164" t="str">
        <f>Calculations!K178</f>
        <v>New Structures</v>
      </c>
      <c r="B141" s="106">
        <f>Calculations!L178</f>
        <v>0</v>
      </c>
      <c r="E141" s="106">
        <f>Calculations!M178</f>
        <v>0</v>
      </c>
      <c r="F141" s="106"/>
      <c r="G141" s="106">
        <f>Calculations!N178</f>
        <v>0</v>
      </c>
      <c r="I141" s="88"/>
      <c r="J141" s="88"/>
      <c r="K141" s="88"/>
    </row>
    <row r="142" spans="1:12">
      <c r="A142" s="164" t="str">
        <f>Calculations!K179</f>
        <v>Rehabilitation</v>
      </c>
      <c r="B142" s="106">
        <f>Calculations!L179</f>
        <v>0</v>
      </c>
      <c r="E142" s="106">
        <f>Calculations!M179</f>
        <v>0</v>
      </c>
      <c r="F142" s="106"/>
      <c r="G142" s="106">
        <f>Calculations!N179</f>
        <v>0</v>
      </c>
      <c r="I142" s="88"/>
      <c r="J142" s="88"/>
      <c r="K142" s="88"/>
    </row>
    <row r="143" spans="1:12">
      <c r="A143" s="164" t="str">
        <f>Calculations!K180</f>
        <v>Accessory Structures</v>
      </c>
      <c r="B143" s="106">
        <f>Calculations!L180</f>
        <v>0</v>
      </c>
      <c r="E143" s="106">
        <f>Calculations!M180</f>
        <v>0</v>
      </c>
      <c r="F143" s="106"/>
      <c r="G143" s="106">
        <f>Calculations!N180</f>
        <v>0</v>
      </c>
      <c r="I143" s="88"/>
      <c r="J143" s="88"/>
      <c r="K143" s="88"/>
    </row>
    <row r="144" spans="1:12">
      <c r="A144" s="164" t="str">
        <f>Calculations!K181</f>
        <v>General Requirements</v>
      </c>
      <c r="B144" s="106">
        <f>Calculations!L181</f>
        <v>0</v>
      </c>
      <c r="E144" s="106">
        <f>Calculations!M181</f>
        <v>0</v>
      </c>
      <c r="F144" s="106"/>
      <c r="G144" s="106">
        <f>Calculations!N181</f>
        <v>0</v>
      </c>
      <c r="I144" s="88"/>
      <c r="J144" s="88"/>
      <c r="K144" s="88"/>
    </row>
    <row r="145" spans="1:11">
      <c r="A145" s="164" t="str">
        <f>Calculations!K182</f>
        <v>Contractor Overhead</v>
      </c>
      <c r="B145" s="106">
        <f>Calculations!L182</f>
        <v>0</v>
      </c>
      <c r="E145" s="106">
        <f>Calculations!M182</f>
        <v>0</v>
      </c>
      <c r="F145" s="106"/>
      <c r="G145" s="106">
        <f>Calculations!N182</f>
        <v>0</v>
      </c>
      <c r="I145" s="88"/>
      <c r="J145" s="88"/>
      <c r="K145" s="88"/>
    </row>
    <row r="146" spans="1:11">
      <c r="A146" s="164" t="str">
        <f>Calculations!K183</f>
        <v>Contractor Profit</v>
      </c>
      <c r="B146" s="106">
        <f>Calculations!L183</f>
        <v>0</v>
      </c>
      <c r="E146" s="106">
        <f>Calculations!M183</f>
        <v>0</v>
      </c>
      <c r="F146" s="106"/>
      <c r="G146" s="106">
        <f>Calculations!N183</f>
        <v>0</v>
      </c>
      <c r="I146" s="88"/>
      <c r="J146" s="88"/>
      <c r="K146" s="88"/>
    </row>
    <row r="147" spans="1:11">
      <c r="A147" s="164" t="str">
        <f>Calculations!K184</f>
        <v>Construction Contingency</v>
      </c>
      <c r="B147" s="106">
        <f>Calculations!L184</f>
        <v>0</v>
      </c>
      <c r="E147" s="106">
        <f>Calculations!M184</f>
        <v>0</v>
      </c>
      <c r="F147" s="106"/>
      <c r="G147" s="106">
        <f>Calculations!N184</f>
        <v>0</v>
      </c>
      <c r="I147" s="88"/>
      <c r="J147" s="88"/>
      <c r="K147" s="88"/>
    </row>
    <row r="148" spans="1:11">
      <c r="A148" s="164" t="str">
        <f>Calculations!K185</f>
        <v>Building Permits</v>
      </c>
      <c r="B148" s="106">
        <f>Calculations!L185</f>
        <v>0</v>
      </c>
      <c r="E148" s="106">
        <f>Calculations!M185</f>
        <v>0</v>
      </c>
      <c r="F148" s="106"/>
      <c r="G148" s="106">
        <f>Calculations!N185</f>
        <v>0</v>
      </c>
      <c r="I148" s="88"/>
      <c r="J148" s="88"/>
      <c r="K148" s="88"/>
    </row>
    <row r="149" spans="1:11">
      <c r="A149" s="164" t="str">
        <f>Calculations!K186</f>
        <v>Other (Specify)</v>
      </c>
      <c r="B149" s="106">
        <f>Calculations!L186</f>
        <v>0</v>
      </c>
      <c r="E149" s="106">
        <f>Calculations!M186</f>
        <v>0</v>
      </c>
      <c r="F149" s="106"/>
      <c r="G149" s="106">
        <f>Calculations!N186</f>
        <v>0</v>
      </c>
      <c r="I149" s="88"/>
      <c r="J149" s="88"/>
      <c r="K149" s="88"/>
    </row>
    <row r="150" spans="1:11">
      <c r="A150" s="164" t="str">
        <f>Calculations!K187</f>
        <v>Other (Specify)</v>
      </c>
      <c r="B150" s="106">
        <f>Calculations!L187</f>
        <v>0</v>
      </c>
      <c r="E150" s="106">
        <f>Calculations!M187</f>
        <v>0</v>
      </c>
      <c r="F150" s="106"/>
      <c r="G150" s="106">
        <f>Calculations!N187</f>
        <v>0</v>
      </c>
      <c r="I150" s="88"/>
      <c r="J150" s="88"/>
      <c r="K150" s="88"/>
    </row>
    <row r="151" spans="1:11">
      <c r="A151" s="164" t="str">
        <f>Calculations!K188</f>
        <v>Other (Specify)</v>
      </c>
      <c r="B151" s="193">
        <f>Calculations!L188</f>
        <v>0</v>
      </c>
      <c r="E151" s="193">
        <f>Calculations!M188</f>
        <v>0</v>
      </c>
      <c r="F151" s="193"/>
      <c r="G151" s="193">
        <f>Calculations!N188</f>
        <v>0</v>
      </c>
      <c r="I151" s="88"/>
      <c r="J151" s="88"/>
      <c r="K151" s="88"/>
    </row>
    <row r="152" spans="1:11">
      <c r="A152" s="88"/>
      <c r="B152" s="105">
        <f>Calculations!L189</f>
        <v>0</v>
      </c>
      <c r="E152" s="132">
        <f>Calculations!M189</f>
        <v>0</v>
      </c>
      <c r="F152" s="132"/>
      <c r="G152" s="132">
        <f>Calculations!N189</f>
        <v>0</v>
      </c>
      <c r="I152" s="88"/>
      <c r="J152" s="88"/>
      <c r="K152" s="88"/>
    </row>
    <row r="153" spans="1:11">
      <c r="A153" s="192" t="str">
        <f>Calculations!K190</f>
        <v>Professional Fees</v>
      </c>
      <c r="B153" s="135"/>
      <c r="E153" s="135"/>
      <c r="F153" s="135"/>
      <c r="G153" s="135"/>
      <c r="I153" s="88"/>
      <c r="J153" s="88"/>
      <c r="K153" s="88"/>
    </row>
    <row r="154" spans="1:11">
      <c r="A154" s="164" t="str">
        <f>Calculations!K191</f>
        <v>Architect, Design</v>
      </c>
      <c r="B154" s="106">
        <f>Calculations!L191</f>
        <v>0</v>
      </c>
      <c r="E154" s="106">
        <f>Calculations!M191</f>
        <v>0</v>
      </c>
      <c r="F154" s="106"/>
      <c r="G154" s="106">
        <f>Calculations!N191</f>
        <v>0</v>
      </c>
      <c r="I154" s="88"/>
      <c r="J154" s="88"/>
      <c r="K154" s="88"/>
    </row>
    <row r="155" spans="1:11">
      <c r="A155" s="164" t="str">
        <f>Calculations!K192</f>
        <v>Architect, Supervision</v>
      </c>
      <c r="B155" s="106">
        <f>Calculations!L192</f>
        <v>0</v>
      </c>
      <c r="E155" s="106">
        <f>Calculations!M192</f>
        <v>0</v>
      </c>
      <c r="F155" s="106"/>
      <c r="G155" s="106">
        <f>Calculations!N192</f>
        <v>0</v>
      </c>
      <c r="I155" s="88"/>
      <c r="J155" s="88"/>
      <c r="K155" s="88"/>
    </row>
    <row r="156" spans="1:11">
      <c r="A156" s="164" t="str">
        <f>Calculations!K193</f>
        <v>Attorney, Real Estate</v>
      </c>
      <c r="B156" s="106">
        <f>Calculations!L193</f>
        <v>0</v>
      </c>
      <c r="E156" s="106">
        <f>Calculations!M193</f>
        <v>0</v>
      </c>
      <c r="F156" s="106"/>
      <c r="G156" s="106">
        <f>Calculations!N193</f>
        <v>0</v>
      </c>
      <c r="I156" s="88"/>
      <c r="J156" s="88"/>
      <c r="K156" s="88"/>
    </row>
    <row r="157" spans="1:11">
      <c r="A157" s="164" t="str">
        <f>Calculations!K194</f>
        <v>Consultant/agent</v>
      </c>
      <c r="B157" s="106">
        <f>Calculations!L194</f>
        <v>0</v>
      </c>
      <c r="E157" s="106">
        <f>Calculations!M194</f>
        <v>0</v>
      </c>
      <c r="F157" s="106"/>
      <c r="G157" s="106">
        <f>Calculations!N194</f>
        <v>0</v>
      </c>
      <c r="I157" s="88"/>
      <c r="J157" s="88"/>
      <c r="K157" s="88"/>
    </row>
    <row r="158" spans="1:11">
      <c r="A158" s="164" t="str">
        <f>Calculations!K195</f>
        <v>Engineer/Surveyor</v>
      </c>
      <c r="B158" s="106">
        <f>Calculations!L195</f>
        <v>0</v>
      </c>
      <c r="E158" s="106">
        <f>Calculations!M195</f>
        <v>0</v>
      </c>
      <c r="F158" s="106"/>
      <c r="G158" s="106">
        <f>Calculations!N195</f>
        <v>0</v>
      </c>
      <c r="I158" s="88"/>
      <c r="J158" s="88"/>
      <c r="K158" s="88"/>
    </row>
    <row r="159" spans="1:11">
      <c r="A159" s="164" t="str">
        <f>Calculations!K196</f>
        <v>Other (Specify)</v>
      </c>
      <c r="B159" s="106">
        <f>Calculations!L196</f>
        <v>0</v>
      </c>
      <c r="E159" s="106">
        <f>Calculations!M196</f>
        <v>0</v>
      </c>
      <c r="F159" s="106"/>
      <c r="G159" s="106">
        <f>Calculations!N196</f>
        <v>0</v>
      </c>
      <c r="I159" s="88"/>
      <c r="J159" s="88"/>
      <c r="K159" s="88"/>
    </row>
    <row r="160" spans="1:11">
      <c r="A160" s="164" t="str">
        <f>Calculations!K197</f>
        <v>Other (Specify)</v>
      </c>
      <c r="B160" s="106">
        <f>Calculations!L197</f>
        <v>0</v>
      </c>
      <c r="E160" s="106">
        <f>Calculations!M197</f>
        <v>0</v>
      </c>
      <c r="F160" s="106"/>
      <c r="G160" s="106">
        <f>Calculations!N197</f>
        <v>0</v>
      </c>
      <c r="I160" s="88"/>
      <c r="J160" s="88"/>
      <c r="K160" s="88"/>
    </row>
    <row r="161" spans="1:11">
      <c r="A161" s="164" t="str">
        <f>Calculations!K198</f>
        <v>Other-Accounting</v>
      </c>
      <c r="B161" s="193">
        <f>Calculations!L198</f>
        <v>0</v>
      </c>
      <c r="E161" s="193">
        <f>Calculations!M198</f>
        <v>0</v>
      </c>
      <c r="F161" s="193"/>
      <c r="G161" s="193">
        <f>Calculations!N198</f>
        <v>0</v>
      </c>
      <c r="I161" s="88"/>
      <c r="J161" s="88"/>
      <c r="K161" s="88"/>
    </row>
    <row r="162" spans="1:11">
      <c r="A162" s="164"/>
      <c r="B162" s="105">
        <f>Calculations!L199</f>
        <v>0</v>
      </c>
      <c r="E162" s="132">
        <f>Calculations!M199</f>
        <v>0</v>
      </c>
      <c r="F162" s="132"/>
      <c r="G162" s="132">
        <f>Calculations!N199</f>
        <v>0</v>
      </c>
      <c r="I162" s="88"/>
      <c r="J162" s="88"/>
      <c r="K162" s="88"/>
    </row>
    <row r="163" spans="1:11">
      <c r="A163" s="192" t="str">
        <f>Calculations!K200</f>
        <v>Construction Interim Costs</v>
      </c>
      <c r="B163" s="135"/>
      <c r="E163" s="135"/>
      <c r="F163" s="135"/>
      <c r="G163" s="135"/>
      <c r="I163" s="88"/>
      <c r="J163" s="88"/>
      <c r="K163" s="88"/>
    </row>
    <row r="164" spans="1:11">
      <c r="A164" s="164" t="str">
        <f>Calculations!K201</f>
        <v>Hazard &amp; Liability Insurance</v>
      </c>
      <c r="B164" s="106">
        <f>Calculations!L201</f>
        <v>0</v>
      </c>
      <c r="E164" s="106">
        <f>Calculations!M201</f>
        <v>0</v>
      </c>
      <c r="F164" s="106"/>
      <c r="G164" s="106">
        <f>Calculations!N201</f>
        <v>0</v>
      </c>
      <c r="I164" s="88"/>
      <c r="J164" s="88"/>
      <c r="K164" s="88"/>
    </row>
    <row r="165" spans="1:11">
      <c r="A165" s="164" t="str">
        <f>Calculations!K202</f>
        <v>Builder's Risk Insurance</v>
      </c>
      <c r="B165" s="106">
        <f>Calculations!L202</f>
        <v>0</v>
      </c>
      <c r="E165" s="106">
        <f>Calculations!M202</f>
        <v>0</v>
      </c>
      <c r="F165" s="106"/>
      <c r="G165" s="106">
        <f>Calculations!N202</f>
        <v>0</v>
      </c>
      <c r="I165" s="88"/>
      <c r="J165" s="88"/>
      <c r="K165" s="88"/>
    </row>
    <row r="166" spans="1:11">
      <c r="A166" s="164" t="str">
        <f>Calculations!K203</f>
        <v>Perform. &amp; Pymt Bonds</v>
      </c>
      <c r="B166" s="106">
        <f>Calculations!L203</f>
        <v>0</v>
      </c>
      <c r="E166" s="106">
        <f>Calculations!M203</f>
        <v>0</v>
      </c>
      <c r="F166" s="106"/>
      <c r="G166" s="106">
        <f>Calculations!N203</f>
        <v>0</v>
      </c>
      <c r="I166" s="88"/>
      <c r="J166" s="88"/>
      <c r="K166" s="88"/>
    </row>
    <row r="167" spans="1:11">
      <c r="A167" s="164" t="str">
        <f>Calculations!K204</f>
        <v>Credit Report</v>
      </c>
      <c r="B167" s="106">
        <f>Calculations!L204</f>
        <v>0</v>
      </c>
      <c r="E167" s="106">
        <f>Calculations!M204</f>
        <v>0</v>
      </c>
      <c r="F167" s="106"/>
      <c r="G167" s="106">
        <f>Calculations!N204</f>
        <v>0</v>
      </c>
      <c r="I167" s="88"/>
      <c r="J167" s="88"/>
      <c r="K167" s="88"/>
    </row>
    <row r="168" spans="1:11">
      <c r="A168" s="164" t="str">
        <f>Calculations!K205</f>
        <v>Construction Interest</v>
      </c>
      <c r="B168" s="106">
        <f>Calculations!L205</f>
        <v>0</v>
      </c>
      <c r="E168" s="106">
        <f>Calculations!M205</f>
        <v>0</v>
      </c>
      <c r="F168" s="106"/>
      <c r="G168" s="106">
        <f>Calculations!N205</f>
        <v>0</v>
      </c>
      <c r="I168" s="88"/>
      <c r="J168" s="88"/>
      <c r="K168" s="88"/>
    </row>
    <row r="169" spans="1:11">
      <c r="A169" s="164" t="str">
        <f>Calculations!K206</f>
        <v>Constr. Origination Fees</v>
      </c>
      <c r="B169" s="106">
        <f>Calculations!L206</f>
        <v>0</v>
      </c>
      <c r="E169" s="106">
        <f>Calculations!M206</f>
        <v>0</v>
      </c>
      <c r="F169" s="106"/>
      <c r="G169" s="106">
        <f>Calculations!N206</f>
        <v>0</v>
      </c>
      <c r="I169" s="88"/>
      <c r="J169" s="88"/>
      <c r="K169" s="88"/>
    </row>
    <row r="170" spans="1:11">
      <c r="A170" s="164" t="str">
        <f>Calculations!K207</f>
        <v>Tap Fees (Water/Sewer)</v>
      </c>
      <c r="B170" s="106">
        <f>Calculations!L207</f>
        <v>0</v>
      </c>
      <c r="E170" s="106">
        <f>Calculations!M207</f>
        <v>0</v>
      </c>
      <c r="F170" s="106"/>
      <c r="G170" s="106">
        <f>Calculations!N207</f>
        <v>0</v>
      </c>
      <c r="I170" s="88"/>
      <c r="J170" s="88"/>
      <c r="K170" s="88"/>
    </row>
    <row r="171" spans="1:11">
      <c r="A171" s="164" t="str">
        <f>Calculations!K208</f>
        <v>Bond Cost of Issuance</v>
      </c>
      <c r="B171" s="106">
        <f>Calculations!L208</f>
        <v>0</v>
      </c>
      <c r="E171" s="106">
        <f>Calculations!M208</f>
        <v>0</v>
      </c>
      <c r="F171" s="106"/>
      <c r="G171" s="106">
        <f>Calculations!N208</f>
        <v>0</v>
      </c>
      <c r="I171" s="88"/>
      <c r="J171" s="88"/>
      <c r="K171" s="88"/>
    </row>
    <row r="172" spans="1:11">
      <c r="A172" s="164" t="str">
        <f>Calculations!K209</f>
        <v>Impact Fees</v>
      </c>
      <c r="B172" s="106">
        <f>Calculations!L209</f>
        <v>0</v>
      </c>
      <c r="E172" s="106">
        <f>Calculations!M209</f>
        <v>0</v>
      </c>
      <c r="F172" s="106"/>
      <c r="G172" s="106">
        <f>Calculations!N209</f>
        <v>0</v>
      </c>
      <c r="I172" s="88"/>
      <c r="J172" s="88"/>
      <c r="K172" s="88"/>
    </row>
    <row r="173" spans="1:11">
      <c r="A173" s="164" t="str">
        <f>Calculations!K210</f>
        <v>Title &amp; Recording</v>
      </c>
      <c r="B173" s="106">
        <f>Calculations!L210</f>
        <v>0</v>
      </c>
      <c r="E173" s="106">
        <f>Calculations!M210</f>
        <v>0</v>
      </c>
      <c r="F173" s="106"/>
      <c r="G173" s="106">
        <f>Calculations!N210</f>
        <v>0</v>
      </c>
      <c r="I173" s="88"/>
      <c r="J173" s="88"/>
      <c r="K173" s="88"/>
    </row>
    <row r="174" spans="1:11">
      <c r="A174" s="164" t="str">
        <f>Calculations!K211</f>
        <v>Legal Fees</v>
      </c>
      <c r="B174" s="106">
        <f>Calculations!L211</f>
        <v>0</v>
      </c>
      <c r="E174" s="106">
        <f>Calculations!M211</f>
        <v>0</v>
      </c>
      <c r="F174" s="106"/>
      <c r="G174" s="106">
        <f>Calculations!N211</f>
        <v>0</v>
      </c>
      <c r="I174" s="88"/>
      <c r="J174" s="88"/>
      <c r="K174" s="88"/>
    </row>
    <row r="175" spans="1:11">
      <c r="A175" s="164" t="str">
        <f>Calculations!K212</f>
        <v>Prop. Taxes during const</v>
      </c>
      <c r="B175" s="106">
        <f>Calculations!L212</f>
        <v>0</v>
      </c>
      <c r="E175" s="106">
        <f>Calculations!M212</f>
        <v>0</v>
      </c>
      <c r="F175" s="106"/>
      <c r="G175" s="106">
        <f>Calculations!N212</f>
        <v>0</v>
      </c>
      <c r="I175" s="88"/>
      <c r="J175" s="88"/>
      <c r="K175" s="88"/>
    </row>
    <row r="176" spans="1:11">
      <c r="A176" s="164" t="str">
        <f>Calculations!K213</f>
        <v>Other (Specify)</v>
      </c>
      <c r="B176" s="106">
        <f>Calculations!L213</f>
        <v>0</v>
      </c>
      <c r="E176" s="106">
        <f>Calculations!M213</f>
        <v>0</v>
      </c>
      <c r="F176" s="106"/>
      <c r="G176" s="106">
        <f>Calculations!N213</f>
        <v>0</v>
      </c>
      <c r="I176" s="88"/>
      <c r="J176" s="88"/>
      <c r="K176" s="88"/>
    </row>
    <row r="177" spans="1:11">
      <c r="A177" s="164" t="str">
        <f>Calculations!K214</f>
        <v>Other (Specify)</v>
      </c>
      <c r="B177" s="106">
        <f>Calculations!L214</f>
        <v>0</v>
      </c>
      <c r="E177" s="106">
        <f>Calculations!M214</f>
        <v>0</v>
      </c>
      <c r="F177" s="106"/>
      <c r="G177" s="106">
        <f>Calculations!N214</f>
        <v>0</v>
      </c>
      <c r="I177" s="88"/>
      <c r="J177" s="88"/>
      <c r="K177" s="88"/>
    </row>
    <row r="178" spans="1:11">
      <c r="A178" s="164" t="str">
        <f>Calculations!K215</f>
        <v>Other (Specify)</v>
      </c>
      <c r="B178" s="193">
        <f>Calculations!L215</f>
        <v>0</v>
      </c>
      <c r="E178" s="193">
        <f>Calculations!M215</f>
        <v>0</v>
      </c>
      <c r="F178" s="193"/>
      <c r="G178" s="193">
        <f>Calculations!N215</f>
        <v>0</v>
      </c>
      <c r="I178" s="88"/>
      <c r="J178" s="88"/>
      <c r="K178" s="88"/>
    </row>
    <row r="179" spans="1:11">
      <c r="A179" s="164"/>
      <c r="B179" s="105">
        <f>Calculations!L216</f>
        <v>0</v>
      </c>
      <c r="E179" s="132">
        <f>Calculations!M216</f>
        <v>0</v>
      </c>
      <c r="F179" s="132"/>
      <c r="G179" s="132">
        <f>Calculations!N216</f>
        <v>0</v>
      </c>
      <c r="I179" s="88"/>
      <c r="J179" s="88"/>
      <c r="K179" s="88"/>
    </row>
    <row r="180" spans="1:11">
      <c r="A180" s="192" t="str">
        <f>Calculations!K217</f>
        <v>Permanent Financing</v>
      </c>
      <c r="B180" s="135"/>
      <c r="E180" s="135"/>
      <c r="F180" s="135"/>
      <c r="G180" s="135"/>
      <c r="I180" s="88"/>
      <c r="J180" s="88"/>
      <c r="K180" s="88"/>
    </row>
    <row r="181" spans="1:11">
      <c r="A181" s="164" t="str">
        <f>Calculations!K218</f>
        <v>Bond Premium</v>
      </c>
      <c r="B181" s="106">
        <f>Calculations!L218</f>
        <v>0</v>
      </c>
      <c r="E181" s="106">
        <f>Calculations!M218</f>
        <v>0</v>
      </c>
      <c r="F181" s="106"/>
      <c r="G181" s="106">
        <f>Calculations!N218</f>
        <v>0</v>
      </c>
      <c r="I181" s="88"/>
      <c r="J181" s="88"/>
      <c r="K181" s="88"/>
    </row>
    <row r="182" spans="1:11">
      <c r="A182" s="164" t="str">
        <f>Calculations!K219</f>
        <v>Bond Issue 30-day lag reserve</v>
      </c>
      <c r="B182" s="106">
        <f>Calculations!L219</f>
        <v>0</v>
      </c>
      <c r="E182" s="106">
        <f>Calculations!M219</f>
        <v>0</v>
      </c>
      <c r="F182" s="106"/>
      <c r="G182" s="106">
        <f>Calculations!N219</f>
        <v>0</v>
      </c>
      <c r="I182" s="88"/>
      <c r="J182" s="88"/>
      <c r="K182" s="88"/>
    </row>
    <row r="183" spans="1:11">
      <c r="A183" s="164" t="str">
        <f>Calculations!K220</f>
        <v>Discount Points</v>
      </c>
      <c r="B183" s="106">
        <f>Calculations!L220</f>
        <v>0</v>
      </c>
      <c r="E183" s="106">
        <f>Calculations!M220</f>
        <v>0</v>
      </c>
      <c r="F183" s="106"/>
      <c r="G183" s="106">
        <f>Calculations!N220</f>
        <v>0</v>
      </c>
      <c r="I183" s="88"/>
      <c r="J183" s="88"/>
      <c r="K183" s="88"/>
    </row>
    <row r="184" spans="1:11">
      <c r="A184" s="164" t="str">
        <f>Calculations!K221</f>
        <v>Perm Loan Origination</v>
      </c>
      <c r="B184" s="106">
        <f>Calculations!L221</f>
        <v>0</v>
      </c>
      <c r="E184" s="106">
        <f>Calculations!M221</f>
        <v>0</v>
      </c>
      <c r="F184" s="106"/>
      <c r="G184" s="106">
        <f>Calculations!N221</f>
        <v>0</v>
      </c>
      <c r="I184" s="88"/>
      <c r="J184" s="88"/>
      <c r="K184" s="88"/>
    </row>
    <row r="185" spans="1:11">
      <c r="A185" s="164" t="str">
        <f>Calculations!K222</f>
        <v>Credit Enhancement</v>
      </c>
      <c r="B185" s="106">
        <f>Calculations!L222</f>
        <v>0</v>
      </c>
      <c r="E185" s="106">
        <f>Calculations!M222</f>
        <v>0</v>
      </c>
      <c r="F185" s="106"/>
      <c r="G185" s="106">
        <f>Calculations!N222</f>
        <v>0</v>
      </c>
      <c r="I185" s="88"/>
      <c r="J185" s="88"/>
      <c r="K185" s="88"/>
    </row>
    <row r="186" spans="1:11">
      <c r="A186" s="164" t="str">
        <f>Calculations!K223</f>
        <v>Title &amp; Recording</v>
      </c>
      <c r="B186" s="106">
        <f>Calculations!L223</f>
        <v>0</v>
      </c>
      <c r="E186" s="106">
        <f>Calculations!M223</f>
        <v>0</v>
      </c>
      <c r="F186" s="106"/>
      <c r="G186" s="106">
        <f>Calculations!N223</f>
        <v>0</v>
      </c>
      <c r="I186" s="88"/>
      <c r="J186" s="88"/>
      <c r="K186" s="88"/>
    </row>
    <row r="187" spans="1:11">
      <c r="A187" s="164" t="str">
        <f>Calculations!K224</f>
        <v>Legal Fees</v>
      </c>
      <c r="B187" s="106">
        <f>Calculations!L224</f>
        <v>0</v>
      </c>
      <c r="E187" s="106">
        <f>Calculations!M224</f>
        <v>0</v>
      </c>
      <c r="F187" s="106"/>
      <c r="G187" s="106">
        <f>Calculations!N224</f>
        <v>0</v>
      </c>
      <c r="I187" s="88"/>
      <c r="J187" s="88"/>
      <c r="K187" s="88"/>
    </row>
    <row r="188" spans="1:11">
      <c r="A188" s="164" t="str">
        <f>Calculations!K225</f>
        <v>Prepaid MIP</v>
      </c>
      <c r="B188" s="106">
        <f>Calculations!L225</f>
        <v>0</v>
      </c>
      <c r="E188" s="106">
        <f>Calculations!M225</f>
        <v>0</v>
      </c>
      <c r="F188" s="106"/>
      <c r="G188" s="106">
        <f>Calculations!N225</f>
        <v>0</v>
      </c>
      <c r="I188" s="88"/>
      <c r="J188" s="88"/>
      <c r="K188" s="88"/>
    </row>
    <row r="189" spans="1:11">
      <c r="A189" s="164" t="str">
        <f>Calculations!K226</f>
        <v>Other (Specify)</v>
      </c>
      <c r="B189" s="106">
        <f>Calculations!L226</f>
        <v>0</v>
      </c>
      <c r="E189" s="106">
        <f>Calculations!M226</f>
        <v>0</v>
      </c>
      <c r="F189" s="106"/>
      <c r="G189" s="106">
        <f>Calculations!N226</f>
        <v>0</v>
      </c>
      <c r="I189" s="88"/>
      <c r="J189" s="88"/>
      <c r="K189" s="88"/>
    </row>
    <row r="190" spans="1:11">
      <c r="A190" s="164" t="str">
        <f>Calculations!K227</f>
        <v>Other (Specify)</v>
      </c>
      <c r="B190" s="106">
        <f>Calculations!L227</f>
        <v>0</v>
      </c>
      <c r="E190" s="106">
        <f>Calculations!M227</f>
        <v>0</v>
      </c>
      <c r="F190" s="106"/>
      <c r="G190" s="106">
        <f>Calculations!N227</f>
        <v>0</v>
      </c>
      <c r="I190" s="88"/>
      <c r="J190" s="88"/>
      <c r="K190" s="88"/>
    </row>
    <row r="191" spans="1:11">
      <c r="A191" s="164" t="str">
        <f>Calculations!K228</f>
        <v>Other (Specify)</v>
      </c>
      <c r="B191" s="193">
        <f>Calculations!L228</f>
        <v>0</v>
      </c>
      <c r="E191" s="193">
        <f>Calculations!M228</f>
        <v>0</v>
      </c>
      <c r="F191" s="193"/>
      <c r="G191" s="193">
        <f>Calculations!N228</f>
        <v>0</v>
      </c>
      <c r="I191" s="88"/>
      <c r="J191" s="88"/>
      <c r="K191" s="88"/>
    </row>
    <row r="192" spans="1:11">
      <c r="A192" s="164"/>
      <c r="B192" s="105">
        <f>Calculations!L229</f>
        <v>0</v>
      </c>
      <c r="E192" s="132">
        <f>Calculations!M229</f>
        <v>0</v>
      </c>
      <c r="F192" s="132"/>
      <c r="G192" s="132">
        <f>Calculations!N229</f>
        <v>0</v>
      </c>
      <c r="I192" s="88"/>
      <c r="J192" s="88"/>
      <c r="K192" s="88"/>
    </row>
    <row r="193" spans="1:11">
      <c r="A193" s="192" t="str">
        <f>Calculations!K230</f>
        <v>Soft Costs</v>
      </c>
      <c r="B193" s="135"/>
      <c r="E193" s="135"/>
      <c r="F193" s="135"/>
      <c r="G193" s="135"/>
      <c r="I193" s="88"/>
      <c r="J193" s="88"/>
      <c r="K193" s="88"/>
    </row>
    <row r="194" spans="1:11">
      <c r="A194" s="164" t="str">
        <f>Calculations!K231</f>
        <v>Feasibility Study</v>
      </c>
      <c r="B194" s="106">
        <f>Calculations!L231</f>
        <v>0</v>
      </c>
      <c r="E194" s="106">
        <f>Calculations!M231</f>
        <v>0</v>
      </c>
      <c r="F194" s="106"/>
      <c r="G194" s="106">
        <f>Calculations!N231</f>
        <v>0</v>
      </c>
      <c r="I194" s="88"/>
      <c r="J194" s="88"/>
      <c r="K194" s="88"/>
    </row>
    <row r="195" spans="1:11">
      <c r="A195" s="164" t="str">
        <f>Calculations!K232</f>
        <v>Market Study</v>
      </c>
      <c r="B195" s="106">
        <f>Calculations!L232</f>
        <v>0</v>
      </c>
      <c r="E195" s="106">
        <f>Calculations!M232</f>
        <v>0</v>
      </c>
      <c r="F195" s="106"/>
      <c r="G195" s="106">
        <f>Calculations!N232</f>
        <v>0</v>
      </c>
      <c r="I195" s="88"/>
      <c r="J195" s="88"/>
      <c r="K195" s="88"/>
    </row>
    <row r="196" spans="1:11">
      <c r="A196" s="164" t="str">
        <f>Calculations!K233</f>
        <v>Environmental Study</v>
      </c>
      <c r="B196" s="106">
        <f>Calculations!L233</f>
        <v>0</v>
      </c>
      <c r="E196" s="106">
        <f>Calculations!M233</f>
        <v>0</v>
      </c>
      <c r="F196" s="106"/>
      <c r="G196" s="106">
        <f>Calculations!N233</f>
        <v>0</v>
      </c>
      <c r="I196" s="88"/>
      <c r="J196" s="88"/>
      <c r="K196" s="88"/>
    </row>
    <row r="197" spans="1:11">
      <c r="A197" s="164" t="str">
        <f>Calculations!K234</f>
        <v>Tax Credit Fees</v>
      </c>
      <c r="B197" s="106">
        <f>Calculations!L234</f>
        <v>0</v>
      </c>
      <c r="E197" s="106">
        <f>Calculations!M234</f>
        <v>0</v>
      </c>
      <c r="F197" s="106"/>
      <c r="G197" s="106">
        <f>Calculations!N234</f>
        <v>0</v>
      </c>
      <c r="I197" s="88"/>
      <c r="J197" s="88"/>
      <c r="K197" s="88"/>
    </row>
    <row r="198" spans="1:11">
      <c r="A198" s="164" t="str">
        <f>Calculations!K235</f>
        <v>Compliance Fees</v>
      </c>
      <c r="B198" s="106">
        <f>Calculations!L235</f>
        <v>0</v>
      </c>
      <c r="E198" s="106">
        <f>Calculations!M235</f>
        <v>0</v>
      </c>
      <c r="F198" s="106"/>
      <c r="G198" s="106">
        <f>Calculations!N235</f>
        <v>0</v>
      </c>
      <c r="I198" s="88"/>
      <c r="J198" s="88"/>
      <c r="K198" s="88"/>
    </row>
    <row r="199" spans="1:11">
      <c r="A199" s="164" t="str">
        <f>Calculations!K236</f>
        <v>Appraisal</v>
      </c>
      <c r="B199" s="106">
        <f>Calculations!L236</f>
        <v>0</v>
      </c>
      <c r="E199" s="106">
        <f>Calculations!M236</f>
        <v>0</v>
      </c>
      <c r="F199" s="106"/>
      <c r="G199" s="106">
        <f>Calculations!N236</f>
        <v>0</v>
      </c>
      <c r="I199" s="88"/>
      <c r="J199" s="88"/>
      <c r="K199" s="88"/>
    </row>
    <row r="200" spans="1:11">
      <c r="A200" s="164" t="str">
        <f>Calculations!K237</f>
        <v>Cost Certification</v>
      </c>
      <c r="B200" s="106">
        <f>Calculations!L237</f>
        <v>0</v>
      </c>
      <c r="E200" s="106">
        <f>Calculations!M237</f>
        <v>0</v>
      </c>
      <c r="F200" s="106"/>
      <c r="G200" s="106">
        <f>Calculations!N237</f>
        <v>0</v>
      </c>
      <c r="I200" s="88"/>
      <c r="J200" s="88"/>
      <c r="K200" s="88"/>
    </row>
    <row r="201" spans="1:11">
      <c r="A201" s="164" t="str">
        <f>Calculations!K238</f>
        <v>Other (Specify)</v>
      </c>
      <c r="B201" s="106">
        <f>Calculations!L238</f>
        <v>0</v>
      </c>
      <c r="E201" s="106">
        <f>Calculations!M238</f>
        <v>0</v>
      </c>
      <c r="F201" s="106"/>
      <c r="G201" s="106">
        <f>Calculations!N238</f>
        <v>0</v>
      </c>
      <c r="I201" s="88"/>
      <c r="J201" s="88"/>
      <c r="K201" s="88"/>
    </row>
    <row r="202" spans="1:11">
      <c r="A202" s="164" t="str">
        <f>Calculations!K239</f>
        <v>Other (Specify)</v>
      </c>
      <c r="B202" s="106">
        <f>Calculations!L239</f>
        <v>0</v>
      </c>
      <c r="E202" s="106">
        <f>Calculations!M239</f>
        <v>0</v>
      </c>
      <c r="F202" s="106"/>
      <c r="G202" s="106">
        <f>Calculations!N239</f>
        <v>0</v>
      </c>
      <c r="I202" s="88"/>
      <c r="J202" s="88"/>
      <c r="K202" s="88"/>
    </row>
    <row r="203" spans="1:11">
      <c r="A203" s="164" t="str">
        <f>Calculations!K240</f>
        <v>Other (Specify)</v>
      </c>
      <c r="B203" s="193">
        <f>Calculations!L240</f>
        <v>0</v>
      </c>
      <c r="E203" s="193">
        <f>Calculations!M240</f>
        <v>0</v>
      </c>
      <c r="F203" s="193"/>
      <c r="G203" s="193">
        <f>Calculations!N240</f>
        <v>0</v>
      </c>
      <c r="I203" s="88"/>
      <c r="J203" s="88"/>
      <c r="K203" s="88"/>
    </row>
    <row r="204" spans="1:11">
      <c r="A204" s="164"/>
      <c r="B204" s="105">
        <f>Calculations!L241</f>
        <v>0</v>
      </c>
      <c r="E204" s="132">
        <f>Calculations!M241</f>
        <v>0</v>
      </c>
      <c r="F204" s="132"/>
      <c r="G204" s="132">
        <f>Calculations!N241</f>
        <v>0</v>
      </c>
      <c r="I204" s="88"/>
      <c r="J204" s="88"/>
      <c r="K204" s="88"/>
    </row>
    <row r="205" spans="1:11">
      <c r="A205" s="192" t="str">
        <f>Calculations!K242</f>
        <v>Syndication Costs</v>
      </c>
      <c r="B205" s="135"/>
      <c r="E205" s="135"/>
      <c r="F205" s="135"/>
      <c r="G205" s="135"/>
      <c r="I205" s="88"/>
      <c r="J205" s="88"/>
      <c r="K205" s="88"/>
    </row>
    <row r="206" spans="1:11">
      <c r="A206" s="164" t="str">
        <f>Calculations!K243</f>
        <v>Organization Costs</v>
      </c>
      <c r="B206" s="106">
        <f>Calculations!L243</f>
        <v>0</v>
      </c>
      <c r="E206" s="106">
        <f>Calculations!M243</f>
        <v>0</v>
      </c>
      <c r="F206" s="106"/>
      <c r="G206" s="106">
        <f>Calculations!N243</f>
        <v>0</v>
      </c>
      <c r="I206" s="88"/>
      <c r="J206" s="88"/>
      <c r="K206" s="88"/>
    </row>
    <row r="207" spans="1:11">
      <c r="A207" s="164" t="str">
        <f>Calculations!K244</f>
        <v>Bridge Loan</v>
      </c>
      <c r="B207" s="106">
        <f>Calculations!L244</f>
        <v>0</v>
      </c>
      <c r="E207" s="106">
        <f>Calculations!M244</f>
        <v>0</v>
      </c>
      <c r="F207" s="106"/>
      <c r="G207" s="106">
        <f>Calculations!N244</f>
        <v>0</v>
      </c>
      <c r="I207" s="88"/>
      <c r="J207" s="88"/>
      <c r="K207" s="88"/>
    </row>
    <row r="208" spans="1:11">
      <c r="A208" s="164" t="str">
        <f>Calculations!K245</f>
        <v>Tax Opinion</v>
      </c>
      <c r="B208" s="106">
        <f>Calculations!L245</f>
        <v>0</v>
      </c>
      <c r="E208" s="106">
        <f>Calculations!M245</f>
        <v>0</v>
      </c>
      <c r="F208" s="106"/>
      <c r="G208" s="106">
        <f>Calculations!N245</f>
        <v>0</v>
      </c>
      <c r="I208" s="88"/>
      <c r="J208" s="88"/>
      <c r="K208" s="88"/>
    </row>
    <row r="209" spans="1:11">
      <c r="A209" s="164" t="str">
        <f>Calculations!K246</f>
        <v>Other (Specify)</v>
      </c>
      <c r="B209" s="106">
        <f>Calculations!L246</f>
        <v>0</v>
      </c>
      <c r="E209" s="106">
        <f>Calculations!M246</f>
        <v>0</v>
      </c>
      <c r="F209" s="106"/>
      <c r="G209" s="106">
        <f>Calculations!N246</f>
        <v>0</v>
      </c>
      <c r="I209" s="88"/>
      <c r="J209" s="88"/>
      <c r="K209" s="88"/>
    </row>
    <row r="210" spans="1:11">
      <c r="A210" s="164" t="str">
        <f>Calculations!K247</f>
        <v>Other (Specify)</v>
      </c>
      <c r="B210" s="106">
        <f>Calculations!L247</f>
        <v>0</v>
      </c>
      <c r="E210" s="106">
        <f>Calculations!M247</f>
        <v>0</v>
      </c>
      <c r="F210" s="106"/>
      <c r="G210" s="106">
        <f>Calculations!N247</f>
        <v>0</v>
      </c>
      <c r="I210" s="88"/>
      <c r="J210" s="88"/>
      <c r="K210" s="88"/>
    </row>
    <row r="211" spans="1:11">
      <c r="A211" s="164" t="str">
        <f>Calculations!K248</f>
        <v>Other - Accounting</v>
      </c>
      <c r="B211" s="193">
        <f>Calculations!L248</f>
        <v>0</v>
      </c>
      <c r="E211" s="193">
        <f>Calculations!M248</f>
        <v>0</v>
      </c>
      <c r="F211" s="193"/>
      <c r="G211" s="193">
        <f>Calculations!N248</f>
        <v>0</v>
      </c>
      <c r="I211" s="88"/>
      <c r="J211" s="88"/>
      <c r="K211" s="88"/>
    </row>
    <row r="212" spans="1:11">
      <c r="A212" s="164"/>
      <c r="B212" s="105">
        <f>Calculations!L249</f>
        <v>0</v>
      </c>
      <c r="E212" s="132">
        <f>Calculations!M249</f>
        <v>0</v>
      </c>
      <c r="F212" s="132"/>
      <c r="G212" s="132">
        <f>Calculations!N249</f>
        <v>0</v>
      </c>
      <c r="I212" s="88"/>
      <c r="J212" s="88"/>
      <c r="K212" s="88"/>
    </row>
    <row r="213" spans="1:11">
      <c r="A213" s="192" t="str">
        <f>Calculations!K250</f>
        <v>Developer Fees</v>
      </c>
      <c r="B213" s="135"/>
      <c r="E213" s="135"/>
      <c r="F213" s="135"/>
      <c r="G213" s="135"/>
      <c r="I213" s="88"/>
      <c r="J213" s="88"/>
      <c r="K213" s="88"/>
    </row>
    <row r="214" spans="1:11">
      <c r="A214" s="164" t="str">
        <f>Calculations!K251</f>
        <v>Developer Fee</v>
      </c>
      <c r="B214" s="106">
        <f>Calculations!L251</f>
        <v>0</v>
      </c>
      <c r="E214" s="106">
        <f>Calculations!M251</f>
        <v>0</v>
      </c>
      <c r="F214" s="106"/>
      <c r="G214" s="106">
        <f>Calculations!N251</f>
        <v>0</v>
      </c>
      <c r="I214" s="88"/>
      <c r="J214" s="88"/>
      <c r="K214" s="88"/>
    </row>
    <row r="215" spans="1:11">
      <c r="A215" s="164" t="str">
        <f>Calculations!K252</f>
        <v>Developer Overhead</v>
      </c>
      <c r="B215" s="106">
        <f>Calculations!L252</f>
        <v>0</v>
      </c>
      <c r="E215" s="106">
        <f>Calculations!M252</f>
        <v>0</v>
      </c>
      <c r="F215" s="106"/>
      <c r="G215" s="106">
        <f>Calculations!N252</f>
        <v>0</v>
      </c>
      <c r="I215" s="88"/>
      <c r="J215" s="88"/>
      <c r="K215" s="88"/>
    </row>
    <row r="216" spans="1:11">
      <c r="A216" s="164" t="str">
        <f>Calculations!K253</f>
        <v>Developer Profit</v>
      </c>
      <c r="B216" s="106">
        <f>Calculations!L253</f>
        <v>0</v>
      </c>
      <c r="E216" s="106">
        <f>Calculations!M253</f>
        <v>0</v>
      </c>
      <c r="F216" s="106"/>
      <c r="G216" s="106">
        <f>Calculations!N253</f>
        <v>0</v>
      </c>
      <c r="I216" s="88"/>
      <c r="J216" s="88"/>
      <c r="K216" s="88"/>
    </row>
    <row r="217" spans="1:11">
      <c r="A217" s="164" t="str">
        <f>Calculations!K254</f>
        <v>Other (Specify)</v>
      </c>
      <c r="B217" s="193">
        <f>Calculations!L254</f>
        <v>0</v>
      </c>
      <c r="E217" s="193">
        <f>Calculations!M254</f>
        <v>0</v>
      </c>
      <c r="F217" s="193"/>
      <c r="G217" s="193">
        <f>Calculations!N254</f>
        <v>0</v>
      </c>
      <c r="I217" s="88"/>
      <c r="J217" s="88"/>
      <c r="K217" s="88"/>
    </row>
    <row r="218" spans="1:11">
      <c r="A218" s="164"/>
      <c r="B218" s="105">
        <f>Calculations!L255</f>
        <v>0</v>
      </c>
      <c r="E218" s="132">
        <f>Calculations!M255</f>
        <v>0</v>
      </c>
      <c r="F218" s="132"/>
      <c r="G218" s="132">
        <f>Calculations!N255</f>
        <v>0</v>
      </c>
      <c r="I218" s="88"/>
      <c r="J218" s="88"/>
      <c r="K218" s="88"/>
    </row>
    <row r="219" spans="1:11">
      <c r="A219" s="192" t="str">
        <f>Calculations!K256</f>
        <v>Project Reserves</v>
      </c>
      <c r="B219" s="135"/>
      <c r="E219" s="135"/>
      <c r="F219" s="135"/>
      <c r="G219" s="135"/>
      <c r="I219" s="88"/>
      <c r="J219" s="88"/>
      <c r="K219" s="88"/>
    </row>
    <row r="220" spans="1:11">
      <c r="A220" s="164" t="str">
        <f>Calculations!K257</f>
        <v>Rent-up Reserves</v>
      </c>
      <c r="B220" s="106">
        <f>Calculations!L257</f>
        <v>0</v>
      </c>
      <c r="E220" s="106">
        <f>Calculations!M257</f>
        <v>0</v>
      </c>
      <c r="F220" s="106"/>
      <c r="G220" s="106">
        <f>Calculations!N257</f>
        <v>0</v>
      </c>
      <c r="I220" s="88"/>
      <c r="J220" s="88"/>
      <c r="K220" s="88"/>
    </row>
    <row r="221" spans="1:11">
      <c r="A221" s="164" t="str">
        <f>Calculations!K258</f>
        <v>Operating Reserves</v>
      </c>
      <c r="B221" s="106">
        <f>Calculations!L258</f>
        <v>0</v>
      </c>
      <c r="E221" s="106">
        <f>Calculations!M258</f>
        <v>0</v>
      </c>
      <c r="F221" s="106"/>
      <c r="G221" s="106">
        <f>Calculations!N258</f>
        <v>0</v>
      </c>
      <c r="I221" s="88"/>
      <c r="J221" s="88"/>
      <c r="K221" s="88"/>
    </row>
    <row r="222" spans="1:11">
      <c r="A222" s="164" t="str">
        <f>Calculations!K259</f>
        <v>Replacement Reserves</v>
      </c>
      <c r="B222" s="106">
        <f>Calculations!L259</f>
        <v>0</v>
      </c>
      <c r="E222" s="106">
        <f>Calculations!M259</f>
        <v>0</v>
      </c>
      <c r="F222" s="106"/>
      <c r="G222" s="106">
        <f>Calculations!N259</f>
        <v>0</v>
      </c>
      <c r="I222" s="88"/>
      <c r="J222" s="88"/>
      <c r="K222" s="88"/>
    </row>
    <row r="223" spans="1:11">
      <c r="A223" s="164" t="str">
        <f>Calculations!K260</f>
        <v>Escrows</v>
      </c>
      <c r="B223" s="106">
        <f>Calculations!L260</f>
        <v>0</v>
      </c>
      <c r="E223" s="106">
        <f>Calculations!M260</f>
        <v>0</v>
      </c>
      <c r="F223" s="106"/>
      <c r="G223" s="106">
        <f>Calculations!N260</f>
        <v>0</v>
      </c>
      <c r="I223" s="88"/>
      <c r="J223" s="88"/>
      <c r="K223" s="88"/>
    </row>
    <row r="224" spans="1:11">
      <c r="A224" s="164" t="str">
        <f>Calculations!K261</f>
        <v>Other (Specify)</v>
      </c>
      <c r="B224" s="193">
        <f>Calculations!L261</f>
        <v>0</v>
      </c>
      <c r="E224" s="193">
        <f>Calculations!M261</f>
        <v>0</v>
      </c>
      <c r="F224" s="193"/>
      <c r="G224" s="193">
        <f>Calculations!N261</f>
        <v>0</v>
      </c>
      <c r="I224" s="88"/>
      <c r="J224" s="88"/>
      <c r="K224" s="88"/>
    </row>
    <row r="225" spans="1:11" ht="15.75" thickBot="1">
      <c r="A225" s="192"/>
      <c r="B225" s="105">
        <f>Calculations!L262</f>
        <v>0</v>
      </c>
      <c r="E225" s="132">
        <f>Calculations!M262</f>
        <v>0</v>
      </c>
      <c r="F225" s="132"/>
      <c r="G225" s="132">
        <f>Calculations!N262</f>
        <v>0</v>
      </c>
      <c r="I225" s="88"/>
      <c r="J225" s="88"/>
      <c r="K225" s="88"/>
    </row>
    <row r="226" spans="1:11" ht="15.75" thickTop="1">
      <c r="A226" s="68" t="s">
        <v>1060</v>
      </c>
      <c r="B226" s="198">
        <f>Calculations!L263</f>
        <v>0</v>
      </c>
      <c r="E226" s="198">
        <f>Calculations!M263</f>
        <v>0</v>
      </c>
      <c r="F226" s="198"/>
      <c r="G226" s="198">
        <f>Calculations!N263</f>
        <v>0</v>
      </c>
      <c r="I226" s="88"/>
      <c r="J226" s="88"/>
      <c r="K226" s="88"/>
    </row>
  </sheetData>
  <sheetProtection algorithmName="SHA-512" hashValue="5QBhGDk9AiEVmuZHdqtNAXJXSqwZtj+vtrr5NjoJUlOysVmD1omjAjp1X3GX0vDf42vvmoXe2CRbpvTpBIwkEA==" saltValue="1i/m3tTGCPTabv69gLOUaA=="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66FFFF"/>
    <pageSetUpPr fitToPage="1"/>
  </sheetPr>
  <dimension ref="A1:R101"/>
  <sheetViews>
    <sheetView zoomScale="99" zoomScaleNormal="99" workbookViewId="0"/>
  </sheetViews>
  <sheetFormatPr defaultColWidth="9" defaultRowHeight="15"/>
  <cols>
    <col min="1" max="1" width="5.85546875" style="326" customWidth="1"/>
    <col min="2" max="2" width="38.140625" style="326" customWidth="1"/>
    <col min="3" max="3" width="23" style="326" customWidth="1"/>
    <col min="4" max="4" width="28" style="659" customWidth="1"/>
    <col min="5" max="5" width="27.7109375" style="326" customWidth="1"/>
    <col min="6" max="6" width="26" style="326" customWidth="1"/>
    <col min="7" max="7" width="19.85546875" style="326" customWidth="1"/>
    <col min="8" max="8" width="32.5703125" style="326" customWidth="1"/>
    <col min="9" max="9" width="16.5703125" style="326" customWidth="1"/>
    <col min="10" max="24" width="14.5703125" style="326" customWidth="1"/>
    <col min="25" max="16384" width="9" style="326"/>
  </cols>
  <sheetData>
    <row r="1" spans="1:11" ht="15.75">
      <c r="A1"/>
      <c r="B1"/>
      <c r="C1"/>
      <c r="D1" s="77"/>
      <c r="E1"/>
      <c r="F1"/>
      <c r="G1"/>
      <c r="H1"/>
      <c r="I1"/>
      <c r="J1" s="660"/>
    </row>
    <row r="2" spans="1:11" ht="20.25">
      <c r="A2" s="565"/>
      <c r="B2" s="566" t="s">
        <v>1061</v>
      </c>
      <c r="C2" s="567"/>
      <c r="D2" s="651"/>
      <c r="E2"/>
      <c r="F2" s="696" t="s">
        <v>1062</v>
      </c>
      <c r="G2" s="697"/>
      <c r="H2" s="582"/>
      <c r="I2"/>
      <c r="J2" s="327"/>
    </row>
    <row r="3" spans="1:11" ht="18">
      <c r="A3" s="565"/>
      <c r="B3" s="565" t="s">
        <v>1063</v>
      </c>
      <c r="C3" s="844">
        <f>Application!B27</f>
        <v>0</v>
      </c>
      <c r="D3" s="652"/>
      <c r="E3" s="568"/>
      <c r="F3" s="568"/>
      <c r="G3"/>
      <c r="H3" s="569"/>
      <c r="I3"/>
      <c r="J3" s="660"/>
    </row>
    <row r="4" spans="1:11" ht="18">
      <c r="A4" s="565"/>
      <c r="B4" s="565" t="s">
        <v>1064</v>
      </c>
      <c r="C4" s="570">
        <f ca="1">TODAY()</f>
        <v>45447</v>
      </c>
      <c r="D4" s="652"/>
      <c r="E4" s="565"/>
      <c r="F4"/>
      <c r="G4"/>
      <c r="H4" s="582"/>
      <c r="I4"/>
      <c r="J4" s="327"/>
    </row>
    <row r="5" spans="1:11" ht="18">
      <c r="A5" s="565"/>
      <c r="B5" s="565" t="s">
        <v>1065</v>
      </c>
      <c r="C5" s="844">
        <f>'Contact Information'!B4</f>
        <v>0</v>
      </c>
      <c r="D5" s="652"/>
      <c r="E5" s="567"/>
      <c r="F5"/>
      <c r="G5"/>
      <c r="H5" s="582"/>
      <c r="I5"/>
      <c r="J5" s="327"/>
    </row>
    <row r="6" spans="1:11" ht="18">
      <c r="A6" s="571"/>
      <c r="B6" s="571" t="s">
        <v>1066</v>
      </c>
      <c r="C6" s="843">
        <v>44835</v>
      </c>
      <c r="D6" s="652"/>
      <c r="E6" s="565"/>
      <c r="F6"/>
      <c r="G6"/>
      <c r="H6" s="582"/>
      <c r="I6"/>
      <c r="J6" s="327"/>
    </row>
    <row r="7" spans="1:11" ht="15.6" customHeight="1">
      <c r="A7"/>
      <c r="B7" s="571" t="s">
        <v>1067</v>
      </c>
      <c r="C7" s="665">
        <f>Calculations!B13</f>
        <v>0</v>
      </c>
      <c r="D7" s="77"/>
      <c r="E7"/>
      <c r="F7" s="698"/>
      <c r="G7"/>
      <c r="H7" s="582"/>
      <c r="I7"/>
      <c r="J7" s="327"/>
    </row>
    <row r="8" spans="1:11" ht="15.6" customHeight="1" thickBot="1">
      <c r="A8" s="572"/>
      <c r="B8" s="572"/>
      <c r="C8" s="572"/>
      <c r="D8" s="77"/>
      <c r="E8"/>
      <c r="F8"/>
      <c r="G8"/>
      <c r="H8" s="582"/>
      <c r="I8"/>
      <c r="J8" s="327"/>
    </row>
    <row r="9" spans="1:11" ht="15.6" customHeight="1" thickTop="1">
      <c r="A9" s="699"/>
      <c r="B9" s="573" t="s">
        <v>41</v>
      </c>
      <c r="C9" s="574"/>
      <c r="D9" s="653" t="s">
        <v>1068</v>
      </c>
      <c r="E9" s="575" t="s">
        <v>1069</v>
      </c>
      <c r="F9" s="576" t="s">
        <v>1070</v>
      </c>
      <c r="G9" s="567"/>
      <c r="H9" s="700" t="s">
        <v>1071</v>
      </c>
      <c r="I9" s="661">
        <f>Calculations!H59</f>
        <v>0</v>
      </c>
      <c r="J9" s="329"/>
    </row>
    <row r="10" spans="1:11" ht="15.6" customHeight="1">
      <c r="A10" s="572"/>
      <c r="B10" s="701" t="s">
        <v>1072</v>
      </c>
      <c r="C10" s="577"/>
      <c r="D10" s="654"/>
      <c r="E10" s="578"/>
      <c r="F10" s="579"/>
      <c r="G10" s="567"/>
      <c r="H10" s="702" t="s">
        <v>1073</v>
      </c>
      <c r="I10" s="580">
        <f>Calculations!M52</f>
        <v>0</v>
      </c>
      <c r="J10" s="329"/>
    </row>
    <row r="11" spans="1:11" ht="15.75">
      <c r="A11" s="582"/>
      <c r="B11" s="581" t="s">
        <v>1074</v>
      </c>
      <c r="C11" s="582"/>
      <c r="D11" s="793">
        <f>Calculations!B169</f>
        <v>0</v>
      </c>
      <c r="E11" s="583" t="e">
        <f t="shared" ref="E11:E12" si="0">(D11/$I$12)</f>
        <v>#DIV/0!</v>
      </c>
      <c r="F11" s="584" t="e">
        <f t="shared" ref="F11:F12" si="1">(D11/$I$11)</f>
        <v>#DIV/0!</v>
      </c>
      <c r="G11" s="567"/>
      <c r="H11" s="702" t="s">
        <v>1075</v>
      </c>
      <c r="I11" s="585">
        <f>I9+I10</f>
        <v>0</v>
      </c>
      <c r="J11" s="329"/>
      <c r="K11" s="328"/>
    </row>
    <row r="12" spans="1:11" ht="16.5" thickBot="1">
      <c r="A12" s="582"/>
      <c r="B12" s="581" t="s">
        <v>419</v>
      </c>
      <c r="C12" s="582"/>
      <c r="D12" s="793">
        <f>Calculations!B170</f>
        <v>0</v>
      </c>
      <c r="E12" s="583" t="e">
        <f t="shared" si="0"/>
        <v>#DIV/0!</v>
      </c>
      <c r="F12" s="584" t="e">
        <f t="shared" si="1"/>
        <v>#DIV/0!</v>
      </c>
      <c r="G12" s="567"/>
      <c r="H12" s="703" t="s">
        <v>918</v>
      </c>
      <c r="I12" s="662">
        <f>'Income+Expense'!D43</f>
        <v>0</v>
      </c>
      <c r="J12" s="327"/>
      <c r="K12" s="328"/>
    </row>
    <row r="13" spans="1:11" ht="16.5" thickTop="1">
      <c r="A13" s="572"/>
      <c r="B13" s="702" t="s">
        <v>1076</v>
      </c>
      <c r="C13" s="572"/>
      <c r="D13" s="655">
        <f t="shared" ref="D13:F13" si="2">SUM(D11:D12)</f>
        <v>0</v>
      </c>
      <c r="E13" s="704" t="e">
        <f t="shared" si="2"/>
        <v>#DIV/0!</v>
      </c>
      <c r="F13" s="705" t="e">
        <f t="shared" si="2"/>
        <v>#DIV/0!</v>
      </c>
      <c r="G13" s="567"/>
      <c r="H13" s="582"/>
      <c r="I13" s="567"/>
      <c r="J13" s="327"/>
      <c r="K13" s="328"/>
    </row>
    <row r="14" spans="1:11" ht="15.75">
      <c r="A14" s="572"/>
      <c r="B14" s="701" t="s">
        <v>1077</v>
      </c>
      <c r="C14" s="577"/>
      <c r="D14" s="654"/>
      <c r="E14" s="578"/>
      <c r="F14" s="579"/>
      <c r="G14" s="582"/>
      <c r="H14" s="582"/>
      <c r="I14" s="567"/>
      <c r="K14" s="328"/>
    </row>
    <row r="15" spans="1:11">
      <c r="A15" s="586"/>
      <c r="B15" s="581" t="s">
        <v>1078</v>
      </c>
      <c r="C15" s="582"/>
      <c r="D15" s="793">
        <f>Calculations!B174</f>
        <v>0</v>
      </c>
      <c r="E15" s="583" t="e">
        <f t="shared" ref="E15:E17" si="3">(D15/$I$12)</f>
        <v>#DIV/0!</v>
      </c>
      <c r="F15" s="584" t="e">
        <f t="shared" ref="F15:F17" si="4">(D15/$I$11)</f>
        <v>#DIV/0!</v>
      </c>
      <c r="G15" s="582"/>
      <c r="H15" s="582"/>
      <c r="I15" s="794" t="e">
        <f>I10/I11</f>
        <v>#DIV/0!</v>
      </c>
      <c r="K15" s="328"/>
    </row>
    <row r="16" spans="1:11">
      <c r="A16" s="586"/>
      <c r="B16" s="581" t="s">
        <v>1079</v>
      </c>
      <c r="C16" s="582"/>
      <c r="D16" s="793">
        <f>Calculations!B175</f>
        <v>0</v>
      </c>
      <c r="E16" s="583" t="e">
        <f t="shared" si="3"/>
        <v>#DIV/0!</v>
      </c>
      <c r="F16" s="584" t="e">
        <f t="shared" si="4"/>
        <v>#DIV/0!</v>
      </c>
      <c r="G16" s="582"/>
      <c r="H16" s="582"/>
      <c r="I16" s="567"/>
    </row>
    <row r="17" spans="1:11">
      <c r="A17" s="582"/>
      <c r="B17" s="581" t="s">
        <v>420</v>
      </c>
      <c r="C17" s="582"/>
      <c r="D17" s="793">
        <f>Calculations!B171</f>
        <v>0</v>
      </c>
      <c r="E17" s="583" t="e">
        <f t="shared" si="3"/>
        <v>#DIV/0!</v>
      </c>
      <c r="F17" s="584" t="e">
        <f t="shared" si="4"/>
        <v>#DIV/0!</v>
      </c>
      <c r="G17" s="582"/>
      <c r="H17" s="582"/>
      <c r="I17" s="567"/>
    </row>
    <row r="18" spans="1:11" ht="15.75">
      <c r="A18" s="572"/>
      <c r="B18" s="702" t="s">
        <v>1076</v>
      </c>
      <c r="C18" s="572"/>
      <c r="D18" s="655">
        <f t="shared" ref="D18:F18" si="5">SUM(D15:D17)</f>
        <v>0</v>
      </c>
      <c r="E18" s="704" t="e">
        <f t="shared" si="5"/>
        <v>#DIV/0!</v>
      </c>
      <c r="F18" s="705" t="e">
        <f t="shared" si="5"/>
        <v>#DIV/0!</v>
      </c>
      <c r="G18" s="582"/>
      <c r="H18" s="582"/>
      <c r="I18" s="567"/>
    </row>
    <row r="19" spans="1:11" ht="15.75">
      <c r="A19" s="572"/>
      <c r="B19" s="701" t="s">
        <v>1080</v>
      </c>
      <c r="C19" s="577"/>
      <c r="D19" s="654"/>
      <c r="E19" s="578"/>
      <c r="F19" s="579"/>
      <c r="G19" s="582"/>
      <c r="H19" s="582"/>
      <c r="I19" s="567"/>
    </row>
    <row r="20" spans="1:11">
      <c r="A20" s="586"/>
      <c r="B20" s="581" t="s">
        <v>1081</v>
      </c>
      <c r="C20" s="582"/>
      <c r="D20" s="793">
        <f>Calculations!B178</f>
        <v>0</v>
      </c>
      <c r="E20" s="583" t="e">
        <f t="shared" ref="E20:E28" si="6">(D20/$I$12)</f>
        <v>#DIV/0!</v>
      </c>
      <c r="F20" s="584" t="e">
        <f t="shared" ref="F20:F28" si="7">(D20/$I$11)</f>
        <v>#DIV/0!</v>
      </c>
      <c r="G20" s="582"/>
      <c r="H20" s="582"/>
      <c r="I20" s="567"/>
      <c r="K20" s="328"/>
    </row>
    <row r="21" spans="1:11">
      <c r="A21" s="586"/>
      <c r="B21" s="581" t="s">
        <v>426</v>
      </c>
      <c r="C21" s="582"/>
      <c r="D21" s="793">
        <f>Calculations!B179</f>
        <v>0</v>
      </c>
      <c r="E21" s="583" t="e">
        <f t="shared" si="6"/>
        <v>#DIV/0!</v>
      </c>
      <c r="F21" s="584" t="e">
        <f t="shared" si="7"/>
        <v>#DIV/0!</v>
      </c>
      <c r="G21" s="582"/>
      <c r="H21" s="582"/>
      <c r="I21" s="582"/>
      <c r="K21" s="328"/>
    </row>
    <row r="22" spans="1:11">
      <c r="A22" s="582"/>
      <c r="B22" s="581" t="s">
        <v>429</v>
      </c>
      <c r="C22" s="582"/>
      <c r="D22" s="793">
        <f>Calculations!B182</f>
        <v>0</v>
      </c>
      <c r="E22" s="583" t="e">
        <f t="shared" si="6"/>
        <v>#DIV/0!</v>
      </c>
      <c r="F22" s="584" t="e">
        <f t="shared" si="7"/>
        <v>#DIV/0!</v>
      </c>
      <c r="G22" s="582"/>
      <c r="H22" s="582"/>
      <c r="I22" s="567"/>
    </row>
    <row r="23" spans="1:11">
      <c r="A23" s="582"/>
      <c r="B23" s="581" t="s">
        <v>1082</v>
      </c>
      <c r="C23" s="582"/>
      <c r="D23" s="793">
        <f>Calculations!B183+Calculations!B184</f>
        <v>0</v>
      </c>
      <c r="E23" s="583" t="e">
        <f t="shared" si="6"/>
        <v>#DIV/0!</v>
      </c>
      <c r="F23" s="584" t="e">
        <f t="shared" si="7"/>
        <v>#DIV/0!</v>
      </c>
      <c r="G23" s="582"/>
      <c r="H23" s="582"/>
      <c r="I23" s="567"/>
    </row>
    <row r="24" spans="1:11">
      <c r="A24" s="582"/>
      <c r="B24" s="581" t="s">
        <v>432</v>
      </c>
      <c r="C24" s="582"/>
      <c r="D24" s="793">
        <f>Calculations!B185</f>
        <v>0</v>
      </c>
      <c r="E24" s="583" t="e">
        <f t="shared" si="6"/>
        <v>#DIV/0!</v>
      </c>
      <c r="F24" s="584" t="e">
        <f t="shared" si="7"/>
        <v>#DIV/0!</v>
      </c>
      <c r="G24" s="587" t="e">
        <f>+D24/(D15+D16+D17+D20+D21+D22+D23+D26)</f>
        <v>#DIV/0!</v>
      </c>
      <c r="H24" s="588" t="s">
        <v>1083</v>
      </c>
      <c r="I24" s="582"/>
      <c r="K24" s="328"/>
    </row>
    <row r="25" spans="1:11">
      <c r="A25" s="582"/>
      <c r="B25" s="581" t="s">
        <v>433</v>
      </c>
      <c r="C25" s="582"/>
      <c r="D25" s="793">
        <f>Calculations!B186</f>
        <v>0</v>
      </c>
      <c r="E25" s="583" t="e">
        <f t="shared" si="6"/>
        <v>#DIV/0!</v>
      </c>
      <c r="F25" s="584" t="e">
        <f t="shared" si="7"/>
        <v>#DIV/0!</v>
      </c>
      <c r="G25" s="587" t="e">
        <f>+D25/(D15+D16+D17+D20+D21+D22+D23+D26)</f>
        <v>#DIV/0!</v>
      </c>
      <c r="H25" s="588" t="s">
        <v>1083</v>
      </c>
      <c r="I25" s="582"/>
      <c r="K25" s="328"/>
    </row>
    <row r="26" spans="1:11">
      <c r="A26" s="582"/>
      <c r="B26" s="581" t="s">
        <v>1084</v>
      </c>
      <c r="C26" s="582"/>
      <c r="D26" s="793">
        <f>Calculations!B187</f>
        <v>0</v>
      </c>
      <c r="E26" s="583" t="e">
        <f t="shared" si="6"/>
        <v>#DIV/0!</v>
      </c>
      <c r="F26" s="584" t="e">
        <f t="shared" si="7"/>
        <v>#DIV/0!</v>
      </c>
      <c r="G26" s="589"/>
      <c r="H26" s="590"/>
      <c r="I26" s="582"/>
    </row>
    <row r="27" spans="1:11">
      <c r="A27" s="586"/>
      <c r="B27" s="581" t="s">
        <v>1085</v>
      </c>
      <c r="C27" s="591"/>
      <c r="D27" s="793">
        <f>Calculations!B188</f>
        <v>0</v>
      </c>
      <c r="E27" s="583" t="e">
        <f t="shared" si="6"/>
        <v>#DIV/0!</v>
      </c>
      <c r="F27" s="584" t="e">
        <f t="shared" si="7"/>
        <v>#DIV/0!</v>
      </c>
      <c r="G27" s="589"/>
      <c r="H27" s="590"/>
      <c r="I27" s="582"/>
    </row>
    <row r="28" spans="1:11">
      <c r="A28" s="582"/>
      <c r="B28" s="592" t="s">
        <v>1086</v>
      </c>
      <c r="C28" s="582"/>
      <c r="D28" s="793">
        <f>Calculations!B180+Calculations!B181+Calculations!B189+Calculations!B190+Calculations!B191</f>
        <v>0</v>
      </c>
      <c r="E28" s="583" t="e">
        <f t="shared" si="6"/>
        <v>#DIV/0!</v>
      </c>
      <c r="F28" s="584" t="e">
        <f t="shared" si="7"/>
        <v>#DIV/0!</v>
      </c>
      <c r="G28" s="589"/>
      <c r="H28" s="582"/>
      <c r="I28" s="582"/>
    </row>
    <row r="29" spans="1:11" ht="15.75">
      <c r="A29" s="572"/>
      <c r="B29" s="702" t="s">
        <v>1076</v>
      </c>
      <c r="C29" s="572"/>
      <c r="D29" s="655">
        <f t="shared" ref="D29:F29" si="8">SUM(D20:D28)</f>
        <v>0</v>
      </c>
      <c r="E29" s="704" t="e">
        <f t="shared" si="8"/>
        <v>#DIV/0!</v>
      </c>
      <c r="F29" s="705" t="e">
        <f t="shared" si="8"/>
        <v>#DIV/0!</v>
      </c>
      <c r="G29" s="567"/>
      <c r="H29" s="567"/>
      <c r="I29" s="567"/>
    </row>
    <row r="30" spans="1:11" ht="15.75">
      <c r="A30" s="572"/>
      <c r="B30" s="701" t="s">
        <v>1087</v>
      </c>
      <c r="C30" s="577"/>
      <c r="D30" s="654"/>
      <c r="E30" s="578"/>
      <c r="F30" s="579"/>
      <c r="G30" s="567"/>
      <c r="H30" s="567"/>
      <c r="I30" s="567"/>
    </row>
    <row r="31" spans="1:11">
      <c r="A31" s="582"/>
      <c r="B31" s="581" t="s">
        <v>1088</v>
      </c>
      <c r="C31" s="582"/>
      <c r="D31" s="793">
        <f>Calculations!B194+Calculations!B196</f>
        <v>0</v>
      </c>
      <c r="E31" s="583" t="e">
        <f t="shared" ref="E31:E38" si="9">(D31/$I$12)</f>
        <v>#DIV/0!</v>
      </c>
      <c r="F31" s="584" t="e">
        <f t="shared" ref="F31:F38" si="10">(D31/$I$11)</f>
        <v>#DIV/0!</v>
      </c>
      <c r="G31" s="593"/>
      <c r="H31" s="594"/>
      <c r="I31" s="567"/>
    </row>
    <row r="32" spans="1:11" ht="15.75">
      <c r="A32" s="582"/>
      <c r="B32" s="581" t="s">
        <v>1089</v>
      </c>
      <c r="C32" s="582"/>
      <c r="D32" s="793">
        <f>Calculations!B197+Calculations!B198+Calculations!B199</f>
        <v>0</v>
      </c>
      <c r="E32" s="583" t="e">
        <f t="shared" si="9"/>
        <v>#DIV/0!</v>
      </c>
      <c r="F32" s="584" t="e">
        <f t="shared" si="10"/>
        <v>#DIV/0!</v>
      </c>
      <c r="G32" s="567"/>
      <c r="H32" s="582"/>
      <c r="I32" s="567"/>
      <c r="J32" s="330"/>
    </row>
    <row r="33" spans="1:18">
      <c r="A33" s="582"/>
      <c r="B33" s="581" t="s">
        <v>1090</v>
      </c>
      <c r="C33" s="582"/>
      <c r="D33" s="793">
        <f>Calculations!B201</f>
        <v>0</v>
      </c>
      <c r="E33" s="583" t="e">
        <f t="shared" si="9"/>
        <v>#DIV/0!</v>
      </c>
      <c r="F33" s="584" t="e">
        <f t="shared" si="10"/>
        <v>#DIV/0!</v>
      </c>
      <c r="G33" s="567"/>
      <c r="H33" s="582"/>
      <c r="I33" s="567"/>
      <c r="J33" s="328"/>
    </row>
    <row r="34" spans="1:18">
      <c r="A34" s="582"/>
      <c r="B34" s="581" t="s">
        <v>1091</v>
      </c>
      <c r="C34" s="582"/>
      <c r="D34" s="793">
        <f>Calculations!B200</f>
        <v>0</v>
      </c>
      <c r="E34" s="583" t="e">
        <f t="shared" si="9"/>
        <v>#DIV/0!</v>
      </c>
      <c r="F34" s="584" t="e">
        <f t="shared" si="10"/>
        <v>#DIV/0!</v>
      </c>
      <c r="G34" s="567"/>
      <c r="H34" s="582"/>
      <c r="I34" s="567"/>
      <c r="J34" s="328"/>
    </row>
    <row r="35" spans="1:18">
      <c r="A35" s="582"/>
      <c r="B35" s="581" t="s">
        <v>1092</v>
      </c>
      <c r="C35" s="582"/>
      <c r="D35" s="793">
        <f>Calculations!B202+Calculations!B203</f>
        <v>0</v>
      </c>
      <c r="E35" s="583" t="e">
        <f t="shared" si="9"/>
        <v>#DIV/0!</v>
      </c>
      <c r="F35" s="584" t="e">
        <f t="shared" si="10"/>
        <v>#DIV/0!</v>
      </c>
      <c r="G35" s="567"/>
      <c r="H35" s="582"/>
      <c r="I35" s="567"/>
      <c r="J35" s="328"/>
    </row>
    <row r="36" spans="1:18">
      <c r="A36" s="586"/>
      <c r="B36" s="581" t="s">
        <v>1093</v>
      </c>
      <c r="C36" s="582"/>
      <c r="D36" s="793">
        <f>Calculations!B195</f>
        <v>0</v>
      </c>
      <c r="E36" s="583" t="e">
        <f t="shared" si="9"/>
        <v>#DIV/0!</v>
      </c>
      <c r="F36" s="584" t="e">
        <f t="shared" si="10"/>
        <v>#DIV/0!</v>
      </c>
      <c r="G36" s="582"/>
      <c r="H36" s="582"/>
      <c r="I36" s="582"/>
    </row>
    <row r="37" spans="1:18">
      <c r="A37" s="586"/>
      <c r="B37" s="581" t="s">
        <v>446</v>
      </c>
      <c r="C37" s="582"/>
      <c r="D37" s="793">
        <f>Calculations!B204</f>
        <v>0</v>
      </c>
      <c r="E37" s="583" t="e">
        <f t="shared" si="9"/>
        <v>#DIV/0!</v>
      </c>
      <c r="F37" s="584" t="e">
        <f t="shared" si="10"/>
        <v>#DIV/0!</v>
      </c>
      <c r="G37" s="582"/>
      <c r="H37" s="582"/>
      <c r="I37" s="582"/>
    </row>
    <row r="38" spans="1:18" ht="15.75">
      <c r="A38" s="582"/>
      <c r="B38" s="592" t="s">
        <v>1086</v>
      </c>
      <c r="C38" s="582"/>
      <c r="D38" s="793">
        <f>Calculations!B205+Calculations!B206+Calculations!B207</f>
        <v>0</v>
      </c>
      <c r="E38" s="583" t="e">
        <f t="shared" si="9"/>
        <v>#DIV/0!</v>
      </c>
      <c r="F38" s="584" t="e">
        <f t="shared" si="10"/>
        <v>#DIV/0!</v>
      </c>
      <c r="G38" s="572"/>
      <c r="H38" s="572"/>
      <c r="I38" s="572"/>
      <c r="J38" s="328"/>
    </row>
    <row r="39" spans="1:18" ht="15.75">
      <c r="A39" s="572"/>
      <c r="B39" s="702" t="s">
        <v>1076</v>
      </c>
      <c r="C39" s="572"/>
      <c r="D39" s="706">
        <f t="shared" ref="D39:F39" si="11">SUM(D31:D38)</f>
        <v>0</v>
      </c>
      <c r="E39" s="704" t="e">
        <f t="shared" si="11"/>
        <v>#DIV/0!</v>
      </c>
      <c r="F39" s="705" t="e">
        <f t="shared" si="11"/>
        <v>#DIV/0!</v>
      </c>
      <c r="G39" s="567"/>
      <c r="H39" s="582"/>
      <c r="I39" s="567"/>
      <c r="J39" s="328"/>
    </row>
    <row r="40" spans="1:18" s="330" customFormat="1" ht="15.75">
      <c r="A40" s="572"/>
      <c r="B40" s="701" t="s">
        <v>1094</v>
      </c>
      <c r="C40" s="577"/>
      <c r="D40" s="654"/>
      <c r="E40" s="578"/>
      <c r="F40" s="579"/>
      <c r="G40" s="582"/>
      <c r="H40" s="582"/>
      <c r="I40" s="582"/>
      <c r="J40" s="326"/>
      <c r="K40" s="326"/>
      <c r="L40" s="326"/>
      <c r="M40" s="326"/>
      <c r="N40" s="326"/>
      <c r="O40" s="326"/>
      <c r="P40" s="326"/>
      <c r="Q40" s="326"/>
      <c r="R40" s="326"/>
    </row>
    <row r="41" spans="1:18">
      <c r="A41" s="582"/>
      <c r="B41" s="581" t="s">
        <v>1095</v>
      </c>
      <c r="C41" s="582"/>
      <c r="D41" s="793">
        <f>Calculations!B210+Calculations!B211</f>
        <v>0</v>
      </c>
      <c r="E41" s="583" t="e">
        <f t="shared" ref="E41:E50" si="12">(D41/$I$12)</f>
        <v>#DIV/0!</v>
      </c>
      <c r="F41" s="584" t="e">
        <f t="shared" ref="F41:F50" si="13">(D41/$I$11)</f>
        <v>#DIV/0!</v>
      </c>
      <c r="G41" s="582"/>
      <c r="H41" s="582"/>
      <c r="I41" s="582"/>
    </row>
    <row r="42" spans="1:18">
      <c r="A42" s="582"/>
      <c r="B42" s="581" t="s">
        <v>1096</v>
      </c>
      <c r="C42" s="582"/>
      <c r="D42" s="793">
        <f>Calculations!B212</f>
        <v>0</v>
      </c>
      <c r="E42" s="583" t="e">
        <f t="shared" si="12"/>
        <v>#DIV/0!</v>
      </c>
      <c r="F42" s="584" t="e">
        <f t="shared" si="13"/>
        <v>#DIV/0!</v>
      </c>
      <c r="G42" s="567"/>
      <c r="H42" s="582"/>
      <c r="I42" s="567"/>
      <c r="J42" s="328"/>
    </row>
    <row r="43" spans="1:18">
      <c r="A43" s="582"/>
      <c r="B43" s="581" t="s">
        <v>1097</v>
      </c>
      <c r="C43" s="582"/>
      <c r="D43" s="793">
        <f>Calculations!B214</f>
        <v>0</v>
      </c>
      <c r="E43" s="583" t="e">
        <f t="shared" si="12"/>
        <v>#DIV/0!</v>
      </c>
      <c r="F43" s="584" t="e">
        <f t="shared" si="13"/>
        <v>#DIV/0!</v>
      </c>
      <c r="G43" s="567"/>
      <c r="H43" s="582"/>
      <c r="I43" s="567"/>
      <c r="J43" s="328"/>
    </row>
    <row r="44" spans="1:18">
      <c r="A44" s="582"/>
      <c r="B44" s="581" t="s">
        <v>451</v>
      </c>
      <c r="C44" s="582"/>
      <c r="D44" s="793">
        <f>Calculations!B213</f>
        <v>0</v>
      </c>
      <c r="E44" s="583" t="e">
        <f t="shared" si="12"/>
        <v>#DIV/0!</v>
      </c>
      <c r="F44" s="584" t="e">
        <f t="shared" si="13"/>
        <v>#DIV/0!</v>
      </c>
      <c r="G44" s="567"/>
      <c r="H44" s="582"/>
      <c r="I44" s="567"/>
    </row>
    <row r="45" spans="1:18">
      <c r="A45" s="586"/>
      <c r="B45" s="581" t="s">
        <v>459</v>
      </c>
      <c r="C45" s="595"/>
      <c r="D45" s="793">
        <f>Calculations!B221</f>
        <v>0</v>
      </c>
      <c r="E45" s="583" t="e">
        <f t="shared" si="12"/>
        <v>#DIV/0!</v>
      </c>
      <c r="F45" s="584" t="e">
        <f t="shared" si="13"/>
        <v>#DIV/0!</v>
      </c>
      <c r="G45" s="567"/>
      <c r="H45" s="582"/>
      <c r="I45" s="567"/>
    </row>
    <row r="46" spans="1:18">
      <c r="A46" s="582"/>
      <c r="B46" s="581" t="s">
        <v>1098</v>
      </c>
      <c r="C46" s="582"/>
      <c r="D46" s="793">
        <f>Calculations!B220</f>
        <v>0</v>
      </c>
      <c r="E46" s="583" t="e">
        <f t="shared" si="12"/>
        <v>#DIV/0!</v>
      </c>
      <c r="F46" s="584" t="e">
        <f t="shared" si="13"/>
        <v>#DIV/0!</v>
      </c>
      <c r="G46" s="582"/>
      <c r="H46" s="582"/>
      <c r="I46" s="582"/>
    </row>
    <row r="47" spans="1:18">
      <c r="A47" s="582"/>
      <c r="B47" s="581" t="s">
        <v>1099</v>
      </c>
      <c r="C47" s="582"/>
      <c r="D47" s="793">
        <f>Calculations!B222</f>
        <v>0</v>
      </c>
      <c r="E47" s="583" t="e">
        <f t="shared" si="12"/>
        <v>#DIV/0!</v>
      </c>
      <c r="F47" s="584" t="e">
        <f t="shared" si="13"/>
        <v>#DIV/0!</v>
      </c>
      <c r="G47" s="567"/>
      <c r="H47" s="582"/>
      <c r="I47" s="567"/>
    </row>
    <row r="48" spans="1:18">
      <c r="A48" s="586"/>
      <c r="B48" s="581" t="s">
        <v>1100</v>
      </c>
      <c r="C48" s="595"/>
      <c r="D48" s="793">
        <f>Calculations!B219</f>
        <v>0</v>
      </c>
      <c r="E48" s="583" t="e">
        <f t="shared" si="12"/>
        <v>#DIV/0!</v>
      </c>
      <c r="F48" s="584" t="e">
        <f t="shared" si="13"/>
        <v>#DIV/0!</v>
      </c>
      <c r="G48" s="582"/>
      <c r="H48" s="582"/>
      <c r="I48" s="582"/>
    </row>
    <row r="49" spans="1:10">
      <c r="A49" s="586"/>
      <c r="B49" s="581" t="s">
        <v>1101</v>
      </c>
      <c r="C49" s="582"/>
      <c r="D49" s="793">
        <f>Calculations!B218</f>
        <v>0</v>
      </c>
      <c r="E49" s="583" t="e">
        <f t="shared" si="12"/>
        <v>#DIV/0!</v>
      </c>
      <c r="F49" s="584" t="e">
        <f t="shared" si="13"/>
        <v>#DIV/0!</v>
      </c>
      <c r="G49" s="582"/>
      <c r="H49" s="582"/>
      <c r="I49" s="582"/>
    </row>
    <row r="50" spans="1:10">
      <c r="A50" s="582"/>
      <c r="B50" s="592" t="s">
        <v>1086</v>
      </c>
      <c r="C50" s="582"/>
      <c r="D50" s="793">
        <f>Calculations!B223+Calculations!B224+Calculations!B225+Calculations!B226</f>
        <v>0</v>
      </c>
      <c r="E50" s="583" t="e">
        <f t="shared" si="12"/>
        <v>#DIV/0!</v>
      </c>
      <c r="F50" s="584" t="e">
        <f t="shared" si="13"/>
        <v>#DIV/0!</v>
      </c>
      <c r="G50" s="567"/>
      <c r="H50" s="582"/>
      <c r="I50" s="567"/>
      <c r="J50" s="328"/>
    </row>
    <row r="51" spans="1:10" ht="15.75">
      <c r="A51" s="572"/>
      <c r="B51" s="702" t="s">
        <v>1076</v>
      </c>
      <c r="C51" s="572"/>
      <c r="D51" s="655">
        <f t="shared" ref="D51:F51" si="14">SUM(D41:D50)</f>
        <v>0</v>
      </c>
      <c r="E51" s="707" t="e">
        <f t="shared" si="14"/>
        <v>#DIV/0!</v>
      </c>
      <c r="F51" s="708" t="e">
        <f t="shared" si="14"/>
        <v>#DIV/0!</v>
      </c>
      <c r="G51" s="567"/>
      <c r="H51" s="582"/>
      <c r="I51" s="567"/>
    </row>
    <row r="52" spans="1:10" ht="15.75">
      <c r="A52" s="572"/>
      <c r="B52" s="701" t="s">
        <v>1102</v>
      </c>
      <c r="C52" s="577"/>
      <c r="D52" s="654"/>
      <c r="E52" s="578"/>
      <c r="F52" s="579"/>
      <c r="G52" s="590"/>
      <c r="H52" s="582"/>
      <c r="I52" s="567"/>
    </row>
    <row r="53" spans="1:10">
      <c r="A53" s="582"/>
      <c r="B53" s="581" t="s">
        <v>1103</v>
      </c>
      <c r="C53" s="582"/>
      <c r="D53" s="793">
        <f>Calculations!B229+Calculations!B230+Calculations!B232+Calculations!B233+Calculations!B234+Calculations!B237+Calculations!B238+Calculations!B239</f>
        <v>0</v>
      </c>
      <c r="E53" s="583" t="e">
        <f t="shared" ref="E53:E60" si="15">(D53/$I$12)</f>
        <v>#DIV/0!</v>
      </c>
      <c r="F53" s="584" t="e">
        <f t="shared" ref="F53:F60" si="16">(D53/$I$11)</f>
        <v>#DIV/0!</v>
      </c>
      <c r="G53" s="567"/>
      <c r="H53" s="567"/>
      <c r="I53" s="567"/>
    </row>
    <row r="54" spans="1:10">
      <c r="A54" s="586"/>
      <c r="B54" s="581" t="s">
        <v>1104</v>
      </c>
      <c r="C54" s="595"/>
      <c r="D54" s="793">
        <f>Calculations!B236</f>
        <v>0</v>
      </c>
      <c r="E54" s="583" t="e">
        <f t="shared" si="15"/>
        <v>#DIV/0!</v>
      </c>
      <c r="F54" s="584" t="e">
        <f t="shared" si="16"/>
        <v>#DIV/0!</v>
      </c>
      <c r="G54" s="567"/>
      <c r="H54" s="567"/>
      <c r="I54" s="567"/>
    </row>
    <row r="55" spans="1:10">
      <c r="A55" s="582"/>
      <c r="B55" s="581" t="s">
        <v>1098</v>
      </c>
      <c r="C55" s="567"/>
      <c r="D55" s="793">
        <f>Calculations!B235</f>
        <v>0</v>
      </c>
      <c r="E55" s="583" t="e">
        <f t="shared" si="15"/>
        <v>#DIV/0!</v>
      </c>
      <c r="F55" s="584" t="e">
        <f t="shared" si="16"/>
        <v>#DIV/0!</v>
      </c>
      <c r="G55" s="582"/>
      <c r="H55" s="582"/>
      <c r="I55" s="582"/>
    </row>
    <row r="56" spans="1:10">
      <c r="A56" s="586"/>
      <c r="B56" s="581" t="s">
        <v>466</v>
      </c>
      <c r="C56" s="582"/>
      <c r="D56" s="793">
        <f>Calculations!B231</f>
        <v>0</v>
      </c>
      <c r="E56" s="583" t="e">
        <f t="shared" si="15"/>
        <v>#DIV/0!</v>
      </c>
      <c r="F56" s="584" t="e">
        <f t="shared" si="16"/>
        <v>#DIV/0!</v>
      </c>
      <c r="G56" s="582"/>
      <c r="H56" s="582"/>
      <c r="I56" s="582"/>
    </row>
    <row r="57" spans="1:10">
      <c r="A57" s="586"/>
      <c r="B57" s="581" t="s">
        <v>491</v>
      </c>
      <c r="C57" s="582"/>
      <c r="D57" s="793">
        <f>Calculations!B264</f>
        <v>0</v>
      </c>
      <c r="E57" s="583" t="e">
        <f t="shared" si="15"/>
        <v>#DIV/0!</v>
      </c>
      <c r="F57" s="584" t="e">
        <f t="shared" si="16"/>
        <v>#DIV/0!</v>
      </c>
      <c r="G57" s="582"/>
      <c r="H57" s="582"/>
      <c r="I57" s="582"/>
    </row>
    <row r="58" spans="1:10">
      <c r="A58" s="586"/>
      <c r="B58" s="581" t="s">
        <v>492</v>
      </c>
      <c r="C58" s="582"/>
      <c r="D58" s="793">
        <f>Calculations!B265</f>
        <v>0</v>
      </c>
      <c r="E58" s="583" t="e">
        <f t="shared" si="15"/>
        <v>#DIV/0!</v>
      </c>
      <c r="F58" s="584" t="e">
        <f t="shared" si="16"/>
        <v>#DIV/0!</v>
      </c>
      <c r="G58" s="582"/>
      <c r="H58" s="582"/>
      <c r="I58" s="582"/>
    </row>
    <row r="59" spans="1:10">
      <c r="A59" s="586"/>
      <c r="B59" s="581" t="s">
        <v>493</v>
      </c>
      <c r="C59" s="582"/>
      <c r="D59" s="793">
        <f>Calculations!B266</f>
        <v>0</v>
      </c>
      <c r="E59" s="583" t="e">
        <f t="shared" si="15"/>
        <v>#DIV/0!</v>
      </c>
      <c r="F59" s="584" t="e">
        <f t="shared" si="16"/>
        <v>#DIV/0!</v>
      </c>
      <c r="G59" s="567"/>
      <c r="H59" s="582"/>
      <c r="I59" s="567"/>
    </row>
    <row r="60" spans="1:10">
      <c r="A60" s="582"/>
      <c r="B60" s="592" t="s">
        <v>1086</v>
      </c>
      <c r="C60" s="582"/>
      <c r="D60" s="793">
        <f>Calculations!B240+Calculations!B241+Calculations!B242+Calculations!B267+Calculations!B268+Calculations!B269</f>
        <v>0</v>
      </c>
      <c r="E60" s="583" t="e">
        <f t="shared" si="15"/>
        <v>#DIV/0!</v>
      </c>
      <c r="F60" s="584" t="e">
        <f t="shared" si="16"/>
        <v>#DIV/0!</v>
      </c>
      <c r="G60" s="567"/>
      <c r="H60" s="582"/>
      <c r="I60" s="567"/>
    </row>
    <row r="61" spans="1:10" ht="15.75">
      <c r="A61" s="572"/>
      <c r="B61" s="702" t="s">
        <v>1076</v>
      </c>
      <c r="C61" s="572"/>
      <c r="D61" s="655">
        <f>SUM(D53:D60)</f>
        <v>0</v>
      </c>
      <c r="E61" s="704" t="e">
        <f>SUM(E53:E60)</f>
        <v>#DIV/0!</v>
      </c>
      <c r="F61" s="705" t="e">
        <f>SUM(F53:F60)</f>
        <v>#DIV/0!</v>
      </c>
      <c r="G61" s="567"/>
      <c r="H61" s="582"/>
      <c r="I61" s="567"/>
    </row>
    <row r="62" spans="1:10" ht="15.75">
      <c r="A62" s="572"/>
      <c r="B62" s="701" t="s">
        <v>1105</v>
      </c>
      <c r="C62" s="577"/>
      <c r="D62" s="654"/>
      <c r="E62" s="578"/>
      <c r="F62" s="579"/>
      <c r="G62" s="582"/>
      <c r="H62" s="582"/>
      <c r="I62" s="582"/>
    </row>
    <row r="63" spans="1:10">
      <c r="A63" s="586"/>
      <c r="B63" s="581" t="s">
        <v>453</v>
      </c>
      <c r="C63" s="582"/>
      <c r="D63" s="793">
        <f>Calculations!B215</f>
        <v>0</v>
      </c>
      <c r="E63" s="583" t="e">
        <f t="shared" ref="E63:E79" si="17">(D63/$I$12)</f>
        <v>#DIV/0!</v>
      </c>
      <c r="F63" s="584" t="e">
        <f t="shared" ref="F63:F79" si="18">(D63/$I$11)</f>
        <v>#DIV/0!</v>
      </c>
      <c r="G63" s="567"/>
      <c r="H63" s="582"/>
      <c r="I63" s="567"/>
    </row>
    <row r="64" spans="1:10">
      <c r="A64" s="586"/>
      <c r="B64" s="581" t="s">
        <v>517</v>
      </c>
      <c r="C64" s="595"/>
      <c r="D64" s="793">
        <f>Calculations!B216</f>
        <v>0</v>
      </c>
      <c r="E64" s="583" t="e">
        <f t="shared" si="17"/>
        <v>#DIV/0!</v>
      </c>
      <c r="F64" s="584" t="e">
        <f t="shared" si="18"/>
        <v>#DIV/0!</v>
      </c>
      <c r="G64" s="582"/>
      <c r="H64" s="582"/>
      <c r="I64" s="582"/>
    </row>
    <row r="65" spans="1:9">
      <c r="A65" s="586"/>
      <c r="B65" s="581" t="s">
        <v>1106</v>
      </c>
      <c r="C65" s="595"/>
      <c r="D65" s="793">
        <f>Calculations!B248</f>
        <v>0</v>
      </c>
      <c r="E65" s="583" t="e">
        <f t="shared" si="17"/>
        <v>#DIV/0!</v>
      </c>
      <c r="F65" s="584" t="e">
        <f t="shared" si="18"/>
        <v>#DIV/0!</v>
      </c>
      <c r="G65" s="582"/>
      <c r="H65" s="582"/>
      <c r="I65" s="582"/>
    </row>
    <row r="66" spans="1:9">
      <c r="A66" s="586"/>
      <c r="B66" s="581" t="s">
        <v>480</v>
      </c>
      <c r="C66" s="595"/>
      <c r="D66" s="793">
        <f>Calculations!B249</f>
        <v>0</v>
      </c>
      <c r="E66" s="583" t="e">
        <f t="shared" si="17"/>
        <v>#DIV/0!</v>
      </c>
      <c r="F66" s="584" t="e">
        <f t="shared" si="18"/>
        <v>#DIV/0!</v>
      </c>
      <c r="G66" s="567"/>
      <c r="H66" s="567"/>
      <c r="I66" s="567"/>
    </row>
    <row r="67" spans="1:9">
      <c r="A67" s="582"/>
      <c r="B67" s="581" t="s">
        <v>1107</v>
      </c>
      <c r="C67" s="567"/>
      <c r="D67" s="793">
        <f>Calculations!B250</f>
        <v>0</v>
      </c>
      <c r="E67" s="583" t="e">
        <f t="shared" si="17"/>
        <v>#DIV/0!</v>
      </c>
      <c r="F67" s="584" t="e">
        <f t="shared" si="18"/>
        <v>#DIV/0!</v>
      </c>
      <c r="G67" s="582"/>
      <c r="H67" s="582"/>
      <c r="I67" s="582"/>
    </row>
    <row r="68" spans="1:9">
      <c r="A68" s="582"/>
      <c r="B68" s="581" t="s">
        <v>482</v>
      </c>
      <c r="C68" s="567"/>
      <c r="D68" s="793">
        <f>Calculations!B251</f>
        <v>0</v>
      </c>
      <c r="E68" s="583" t="e">
        <f t="shared" si="17"/>
        <v>#DIV/0!</v>
      </c>
      <c r="F68" s="584" t="e">
        <f t="shared" si="18"/>
        <v>#DIV/0!</v>
      </c>
      <c r="G68" s="582"/>
      <c r="H68" s="582"/>
      <c r="I68" s="582"/>
    </row>
    <row r="69" spans="1:9">
      <c r="A69" s="582"/>
      <c r="B69" s="581" t="s">
        <v>1108</v>
      </c>
      <c r="C69" s="582"/>
      <c r="D69" s="793">
        <f>Calculations!B247</f>
        <v>0</v>
      </c>
      <c r="E69" s="583" t="e">
        <f t="shared" si="17"/>
        <v>#DIV/0!</v>
      </c>
      <c r="F69" s="584" t="e">
        <f t="shared" si="18"/>
        <v>#DIV/0!</v>
      </c>
      <c r="G69" s="582"/>
      <c r="H69" s="582"/>
      <c r="I69" s="582"/>
    </row>
    <row r="70" spans="1:9">
      <c r="A70" s="586"/>
      <c r="B70" s="581" t="s">
        <v>1109</v>
      </c>
      <c r="C70" s="582"/>
      <c r="D70" s="793">
        <f>Calculations!B217</f>
        <v>0</v>
      </c>
      <c r="E70" s="583" t="e">
        <f t="shared" si="17"/>
        <v>#DIV/0!</v>
      </c>
      <c r="F70" s="584" t="e">
        <f t="shared" si="18"/>
        <v>#DIV/0!</v>
      </c>
      <c r="G70" s="567"/>
      <c r="H70" s="567"/>
      <c r="I70" s="567"/>
    </row>
    <row r="71" spans="1:9">
      <c r="A71" s="582"/>
      <c r="B71" s="581" t="s">
        <v>1110</v>
      </c>
      <c r="C71" s="567"/>
      <c r="D71" s="793">
        <f>Calculations!B246</f>
        <v>0</v>
      </c>
      <c r="E71" s="583" t="e">
        <f t="shared" si="17"/>
        <v>#DIV/0!</v>
      </c>
      <c r="F71" s="584" t="e">
        <f t="shared" si="18"/>
        <v>#DIV/0!</v>
      </c>
      <c r="G71" s="567"/>
      <c r="H71" s="582"/>
      <c r="I71" s="567"/>
    </row>
    <row r="72" spans="1:9" ht="15" customHeight="1">
      <c r="A72" s="582"/>
      <c r="B72" s="581" t="s">
        <v>1111</v>
      </c>
      <c r="C72" s="582"/>
      <c r="D72" s="793">
        <f>Calculations!B256</f>
        <v>0</v>
      </c>
      <c r="E72" s="583" t="e">
        <f t="shared" si="17"/>
        <v>#DIV/0!</v>
      </c>
      <c r="F72" s="584" t="e">
        <f t="shared" si="18"/>
        <v>#DIV/0!</v>
      </c>
      <c r="G72" s="567"/>
      <c r="H72" s="582"/>
      <c r="I72" s="567"/>
    </row>
    <row r="73" spans="1:9">
      <c r="A73" s="582"/>
      <c r="B73" s="581" t="s">
        <v>1112</v>
      </c>
      <c r="C73" s="582"/>
      <c r="D73" s="793">
        <f>Calculations!B257</f>
        <v>0</v>
      </c>
      <c r="E73" s="583" t="e">
        <f t="shared" si="17"/>
        <v>#DIV/0!</v>
      </c>
      <c r="F73" s="584" t="e">
        <f t="shared" si="18"/>
        <v>#DIV/0!</v>
      </c>
      <c r="G73" s="567"/>
      <c r="H73" s="582"/>
      <c r="I73" s="567"/>
    </row>
    <row r="74" spans="1:9">
      <c r="A74" s="582"/>
      <c r="B74" s="581" t="s">
        <v>483</v>
      </c>
      <c r="C74" s="582"/>
      <c r="D74" s="793">
        <f>Calculations!B252+Calculations!B253</f>
        <v>0</v>
      </c>
      <c r="E74" s="583" t="e">
        <f t="shared" si="17"/>
        <v>#DIV/0!</v>
      </c>
      <c r="F74" s="584" t="e">
        <f t="shared" si="18"/>
        <v>#DIV/0!</v>
      </c>
      <c r="G74" s="567"/>
      <c r="H74" s="582"/>
      <c r="I74" s="567"/>
    </row>
    <row r="75" spans="1:9" ht="15.6" customHeight="1">
      <c r="A75" s="582"/>
      <c r="B75" s="581" t="s">
        <v>1113</v>
      </c>
      <c r="C75" s="582"/>
      <c r="D75" s="793">
        <f>Calculations!B245</f>
        <v>0</v>
      </c>
      <c r="E75" s="583" t="e">
        <f t="shared" si="17"/>
        <v>#DIV/0!</v>
      </c>
      <c r="F75" s="584" t="e">
        <f t="shared" si="18"/>
        <v>#DIV/0!</v>
      </c>
      <c r="G75" s="567"/>
      <c r="H75" s="567"/>
      <c r="I75" s="567"/>
    </row>
    <row r="76" spans="1:9" ht="15.75">
      <c r="A76" s="582"/>
      <c r="B76" s="581" t="s">
        <v>485</v>
      </c>
      <c r="C76" s="567"/>
      <c r="D76" s="793">
        <f>Calculations!B254</f>
        <v>0</v>
      </c>
      <c r="E76" s="583" t="e">
        <f t="shared" si="17"/>
        <v>#DIV/0!</v>
      </c>
      <c r="F76" s="584" t="e">
        <f t="shared" si="18"/>
        <v>#DIV/0!</v>
      </c>
      <c r="G76"/>
      <c r="H76" s="582"/>
      <c r="I76" s="582"/>
    </row>
    <row r="77" spans="1:9">
      <c r="A77" s="582"/>
      <c r="B77" s="581" t="s">
        <v>486</v>
      </c>
      <c r="C77" s="567"/>
      <c r="D77" s="793">
        <f>Calculations!B255</f>
        <v>0</v>
      </c>
      <c r="E77" s="583" t="e">
        <f t="shared" si="17"/>
        <v>#DIV/0!</v>
      </c>
      <c r="F77" s="584" t="e">
        <f t="shared" si="18"/>
        <v>#DIV/0!</v>
      </c>
      <c r="G77" s="582"/>
      <c r="H77" s="582"/>
      <c r="I77" s="582"/>
    </row>
    <row r="78" spans="1:9">
      <c r="A78" s="582"/>
      <c r="B78" s="581" t="s">
        <v>489</v>
      </c>
      <c r="C78" s="582"/>
      <c r="D78" s="793">
        <f>Calculations!B258</f>
        <v>0</v>
      </c>
      <c r="E78" s="583" t="e">
        <f t="shared" si="17"/>
        <v>#DIV/0!</v>
      </c>
      <c r="F78" s="584" t="e">
        <f t="shared" si="18"/>
        <v>#DIV/0!</v>
      </c>
      <c r="G78" s="794" t="e">
        <f>D78/SUM(D80-D78,D39,D51,D61,D94)</f>
        <v>#DIV/0!</v>
      </c>
      <c r="H78" s="582"/>
      <c r="I78" s="567"/>
    </row>
    <row r="79" spans="1:9">
      <c r="A79" s="582"/>
      <c r="B79" s="592" t="s">
        <v>1086</v>
      </c>
      <c r="C79" s="582"/>
      <c r="D79" s="793">
        <f>Calculations!B259+Calculations!B260+Calculations!B261</f>
        <v>0</v>
      </c>
      <c r="E79" s="583" t="e">
        <f t="shared" si="17"/>
        <v>#DIV/0!</v>
      </c>
      <c r="F79" s="584" t="e">
        <f t="shared" si="18"/>
        <v>#DIV/0!</v>
      </c>
      <c r="G79" s="567"/>
      <c r="H79" s="582"/>
      <c r="I79" s="567"/>
    </row>
    <row r="80" spans="1:9" ht="15.75">
      <c r="A80" s="572"/>
      <c r="B80" s="702" t="s">
        <v>1076</v>
      </c>
      <c r="C80" s="572"/>
      <c r="D80" s="655">
        <f t="shared" ref="D80:F80" si="19">SUM(D63:D79)</f>
        <v>0</v>
      </c>
      <c r="E80" s="704" t="e">
        <f t="shared" si="19"/>
        <v>#DIV/0!</v>
      </c>
      <c r="F80" s="705" t="e">
        <f t="shared" si="19"/>
        <v>#DIV/0!</v>
      </c>
      <c r="G80" s="593"/>
      <c r="H80" s="596"/>
      <c r="I80" s="567"/>
    </row>
    <row r="81" spans="1:9" ht="15.75">
      <c r="A81" s="572"/>
      <c r="B81" s="701" t="s">
        <v>1114</v>
      </c>
      <c r="C81" s="577"/>
      <c r="D81" s="654"/>
      <c r="E81" s="578"/>
      <c r="F81" s="579"/>
      <c r="G81" s="597"/>
      <c r="H81" s="583"/>
      <c r="I81" s="567"/>
    </row>
    <row r="82" spans="1:9" ht="15.75">
      <c r="A82" s="582"/>
      <c r="B82" s="581" t="s">
        <v>1115</v>
      </c>
      <c r="C82" s="582"/>
      <c r="D82" s="793">
        <f>Calculations!B272+Calculations!B273+Calculations!B274</f>
        <v>0</v>
      </c>
      <c r="E82" s="583" t="e">
        <f t="shared" ref="E82:E86" si="20">(D82/$I$12)</f>
        <v>#DIV/0!</v>
      </c>
      <c r="F82" s="584" t="e">
        <f t="shared" ref="F82:F86" si="21">(D82/$I$11)</f>
        <v>#DIV/0!</v>
      </c>
      <c r="G82"/>
      <c r="H82"/>
      <c r="I82"/>
    </row>
    <row r="83" spans="1:9" ht="15.75">
      <c r="A83" s="582"/>
      <c r="B83" s="581" t="s">
        <v>1116</v>
      </c>
      <c r="C83" s="582" t="s">
        <v>1117</v>
      </c>
      <c r="D83" s="793">
        <f>Calculations!B275</f>
        <v>0</v>
      </c>
      <c r="E83" s="583" t="e">
        <f>(D83/$I$12)</f>
        <v>#DIV/0!</v>
      </c>
      <c r="F83" s="584" t="e">
        <f>(D83/$I$11)</f>
        <v>#DIV/0!</v>
      </c>
      <c r="G83"/>
      <c r="H83"/>
      <c r="I83"/>
    </row>
    <row r="84" spans="1:9" ht="15.75">
      <c r="A84" s="582"/>
      <c r="B84" s="581" t="s">
        <v>1118</v>
      </c>
      <c r="C84" s="582"/>
      <c r="D84" s="793">
        <f>Calculations!B276</f>
        <v>0</v>
      </c>
      <c r="E84" s="583" t="e">
        <f>(D84/$I$12)</f>
        <v>#DIV/0!</v>
      </c>
      <c r="F84" s="584" t="e">
        <f>(D84/$I$11)</f>
        <v>#DIV/0!</v>
      </c>
      <c r="G84"/>
      <c r="H84"/>
      <c r="I84"/>
    </row>
    <row r="85" spans="1:9">
      <c r="A85" s="582"/>
      <c r="B85" s="581" t="s">
        <v>1119</v>
      </c>
      <c r="C85" s="582"/>
      <c r="D85" s="793">
        <f>Calculations!B277</f>
        <v>0</v>
      </c>
      <c r="E85" s="583" t="e">
        <f t="shared" si="20"/>
        <v>#DIV/0!</v>
      </c>
      <c r="F85" s="584" t="e">
        <f t="shared" si="21"/>
        <v>#DIV/0!</v>
      </c>
      <c r="G85" s="597"/>
      <c r="H85" s="598"/>
      <c r="I85" s="582"/>
    </row>
    <row r="86" spans="1:9" ht="15.75">
      <c r="A86" s="586"/>
      <c r="B86" s="592" t="s">
        <v>1086</v>
      </c>
      <c r="C86" s="595"/>
      <c r="D86" s="666">
        <f>Calculations!B278</f>
        <v>0</v>
      </c>
      <c r="E86" s="583" t="e">
        <f t="shared" si="20"/>
        <v>#DIV/0!</v>
      </c>
      <c r="F86" s="584" t="e">
        <f t="shared" si="21"/>
        <v>#DIV/0!</v>
      </c>
      <c r="G86" s="567"/>
      <c r="H86" s="567"/>
      <c r="I86" s="567"/>
    </row>
    <row r="87" spans="1:9" ht="15.75" customHeight="1">
      <c r="A87" s="572"/>
      <c r="B87" s="702" t="s">
        <v>1120</v>
      </c>
      <c r="C87" s="572"/>
      <c r="D87" s="655">
        <f>SUM(D82:D86)</f>
        <v>0</v>
      </c>
      <c r="E87" s="704" t="e">
        <f>SUM(E82:E86)</f>
        <v>#DIV/0!</v>
      </c>
      <c r="F87" s="705" t="e">
        <f>SUM(F82:F86)</f>
        <v>#DIV/0!</v>
      </c>
      <c r="G87" s="794" t="e">
        <f>D87/(D95-D87-D94-D13)</f>
        <v>#DIV/0!</v>
      </c>
      <c r="H87" s="940" t="s">
        <v>1121</v>
      </c>
      <c r="I87" s="940"/>
    </row>
    <row r="88" spans="1:9" ht="15.75">
      <c r="A88" s="572"/>
      <c r="B88" s="701" t="s">
        <v>1122</v>
      </c>
      <c r="C88" s="577"/>
      <c r="D88" s="654"/>
      <c r="E88" s="578"/>
      <c r="F88" s="579"/>
      <c r="G88" s="567"/>
      <c r="H88" s="567"/>
      <c r="I88" s="567"/>
    </row>
    <row r="89" spans="1:9">
      <c r="A89" s="582"/>
      <c r="B89" s="581" t="s">
        <v>1123</v>
      </c>
      <c r="C89" s="582"/>
      <c r="D89" s="793">
        <f>Calculations!B282</f>
        <v>0</v>
      </c>
      <c r="E89" s="583" t="e">
        <f t="shared" ref="E89:E93" si="22">(D89/$I$12)</f>
        <v>#DIV/0!</v>
      </c>
      <c r="F89" s="584" t="e">
        <f t="shared" ref="F89:F93" si="23">(D89/$I$11)</f>
        <v>#DIV/0!</v>
      </c>
      <c r="G89" s="836" t="e">
        <f>(D89+D90)/((+'Income+Expense'!J57+-'Income+Expense'!G56)/12)</f>
        <v>#DIV/0!</v>
      </c>
      <c r="H89" s="582" t="s">
        <v>1124</v>
      </c>
      <c r="I89" s="567"/>
    </row>
    <row r="90" spans="1:9">
      <c r="A90" s="582"/>
      <c r="B90" s="581" t="s">
        <v>1125</v>
      </c>
      <c r="C90" s="582"/>
      <c r="D90" s="793">
        <f>Calculations!B284</f>
        <v>0</v>
      </c>
      <c r="E90" s="583" t="e">
        <f t="shared" si="22"/>
        <v>#DIV/0!</v>
      </c>
      <c r="F90" s="584" t="e">
        <f t="shared" si="23"/>
        <v>#DIV/0!</v>
      </c>
      <c r="G90" s="836" t="e">
        <f>D90/((-'Income+Expense'!G57)/12)</f>
        <v>#DIV/0!</v>
      </c>
      <c r="H90" s="582" t="s">
        <v>1126</v>
      </c>
      <c r="I90" s="567"/>
    </row>
    <row r="91" spans="1:9">
      <c r="A91" s="582"/>
      <c r="B91" s="581" t="s">
        <v>1127</v>
      </c>
      <c r="C91" s="582"/>
      <c r="D91" s="793">
        <f>Calculations!B281</f>
        <v>0</v>
      </c>
      <c r="E91" s="583" t="e">
        <f t="shared" si="22"/>
        <v>#DIV/0!</v>
      </c>
      <c r="F91" s="584" t="e">
        <f t="shared" si="23"/>
        <v>#DIV/0!</v>
      </c>
      <c r="G91" s="567"/>
      <c r="H91" s="582"/>
      <c r="I91" s="567"/>
    </row>
    <row r="92" spans="1:9">
      <c r="A92" s="582"/>
      <c r="B92" s="581" t="s">
        <v>1128</v>
      </c>
      <c r="C92" s="582"/>
      <c r="D92" s="793">
        <f>Calculations!B283</f>
        <v>0</v>
      </c>
      <c r="E92" s="583" t="e">
        <f t="shared" si="22"/>
        <v>#DIV/0!</v>
      </c>
      <c r="F92" s="584" t="e">
        <f t="shared" si="23"/>
        <v>#DIV/0!</v>
      </c>
      <c r="G92" s="582"/>
      <c r="H92" s="582"/>
      <c r="I92" s="582"/>
    </row>
    <row r="93" spans="1:9">
      <c r="A93" s="586"/>
      <c r="B93" s="592" t="s">
        <v>1086</v>
      </c>
      <c r="C93" s="582"/>
      <c r="D93" s="793">
        <f>Calculations!B285</f>
        <v>0</v>
      </c>
      <c r="E93" s="583" t="e">
        <f t="shared" si="22"/>
        <v>#DIV/0!</v>
      </c>
      <c r="F93" s="584" t="e">
        <f t="shared" si="23"/>
        <v>#DIV/0!</v>
      </c>
      <c r="G93" s="582"/>
      <c r="H93" s="582"/>
      <c r="I93" s="567"/>
    </row>
    <row r="94" spans="1:9" ht="15.75">
      <c r="A94" s="572"/>
      <c r="B94" s="702" t="s">
        <v>1076</v>
      </c>
      <c r="C94" s="572"/>
      <c r="D94" s="655">
        <f>SUM(D89:D93)</f>
        <v>0</v>
      </c>
      <c r="E94" s="704" t="e">
        <f>SUM(E89:E93)</f>
        <v>#DIV/0!</v>
      </c>
      <c r="F94" s="705" t="e">
        <f>SUM(F89:F93)</f>
        <v>#DIV/0!</v>
      </c>
      <c r="G94" s="581"/>
      <c r="H94" s="599"/>
      <c r="I94" s="567"/>
    </row>
    <row r="95" spans="1:9" ht="16.5" thickBot="1">
      <c r="A95" s="572"/>
      <c r="B95" s="709" t="s">
        <v>1129</v>
      </c>
      <c r="C95" s="710"/>
      <c r="D95" s="711">
        <f>D80+D29+D87+D94+D61+D51+D39+D18+D13</f>
        <v>0</v>
      </c>
      <c r="E95" s="712" t="e">
        <f>E80+E29+E87+E94+E61+E51+E39+E18+E13</f>
        <v>#DIV/0!</v>
      </c>
      <c r="F95" s="713" t="e">
        <f>F80+F29+F87+F94+F61+F51+F39+F18+F13</f>
        <v>#DIV/0!</v>
      </c>
      <c r="G95" s="581"/>
      <c r="H95" s="599"/>
      <c r="I95" s="567"/>
    </row>
    <row r="96" spans="1:9" ht="16.5" thickTop="1">
      <c r="A96" s="572"/>
      <c r="B96" s="572"/>
      <c r="C96" s="572"/>
      <c r="D96" s="714"/>
      <c r="E96" s="715"/>
      <c r="F96" s="583"/>
      <c r="G96" s="716"/>
      <c r="H96" s="582"/>
      <c r="I96"/>
    </row>
    <row r="97" spans="1:9" ht="16.5" thickBot="1">
      <c r="A97" s="572"/>
      <c r="B97"/>
      <c r="C97"/>
      <c r="D97" s="655"/>
      <c r="E97" s="600" t="s">
        <v>1130</v>
      </c>
      <c r="F97" s="600" t="s">
        <v>1131</v>
      </c>
      <c r="G97" s="715"/>
      <c r="H97" s="582"/>
      <c r="I97"/>
    </row>
    <row r="98" spans="1:9" ht="15.75">
      <c r="A98" s="572"/>
      <c r="B98"/>
      <c r="C98"/>
      <c r="D98" s="656" t="s">
        <v>1132</v>
      </c>
      <c r="E98" s="717" t="e">
        <f>(D18+D29)/$I$12</f>
        <v>#DIV/0!</v>
      </c>
      <c r="F98" s="718" t="e">
        <f>($D$18+$D$29)/$I$11</f>
        <v>#DIV/0!</v>
      </c>
      <c r="G98" s="715" t="e">
        <f>E98/E95</f>
        <v>#DIV/0!</v>
      </c>
      <c r="H98" s="582"/>
      <c r="I98"/>
    </row>
    <row r="99" spans="1:9" ht="15.75">
      <c r="A99" s="601"/>
      <c r="B99"/>
      <c r="C99"/>
      <c r="D99" s="657" t="s">
        <v>474</v>
      </c>
      <c r="E99" s="719" t="e">
        <f>($D$95-$D$11-$D$18-$D$29)/$I$12</f>
        <v>#DIV/0!</v>
      </c>
      <c r="F99" s="720" t="e">
        <f>($D$95-$D$11-$D$18-$D$29)/$I$11</f>
        <v>#DIV/0!</v>
      </c>
      <c r="G99" s="715" t="e">
        <f>E99/E95</f>
        <v>#DIV/0!</v>
      </c>
      <c r="H99" s="582"/>
      <c r="I99" s="582"/>
    </row>
    <row r="100" spans="1:9" ht="16.5" thickBot="1">
      <c r="A100" s="601"/>
      <c r="B100"/>
      <c r="C100"/>
      <c r="D100" s="658" t="s">
        <v>943</v>
      </c>
      <c r="E100" s="721" t="e">
        <f>$D$11/$I$12</f>
        <v>#DIV/0!</v>
      </c>
      <c r="F100" s="722" t="e">
        <f>$D$11/$I$11</f>
        <v>#DIV/0!</v>
      </c>
      <c r="G100" s="715" t="e">
        <f>E100/E95</f>
        <v>#DIV/0!</v>
      </c>
      <c r="H100" s="582"/>
      <c r="I100"/>
    </row>
    <row r="101" spans="1:9" ht="15.75">
      <c r="A101" s="582"/>
      <c r="B101"/>
      <c r="C101"/>
      <c r="D101" s="714" t="s">
        <v>1133</v>
      </c>
      <c r="E101" s="582"/>
      <c r="F101" s="723"/>
      <c r="G101" s="719"/>
      <c r="H101"/>
      <c r="I101"/>
    </row>
  </sheetData>
  <mergeCells count="1">
    <mergeCell ref="H87:I87"/>
  </mergeCells>
  <conditionalFormatting sqref="B28">
    <cfRule type="expression" dxfId="28" priority="2">
      <formula>D28&gt;0</formula>
    </cfRule>
  </conditionalFormatting>
  <conditionalFormatting sqref="B38">
    <cfRule type="expression" dxfId="27" priority="3">
      <formula>D38&gt;0</formula>
    </cfRule>
  </conditionalFormatting>
  <conditionalFormatting sqref="B50">
    <cfRule type="expression" dxfId="26" priority="4">
      <formula>D50&gt;0</formula>
    </cfRule>
  </conditionalFormatting>
  <conditionalFormatting sqref="B60">
    <cfRule type="expression" dxfId="25" priority="5">
      <formula>D60&gt;0</formula>
    </cfRule>
  </conditionalFormatting>
  <conditionalFormatting sqref="B79">
    <cfRule type="expression" dxfId="24" priority="6">
      <formula>D79&gt;0</formula>
    </cfRule>
  </conditionalFormatting>
  <conditionalFormatting sqref="B86">
    <cfRule type="expression" dxfId="23" priority="7">
      <formula>D86&gt;0</formula>
    </cfRule>
  </conditionalFormatting>
  <conditionalFormatting sqref="B93">
    <cfRule type="expression" dxfId="22" priority="1">
      <formula>D93&gt;0</formula>
    </cfRule>
  </conditionalFormatting>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66FFFF"/>
    <pageSetUpPr fitToPage="1"/>
  </sheetPr>
  <dimension ref="A1:AC86"/>
  <sheetViews>
    <sheetView zoomScale="99" zoomScaleNormal="99" workbookViewId="0"/>
  </sheetViews>
  <sheetFormatPr defaultColWidth="10" defaultRowHeight="15"/>
  <cols>
    <col min="1" max="1" width="5.5703125" style="326" customWidth="1"/>
    <col min="2" max="2" width="30.7109375" style="326" customWidth="1"/>
    <col min="3" max="3" width="25.5703125" style="326" customWidth="1"/>
    <col min="4" max="4" width="15.5703125" style="326" customWidth="1"/>
    <col min="5" max="5" width="25.5703125" style="326" customWidth="1"/>
    <col min="6" max="6" width="20.5703125" style="326" customWidth="1"/>
    <col min="7" max="7" width="35.5703125" style="326" customWidth="1"/>
    <col min="8" max="8" width="27.28515625" style="326" customWidth="1"/>
    <col min="9" max="9" width="45.5703125" style="326" customWidth="1"/>
    <col min="10" max="10" width="14.28515625" style="326" customWidth="1"/>
    <col min="11" max="11" width="22.42578125" style="326" customWidth="1"/>
    <col min="12" max="12" width="10.140625" style="326" customWidth="1"/>
    <col min="13" max="13" width="10" style="326" customWidth="1"/>
    <col min="14" max="14" width="18.5703125" style="326" customWidth="1"/>
    <col min="15" max="15" width="11.5703125" style="326" customWidth="1"/>
    <col min="16" max="16" width="5.5703125" style="326" customWidth="1"/>
    <col min="17" max="17" width="13.5703125" style="326" customWidth="1"/>
    <col min="18" max="18" width="11.5703125" style="326" customWidth="1"/>
    <col min="19" max="19" width="14.5703125" style="326" customWidth="1"/>
    <col min="20" max="20" width="12.5703125" style="326" customWidth="1"/>
    <col min="21" max="21" width="11.5703125" style="326" customWidth="1"/>
    <col min="22" max="22" width="14.5703125" style="326" customWidth="1"/>
    <col min="23" max="24" width="11.5703125" style="326" customWidth="1"/>
    <col min="25" max="25" width="14.5703125" style="326" customWidth="1"/>
    <col min="26" max="26" width="13.5703125" style="326" customWidth="1"/>
    <col min="27" max="27" width="20.5703125" style="326" customWidth="1"/>
    <col min="28" max="28" width="21.5703125" style="326" customWidth="1"/>
    <col min="29" max="29" width="15.5703125" style="326" customWidth="1"/>
    <col min="30" max="30" width="14.5703125" style="326" customWidth="1"/>
    <col min="31" max="31" width="11.5703125" style="326" customWidth="1"/>
    <col min="32" max="32" width="14.5703125" style="326" customWidth="1"/>
    <col min="33" max="33" width="13.5703125" style="326" customWidth="1"/>
    <col min="34" max="35" width="14.5703125" style="326" customWidth="1"/>
    <col min="36" max="39" width="10" style="326" customWidth="1"/>
    <col min="40" max="40" width="23.5703125" style="326" customWidth="1"/>
    <col min="41" max="41" width="10" style="326" customWidth="1"/>
    <col min="42" max="42" width="12.5703125" style="326" customWidth="1"/>
    <col min="43" max="43" width="14.5703125" style="326" customWidth="1"/>
    <col min="44" max="44" width="12.5703125" style="326" customWidth="1"/>
    <col min="45" max="45" width="15.5703125" style="326" customWidth="1"/>
    <col min="46" max="47" width="12.5703125" style="326" customWidth="1"/>
    <col min="48" max="48" width="14.5703125" style="326" customWidth="1"/>
    <col min="49" max="51" width="12.5703125" style="326" customWidth="1"/>
    <col min="52" max="52" width="14.5703125" style="326" customWidth="1"/>
    <col min="53" max="54" width="12.5703125" style="326" customWidth="1"/>
    <col min="55" max="55" width="15.5703125" style="326" customWidth="1"/>
    <col min="56" max="56" width="12.5703125" style="326" customWidth="1"/>
    <col min="57" max="57" width="13.5703125" style="326" customWidth="1"/>
    <col min="58" max="58" width="12.5703125" style="326" customWidth="1"/>
    <col min="59" max="59" width="9.5703125" style="326" customWidth="1"/>
    <col min="60" max="62" width="12.5703125" style="326" customWidth="1"/>
    <col min="63" max="65" width="10" style="326" customWidth="1"/>
    <col min="66" max="66" width="11.5703125" style="326" customWidth="1"/>
    <col min="67" max="207" width="10" style="326" customWidth="1"/>
    <col min="208" max="209" width="1.5703125" style="326" customWidth="1"/>
    <col min="210" max="16384" width="10" style="326"/>
  </cols>
  <sheetData>
    <row r="1" spans="1:14" ht="15.75">
      <c r="A1"/>
      <c r="B1"/>
      <c r="C1"/>
      <c r="D1"/>
      <c r="E1"/>
      <c r="F1"/>
      <c r="G1"/>
      <c r="H1"/>
      <c r="I1"/>
      <c r="J1"/>
      <c r="K1"/>
      <c r="L1"/>
      <c r="M1"/>
      <c r="N1" s="660"/>
    </row>
    <row r="2" spans="1:14" ht="20.25">
      <c r="A2"/>
      <c r="B2" s="566" t="s">
        <v>1134</v>
      </c>
      <c r="C2" s="582"/>
      <c r="D2" s="697"/>
      <c r="E2" s="571" t="s">
        <v>1135</v>
      </c>
      <c r="F2" s="697"/>
      <c r="G2" s="582"/>
      <c r="H2" s="582"/>
      <c r="I2" s="582"/>
      <c r="J2" s="582"/>
      <c r="K2" s="582"/>
      <c r="L2" s="582"/>
      <c r="M2" s="582"/>
      <c r="N2" s="327"/>
    </row>
    <row r="3" spans="1:14" ht="18">
      <c r="A3"/>
      <c r="B3" s="565" t="s">
        <v>1063</v>
      </c>
      <c r="C3" s="590">
        <f>Development_Budget!C3</f>
        <v>0</v>
      </c>
      <c r="D3" s="582"/>
      <c r="E3"/>
      <c r="F3" s="582"/>
      <c r="G3" s="582"/>
      <c r="H3" s="582"/>
      <c r="I3" s="582"/>
      <c r="J3" s="582"/>
      <c r="K3" s="582"/>
      <c r="L3" s="582"/>
      <c r="M3" s="582"/>
      <c r="N3" s="660"/>
    </row>
    <row r="4" spans="1:14" ht="18">
      <c r="A4"/>
      <c r="B4" s="565" t="s">
        <v>1064</v>
      </c>
      <c r="C4" s="570">
        <f ca="1">TODAY()</f>
        <v>45447</v>
      </c>
      <c r="D4" s="570"/>
      <c r="E4" s="590"/>
      <c r="F4" s="582"/>
      <c r="G4" s="582"/>
      <c r="H4" s="582"/>
      <c r="I4" s="571"/>
      <c r="J4" s="582"/>
      <c r="K4" s="582"/>
      <c r="L4" s="582"/>
      <c r="M4" s="582"/>
      <c r="N4" s="327"/>
    </row>
    <row r="5" spans="1:14" ht="18">
      <c r="A5"/>
      <c r="B5" s="565" t="s">
        <v>1065</v>
      </c>
      <c r="C5" s="590">
        <f>'Contact Information'!B4</f>
        <v>0</v>
      </c>
      <c r="D5" s="582"/>
      <c r="E5" s="582"/>
      <c r="F5" s="582"/>
      <c r="G5" s="582"/>
      <c r="H5" s="582"/>
      <c r="I5"/>
      <c r="J5" s="582"/>
      <c r="K5" s="602"/>
      <c r="L5" s="602"/>
      <c r="M5" s="582"/>
      <c r="N5" s="327"/>
    </row>
    <row r="6" spans="1:14" ht="18">
      <c r="A6"/>
      <c r="B6" s="565" t="s">
        <v>1066</v>
      </c>
      <c r="C6" s="570">
        <v>44835</v>
      </c>
      <c r="D6" s="582"/>
      <c r="E6" s="582"/>
      <c r="F6" s="582"/>
      <c r="G6" s="582"/>
      <c r="H6" s="582"/>
      <c r="I6" s="571"/>
      <c r="J6" s="582"/>
      <c r="K6" s="582"/>
      <c r="L6" s="582"/>
      <c r="M6" s="582"/>
      <c r="N6" s="327"/>
    </row>
    <row r="7" spans="1:14" ht="18">
      <c r="A7"/>
      <c r="B7" s="565" t="s">
        <v>1067</v>
      </c>
      <c r="C7" s="582">
        <f>Calculations!B13</f>
        <v>0</v>
      </c>
      <c r="D7" s="582"/>
      <c r="E7" s="582"/>
      <c r="F7" s="582"/>
      <c r="G7" s="582"/>
      <c r="H7" s="582"/>
      <c r="I7" s="571"/>
      <c r="J7" s="582"/>
      <c r="K7" s="582"/>
      <c r="L7" s="582"/>
      <c r="M7" s="582"/>
      <c r="N7" s="327"/>
    </row>
    <row r="8" spans="1:14" ht="18.75" thickBot="1">
      <c r="A8"/>
      <c r="B8" s="603"/>
      <c r="C8" s="603"/>
      <c r="D8" s="603"/>
      <c r="E8" s="603"/>
      <c r="F8" s="603"/>
      <c r="G8" s="603"/>
      <c r="H8" s="603"/>
      <c r="I8" s="603"/>
      <c r="J8" s="603"/>
      <c r="K8" s="582"/>
      <c r="L8" s="582"/>
      <c r="M8" s="582"/>
      <c r="N8" s="327"/>
    </row>
    <row r="9" spans="1:14" ht="16.5" thickTop="1">
      <c r="A9"/>
      <c r="B9" s="724" t="s">
        <v>1136</v>
      </c>
      <c r="C9" s="725"/>
      <c r="D9" s="725"/>
      <c r="E9" s="725"/>
      <c r="F9" s="725"/>
      <c r="G9" s="725"/>
      <c r="H9" s="725"/>
      <c r="I9" s="726" t="s">
        <v>1137</v>
      </c>
      <c r="J9" s="725"/>
      <c r="K9" s="581"/>
      <c r="L9" s="582"/>
      <c r="M9" s="582"/>
      <c r="N9" s="327"/>
    </row>
    <row r="10" spans="1:14" ht="17.100000000000001" customHeight="1">
      <c r="A10"/>
      <c r="B10" s="727" t="s">
        <v>1138</v>
      </c>
      <c r="C10" s="728" t="s">
        <v>1139</v>
      </c>
      <c r="D10" s="728" t="s">
        <v>1140</v>
      </c>
      <c r="E10" s="728" t="s">
        <v>1141</v>
      </c>
      <c r="F10" s="728" t="s">
        <v>1142</v>
      </c>
      <c r="G10" s="729" t="s">
        <v>1143</v>
      </c>
      <c r="H10" s="729" t="s">
        <v>1144</v>
      </c>
      <c r="I10" s="604" t="s">
        <v>1145</v>
      </c>
      <c r="J10" s="673"/>
      <c r="K10" s="581"/>
      <c r="L10" s="582"/>
      <c r="M10" s="582"/>
      <c r="N10" s="327"/>
    </row>
    <row r="11" spans="1:14" ht="15.75">
      <c r="A11"/>
      <c r="B11" s="667">
        <f>Calculations!B833</f>
        <v>0</v>
      </c>
      <c r="C11" s="668">
        <f>Calculations!A833</f>
        <v>0</v>
      </c>
      <c r="D11" s="669">
        <f>Calculations!D833</f>
        <v>0</v>
      </c>
      <c r="E11" s="670">
        <f>Calculations!C833</f>
        <v>0</v>
      </c>
      <c r="F11" s="670">
        <f>Calculations!E833</f>
        <v>0</v>
      </c>
      <c r="G11" s="672" t="str">
        <f t="shared" ref="G11:G42" si="0">IF(F11=0,"",D11*F11*12)</f>
        <v/>
      </c>
      <c r="H11" s="837"/>
      <c r="I11" s="730" t="s">
        <v>1146</v>
      </c>
      <c r="J11" s="671">
        <f>'Proforma, Income &amp; Expense'!B26</f>
        <v>0</v>
      </c>
      <c r="K11" s="848" t="e">
        <f>(J11/G43)</f>
        <v>#DIV/0!</v>
      </c>
      <c r="L11" s="582"/>
      <c r="M11" s="582"/>
      <c r="N11" s="327"/>
    </row>
    <row r="12" spans="1:14" ht="15.75">
      <c r="A12"/>
      <c r="B12" s="667">
        <f>Calculations!B834</f>
        <v>0</v>
      </c>
      <c r="C12" s="668">
        <f>Calculations!A834</f>
        <v>0</v>
      </c>
      <c r="D12" s="669">
        <f>Calculations!D834</f>
        <v>0</v>
      </c>
      <c r="E12" s="670">
        <f>Calculations!C834</f>
        <v>0</v>
      </c>
      <c r="F12" s="670">
        <f>Calculations!E834</f>
        <v>0</v>
      </c>
      <c r="G12" s="672" t="str">
        <f t="shared" si="0"/>
        <v/>
      </c>
      <c r="H12" s="837"/>
      <c r="I12" s="730" t="s">
        <v>1147</v>
      </c>
      <c r="J12" s="671">
        <f>'Proforma, Income &amp; Expense'!B27</f>
        <v>0</v>
      </c>
      <c r="K12" s="795">
        <v>0</v>
      </c>
      <c r="L12" s="588" t="s">
        <v>1148</v>
      </c>
      <c r="M12" s="583"/>
      <c r="N12" s="327"/>
    </row>
    <row r="13" spans="1:14" ht="15.75">
      <c r="A13"/>
      <c r="B13" s="667">
        <f>Calculations!B835</f>
        <v>0</v>
      </c>
      <c r="C13" s="845">
        <f>Calculations!A835</f>
        <v>0</v>
      </c>
      <c r="D13" s="846">
        <f>Calculations!D835</f>
        <v>0</v>
      </c>
      <c r="E13" s="847">
        <f>Calculations!C835</f>
        <v>0</v>
      </c>
      <c r="F13" s="847">
        <f>Calculations!E835</f>
        <v>0</v>
      </c>
      <c r="G13" s="672" t="str">
        <f t="shared" si="0"/>
        <v/>
      </c>
      <c r="H13" s="837"/>
      <c r="I13" s="730" t="s">
        <v>1149</v>
      </c>
      <c r="J13" s="671">
        <f>'Proforma, Income &amp; Expense'!B28</f>
        <v>0</v>
      </c>
      <c r="K13" s="731"/>
      <c r="L13" s="582"/>
      <c r="M13" s="582"/>
      <c r="N13" s="327"/>
    </row>
    <row r="14" spans="1:14" ht="15.75">
      <c r="A14"/>
      <c r="B14" s="667">
        <f>Calculations!B836</f>
        <v>0</v>
      </c>
      <c r="C14" s="845">
        <f>Calculations!A836</f>
        <v>0</v>
      </c>
      <c r="D14" s="846">
        <f>Calculations!D836</f>
        <v>0</v>
      </c>
      <c r="E14" s="847">
        <f>Calculations!C836</f>
        <v>0</v>
      </c>
      <c r="F14" s="847">
        <f>Calculations!E836</f>
        <v>0</v>
      </c>
      <c r="G14" s="672" t="str">
        <f t="shared" si="0"/>
        <v/>
      </c>
      <c r="H14" s="837"/>
      <c r="I14" s="730" t="s">
        <v>593</v>
      </c>
      <c r="J14" s="671">
        <f>'Proforma, Income &amp; Expense'!B24</f>
        <v>0</v>
      </c>
      <c r="K14" s="731"/>
      <c r="L14" s="582"/>
      <c r="M14" s="582"/>
      <c r="N14" s="327"/>
    </row>
    <row r="15" spans="1:14" ht="15.75">
      <c r="A15"/>
      <c r="B15" s="667">
        <f>Calculations!B837</f>
        <v>0</v>
      </c>
      <c r="C15" s="845">
        <f>Calculations!A837</f>
        <v>0</v>
      </c>
      <c r="D15" s="846">
        <f>Calculations!D837</f>
        <v>0</v>
      </c>
      <c r="E15" s="847">
        <f>Calculations!C837</f>
        <v>0</v>
      </c>
      <c r="F15" s="847">
        <f>Calculations!E837</f>
        <v>0</v>
      </c>
      <c r="G15" s="672" t="str">
        <f t="shared" si="0"/>
        <v/>
      </c>
      <c r="H15" s="837"/>
      <c r="I15" s="730" t="s">
        <v>591</v>
      </c>
      <c r="J15" s="671">
        <f>'Proforma, Income &amp; Expense'!B22</f>
        <v>0</v>
      </c>
      <c r="K15" s="731"/>
      <c r="L15" s="582"/>
      <c r="M15" s="582"/>
      <c r="N15" s="327"/>
    </row>
    <row r="16" spans="1:14" ht="15.75">
      <c r="A16"/>
      <c r="B16" s="667">
        <f>Calculations!B838</f>
        <v>0</v>
      </c>
      <c r="C16" s="845">
        <f>Calculations!A838</f>
        <v>0</v>
      </c>
      <c r="D16" s="846">
        <f>Calculations!D838</f>
        <v>0</v>
      </c>
      <c r="E16" s="847">
        <f>Calculations!C838</f>
        <v>0</v>
      </c>
      <c r="F16" s="847">
        <f>Calculations!E838</f>
        <v>0</v>
      </c>
      <c r="G16" s="672" t="str">
        <f t="shared" si="0"/>
        <v/>
      </c>
      <c r="H16" s="837"/>
      <c r="I16" s="730" t="s">
        <v>592</v>
      </c>
      <c r="J16" s="671">
        <f>'Proforma, Income &amp; Expense'!B23</f>
        <v>0</v>
      </c>
      <c r="K16" s="731"/>
      <c r="L16" s="582"/>
      <c r="M16" s="582"/>
      <c r="N16" s="327"/>
    </row>
    <row r="17" spans="1:14" ht="15.75">
      <c r="A17"/>
      <c r="B17" s="667">
        <f>Calculations!B839</f>
        <v>0</v>
      </c>
      <c r="C17" s="845">
        <f>Calculations!A839</f>
        <v>0</v>
      </c>
      <c r="D17" s="846">
        <f>Calculations!D839</f>
        <v>0</v>
      </c>
      <c r="E17" s="847">
        <f>Calculations!C839</f>
        <v>0</v>
      </c>
      <c r="F17" s="847">
        <f>Calculations!E839</f>
        <v>0</v>
      </c>
      <c r="G17" s="672" t="str">
        <f t="shared" si="0"/>
        <v/>
      </c>
      <c r="H17" s="837"/>
      <c r="I17" s="730" t="s">
        <v>599</v>
      </c>
      <c r="J17" s="671">
        <f>'Proforma, Income &amp; Expense'!B30</f>
        <v>0</v>
      </c>
      <c r="K17" s="731"/>
      <c r="L17" s="582"/>
      <c r="M17" s="582"/>
      <c r="N17" s="327"/>
    </row>
    <row r="18" spans="1:14" ht="15.75">
      <c r="A18"/>
      <c r="B18" s="667">
        <f>Calculations!B840</f>
        <v>0</v>
      </c>
      <c r="C18" s="845">
        <f>Calculations!A840</f>
        <v>0</v>
      </c>
      <c r="D18" s="846">
        <f>Calculations!D840</f>
        <v>0</v>
      </c>
      <c r="E18" s="847">
        <f>Calculations!C840</f>
        <v>0</v>
      </c>
      <c r="F18" s="847">
        <f>Calculations!E840</f>
        <v>0</v>
      </c>
      <c r="G18" s="672" t="str">
        <f t="shared" si="0"/>
        <v/>
      </c>
      <c r="H18" s="837"/>
      <c r="I18" s="730" t="s">
        <v>600</v>
      </c>
      <c r="J18" s="671">
        <f>'Proforma, Income &amp; Expense'!B31</f>
        <v>0</v>
      </c>
      <c r="K18" s="731"/>
      <c r="L18" s="582"/>
      <c r="M18" s="582"/>
      <c r="N18" s="327"/>
    </row>
    <row r="19" spans="1:14" ht="15.75">
      <c r="A19"/>
      <c r="B19" s="667">
        <f>Calculations!B841</f>
        <v>0</v>
      </c>
      <c r="C19" s="845">
        <f>Calculations!A841</f>
        <v>0</v>
      </c>
      <c r="D19" s="846">
        <f>Calculations!D841</f>
        <v>0</v>
      </c>
      <c r="E19" s="847">
        <f>Calculations!C841</f>
        <v>0</v>
      </c>
      <c r="F19" s="847">
        <f>Calculations!E841</f>
        <v>0</v>
      </c>
      <c r="G19" s="672" t="str">
        <f t="shared" si="0"/>
        <v/>
      </c>
      <c r="H19" s="837"/>
      <c r="I19" s="730" t="s">
        <v>1150</v>
      </c>
      <c r="J19" s="671">
        <v>0</v>
      </c>
      <c r="K19" s="731"/>
      <c r="L19" s="582"/>
      <c r="M19" s="582"/>
      <c r="N19" s="327"/>
    </row>
    <row r="20" spans="1:14" ht="15.75">
      <c r="A20"/>
      <c r="B20" s="667">
        <f>Calculations!B842</f>
        <v>0</v>
      </c>
      <c r="C20" s="845">
        <f>Calculations!A842</f>
        <v>0</v>
      </c>
      <c r="D20" s="846">
        <f>Calculations!D842</f>
        <v>0</v>
      </c>
      <c r="E20" s="847">
        <f>Calculations!C842</f>
        <v>0</v>
      </c>
      <c r="F20" s="847">
        <f>Calculations!E842</f>
        <v>0</v>
      </c>
      <c r="G20" s="672" t="str">
        <f t="shared" si="0"/>
        <v/>
      </c>
      <c r="H20" s="837"/>
      <c r="I20" s="730" t="s">
        <v>594</v>
      </c>
      <c r="J20" s="671">
        <f>'Proforma, Income &amp; Expense'!B25</f>
        <v>0</v>
      </c>
      <c r="K20" s="581"/>
      <c r="L20" s="582"/>
      <c r="M20" s="582"/>
      <c r="N20" s="327"/>
    </row>
    <row r="21" spans="1:14" ht="15.75">
      <c r="A21"/>
      <c r="B21" s="667">
        <f>Calculations!B843</f>
        <v>0</v>
      </c>
      <c r="C21" s="845">
        <f>Calculations!A843</f>
        <v>0</v>
      </c>
      <c r="D21" s="846">
        <f>Calculations!D843</f>
        <v>0</v>
      </c>
      <c r="E21" s="847">
        <f>Calculations!C843</f>
        <v>0</v>
      </c>
      <c r="F21" s="847">
        <f>Calculations!E843</f>
        <v>0</v>
      </c>
      <c r="G21" s="672" t="str">
        <f t="shared" si="0"/>
        <v/>
      </c>
      <c r="H21" s="837"/>
      <c r="I21" s="732" t="s">
        <v>1151</v>
      </c>
      <c r="J21" s="671">
        <f>'Income+Expense'!B37+'Proforma, Income &amp; Expense'!B32+'Proforma, Income &amp; Expense'!B33</f>
        <v>0</v>
      </c>
      <c r="K21" s="581"/>
      <c r="L21" s="582"/>
      <c r="M21" s="582"/>
      <c r="N21" s="660"/>
    </row>
    <row r="22" spans="1:14" ht="15.75">
      <c r="A22"/>
      <c r="B22" s="667">
        <f>Calculations!B844</f>
        <v>0</v>
      </c>
      <c r="C22" s="845">
        <f>Calculations!A844</f>
        <v>0</v>
      </c>
      <c r="D22" s="846">
        <f>Calculations!D844</f>
        <v>0</v>
      </c>
      <c r="E22" s="847">
        <f>Calculations!C844</f>
        <v>0</v>
      </c>
      <c r="F22" s="847">
        <f>Calculations!E844</f>
        <v>0</v>
      </c>
      <c r="G22" s="672" t="str">
        <f t="shared" si="0"/>
        <v/>
      </c>
      <c r="H22" s="837"/>
      <c r="I22" s="732" t="str">
        <f>'Proforma, Income &amp; Expense'!A34</f>
        <v>Other (Specify)</v>
      </c>
      <c r="J22" s="671">
        <f>'Proforma, Income &amp; Expense'!B34</f>
        <v>0</v>
      </c>
      <c r="K22" s="581"/>
      <c r="L22" s="582"/>
      <c r="M22" s="582"/>
      <c r="N22" s="327"/>
    </row>
    <row r="23" spans="1:14" ht="15.75">
      <c r="A23"/>
      <c r="B23" s="667">
        <f>Calculations!B845</f>
        <v>0</v>
      </c>
      <c r="C23" s="845">
        <f>Calculations!A845</f>
        <v>0</v>
      </c>
      <c r="D23" s="846">
        <f>Calculations!D845</f>
        <v>0</v>
      </c>
      <c r="E23" s="847">
        <f>Calculations!C845</f>
        <v>0</v>
      </c>
      <c r="F23" s="847">
        <f>Calculations!E845</f>
        <v>0</v>
      </c>
      <c r="G23" s="672" t="str">
        <f t="shared" si="0"/>
        <v/>
      </c>
      <c r="H23" s="837"/>
      <c r="I23" s="605" t="s">
        <v>1152</v>
      </c>
      <c r="J23" s="672">
        <f>SUM(J11:J22)</f>
        <v>0</v>
      </c>
      <c r="K23" s="581"/>
      <c r="L23" s="582"/>
      <c r="M23" s="582"/>
      <c r="N23" s="327"/>
    </row>
    <row r="24" spans="1:14" ht="15.75">
      <c r="A24"/>
      <c r="B24" s="667">
        <f>Calculations!B846</f>
        <v>0</v>
      </c>
      <c r="C24" s="845">
        <f>Calculations!A846</f>
        <v>0</v>
      </c>
      <c r="D24" s="846">
        <f>Calculations!D846</f>
        <v>0</v>
      </c>
      <c r="E24" s="847">
        <f>Calculations!C846</f>
        <v>0</v>
      </c>
      <c r="F24" s="847">
        <f>Calculations!E846</f>
        <v>0</v>
      </c>
      <c r="G24" s="672" t="str">
        <f t="shared" ref="G24:G32" si="1">IF(F24=0,"",D24*F24*12)</f>
        <v/>
      </c>
      <c r="H24" s="837"/>
      <c r="I24" s="604" t="s">
        <v>1153</v>
      </c>
      <c r="J24" s="673"/>
      <c r="K24" s="581"/>
      <c r="L24" s="582"/>
      <c r="M24" s="582"/>
      <c r="N24" s="327"/>
    </row>
    <row r="25" spans="1:14" ht="15.75">
      <c r="A25"/>
      <c r="B25" s="667">
        <f>Calculations!B847</f>
        <v>0</v>
      </c>
      <c r="C25" s="845">
        <f>Calculations!A847</f>
        <v>0</v>
      </c>
      <c r="D25" s="846">
        <f>Calculations!D847</f>
        <v>0</v>
      </c>
      <c r="E25" s="847">
        <f>Calculations!C847</f>
        <v>0</v>
      </c>
      <c r="F25" s="847">
        <f>Calculations!E847</f>
        <v>0</v>
      </c>
      <c r="G25" s="672" t="str">
        <f t="shared" si="1"/>
        <v/>
      </c>
      <c r="H25" s="837"/>
      <c r="I25" s="730" t="s">
        <v>602</v>
      </c>
      <c r="J25" s="671">
        <f>'Proforma, Income &amp; Expense'!B37</f>
        <v>0</v>
      </c>
      <c r="K25" s="581" t="s">
        <v>1154</v>
      </c>
      <c r="L25" s="582"/>
      <c r="M25" s="582"/>
      <c r="N25" s="327"/>
    </row>
    <row r="26" spans="1:14" ht="15.75">
      <c r="A26"/>
      <c r="B26" s="667">
        <f>Calculations!B848</f>
        <v>0</v>
      </c>
      <c r="C26" s="845">
        <f>Calculations!A848</f>
        <v>0</v>
      </c>
      <c r="D26" s="846">
        <f>Calculations!D848</f>
        <v>0</v>
      </c>
      <c r="E26" s="847">
        <f>Calculations!C848</f>
        <v>0</v>
      </c>
      <c r="F26" s="847">
        <f>Calculations!E848</f>
        <v>0</v>
      </c>
      <c r="G26" s="672" t="str">
        <f t="shared" si="1"/>
        <v/>
      </c>
      <c r="H26" s="837"/>
      <c r="I26" s="730" t="s">
        <v>603</v>
      </c>
      <c r="J26" s="671">
        <f>'Proforma, Income &amp; Expense'!B38</f>
        <v>0</v>
      </c>
      <c r="K26" s="796" t="e">
        <f>(J25+J26+J27+J28+J29)/D43/12</f>
        <v>#DIV/0!</v>
      </c>
      <c r="L26" s="582"/>
      <c r="M26" s="582"/>
      <c r="N26" s="327"/>
    </row>
    <row r="27" spans="1:14" ht="15.75">
      <c r="A27"/>
      <c r="B27" s="667">
        <f>Calculations!B849</f>
        <v>0</v>
      </c>
      <c r="C27" s="845">
        <f>Calculations!A849</f>
        <v>0</v>
      </c>
      <c r="D27" s="846">
        <f>Calculations!D849</f>
        <v>0</v>
      </c>
      <c r="E27" s="847">
        <f>Calculations!C849</f>
        <v>0</v>
      </c>
      <c r="F27" s="847">
        <f>Calculations!E849</f>
        <v>0</v>
      </c>
      <c r="G27" s="672" t="str">
        <f t="shared" si="1"/>
        <v/>
      </c>
      <c r="H27" s="837"/>
      <c r="I27" s="730" t="s">
        <v>604</v>
      </c>
      <c r="J27" s="671">
        <f>'Proforma, Income &amp; Expense'!B39</f>
        <v>0</v>
      </c>
      <c r="K27" s="581"/>
      <c r="L27" s="583"/>
      <c r="M27" s="582"/>
      <c r="N27" s="327"/>
    </row>
    <row r="28" spans="1:14" ht="15.75">
      <c r="A28"/>
      <c r="B28" s="667">
        <f>Calculations!B850</f>
        <v>0</v>
      </c>
      <c r="C28" s="845">
        <f>Calculations!A850</f>
        <v>0</v>
      </c>
      <c r="D28" s="846">
        <f>Calculations!D850</f>
        <v>0</v>
      </c>
      <c r="E28" s="847">
        <f>Calculations!C850</f>
        <v>0</v>
      </c>
      <c r="F28" s="847">
        <f>Calculations!E850</f>
        <v>0</v>
      </c>
      <c r="G28" s="672" t="str">
        <f t="shared" si="1"/>
        <v/>
      </c>
      <c r="H28" s="837"/>
      <c r="I28" s="730" t="s">
        <v>605</v>
      </c>
      <c r="J28" s="671">
        <f>'Proforma, Income &amp; Expense'!B40</f>
        <v>0</v>
      </c>
      <c r="K28" s="581"/>
      <c r="L28" s="583"/>
      <c r="M28" s="582"/>
      <c r="N28" s="327"/>
    </row>
    <row r="29" spans="1:14" ht="15.75">
      <c r="A29"/>
      <c r="B29" s="667">
        <f>Calculations!B851</f>
        <v>0</v>
      </c>
      <c r="C29" s="845">
        <f>Calculations!A851</f>
        <v>0</v>
      </c>
      <c r="D29" s="846">
        <f>Calculations!D851</f>
        <v>0</v>
      </c>
      <c r="E29" s="847">
        <f>Calculations!C851</f>
        <v>0</v>
      </c>
      <c r="F29" s="847">
        <f>Calculations!E851</f>
        <v>0</v>
      </c>
      <c r="G29" s="672" t="str">
        <f t="shared" si="1"/>
        <v/>
      </c>
      <c r="H29" s="837"/>
      <c r="I29" s="730" t="s">
        <v>606</v>
      </c>
      <c r="J29" s="671">
        <f>'Proforma, Income &amp; Expense'!B41</f>
        <v>0</v>
      </c>
      <c r="K29" s="581"/>
      <c r="L29" s="583"/>
      <c r="M29" s="582"/>
      <c r="N29" s="327"/>
    </row>
    <row r="30" spans="1:14" ht="15.75">
      <c r="A30"/>
      <c r="B30" s="667">
        <f>Calculations!B852</f>
        <v>0</v>
      </c>
      <c r="C30" s="845">
        <f>Calculations!A852</f>
        <v>0</v>
      </c>
      <c r="D30" s="846">
        <f>Calculations!D852</f>
        <v>0</v>
      </c>
      <c r="E30" s="847">
        <f>Calculations!C852</f>
        <v>0</v>
      </c>
      <c r="F30" s="847">
        <f>Calculations!E852</f>
        <v>0</v>
      </c>
      <c r="G30" s="672" t="str">
        <f t="shared" si="1"/>
        <v/>
      </c>
      <c r="H30" s="837"/>
      <c r="I30" s="730" t="s">
        <v>1155</v>
      </c>
      <c r="J30" s="671">
        <f>'Proforma, Income &amp; Expense'!B42</f>
        <v>0</v>
      </c>
      <c r="K30" s="733"/>
      <c r="L30" s="582"/>
      <c r="M30" s="582"/>
      <c r="N30" s="327"/>
    </row>
    <row r="31" spans="1:14" ht="15.75">
      <c r="A31"/>
      <c r="B31" s="667">
        <f>Calculations!B853</f>
        <v>0</v>
      </c>
      <c r="C31" s="845">
        <f>Calculations!A853</f>
        <v>0</v>
      </c>
      <c r="D31" s="846">
        <f>Calculations!D853</f>
        <v>0</v>
      </c>
      <c r="E31" s="847">
        <f>Calculations!C853</f>
        <v>0</v>
      </c>
      <c r="F31" s="847">
        <f>Calculations!E853</f>
        <v>0</v>
      </c>
      <c r="G31" s="672" t="str">
        <f t="shared" si="1"/>
        <v/>
      </c>
      <c r="H31" s="837"/>
      <c r="I31" s="730" t="s">
        <v>608</v>
      </c>
      <c r="J31" s="671">
        <f>'Proforma, Income &amp; Expense'!B43</f>
        <v>0</v>
      </c>
      <c r="K31" s="733"/>
      <c r="L31" s="583"/>
      <c r="M31" s="582"/>
      <c r="N31" s="327"/>
    </row>
    <row r="32" spans="1:14" ht="15.75">
      <c r="A32"/>
      <c r="B32" s="667">
        <f>Calculations!B854</f>
        <v>0</v>
      </c>
      <c r="C32" s="845">
        <f>Calculations!A854</f>
        <v>0</v>
      </c>
      <c r="D32" s="846">
        <f>Calculations!D854</f>
        <v>0</v>
      </c>
      <c r="E32" s="847">
        <f>Calculations!C854</f>
        <v>0</v>
      </c>
      <c r="F32" s="847">
        <f>Calculations!E854</f>
        <v>0</v>
      </c>
      <c r="G32" s="672" t="str">
        <f t="shared" si="1"/>
        <v/>
      </c>
      <c r="H32" s="837"/>
      <c r="I32" s="730" t="s">
        <v>609</v>
      </c>
      <c r="J32" s="671">
        <f>'Proforma, Income &amp; Expense'!B44</f>
        <v>0</v>
      </c>
      <c r="K32" s="581"/>
      <c r="L32" s="582"/>
      <c r="M32" s="582"/>
      <c r="N32" s="327"/>
    </row>
    <row r="33" spans="1:14" ht="15.75">
      <c r="A33"/>
      <c r="B33" s="667">
        <f>Calculations!B855</f>
        <v>0</v>
      </c>
      <c r="C33" s="845">
        <f>Calculations!A855</f>
        <v>0</v>
      </c>
      <c r="D33" s="846">
        <f>Calculations!D855</f>
        <v>0</v>
      </c>
      <c r="E33" s="847">
        <f>Calculations!C846</f>
        <v>0</v>
      </c>
      <c r="F33" s="847">
        <f>Calculations!E846</f>
        <v>0</v>
      </c>
      <c r="G33" s="672" t="str">
        <f t="shared" si="0"/>
        <v/>
      </c>
      <c r="H33" s="837"/>
      <c r="I33" s="730" t="s">
        <v>1156</v>
      </c>
      <c r="J33" s="671">
        <v>0</v>
      </c>
      <c r="K33" s="581"/>
      <c r="L33" s="582"/>
      <c r="M33" s="582"/>
      <c r="N33" s="327"/>
    </row>
    <row r="34" spans="1:14" ht="15.75">
      <c r="A34"/>
      <c r="B34" s="667">
        <f>Calculations!B856</f>
        <v>0</v>
      </c>
      <c r="C34" s="845">
        <f>Calculations!A856</f>
        <v>0</v>
      </c>
      <c r="D34" s="846">
        <f>Calculations!D856</f>
        <v>0</v>
      </c>
      <c r="E34" s="847">
        <f>Calculations!C847</f>
        <v>0</v>
      </c>
      <c r="F34" s="847">
        <f>Calculations!E847</f>
        <v>0</v>
      </c>
      <c r="G34" s="672" t="str">
        <f t="shared" si="0"/>
        <v/>
      </c>
      <c r="H34" s="837"/>
      <c r="I34" s="730" t="s">
        <v>1157</v>
      </c>
      <c r="J34" s="671">
        <v>0</v>
      </c>
      <c r="K34" s="581"/>
      <c r="L34" s="582"/>
      <c r="M34" s="582"/>
    </row>
    <row r="35" spans="1:14" ht="15.75">
      <c r="A35"/>
      <c r="B35" s="667">
        <f>Calculations!B857</f>
        <v>0</v>
      </c>
      <c r="C35" s="845">
        <f>Calculations!A857</f>
        <v>0</v>
      </c>
      <c r="D35" s="846">
        <f>Calculations!D857</f>
        <v>0</v>
      </c>
      <c r="E35" s="847">
        <f>Calculations!C848</f>
        <v>0</v>
      </c>
      <c r="F35" s="847">
        <f>Calculations!E848</f>
        <v>0</v>
      </c>
      <c r="G35" s="672" t="str">
        <f t="shared" si="0"/>
        <v/>
      </c>
      <c r="H35" s="837"/>
      <c r="I35" s="732" t="s">
        <v>642</v>
      </c>
      <c r="J35" s="671">
        <f>'Proforma, Income &amp; Expense'!B45+'Proforma, Income &amp; Expense'!B46+'Proforma, Income &amp; Expense'!B47+'Proforma, Income &amp; Expense'!B48</f>
        <v>0</v>
      </c>
      <c r="K35" s="581"/>
      <c r="L35" s="582"/>
      <c r="M35" s="582"/>
    </row>
    <row r="36" spans="1:14" ht="15.75">
      <c r="A36"/>
      <c r="B36" s="667">
        <f>Calculations!B858</f>
        <v>0</v>
      </c>
      <c r="C36" s="845">
        <f>Calculations!A858</f>
        <v>0</v>
      </c>
      <c r="D36" s="846">
        <f>Calculations!D858</f>
        <v>0</v>
      </c>
      <c r="E36" s="847">
        <f>Calculations!C849</f>
        <v>0</v>
      </c>
      <c r="F36" s="847">
        <f>Calculations!E849</f>
        <v>0</v>
      </c>
      <c r="G36" s="672" t="str">
        <f t="shared" si="0"/>
        <v/>
      </c>
      <c r="H36" s="837"/>
      <c r="I36" s="732" t="s">
        <v>642</v>
      </c>
      <c r="J36" s="671">
        <v>0</v>
      </c>
      <c r="K36" s="581"/>
      <c r="L36" s="582"/>
      <c r="M36" s="582"/>
    </row>
    <row r="37" spans="1:14" ht="15.75">
      <c r="A37"/>
      <c r="B37" s="667">
        <f>Calculations!B859</f>
        <v>0</v>
      </c>
      <c r="C37" s="845">
        <f>Calculations!A859</f>
        <v>0</v>
      </c>
      <c r="D37" s="846">
        <f>Calculations!D859</f>
        <v>0</v>
      </c>
      <c r="E37" s="847">
        <f>Calculations!C850</f>
        <v>0</v>
      </c>
      <c r="F37" s="847">
        <f>Calculations!E850</f>
        <v>0</v>
      </c>
      <c r="G37" s="672" t="str">
        <f t="shared" si="0"/>
        <v/>
      </c>
      <c r="H37" s="837"/>
      <c r="I37" s="605" t="s">
        <v>1158</v>
      </c>
      <c r="J37" s="672">
        <f>SUM(J25:J36)</f>
        <v>0</v>
      </c>
      <c r="K37" s="581"/>
      <c r="L37" s="582"/>
      <c r="M37" s="582"/>
    </row>
    <row r="38" spans="1:14" ht="15.75">
      <c r="A38"/>
      <c r="B38" s="667">
        <f>Calculations!B860</f>
        <v>0</v>
      </c>
      <c r="C38" s="845">
        <f>Calculations!A860</f>
        <v>0</v>
      </c>
      <c r="D38" s="846">
        <f>Calculations!D860</f>
        <v>0</v>
      </c>
      <c r="E38" s="847">
        <f>Calculations!C851</f>
        <v>0</v>
      </c>
      <c r="F38" s="847">
        <f>Calculations!E851</f>
        <v>0</v>
      </c>
      <c r="G38" s="672" t="str">
        <f t="shared" si="0"/>
        <v/>
      </c>
      <c r="H38" s="837"/>
      <c r="I38" s="604" t="s">
        <v>1159</v>
      </c>
      <c r="J38" s="673"/>
      <c r="K38" s="581"/>
      <c r="L38" s="582"/>
      <c r="M38" s="582"/>
    </row>
    <row r="39" spans="1:14" ht="15.75">
      <c r="A39"/>
      <c r="B39" s="667">
        <f>Calculations!B861</f>
        <v>0</v>
      </c>
      <c r="C39" s="845">
        <f>Calculations!A861</f>
        <v>0</v>
      </c>
      <c r="D39" s="846">
        <f>Calculations!D861</f>
        <v>0</v>
      </c>
      <c r="E39" s="847">
        <f>Calculations!C852</f>
        <v>0</v>
      </c>
      <c r="F39" s="847">
        <f>Calculations!E852</f>
        <v>0</v>
      </c>
      <c r="G39" s="672" t="str">
        <f t="shared" si="0"/>
        <v/>
      </c>
      <c r="H39" s="837"/>
      <c r="I39" s="730" t="s">
        <v>616</v>
      </c>
      <c r="J39" s="671">
        <f>'Proforma, Income &amp; Expense'!B56</f>
        <v>0</v>
      </c>
      <c r="K39" s="581"/>
      <c r="L39" s="582"/>
      <c r="M39" s="582"/>
    </row>
    <row r="40" spans="1:14" ht="15.75">
      <c r="A40"/>
      <c r="B40" s="667">
        <f>Calculations!B862</f>
        <v>0</v>
      </c>
      <c r="C40" s="845">
        <f>Calculations!A862</f>
        <v>0</v>
      </c>
      <c r="D40" s="846">
        <f>Calculations!D862</f>
        <v>0</v>
      </c>
      <c r="E40" s="847">
        <f>Calculations!C853</f>
        <v>0</v>
      </c>
      <c r="F40" s="847">
        <f>Calculations!E853</f>
        <v>0</v>
      </c>
      <c r="G40" s="672" t="str">
        <f t="shared" si="0"/>
        <v/>
      </c>
      <c r="H40" s="837"/>
      <c r="I40" s="730" t="s">
        <v>1160</v>
      </c>
      <c r="J40" s="671">
        <f>'Proforma, Income &amp; Expense'!B55</f>
        <v>0</v>
      </c>
      <c r="K40" s="581"/>
      <c r="L40" s="582"/>
      <c r="M40" s="582"/>
    </row>
    <row r="41" spans="1:14" ht="15.75">
      <c r="A41"/>
      <c r="B41" s="667">
        <f>Calculations!B863</f>
        <v>0</v>
      </c>
      <c r="C41" s="845">
        <f>Calculations!A863</f>
        <v>0</v>
      </c>
      <c r="D41" s="846">
        <f>Calculations!D863</f>
        <v>0</v>
      </c>
      <c r="E41" s="847">
        <f>Calculations!C854</f>
        <v>0</v>
      </c>
      <c r="F41" s="847">
        <f>Calculations!E854</f>
        <v>0</v>
      </c>
      <c r="G41" s="672" t="str">
        <f t="shared" si="0"/>
        <v/>
      </c>
      <c r="H41" s="837"/>
      <c r="I41" s="730" t="s">
        <v>614</v>
      </c>
      <c r="J41" s="671">
        <f>'Proforma, Income &amp; Expense'!B54</f>
        <v>0</v>
      </c>
      <c r="K41" s="581"/>
      <c r="L41" s="582"/>
      <c r="M41" s="582"/>
    </row>
    <row r="42" spans="1:14" ht="18" customHeight="1">
      <c r="A42"/>
      <c r="B42" s="667">
        <f>Calculations!B864</f>
        <v>0</v>
      </c>
      <c r="C42" s="845">
        <f>Calculations!A864</f>
        <v>0</v>
      </c>
      <c r="D42" s="846">
        <f>Calculations!D864</f>
        <v>0</v>
      </c>
      <c r="E42" s="847">
        <f>Calculations!C855</f>
        <v>0</v>
      </c>
      <c r="F42" s="847">
        <f>Calculations!E855</f>
        <v>0</v>
      </c>
      <c r="G42" s="672" t="str">
        <f t="shared" si="0"/>
        <v/>
      </c>
      <c r="H42" s="837"/>
      <c r="I42" s="730" t="s">
        <v>1161</v>
      </c>
      <c r="J42" s="671">
        <f>'Proforma, Income &amp; Expense'!B57</f>
        <v>0</v>
      </c>
      <c r="K42" s="581"/>
      <c r="L42" s="582"/>
      <c r="M42" s="582"/>
    </row>
    <row r="43" spans="1:14" ht="15.75">
      <c r="A43"/>
      <c r="B43" s="734"/>
      <c r="C43" s="735" t="s">
        <v>1162</v>
      </c>
      <c r="D43" s="736">
        <f>SUM(D11:D42)</f>
        <v>0</v>
      </c>
      <c r="E43" s="735"/>
      <c r="F43" s="735" t="s">
        <v>1163</v>
      </c>
      <c r="G43" s="672">
        <f>SUM(G11:G42)</f>
        <v>0</v>
      </c>
      <c r="H43" s="672"/>
      <c r="I43" s="730" t="s">
        <v>612</v>
      </c>
      <c r="J43" s="671">
        <f>'Proforma, Income &amp; Expense'!B52</f>
        <v>0</v>
      </c>
      <c r="K43" s="581"/>
      <c r="L43" s="582"/>
      <c r="M43" s="582"/>
    </row>
    <row r="44" spans="1:14" ht="15.75">
      <c r="A44"/>
      <c r="B44" s="734"/>
      <c r="C44" s="735" t="s">
        <v>1164</v>
      </c>
      <c r="D44" s="737">
        <f>SUMPRODUCT(D11:D42,E11:E42)</f>
        <v>0</v>
      </c>
      <c r="E44" s="738"/>
      <c r="F44" s="738"/>
      <c r="G44" s="672"/>
      <c r="H44" s="672"/>
      <c r="I44" s="730" t="s">
        <v>613</v>
      </c>
      <c r="J44" s="671">
        <f>'Proforma, Income &amp; Expense'!B53</f>
        <v>0</v>
      </c>
      <c r="K44" s="581"/>
      <c r="L44" s="582"/>
      <c r="M44" s="582"/>
    </row>
    <row r="45" spans="1:14" ht="15.75">
      <c r="A45"/>
      <c r="B45" s="739"/>
      <c r="C45" s="735" t="s">
        <v>1165</v>
      </c>
      <c r="D45" s="740" t="e">
        <f>SUMPRODUCT(C11:C42,D11:D42)/D43</f>
        <v>#DIV/0!</v>
      </c>
      <c r="E45" s="738"/>
      <c r="F45" s="735" t="s">
        <v>1166</v>
      </c>
      <c r="G45" s="671">
        <f>12*'Proforma, Income &amp; Expense'!B13</f>
        <v>0</v>
      </c>
      <c r="H45" s="670"/>
      <c r="I45" s="730" t="s">
        <v>619</v>
      </c>
      <c r="J45" s="671">
        <f>'Proforma, Income &amp; Expense'!B59</f>
        <v>0</v>
      </c>
      <c r="K45" s="581"/>
      <c r="L45" s="582"/>
      <c r="M45" s="582"/>
    </row>
    <row r="46" spans="1:14" ht="15.75">
      <c r="A46"/>
      <c r="B46" s="739"/>
      <c r="C46" s="735" t="s">
        <v>1167</v>
      </c>
      <c r="D46" s="737">
        <f>SUMIF(C11:C42,"&lt;=0.6",D11:D42)</f>
        <v>0</v>
      </c>
      <c r="E46" s="738"/>
      <c r="F46" s="735" t="s">
        <v>1168</v>
      </c>
      <c r="G46" s="671">
        <f>12*'Proforma, Income &amp; Expense'!B12</f>
        <v>0</v>
      </c>
      <c r="H46" s="670"/>
      <c r="I46" s="730" t="s">
        <v>611</v>
      </c>
      <c r="J46" s="671">
        <f>'Proforma, Income &amp; Expense'!B51</f>
        <v>0</v>
      </c>
      <c r="K46" s="581" t="s">
        <v>1169</v>
      </c>
      <c r="L46" s="582"/>
      <c r="M46" s="582"/>
    </row>
    <row r="47" spans="1:14" ht="15.75">
      <c r="A47"/>
      <c r="B47" s="739"/>
      <c r="C47" s="738"/>
      <c r="D47" s="738"/>
      <c r="E47" s="742"/>
      <c r="F47" s="735" t="s">
        <v>1170</v>
      </c>
      <c r="G47" s="671">
        <f>12*'Proforma, Income &amp; Expense'!B14+'Proforma, Income &amp; Expense'!B15</f>
        <v>0</v>
      </c>
      <c r="H47" s="670"/>
      <c r="I47" s="732" t="s">
        <v>642</v>
      </c>
      <c r="J47" s="671">
        <f>'Proforma, Income &amp; Expense'!B58+'Proforma, Income &amp; Expense'!B60+'Proforma, Income &amp; Expense'!B61</f>
        <v>0</v>
      </c>
      <c r="K47" s="581"/>
      <c r="L47" s="582"/>
      <c r="M47" s="582"/>
    </row>
    <row r="48" spans="1:14" ht="16.5" customHeight="1" thickBot="1">
      <c r="A48"/>
      <c r="B48" s="606"/>
      <c r="C48" s="738"/>
      <c r="D48" s="738"/>
      <c r="E48" s="738"/>
      <c r="F48" s="735" t="s">
        <v>1171</v>
      </c>
      <c r="G48" s="672">
        <f>G43+G45+G46+G47</f>
        <v>0</v>
      </c>
      <c r="H48" s="672"/>
      <c r="I48" s="732" t="str">
        <f>'Proforma, Income &amp; Expense'!A62</f>
        <v>Other (Specify)</v>
      </c>
      <c r="J48" s="671">
        <f>'Proforma, Income &amp; Expense'!B62</f>
        <v>0</v>
      </c>
      <c r="K48" s="581"/>
      <c r="L48" s="582"/>
      <c r="M48" s="582"/>
    </row>
    <row r="49" spans="1:13" ht="17.25" thickTop="1" thickBot="1">
      <c r="A49"/>
      <c r="B49" s="739"/>
      <c r="C49" s="743" t="s">
        <v>1172</v>
      </c>
      <c r="D49" s="834">
        <f>Calculations!B354</f>
        <v>7.0000000000000007E-2</v>
      </c>
      <c r="E49" s="744"/>
      <c r="F49" s="735" t="s">
        <v>1173</v>
      </c>
      <c r="G49" s="672">
        <f>-(D49*G48)</f>
        <v>0</v>
      </c>
      <c r="H49" s="672"/>
      <c r="I49" s="605" t="s">
        <v>1174</v>
      </c>
      <c r="J49" s="672">
        <f>SUM(J39:J48)</f>
        <v>0</v>
      </c>
      <c r="K49" s="581"/>
      <c r="L49" s="582"/>
      <c r="M49" s="582"/>
    </row>
    <row r="50" spans="1:13" ht="16.5" thickTop="1">
      <c r="A50"/>
      <c r="B50" s="739"/>
      <c r="C50" s="738"/>
      <c r="D50" s="738"/>
      <c r="E50" s="607"/>
      <c r="F50" s="608" t="s">
        <v>1175</v>
      </c>
      <c r="G50" s="672">
        <f>(G48+G49)</f>
        <v>0</v>
      </c>
      <c r="H50" s="672"/>
      <c r="I50" s="604" t="s">
        <v>1176</v>
      </c>
      <c r="J50" s="673"/>
      <c r="K50" s="581"/>
      <c r="L50" s="582"/>
      <c r="M50" s="582"/>
    </row>
    <row r="51" spans="1:13" ht="15.75">
      <c r="A51"/>
      <c r="B51" s="739"/>
      <c r="C51" s="738"/>
      <c r="D51" s="738"/>
      <c r="E51" s="738"/>
      <c r="F51" s="738"/>
      <c r="G51" s="741"/>
      <c r="H51" s="741"/>
      <c r="I51" s="755" t="s">
        <v>621</v>
      </c>
      <c r="J51" s="671">
        <f>'Proforma, Income &amp; Expense'!B65</f>
        <v>0</v>
      </c>
      <c r="K51" s="581"/>
      <c r="L51" s="582"/>
      <c r="M51" s="582"/>
    </row>
    <row r="52" spans="1:13" ht="15.75">
      <c r="A52"/>
      <c r="B52" s="739"/>
      <c r="C52" s="738"/>
      <c r="D52" s="607"/>
      <c r="E52" s="607" t="s">
        <v>1177</v>
      </c>
      <c r="F52" s="738"/>
      <c r="G52" s="672"/>
      <c r="H52" s="672"/>
      <c r="I52" s="755" t="s">
        <v>622</v>
      </c>
      <c r="J52" s="671">
        <f>'Proforma, Income &amp; Expense'!B66</f>
        <v>0</v>
      </c>
      <c r="K52" s="581"/>
      <c r="L52" s="582"/>
      <c r="M52" s="582"/>
    </row>
    <row r="53" spans="1:13" ht="15.75">
      <c r="A53"/>
      <c r="B53" s="739"/>
      <c r="C53" s="738"/>
      <c r="D53" s="738"/>
      <c r="E53" s="738"/>
      <c r="F53" s="735" t="s">
        <v>1178</v>
      </c>
      <c r="G53" s="745">
        <f>'Financing DOH'!E18</f>
        <v>0</v>
      </c>
      <c r="H53" s="829"/>
      <c r="I53" s="755" t="s">
        <v>1179</v>
      </c>
      <c r="J53" s="671">
        <f>'Proforma, Income &amp; Expense'!B68</f>
        <v>0</v>
      </c>
      <c r="K53" s="581"/>
      <c r="L53" s="582"/>
      <c r="M53" s="582"/>
    </row>
    <row r="54" spans="1:13" ht="15.75">
      <c r="A54"/>
      <c r="B54" s="739"/>
      <c r="C54" s="738"/>
      <c r="D54" s="738"/>
      <c r="E54" s="738"/>
      <c r="F54" s="735" t="s">
        <v>1180</v>
      </c>
      <c r="G54" s="745">
        <f>'Financing DOH'!E26</f>
        <v>0</v>
      </c>
      <c r="H54" s="829"/>
      <c r="I54" s="755" t="s">
        <v>1128</v>
      </c>
      <c r="J54" s="671">
        <f>D43*'Proforma, Income &amp; Expense'!B76</f>
        <v>0</v>
      </c>
      <c r="K54" s="581" t="s">
        <v>1181</v>
      </c>
      <c r="L54" s="582" t="e">
        <f>J54/D43</f>
        <v>#DIV/0!</v>
      </c>
      <c r="M54" s="582"/>
    </row>
    <row r="55" spans="1:13" ht="15.75">
      <c r="A55"/>
      <c r="B55" s="739"/>
      <c r="C55" s="738"/>
      <c r="D55" s="738"/>
      <c r="E55" s="738"/>
      <c r="F55" s="735" t="s">
        <v>1182</v>
      </c>
      <c r="G55" s="745">
        <f>'Financing DOH'!E34</f>
        <v>0</v>
      </c>
      <c r="H55" s="829"/>
      <c r="I55" s="732" t="s">
        <v>642</v>
      </c>
      <c r="J55" s="671">
        <f>'Proforma, Income &amp; Expense'!B69+'Proforma, Income &amp; Expense'!B70+'Proforma, Income &amp; Expense'!B71</f>
        <v>0</v>
      </c>
      <c r="K55" s="581"/>
      <c r="L55" s="582"/>
      <c r="M55" s="582"/>
    </row>
    <row r="56" spans="1:13" ht="16.5" thickBot="1">
      <c r="A56"/>
      <c r="B56" s="734"/>
      <c r="C56" s="738"/>
      <c r="D56" s="738"/>
      <c r="E56" s="607" t="s">
        <v>1183</v>
      </c>
      <c r="F56" s="738"/>
      <c r="G56" s="745">
        <f>G53+G54+G55</f>
        <v>0</v>
      </c>
      <c r="H56" s="829"/>
      <c r="I56" s="608" t="s">
        <v>1184</v>
      </c>
      <c r="J56" s="672">
        <f>SUM(J51:J55)</f>
        <v>0</v>
      </c>
      <c r="K56" s="581"/>
      <c r="L56" s="679"/>
      <c r="M56" s="582"/>
    </row>
    <row r="57" spans="1:13" ht="17.25" thickTop="1" thickBot="1">
      <c r="A57"/>
      <c r="B57" s="746"/>
      <c r="C57" s="677" t="s">
        <v>1185</v>
      </c>
      <c r="D57" s="747" t="e">
        <f>(J57+(-G56))/G50</f>
        <v>#DIV/0!</v>
      </c>
      <c r="E57" s="748"/>
      <c r="F57" s="749" t="s">
        <v>1186</v>
      </c>
      <c r="G57" s="833">
        <f>J58/1.15</f>
        <v>0</v>
      </c>
      <c r="H57" s="830"/>
      <c r="I57" s="613" t="s">
        <v>1187</v>
      </c>
      <c r="J57" s="674">
        <f>J23+J37+J49+J56</f>
        <v>0</v>
      </c>
      <c r="K57" s="838" t="s">
        <v>1188</v>
      </c>
      <c r="L57" s="839">
        <f>J57-J54</f>
        <v>0</v>
      </c>
      <c r="M57" s="582"/>
    </row>
    <row r="58" spans="1:13" ht="17.25" thickTop="1" thickBot="1">
      <c r="A58"/>
      <c r="B58" s="581"/>
      <c r="C58" s="582"/>
      <c r="D58" s="750"/>
      <c r="E58" s="750"/>
      <c r="F58" s="751" t="s">
        <v>1189</v>
      </c>
      <c r="G58" s="797" t="e">
        <f>J58/-(G56)</f>
        <v>#DIV/0!</v>
      </c>
      <c r="H58" s="831"/>
      <c r="I58" s="614" t="s">
        <v>1190</v>
      </c>
      <c r="J58" s="675">
        <f>(G50-J57)</f>
        <v>0</v>
      </c>
      <c r="K58" s="581"/>
    </row>
    <row r="59" spans="1:13" ht="16.5" thickTop="1">
      <c r="A59"/>
      <c r="B59" s="581"/>
      <c r="C59" s="582"/>
      <c r="D59" s="582"/>
      <c r="E59" s="582"/>
      <c r="F59" s="582"/>
      <c r="G59" s="582"/>
      <c r="H59" s="582"/>
      <c r="I59" s="615" t="s">
        <v>1191</v>
      </c>
      <c r="J59" s="676" t="e">
        <f>J57/D43</f>
        <v>#DIV/0!</v>
      </c>
      <c r="K59" s="581"/>
      <c r="L59" s="582" t="s">
        <v>1192</v>
      </c>
      <c r="M59" s="582"/>
    </row>
    <row r="60" spans="1:13" ht="16.5" thickBot="1">
      <c r="A60"/>
      <c r="B60" s="752" t="s">
        <v>717</v>
      </c>
      <c r="C60" s="753"/>
      <c r="D60" s="753"/>
      <c r="E60" s="753"/>
      <c r="F60" s="753"/>
      <c r="G60" s="754"/>
      <c r="H60" s="840"/>
      <c r="I60" s="758" t="s">
        <v>1193</v>
      </c>
      <c r="J60" s="849"/>
      <c r="K60" s="581"/>
      <c r="L60" s="582" t="e">
        <f>J57/G59</f>
        <v>#DIV/0!</v>
      </c>
      <c r="M60" s="582"/>
    </row>
    <row r="61" spans="1:13" ht="16.5" thickTop="1">
      <c r="A61"/>
      <c r="B61" s="609" t="s">
        <v>1194</v>
      </c>
      <c r="C61" s="610"/>
      <c r="D61" s="610"/>
      <c r="E61" s="610" t="s">
        <v>1195</v>
      </c>
      <c r="F61" s="610"/>
      <c r="G61" s="611"/>
      <c r="H61" s="841"/>
    </row>
    <row r="62" spans="1:13" ht="15.75">
      <c r="A62" s="612"/>
      <c r="B62" s="823" t="str">
        <f>CONCATENATE(IF(Amenities!B113="Yes",Amenities!A113,"")," ",IF(Amenities!B114="Yes",Amenities!A114,"")," ",IF(Amenities!B115="Yes",Amenities!A115,"")," ",IF(Amenities!B115="Yes",Amenities!A115,"")," ",IF(Amenities!B116="Yes",Amenities!A116,"")," ",IF(Amenities!B117="Yes",Amenities!A117,"")," ",IF(Amenities!B118="Yes",Amenities!A118,"")," ")</f>
        <v xml:space="preserve">       </v>
      </c>
      <c r="C62" s="824"/>
      <c r="D62" s="582"/>
      <c r="E62" s="827" t="str">
        <f>CONCATENATE(IF(Amenities!B105="Yes",Amenities!A105,"")," ",IF(Amenities!B106="Yes",Amenities!A106,"")," ",IF(Amenities!B107="Yes",Amenities!A107,"")," ",IF(Amenities!B108="Yes",Amenities!A108,"")," ",IF(Amenities!B109="Yes",Amenities!A109,"")," ",IF(Amenities!B110="Yes",Amenities!A110,"")," ")</f>
        <v xml:space="preserve">      </v>
      </c>
      <c r="F62" s="832"/>
      <c r="G62" s="824"/>
      <c r="H62" s="832"/>
    </row>
    <row r="63" spans="1:13" ht="15.75">
      <c r="A63" s="612"/>
      <c r="B63" s="825"/>
      <c r="C63" s="826"/>
      <c r="D63"/>
      <c r="E63" s="828"/>
      <c r="F63" s="825"/>
      <c r="G63" s="826"/>
      <c r="H63" s="842"/>
    </row>
    <row r="64" spans="1:13" ht="15.75">
      <c r="A64"/>
      <c r="B64" s="609" t="s">
        <v>1196</v>
      </c>
      <c r="C64" s="610"/>
      <c r="D64" s="610"/>
      <c r="E64" s="610"/>
      <c r="F64" s="610"/>
      <c r="G64" s="611"/>
      <c r="H64" s="841"/>
    </row>
    <row r="65" spans="1:29" ht="15.75">
      <c r="A65"/>
      <c r="B65" s="739" t="s">
        <v>1197</v>
      </c>
      <c r="C65" s="678">
        <f>Calculations!B86</f>
        <v>0</v>
      </c>
      <c r="D65" s="582"/>
      <c r="E65" s="582"/>
      <c r="F65" s="582"/>
      <c r="G65" s="756"/>
      <c r="H65" s="582"/>
    </row>
    <row r="66" spans="1:29" ht="15.75">
      <c r="A66"/>
      <c r="B66" s="739" t="s">
        <v>1198</v>
      </c>
      <c r="C66" s="678">
        <f>Calculations!C86</f>
        <v>0</v>
      </c>
      <c r="D66" s="582"/>
      <c r="E66" s="582"/>
      <c r="F66" s="582"/>
      <c r="G66" s="756"/>
      <c r="H66" s="582"/>
    </row>
    <row r="67" spans="1:29" ht="15.75">
      <c r="A67"/>
      <c r="B67" s="739" t="s">
        <v>1199</v>
      </c>
      <c r="C67" s="678">
        <f>Calculations!D86</f>
        <v>0</v>
      </c>
      <c r="D67" s="582"/>
      <c r="E67" s="582"/>
      <c r="F67" s="582"/>
      <c r="G67" s="756"/>
      <c r="H67" s="582"/>
    </row>
    <row r="68" spans="1:29" ht="15.75">
      <c r="A68"/>
      <c r="B68" s="739" t="s">
        <v>1200</v>
      </c>
      <c r="C68" s="678">
        <f>Calculations!E86</f>
        <v>0</v>
      </c>
      <c r="D68" s="582"/>
      <c r="E68" s="582"/>
      <c r="F68" s="582"/>
      <c r="G68" s="756"/>
      <c r="H68" s="582"/>
    </row>
    <row r="69" spans="1:29" ht="16.5" thickBot="1">
      <c r="A69"/>
      <c r="B69" s="734" t="s">
        <v>1201</v>
      </c>
      <c r="C69" s="678">
        <f>Calculations!F86</f>
        <v>0</v>
      </c>
      <c r="D69" s="636"/>
      <c r="E69" s="636"/>
      <c r="F69" s="636"/>
      <c r="G69" s="757"/>
      <c r="H69" s="636"/>
    </row>
    <row r="70" spans="1:29" ht="16.5" thickTop="1">
      <c r="A70"/>
      <c r="B70" s="637"/>
      <c r="C70" s="637"/>
      <c r="D70" s="582"/>
      <c r="E70" s="582"/>
      <c r="F70" s="582"/>
      <c r="G70" s="582"/>
      <c r="H70" s="582"/>
      <c r="I70" s="582"/>
      <c r="J70" s="582"/>
      <c r="K70" s="582"/>
      <c r="L70" s="582"/>
      <c r="M70" s="582"/>
      <c r="AB70" s="331"/>
      <c r="AC70" s="331"/>
    </row>
    <row r="71" spans="1:29" ht="15.75">
      <c r="A71"/>
      <c r="B71" s="582"/>
      <c r="C71" s="582"/>
      <c r="D71" s="582"/>
      <c r="E71" s="582"/>
      <c r="F71" s="582"/>
      <c r="G71" s="582"/>
      <c r="H71" s="582"/>
      <c r="I71" s="582"/>
      <c r="J71" s="582"/>
      <c r="K71" s="582"/>
      <c r="L71" s="582"/>
      <c r="M71" s="582"/>
      <c r="AB71" s="331"/>
      <c r="AC71" s="331"/>
    </row>
    <row r="72" spans="1:29" ht="15.75">
      <c r="A72"/>
      <c r="B72" s="582"/>
      <c r="C72" s="582"/>
      <c r="D72" s="582"/>
      <c r="E72" s="582"/>
      <c r="F72" s="582"/>
      <c r="G72" s="582"/>
      <c r="H72" s="582"/>
      <c r="I72" s="582"/>
      <c r="J72" s="582"/>
      <c r="K72" s="582"/>
      <c r="L72" s="582"/>
      <c r="M72" s="582"/>
      <c r="AB72" s="331"/>
      <c r="AC72" s="331"/>
    </row>
    <row r="73" spans="1:29" ht="15.75">
      <c r="A73"/>
      <c r="B73" s="582"/>
      <c r="C73" s="582"/>
      <c r="D73" s="582"/>
      <c r="E73" s="582"/>
      <c r="F73" s="582"/>
      <c r="G73" s="582"/>
      <c r="H73" s="582"/>
      <c r="I73" s="582"/>
      <c r="J73" s="582"/>
      <c r="K73" s="582"/>
      <c r="L73" s="582"/>
      <c r="M73" s="582"/>
      <c r="AA73" s="332"/>
      <c r="AB73" s="331"/>
      <c r="AC73" s="331"/>
    </row>
    <row r="74" spans="1:29" ht="15.75">
      <c r="A74"/>
      <c r="B74" s="616"/>
      <c r="C74" s="582"/>
      <c r="D74" s="582"/>
      <c r="E74" s="582"/>
      <c r="F74" s="582"/>
      <c r="G74" s="582"/>
      <c r="H74" s="582"/>
      <c r="I74" s="582"/>
      <c r="J74" s="582"/>
      <c r="K74" s="582"/>
      <c r="L74" s="582"/>
      <c r="M74" s="582"/>
      <c r="AA74" s="332"/>
      <c r="AB74" s="331"/>
      <c r="AC74" s="331"/>
    </row>
    <row r="75" spans="1:29" ht="15.75">
      <c r="A75"/>
      <c r="B75" s="602"/>
      <c r="C75" s="582"/>
      <c r="D75" s="582"/>
      <c r="E75" s="582"/>
      <c r="F75" s="582"/>
      <c r="G75" s="582"/>
      <c r="H75" s="582"/>
      <c r="I75" s="582"/>
      <c r="J75" s="582"/>
      <c r="K75" s="582"/>
      <c r="L75" s="582"/>
      <c r="M75" s="582"/>
      <c r="AA75" s="332"/>
      <c r="AB75" s="331"/>
      <c r="AC75" s="331"/>
    </row>
    <row r="76" spans="1:29" ht="15.75">
      <c r="A76"/>
      <c r="B76" s="602"/>
      <c r="C76" s="582"/>
      <c r="D76" s="582"/>
      <c r="E76" s="582"/>
      <c r="F76" s="582"/>
      <c r="G76" s="582"/>
      <c r="H76" s="582"/>
      <c r="I76" s="582"/>
      <c r="J76" s="582"/>
      <c r="K76" s="582"/>
      <c r="L76" s="582"/>
      <c r="M76" s="582"/>
      <c r="AA76" s="332"/>
      <c r="AB76" s="331"/>
      <c r="AC76" s="331"/>
    </row>
    <row r="77" spans="1:29" ht="15.75">
      <c r="A77"/>
      <c r="B77" s="602"/>
      <c r="C77" s="582"/>
      <c r="D77" s="582"/>
      <c r="E77" s="582"/>
      <c r="F77" s="582"/>
      <c r="G77" s="582"/>
      <c r="H77" s="582"/>
      <c r="I77" s="582"/>
      <c r="J77" s="582"/>
      <c r="K77" s="582"/>
      <c r="L77" s="582"/>
      <c r="M77" s="582"/>
      <c r="AA77" s="332"/>
      <c r="AB77" s="331"/>
      <c r="AC77" s="331"/>
    </row>
    <row r="78" spans="1:29" ht="15.75">
      <c r="A78"/>
      <c r="B78" s="617"/>
      <c r="C78" s="582"/>
      <c r="D78" s="582"/>
      <c r="E78" s="582"/>
      <c r="F78" s="582"/>
      <c r="G78" s="582"/>
      <c r="H78" s="582"/>
      <c r="I78" s="582"/>
      <c r="J78" s="582"/>
      <c r="K78" s="582"/>
      <c r="L78" s="582"/>
      <c r="M78" s="582"/>
      <c r="AA78" s="332"/>
      <c r="AB78" s="331"/>
      <c r="AC78" s="331"/>
    </row>
    <row r="79" spans="1:29" ht="15.75">
      <c r="A79"/>
      <c r="B79" s="617"/>
      <c r="C79" s="582"/>
      <c r="D79" s="582"/>
      <c r="E79" s="582"/>
      <c r="F79" s="582"/>
      <c r="G79" s="582"/>
      <c r="H79" s="582"/>
      <c r="I79" s="582"/>
      <c r="J79" s="582"/>
      <c r="K79" s="582"/>
      <c r="L79" s="582"/>
      <c r="M79" s="582"/>
      <c r="AA79" s="332"/>
      <c r="AB79" s="331"/>
      <c r="AC79" s="331"/>
    </row>
    <row r="80" spans="1:29" ht="15.75">
      <c r="A80"/>
      <c r="B80"/>
      <c r="C80" s="582"/>
      <c r="D80" s="582"/>
      <c r="E80" s="582"/>
      <c r="F80" s="582"/>
      <c r="G80" s="582"/>
      <c r="H80" s="582"/>
      <c r="I80" s="582"/>
      <c r="J80" s="582"/>
      <c r="K80" s="582"/>
      <c r="L80" s="582"/>
      <c r="M80" s="582"/>
      <c r="AA80" s="332"/>
    </row>
    <row r="81" spans="1:27" ht="15.75">
      <c r="A81"/>
      <c r="B81" s="602"/>
      <c r="C81" s="582"/>
      <c r="D81" s="582"/>
      <c r="E81" s="582"/>
      <c r="F81" s="582"/>
      <c r="G81" s="582"/>
      <c r="H81" s="582"/>
      <c r="I81" s="582"/>
      <c r="J81" s="582"/>
      <c r="K81" s="582"/>
      <c r="L81" s="582"/>
      <c r="M81" s="759"/>
      <c r="AA81" s="332"/>
    </row>
    <row r="82" spans="1:27" ht="15.75">
      <c r="A82"/>
      <c r="B82" s="602"/>
      <c r="C82" s="582"/>
      <c r="D82" s="582"/>
      <c r="E82" s="582"/>
      <c r="F82" s="582"/>
      <c r="G82" s="582"/>
      <c r="H82" s="582"/>
      <c r="I82" s="582"/>
      <c r="J82" s="582"/>
      <c r="K82" s="582"/>
      <c r="L82" s="582"/>
      <c r="M82" s="582"/>
    </row>
    <row r="83" spans="1:27" ht="15.75">
      <c r="A83"/>
      <c r="B83" s="602"/>
      <c r="C83" s="582"/>
      <c r="D83" s="582"/>
      <c r="E83" s="582"/>
      <c r="F83" s="582"/>
      <c r="G83" s="582"/>
      <c r="H83" s="582"/>
      <c r="I83" s="582"/>
      <c r="J83" s="582"/>
      <c r="K83" s="582"/>
      <c r="L83" s="582"/>
      <c r="M83" s="582"/>
    </row>
    <row r="84" spans="1:27" ht="15.75">
      <c r="A84"/>
      <c r="B84" s="616"/>
      <c r="C84" s="582"/>
      <c r="D84" s="582"/>
      <c r="E84" s="582"/>
      <c r="F84" s="582"/>
      <c r="G84" s="582"/>
      <c r="H84" s="582"/>
      <c r="I84" s="582"/>
      <c r="J84" s="582"/>
      <c r="K84" s="582"/>
      <c r="L84" s="582"/>
      <c r="M84" s="582"/>
    </row>
    <row r="85" spans="1:27" ht="15.75">
      <c r="A85"/>
      <c r="B85" s="602"/>
      <c r="C85" s="582"/>
      <c r="D85" s="582"/>
      <c r="E85" s="582"/>
      <c r="F85" s="582"/>
      <c r="G85" s="582"/>
      <c r="H85" s="582"/>
      <c r="I85" s="582"/>
      <c r="J85" s="582"/>
      <c r="K85" s="582"/>
      <c r="L85" s="582"/>
      <c r="M85" s="582"/>
    </row>
    <row r="86" spans="1:27" ht="15.75">
      <c r="A86"/>
      <c r="B86" s="602"/>
      <c r="C86" s="582"/>
      <c r="D86" s="582"/>
      <c r="E86" s="582"/>
      <c r="F86" s="582"/>
      <c r="G86" s="582"/>
      <c r="H86" s="582"/>
      <c r="I86" s="582"/>
      <c r="J86" s="582"/>
      <c r="K86" s="582"/>
      <c r="L86" s="582"/>
      <c r="M86" s="582"/>
    </row>
  </sheetData>
  <conditionalFormatting sqref="C11:F42">
    <cfRule type="expression" dxfId="21" priority="6">
      <formula>$B11&lt;&gt;0</formula>
    </cfRule>
  </conditionalFormatting>
  <conditionalFormatting sqref="I22">
    <cfRule type="expression" dxfId="20" priority="1">
      <formula>$J$22&gt;0</formula>
    </cfRule>
  </conditionalFormatting>
  <conditionalFormatting sqref="I35">
    <cfRule type="expression" dxfId="19" priority="3">
      <formula>$J$35&gt;0</formula>
    </cfRule>
  </conditionalFormatting>
  <conditionalFormatting sqref="I36 I47:I48 I55">
    <cfRule type="expression" dxfId="18" priority="2">
      <formula>$J36&gt;0</formula>
    </cfRule>
  </conditionalFormatting>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5"/>
  <cols>
    <col min="1" max="1" width="157.140625" customWidth="1"/>
  </cols>
  <sheetData>
    <row r="1" spans="1:13" ht="21">
      <c r="A1" s="4" t="s">
        <v>99</v>
      </c>
    </row>
    <row r="2" spans="1:13">
      <c r="A2" s="3" t="s">
        <v>100</v>
      </c>
    </row>
    <row r="3" spans="1:13" ht="303" customHeight="1">
      <c r="A3" s="21" t="str">
        <f ca="1">IF(TRIM(Validation!G1474)="", "No Missing Data or Data Entry Errors", Validation!G1474)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row>
    <row r="4" spans="1:13">
      <c r="A4" s="3" t="s">
        <v>101</v>
      </c>
    </row>
    <row r="5" spans="1:13" ht="409.5">
      <c r="A5" s="21" t="str">
        <f ca="1">IF(TRIM(Validation!G132)="", "No Missing Data or Data Entry Errors", Validation!G132)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Enter a date for 'Stabilization/Lease up' in cell B144.
Enter a date for 'Convert to Permanent Loan' in cell B145.
Enter a date for 'Final Application to CHFA' in cell B146.
</v>
      </c>
    </row>
    <row r="6" spans="1:13">
      <c r="A6" s="3" t="s">
        <v>102</v>
      </c>
    </row>
    <row r="7" spans="1:13" ht="105" customHeight="1">
      <c r="A7" s="21" t="str">
        <f ca="1">IF(TRIM(Validation!G214)="", "No Missing Data or Data Entry Errors", Validation!G214)</f>
        <v xml:space="preserve">Enter a value for 'Total Number of Units' in cell B3.
Enter a value for 'Do Rents Include Utilities' in cell B4.
Please enter at least one row of the Rental Income Table beginning on worksheet row 4.
</v>
      </c>
    </row>
    <row r="8" spans="1:13">
      <c r="A8" s="3" t="s">
        <v>103</v>
      </c>
    </row>
    <row r="9" spans="1:13" ht="105" customHeight="1">
      <c r="A9" s="21" t="str">
        <f ca="1">IF(TRIM(Validation!G288)="", "No Missing Data or Data Entry Errors", Validation!G288)</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104</v>
      </c>
    </row>
    <row r="11" spans="1:13" ht="105" customHeight="1">
      <c r="A11" s="21" t="str">
        <f ca="1">IF(TRIM(Validation!G738)="", "No Missing Data or Data Entry Errors", Validation!G738)</f>
        <v xml:space="preserve">The total of development budget in column B must be greater than zero.
</v>
      </c>
      <c r="M11" s="9"/>
    </row>
    <row r="12" spans="1:13">
      <c r="A12" s="3" t="s">
        <v>105</v>
      </c>
    </row>
    <row r="13" spans="1:13" ht="105" customHeight="1">
      <c r="A13" s="21" t="str">
        <f ca="1">IF(TRIM(Validation!G917)="", "No Missing Data or Data Entry Errors", Validation!G917)</f>
        <v>No Missing Data or Data Entry Errors</v>
      </c>
    </row>
    <row r="14" spans="1:13">
      <c r="A14" s="3" t="s">
        <v>106</v>
      </c>
    </row>
    <row r="15" spans="1:13" ht="105" customHeight="1">
      <c r="A15" s="21">
        <f ca="1">IF(TRIM(Validation!G1097)="", "No Missing Data or Data Entry Errors", Validation!G1097)</f>
        <v>0</v>
      </c>
    </row>
    <row r="16" spans="1:13">
      <c r="A16" s="3" t="s">
        <v>107</v>
      </c>
    </row>
    <row r="17" spans="1:1" ht="232.5" customHeight="1">
      <c r="A17" s="21" t="str">
        <f ca="1">IF(OR(NOT(Calculations!B2),TRIM(Validation!G236)=""), "No Missing Data or Data Entry Errors", Validation!G236)</f>
        <v>No Missing Data or Data Entry Errors</v>
      </c>
    </row>
    <row r="18" spans="1:1" ht="18" customHeight="1">
      <c r="A18" s="3" t="s">
        <v>108</v>
      </c>
    </row>
    <row r="19" spans="1:1" ht="409.5" customHeight="1">
      <c r="A19" s="21" t="str">
        <f ca="1">IF(TRIM(Validation!G3456)="", "No Missing Data or Data Entry Errors", Validation!G3456)</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20" spans="1:1">
      <c r="A20" s="3" t="s">
        <v>109</v>
      </c>
    </row>
    <row r="21" spans="1:1" ht="56.25" customHeight="1">
      <c r="A21" s="21" t="str">
        <f ca="1">IF(TRIM(Validation!G1561)="", "No Missing Data or Data Entry Errors", Validation!G1561)</f>
        <v xml:space="preserve">Enter a value for 'Prevailing Wages' in cell C5.
The total of the cost in column C must be greater than zero.
</v>
      </c>
    </row>
    <row r="22" spans="1:1">
      <c r="A22" s="3" t="s">
        <v>110</v>
      </c>
    </row>
    <row r="23" spans="1:1" ht="105" customHeight="1">
      <c r="A23" s="21" t="str">
        <f ca="1">IF(TRIM(Validation!G3369)="", "No Missing Data or Data Entry Errors", Validation!G3369)</f>
        <v>Enter a value for 'Number of Floors in the Tallest Building' in cell B58.
TRUE</v>
      </c>
    </row>
    <row r="24" spans="1:1">
      <c r="A24" s="9"/>
    </row>
    <row r="25" spans="1:1" ht="35.25" customHeight="1"/>
  </sheetData>
  <sheetProtection algorithmName="SHA-512" hashValue="W+0o8DnUHeUykH8X8AMlwoQsTpfWSmZIN5tp1jcnxXyV2BoYwYkM4tspMW5BvOgbJztROSPfJa3/dWiHB/HAhg==" saltValue="6HfZhNJqZbk5QTRlK3BhNw==" spinCount="100000" sheet="1" objects="1" scenarios="1"/>
  <conditionalFormatting sqref="A3">
    <cfRule type="cellIs" dxfId="38" priority="1" operator="equal">
      <formula>"No Missing Data or Data Entry Errors"</formula>
    </cfRule>
  </conditionalFormatting>
  <conditionalFormatting sqref="A5">
    <cfRule type="cellIs" dxfId="37" priority="13" operator="equal">
      <formula>"No Missing Data or Data Entry Errors"</formula>
    </cfRule>
  </conditionalFormatting>
  <conditionalFormatting sqref="A7">
    <cfRule type="cellIs" dxfId="36" priority="10" operator="equal">
      <formula>"No Missing Data or Data Entry Errors"</formula>
    </cfRule>
  </conditionalFormatting>
  <conditionalFormatting sqref="A9">
    <cfRule type="cellIs" dxfId="35" priority="9" operator="equal">
      <formula>"No Missing Data or Data Entry Errors"</formula>
    </cfRule>
  </conditionalFormatting>
  <conditionalFormatting sqref="A11">
    <cfRule type="cellIs" dxfId="34" priority="8" operator="equal">
      <formula>"No Missing Data or Data Entry Errors"</formula>
    </cfRule>
  </conditionalFormatting>
  <conditionalFormatting sqref="A13">
    <cfRule type="cellIs" dxfId="33" priority="7" operator="equal">
      <formula>"No Missing Data or Data Entry Errors"</formula>
    </cfRule>
  </conditionalFormatting>
  <conditionalFormatting sqref="A15">
    <cfRule type="cellIs" dxfId="32" priority="6" operator="equal">
      <formula>"No Missing Data or Data Entry Errors"</formula>
    </cfRule>
  </conditionalFormatting>
  <conditionalFormatting sqref="A17:A19">
    <cfRule type="cellIs" dxfId="31" priority="5" operator="equal">
      <formula>"No Missing Data or Data Entry Errors"</formula>
    </cfRule>
  </conditionalFormatting>
  <conditionalFormatting sqref="A21">
    <cfRule type="cellIs" dxfId="30" priority="3" operator="equal">
      <formula>"No Missing Data or Data Entry Errors"</formula>
    </cfRule>
  </conditionalFormatting>
  <conditionalFormatting sqref="A23">
    <cfRule type="cellIs" dxfId="29"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66FFFF"/>
    <pageSetUpPr fitToPage="1"/>
  </sheetPr>
  <dimension ref="A1:N64"/>
  <sheetViews>
    <sheetView topLeftCell="B1" zoomScale="99" zoomScaleNormal="99" workbookViewId="0">
      <selection activeCell="B1" sqref="B1"/>
    </sheetView>
  </sheetViews>
  <sheetFormatPr defaultColWidth="9" defaultRowHeight="15"/>
  <cols>
    <col min="1" max="1" width="5" style="326" hidden="1" customWidth="1"/>
    <col min="2" max="2" width="4.7109375" style="326" customWidth="1"/>
    <col min="3" max="3" width="35.5703125" style="326" customWidth="1"/>
    <col min="4" max="4" width="39.140625" style="326" customWidth="1"/>
    <col min="5" max="5" width="27.85546875" style="326" customWidth="1"/>
    <col min="6" max="6" width="11.5703125" style="326" customWidth="1"/>
    <col min="7" max="7" width="11.42578125" style="326" customWidth="1"/>
    <col min="8" max="8" width="26.5703125" style="326" customWidth="1"/>
    <col min="9" max="9" width="12.28515625" style="326" customWidth="1"/>
    <col min="10" max="10" width="7.42578125" style="326" customWidth="1"/>
    <col min="11" max="16384" width="9" style="326"/>
  </cols>
  <sheetData>
    <row r="1" spans="1:14" ht="15.75">
      <c r="A1"/>
      <c r="B1"/>
      <c r="C1"/>
      <c r="D1"/>
      <c r="E1"/>
      <c r="F1"/>
      <c r="G1"/>
      <c r="H1"/>
      <c r="I1"/>
      <c r="J1"/>
      <c r="K1" s="660"/>
      <c r="L1" s="327"/>
      <c r="M1" s="327"/>
      <c r="N1" s="327"/>
    </row>
    <row r="2" spans="1:14" ht="21.75" customHeight="1">
      <c r="A2"/>
      <c r="B2"/>
      <c r="C2" s="566" t="s">
        <v>1134</v>
      </c>
      <c r="D2"/>
      <c r="E2"/>
      <c r="F2" s="565" t="s">
        <v>1202</v>
      </c>
      <c r="G2"/>
      <c r="H2"/>
      <c r="I2"/>
      <c r="J2"/>
      <c r="K2" s="327"/>
      <c r="L2" s="327"/>
      <c r="M2" s="327"/>
      <c r="N2" s="327"/>
    </row>
    <row r="3" spans="1:14" ht="18">
      <c r="A3"/>
      <c r="B3"/>
      <c r="C3" s="565" t="s">
        <v>1063</v>
      </c>
      <c r="D3" s="590">
        <f>Development_Budget!C3</f>
        <v>0</v>
      </c>
      <c r="E3"/>
      <c r="F3" s="590"/>
      <c r="G3" s="590"/>
      <c r="H3"/>
      <c r="I3"/>
      <c r="J3" s="569"/>
      <c r="K3" s="660"/>
      <c r="L3" s="327"/>
      <c r="M3" s="327"/>
      <c r="N3" s="327"/>
    </row>
    <row r="4" spans="1:14" ht="18">
      <c r="A4"/>
      <c r="B4"/>
      <c r="C4" s="565" t="s">
        <v>1064</v>
      </c>
      <c r="D4" s="570">
        <f ca="1">TODAY()</f>
        <v>45447</v>
      </c>
      <c r="E4" s="582"/>
      <c r="F4" s="565"/>
      <c r="G4"/>
      <c r="H4" s="568"/>
      <c r="I4"/>
      <c r="J4" s="569"/>
      <c r="K4" s="327"/>
      <c r="L4" s="327"/>
      <c r="M4" s="327"/>
      <c r="N4" s="327"/>
    </row>
    <row r="5" spans="1:14" ht="18">
      <c r="A5"/>
      <c r="B5"/>
      <c r="C5" s="565" t="s">
        <v>1065</v>
      </c>
      <c r="D5" s="590">
        <f>'Contact Information'!B4</f>
        <v>0</v>
      </c>
      <c r="E5"/>
      <c r="F5"/>
      <c r="G5"/>
      <c r="H5" s="568"/>
      <c r="I5"/>
      <c r="J5" s="568"/>
      <c r="K5" s="327"/>
      <c r="L5" s="327"/>
      <c r="M5" s="327"/>
      <c r="N5" s="327"/>
    </row>
    <row r="6" spans="1:14" ht="18">
      <c r="A6"/>
      <c r="B6"/>
      <c r="C6" s="565" t="s">
        <v>1066</v>
      </c>
      <c r="D6" s="570">
        <v>44835</v>
      </c>
      <c r="E6"/>
      <c r="F6"/>
      <c r="G6"/>
      <c r="H6" s="568"/>
      <c r="I6"/>
      <c r="J6" s="582"/>
      <c r="K6" s="327"/>
      <c r="L6" s="327"/>
      <c r="M6" s="327"/>
      <c r="N6" s="327"/>
    </row>
    <row r="7" spans="1:14" ht="18">
      <c r="A7"/>
      <c r="B7"/>
      <c r="C7" s="565" t="s">
        <v>1067</v>
      </c>
      <c r="D7" s="570">
        <f>Calculations!B13</f>
        <v>0</v>
      </c>
      <c r="E7"/>
      <c r="F7"/>
      <c r="G7"/>
      <c r="H7" s="568"/>
      <c r="I7"/>
      <c r="J7" s="582"/>
      <c r="K7" s="327"/>
      <c r="L7" s="327"/>
      <c r="M7" s="327"/>
      <c r="N7" s="327"/>
    </row>
    <row r="8" spans="1:14" ht="18">
      <c r="A8"/>
      <c r="B8" s="565"/>
      <c r="C8"/>
      <c r="D8" s="590"/>
      <c r="E8" s="590"/>
      <c r="F8" s="590"/>
      <c r="G8" s="565"/>
      <c r="H8" s="568"/>
      <c r="I8" s="582"/>
      <c r="J8" s="582"/>
      <c r="K8" s="327"/>
      <c r="L8" s="327"/>
      <c r="M8" s="327"/>
      <c r="N8" s="327"/>
    </row>
    <row r="9" spans="1:14" ht="16.5" thickBot="1">
      <c r="A9"/>
      <c r="B9"/>
      <c r="C9" s="618" t="s">
        <v>1203</v>
      </c>
      <c r="D9"/>
      <c r="E9" s="599">
        <f>Development_Budget!D95</f>
        <v>0</v>
      </c>
      <c r="F9"/>
      <c r="G9"/>
      <c r="H9"/>
      <c r="I9" s="619" t="s">
        <v>1204</v>
      </c>
      <c r="J9" s="582"/>
      <c r="K9" s="327"/>
      <c r="L9" s="327"/>
      <c r="M9" s="327"/>
      <c r="N9" s="327"/>
    </row>
    <row r="10" spans="1:14" ht="16.5" thickTop="1">
      <c r="A10"/>
      <c r="B10" s="760"/>
      <c r="C10" s="620" t="s">
        <v>1205</v>
      </c>
      <c r="D10" s="621"/>
      <c r="E10" s="622"/>
      <c r="F10" s="642"/>
      <c r="G10" s="623"/>
      <c r="H10" s="761" t="s">
        <v>1206</v>
      </c>
      <c r="I10" s="582" t="s">
        <v>1207</v>
      </c>
      <c r="J10"/>
      <c r="K10" s="327"/>
      <c r="L10" s="327"/>
      <c r="M10" s="327"/>
      <c r="N10" s="327"/>
    </row>
    <row r="11" spans="1:14" ht="15.75" customHeight="1">
      <c r="A11"/>
      <c r="B11" s="941" t="s">
        <v>1208</v>
      </c>
      <c r="C11" s="762" t="s">
        <v>1209</v>
      </c>
      <c r="D11" s="624"/>
      <c r="E11" s="624"/>
      <c r="F11" s="643"/>
      <c r="G11" s="625"/>
      <c r="H11" s="582"/>
      <c r="I11" s="582" t="s">
        <v>1210</v>
      </c>
      <c r="J11"/>
      <c r="K11" s="327"/>
      <c r="L11" s="327"/>
      <c r="M11" s="327"/>
      <c r="N11" s="327"/>
    </row>
    <row r="12" spans="1:14" ht="15.75">
      <c r="A12"/>
      <c r="B12" s="942"/>
      <c r="C12" s="624"/>
      <c r="D12" s="624" t="s">
        <v>1211</v>
      </c>
      <c r="E12" s="680">
        <f>Calculations!A122</f>
        <v>0</v>
      </c>
      <c r="F12" s="643"/>
      <c r="G12" s="625"/>
      <c r="H12" s="582"/>
      <c r="I12" s="582" t="s">
        <v>1212</v>
      </c>
      <c r="J12"/>
      <c r="K12" s="327"/>
      <c r="L12" s="327"/>
      <c r="M12" s="327"/>
      <c r="N12" s="327"/>
    </row>
    <row r="13" spans="1:14" ht="15.75">
      <c r="A13"/>
      <c r="B13" s="942"/>
      <c r="C13" s="624"/>
      <c r="D13" s="624" t="s">
        <v>1213</v>
      </c>
      <c r="E13" s="681" t="s">
        <v>1204</v>
      </c>
      <c r="F13" s="644"/>
      <c r="G13" s="625"/>
      <c r="H13"/>
      <c r="I13" s="619" t="s">
        <v>1214</v>
      </c>
      <c r="J13"/>
      <c r="K13" s="327"/>
      <c r="L13" s="327"/>
      <c r="M13" s="327"/>
      <c r="N13" s="327"/>
    </row>
    <row r="14" spans="1:14" ht="15.75">
      <c r="A14"/>
      <c r="B14" s="942"/>
      <c r="C14" s="624"/>
      <c r="D14" s="624" t="s">
        <v>1215</v>
      </c>
      <c r="E14" s="682">
        <f>Calculations!B122</f>
        <v>0</v>
      </c>
      <c r="F14" s="643"/>
      <c r="G14" s="763"/>
      <c r="H14"/>
      <c r="I14" s="619" t="s">
        <v>1216</v>
      </c>
      <c r="J14"/>
      <c r="K14" s="327"/>
      <c r="L14" s="327"/>
      <c r="M14" s="327"/>
      <c r="N14" s="327"/>
    </row>
    <row r="15" spans="1:14" ht="15.75">
      <c r="A15"/>
      <c r="B15" s="942"/>
      <c r="C15" s="624"/>
      <c r="D15" s="624" t="s">
        <v>386</v>
      </c>
      <c r="E15" s="683">
        <f>Calculations!C122</f>
        <v>0</v>
      </c>
      <c r="F15" s="643"/>
      <c r="G15" s="625"/>
      <c r="H15"/>
      <c r="I15" s="619" t="s">
        <v>1217</v>
      </c>
      <c r="J15"/>
      <c r="K15" s="327"/>
      <c r="L15" s="327"/>
      <c r="M15" s="327"/>
      <c r="N15" s="327"/>
    </row>
    <row r="16" spans="1:14" ht="15.75">
      <c r="A16"/>
      <c r="B16" s="942"/>
      <c r="C16" s="624"/>
      <c r="D16" s="624" t="s">
        <v>1218</v>
      </c>
      <c r="E16" s="684">
        <f>Financing!D9</f>
        <v>0</v>
      </c>
      <c r="F16" s="643"/>
      <c r="G16" s="625"/>
      <c r="H16" s="582"/>
      <c r="I16" s="582"/>
      <c r="J16"/>
      <c r="K16" s="327"/>
      <c r="L16" s="327"/>
      <c r="M16" s="327"/>
      <c r="N16" s="327"/>
    </row>
    <row r="17" spans="1:14" ht="15.75">
      <c r="A17"/>
      <c r="B17" s="942"/>
      <c r="C17" s="624"/>
      <c r="D17" s="328" t="s">
        <v>1219</v>
      </c>
      <c r="E17" s="684">
        <f>Calculations!D122</f>
        <v>0</v>
      </c>
      <c r="F17" s="645"/>
      <c r="G17" s="625"/>
      <c r="H17" s="582"/>
      <c r="I17"/>
      <c r="J17"/>
      <c r="K17" s="327"/>
      <c r="L17" s="327"/>
      <c r="M17" s="327"/>
      <c r="N17" s="582"/>
    </row>
    <row r="18" spans="1:14" ht="15.75">
      <c r="A18"/>
      <c r="B18" s="942"/>
      <c r="C18" s="624"/>
      <c r="D18" s="624" t="s">
        <v>1220</v>
      </c>
      <c r="E18" s="626">
        <f>IF(E17=0,PMT(E15/12,12*1,E14,0,0)*12,PMT(E15/12,12*E17,E14,0,0)*12)</f>
        <v>0</v>
      </c>
      <c r="F18" s="643" t="e">
        <f>'Income+Expense'!J58/-'Financing DOH'!E18</f>
        <v>#DIV/0!</v>
      </c>
      <c r="G18" s="625" t="s">
        <v>1221</v>
      </c>
      <c r="H18" s="582"/>
      <c r="I18"/>
      <c r="J18"/>
      <c r="K18" s="327"/>
      <c r="L18" s="327"/>
      <c r="M18" s="327"/>
      <c r="N18" s="582"/>
    </row>
    <row r="19" spans="1:14" ht="15.75">
      <c r="A19"/>
      <c r="B19" s="942"/>
      <c r="C19" s="762" t="s">
        <v>1222</v>
      </c>
      <c r="D19" s="624"/>
      <c r="E19" s="624"/>
      <c r="F19" s="643"/>
      <c r="G19" s="625"/>
      <c r="H19" s="582"/>
      <c r="I19"/>
      <c r="J19"/>
      <c r="K19" s="327"/>
      <c r="L19" s="327"/>
      <c r="M19" s="327"/>
      <c r="N19" s="327"/>
    </row>
    <row r="20" spans="1:14" ht="15.75">
      <c r="A20"/>
      <c r="B20" s="942"/>
      <c r="C20" s="624"/>
      <c r="D20" s="624" t="s">
        <v>1211</v>
      </c>
      <c r="E20" s="680">
        <f>Calculations!A123</f>
        <v>0</v>
      </c>
      <c r="F20" s="643"/>
      <c r="G20" s="625"/>
      <c r="H20" s="582"/>
      <c r="I20"/>
      <c r="J20"/>
      <c r="K20" s="327"/>
      <c r="L20" s="327"/>
      <c r="M20" s="327"/>
      <c r="N20" s="327"/>
    </row>
    <row r="21" spans="1:14" ht="15.75">
      <c r="A21"/>
      <c r="B21" s="942"/>
      <c r="C21" s="624"/>
      <c r="D21" s="624" t="s">
        <v>1213</v>
      </c>
      <c r="E21" s="681" t="s">
        <v>1204</v>
      </c>
      <c r="F21" s="643"/>
      <c r="G21" s="625"/>
      <c r="H21" s="582"/>
      <c r="I21"/>
      <c r="J21"/>
      <c r="K21" s="327"/>
      <c r="L21" s="327"/>
      <c r="M21" s="327"/>
      <c r="N21" s="327"/>
    </row>
    <row r="22" spans="1:14" ht="15.75">
      <c r="A22"/>
      <c r="B22" s="942"/>
      <c r="C22" s="624"/>
      <c r="D22" s="624" t="s">
        <v>1215</v>
      </c>
      <c r="E22" s="682">
        <f>Calculations!B123</f>
        <v>0</v>
      </c>
      <c r="F22" s="643"/>
      <c r="G22" s="763"/>
      <c r="H22" s="582"/>
      <c r="I22"/>
      <c r="J22"/>
      <c r="K22" s="327"/>
      <c r="L22" s="327"/>
      <c r="M22" s="327"/>
      <c r="N22" s="327"/>
    </row>
    <row r="23" spans="1:14" ht="15.75">
      <c r="A23"/>
      <c r="B23" s="942"/>
      <c r="C23" s="624"/>
      <c r="D23" s="624" t="s">
        <v>386</v>
      </c>
      <c r="E23" s="683">
        <f>Calculations!C123</f>
        <v>0</v>
      </c>
      <c r="F23" s="643"/>
      <c r="G23" s="625"/>
      <c r="H23" s="582"/>
      <c r="I23"/>
      <c r="J23"/>
      <c r="K23" s="327"/>
      <c r="L23" s="327"/>
      <c r="M23" s="327"/>
      <c r="N23" s="327"/>
    </row>
    <row r="24" spans="1:14" ht="15.75">
      <c r="A24"/>
      <c r="B24" s="942"/>
      <c r="C24" s="627"/>
      <c r="D24" s="624" t="s">
        <v>1218</v>
      </c>
      <c r="E24" s="684">
        <f>Financing!D10</f>
        <v>0</v>
      </c>
      <c r="F24" s="643"/>
      <c r="G24" s="625"/>
      <c r="H24" s="582"/>
      <c r="I24"/>
      <c r="J24"/>
      <c r="K24" s="327"/>
      <c r="L24" s="327"/>
      <c r="M24" s="327"/>
      <c r="N24" s="327"/>
    </row>
    <row r="25" spans="1:14" ht="15.75">
      <c r="A25"/>
      <c r="B25" s="942"/>
      <c r="C25" s="624"/>
      <c r="D25" s="328" t="s">
        <v>1219</v>
      </c>
      <c r="E25" s="684">
        <f>Calculations!D123</f>
        <v>0</v>
      </c>
      <c r="F25" s="645"/>
      <c r="G25" s="625"/>
      <c r="H25"/>
      <c r="I25"/>
      <c r="J25"/>
      <c r="K25" s="327"/>
      <c r="L25" s="327"/>
      <c r="M25" s="327"/>
      <c r="N25" s="327"/>
    </row>
    <row r="26" spans="1:14" ht="15.75">
      <c r="A26"/>
      <c r="B26" s="942"/>
      <c r="C26" s="624"/>
      <c r="D26" s="624" t="s">
        <v>1220</v>
      </c>
      <c r="E26" s="626">
        <f>IF(E25=0,PMT(E23/12,12*1,E22,0,0)*12,PMT(E23/12,12*E25,E22,0,0)*12)</f>
        <v>0</v>
      </c>
      <c r="F26" s="643" t="e">
        <f>'Income+Expense'!J58/(-'Financing DOH'!E18+'Financing DOH'!E26)</f>
        <v>#DIV/0!</v>
      </c>
      <c r="G26" s="625" t="s">
        <v>1221</v>
      </c>
      <c r="H26"/>
      <c r="I26"/>
      <c r="J26"/>
      <c r="K26" s="327"/>
      <c r="L26" s="327"/>
      <c r="M26" s="327"/>
      <c r="N26" s="327"/>
    </row>
    <row r="27" spans="1:14" ht="15.75">
      <c r="A27"/>
      <c r="B27" s="942"/>
      <c r="C27" s="762" t="s">
        <v>1223</v>
      </c>
      <c r="D27" s="624"/>
      <c r="E27" s="624"/>
      <c r="F27" s="643"/>
      <c r="G27" s="625"/>
      <c r="H27"/>
      <c r="I27"/>
      <c r="J27"/>
      <c r="K27" s="327"/>
      <c r="L27" s="327"/>
      <c r="M27" s="327"/>
      <c r="N27" s="327"/>
    </row>
    <row r="28" spans="1:14" ht="15.75">
      <c r="A28"/>
      <c r="B28" s="942"/>
      <c r="C28" s="624" t="s">
        <v>476</v>
      </c>
      <c r="D28" s="624" t="s">
        <v>1211</v>
      </c>
      <c r="E28" s="680">
        <f>Calculations!A124</f>
        <v>0</v>
      </c>
      <c r="F28" s="643"/>
      <c r="G28" s="625"/>
      <c r="H28"/>
      <c r="I28"/>
      <c r="J28" s="582"/>
      <c r="K28" s="327"/>
      <c r="L28" s="327"/>
      <c r="M28" s="327"/>
      <c r="N28" s="327"/>
    </row>
    <row r="29" spans="1:14" ht="15.75">
      <c r="A29"/>
      <c r="B29" s="942"/>
      <c r="C29" s="624"/>
      <c r="D29" s="624" t="s">
        <v>1213</v>
      </c>
      <c r="E29" s="681" t="s">
        <v>1204</v>
      </c>
      <c r="F29" s="643"/>
      <c r="G29" s="625"/>
      <c r="H29"/>
      <c r="I29"/>
      <c r="J29" s="582"/>
      <c r="K29" s="327"/>
      <c r="L29" s="327"/>
      <c r="M29" s="327"/>
      <c r="N29" s="327"/>
    </row>
    <row r="30" spans="1:14" ht="15.75">
      <c r="A30"/>
      <c r="B30" s="942"/>
      <c r="C30" s="624"/>
      <c r="D30" s="624" t="s">
        <v>1215</v>
      </c>
      <c r="E30" s="682">
        <f>Calculations!B124</f>
        <v>0</v>
      </c>
      <c r="F30" s="643"/>
      <c r="G30" s="764"/>
      <c r="H30"/>
      <c r="I30"/>
      <c r="J30" s="582"/>
      <c r="K30" s="327"/>
      <c r="L30" s="327"/>
    </row>
    <row r="31" spans="1:14" ht="15.75">
      <c r="A31"/>
      <c r="B31" s="942"/>
      <c r="C31" s="624"/>
      <c r="D31" s="624" t="s">
        <v>386</v>
      </c>
      <c r="E31" s="683">
        <f>Calculations!C123</f>
        <v>0</v>
      </c>
      <c r="F31" s="643"/>
      <c r="G31" s="625"/>
      <c r="H31"/>
      <c r="I31"/>
      <c r="J31"/>
      <c r="K31" s="327"/>
      <c r="L31" s="327"/>
    </row>
    <row r="32" spans="1:14" ht="15.75">
      <c r="A32"/>
      <c r="B32" s="942"/>
      <c r="C32" s="624"/>
      <c r="D32" s="624" t="s">
        <v>1218</v>
      </c>
      <c r="E32" s="684">
        <f>Financing!D11</f>
        <v>0</v>
      </c>
      <c r="F32" s="643"/>
      <c r="G32" s="625"/>
      <c r="H32"/>
      <c r="I32"/>
      <c r="J32"/>
      <c r="K32" s="327"/>
      <c r="L32" s="327"/>
    </row>
    <row r="33" spans="1:12" ht="15.75">
      <c r="A33"/>
      <c r="B33" s="942"/>
      <c r="C33" s="624"/>
      <c r="D33" s="328" t="s">
        <v>1219</v>
      </c>
      <c r="E33" s="684">
        <f>Calculations!D124</f>
        <v>0</v>
      </c>
      <c r="F33" s="643"/>
      <c r="G33" s="625"/>
      <c r="H33"/>
      <c r="I33"/>
      <c r="J33"/>
      <c r="K33" s="327"/>
      <c r="L33" s="327"/>
    </row>
    <row r="34" spans="1:12" ht="15.75">
      <c r="A34"/>
      <c r="B34" s="942"/>
      <c r="C34" s="624"/>
      <c r="D34" s="624" t="s">
        <v>1220</v>
      </c>
      <c r="E34" s="626">
        <f>IF(E33=0,PMT(E31/12,12*1,E30,0,0)*12,PMT(E31/12,12*E33,E30,0,0)*12)</f>
        <v>0</v>
      </c>
      <c r="F34" s="645" t="e">
        <f>'Income+Expense'!J58/(-'Financing DOH'!E18-'Financing DOH'!E26-'Financing DOH'!E34)</f>
        <v>#DIV/0!</v>
      </c>
      <c r="G34" s="625" t="s">
        <v>1221</v>
      </c>
      <c r="H34"/>
      <c r="I34"/>
      <c r="J34"/>
      <c r="K34" s="327"/>
      <c r="L34" s="327"/>
    </row>
    <row r="35" spans="1:12" ht="15.6" customHeight="1">
      <c r="A35"/>
      <c r="B35" s="943"/>
      <c r="C35" s="624"/>
      <c r="D35" s="624"/>
      <c r="E35" s="626"/>
      <c r="F35" s="643"/>
      <c r="G35" s="625"/>
      <c r="H35"/>
      <c r="I35"/>
      <c r="J35"/>
      <c r="K35" s="327"/>
      <c r="L35" s="327"/>
    </row>
    <row r="36" spans="1:12" ht="15.75" customHeight="1">
      <c r="A36"/>
      <c r="B36" s="944" t="s">
        <v>1224</v>
      </c>
      <c r="C36" s="762" t="s">
        <v>1225</v>
      </c>
      <c r="D36" s="762"/>
      <c r="E36" s="624"/>
      <c r="F36" s="643"/>
      <c r="G36" s="625"/>
      <c r="H36"/>
      <c r="I36"/>
      <c r="J36"/>
      <c r="L36" s="327"/>
    </row>
    <row r="37" spans="1:12" ht="15.75">
      <c r="A37"/>
      <c r="B37" s="942"/>
      <c r="C37" s="624"/>
      <c r="D37" s="624" t="s">
        <v>1226</v>
      </c>
      <c r="E37" s="685">
        <f>IF(Calculations!B6,Calculations!B566,0)</f>
        <v>0</v>
      </c>
      <c r="F37" s="646">
        <f>IF(Calculations!B6,Calculations!B563,0)</f>
        <v>0</v>
      </c>
      <c r="G37" s="625"/>
      <c r="H37"/>
      <c r="I37"/>
      <c r="J37"/>
      <c r="L37" s="327"/>
    </row>
    <row r="38" spans="1:12" ht="15.75">
      <c r="A38"/>
      <c r="B38" s="942"/>
      <c r="C38" s="624"/>
      <c r="D38" s="624" t="s">
        <v>1227</v>
      </c>
      <c r="E38" s="685">
        <f>IF(Calculations!B5,Calculations!B566,0)</f>
        <v>0</v>
      </c>
      <c r="F38" s="646">
        <f>IF(Calculations!B5,Calculations!B563,0)</f>
        <v>0</v>
      </c>
      <c r="G38" s="625"/>
      <c r="H38"/>
      <c r="I38"/>
      <c r="J38"/>
    </row>
    <row r="39" spans="1:12" ht="15.75">
      <c r="A39"/>
      <c r="B39" s="942"/>
      <c r="C39" s="624"/>
      <c r="D39" s="624" t="s">
        <v>1228</v>
      </c>
      <c r="E39" s="685">
        <f>IF(Calculations!B10,Calculations!B576,0)</f>
        <v>0</v>
      </c>
      <c r="F39" s="646">
        <f>IF(Calculations!B10,Calculations!B574,0)</f>
        <v>0</v>
      </c>
      <c r="G39" s="625"/>
      <c r="H39" s="582"/>
      <c r="I39"/>
      <c r="J39"/>
    </row>
    <row r="40" spans="1:12" ht="15.6" customHeight="1">
      <c r="A40"/>
      <c r="B40" s="942"/>
      <c r="C40" s="624"/>
      <c r="D40" s="624" t="s">
        <v>1229</v>
      </c>
      <c r="E40" s="685">
        <f>Application!B83+Application!B85</f>
        <v>0</v>
      </c>
      <c r="F40" s="646">
        <v>0</v>
      </c>
      <c r="G40" s="625"/>
      <c r="H40"/>
      <c r="I40"/>
      <c r="J40" s="582"/>
    </row>
    <row r="41" spans="1:12" ht="15.75">
      <c r="A41"/>
      <c r="B41" s="942"/>
      <c r="C41" s="624"/>
      <c r="D41" s="628" t="s">
        <v>1230</v>
      </c>
      <c r="E41" s="685">
        <v>0</v>
      </c>
      <c r="F41" s="646">
        <v>0</v>
      </c>
      <c r="G41" s="625"/>
      <c r="H41" s="582"/>
      <c r="I41" s="582"/>
      <c r="J41" s="582"/>
    </row>
    <row r="42" spans="1:12" ht="15.75">
      <c r="A42"/>
      <c r="B42" s="943"/>
      <c r="C42" s="624"/>
      <c r="D42" s="624"/>
      <c r="E42" s="626"/>
      <c r="F42" s="643"/>
      <c r="G42" s="625"/>
      <c r="H42" s="582"/>
      <c r="I42"/>
      <c r="J42" s="582"/>
    </row>
    <row r="43" spans="1:12" ht="15.75">
      <c r="A43"/>
      <c r="B43" s="941" t="s">
        <v>1231</v>
      </c>
      <c r="C43" s="762" t="s">
        <v>1232</v>
      </c>
      <c r="D43" s="762"/>
      <c r="E43" s="624"/>
      <c r="F43" s="643"/>
      <c r="G43" s="625"/>
      <c r="H43" s="582"/>
      <c r="I43"/>
      <c r="J43" s="582"/>
    </row>
    <row r="44" spans="1:12" ht="15.75">
      <c r="A44"/>
      <c r="B44" s="942"/>
      <c r="C44" s="624" t="s">
        <v>1233</v>
      </c>
      <c r="D44" s="624" t="s">
        <v>1214</v>
      </c>
      <c r="E44" s="685">
        <v>0</v>
      </c>
      <c r="F44" s="647" t="e">
        <f>E44/'Income+Expense'!D43</f>
        <v>#DIV/0!</v>
      </c>
      <c r="G44" s="585" t="s">
        <v>1130</v>
      </c>
      <c r="H44" s="582"/>
      <c r="I44"/>
      <c r="J44" s="582"/>
    </row>
    <row r="45" spans="1:12" ht="15.75">
      <c r="A45"/>
      <c r="B45" s="942"/>
      <c r="C45" s="628" t="s">
        <v>1234</v>
      </c>
      <c r="D45" s="629" t="s">
        <v>1214</v>
      </c>
      <c r="E45" s="685">
        <v>0</v>
      </c>
      <c r="F45" s="647"/>
      <c r="G45" s="585"/>
      <c r="H45" s="582"/>
      <c r="I45"/>
      <c r="J45" s="582"/>
    </row>
    <row r="46" spans="1:12" ht="15.75">
      <c r="A46"/>
      <c r="B46" s="942"/>
      <c r="C46" s="629" t="s">
        <v>1234</v>
      </c>
      <c r="D46" s="629" t="s">
        <v>1214</v>
      </c>
      <c r="E46" s="685">
        <v>0</v>
      </c>
      <c r="F46" s="643"/>
      <c r="G46" s="625"/>
      <c r="H46" s="582"/>
      <c r="I46" s="590"/>
      <c r="J46" s="663"/>
    </row>
    <row r="47" spans="1:12" ht="15.75">
      <c r="A47"/>
      <c r="B47" s="942"/>
      <c r="C47" s="624"/>
      <c r="D47" s="624"/>
      <c r="E47" s="626"/>
      <c r="F47" s="643"/>
      <c r="G47" s="625"/>
      <c r="H47" s="582"/>
      <c r="I47" s="593"/>
      <c r="J47" s="663"/>
    </row>
    <row r="48" spans="1:12" ht="15.75">
      <c r="A48"/>
      <c r="B48" s="942"/>
      <c r="C48" s="762" t="s">
        <v>1235</v>
      </c>
      <c r="D48" s="762"/>
      <c r="E48" s="624" t="s">
        <v>585</v>
      </c>
      <c r="F48" s="643"/>
      <c r="G48" s="625"/>
      <c r="H48" s="582"/>
      <c r="I48" s="593"/>
      <c r="J48" s="663"/>
    </row>
    <row r="49" spans="1:10" ht="15.75">
      <c r="A49"/>
      <c r="B49" s="942"/>
      <c r="C49" s="624"/>
      <c r="D49" s="629" t="s">
        <v>1236</v>
      </c>
      <c r="E49" s="685">
        <v>0</v>
      </c>
      <c r="F49" s="648"/>
      <c r="G49" s="585"/>
      <c r="H49" s="582"/>
      <c r="I49"/>
      <c r="J49"/>
    </row>
    <row r="50" spans="1:10" ht="15.75">
      <c r="A50"/>
      <c r="B50" s="942"/>
      <c r="C50" s="624"/>
      <c r="D50" s="629" t="s">
        <v>1236</v>
      </c>
      <c r="E50" s="685">
        <v>0</v>
      </c>
      <c r="F50" s="647"/>
      <c r="G50" s="585"/>
      <c r="H50" s="582"/>
      <c r="I50"/>
      <c r="J50"/>
    </row>
    <row r="51" spans="1:10" ht="15.95" customHeight="1">
      <c r="A51"/>
      <c r="B51" s="942"/>
      <c r="C51" s="624"/>
      <c r="D51" s="629" t="s">
        <v>1236</v>
      </c>
      <c r="E51" s="685">
        <v>0</v>
      </c>
      <c r="F51" s="643"/>
      <c r="G51" s="625"/>
      <c r="H51"/>
      <c r="I51"/>
      <c r="J51"/>
    </row>
    <row r="52" spans="1:10" ht="15.75">
      <c r="A52"/>
      <c r="B52" s="942"/>
      <c r="C52" s="762"/>
      <c r="D52" s="762"/>
      <c r="E52" s="624"/>
      <c r="F52" s="643"/>
      <c r="G52" s="625"/>
      <c r="H52"/>
      <c r="I52"/>
      <c r="J52"/>
    </row>
    <row r="53" spans="1:10" ht="15.75" customHeight="1">
      <c r="A53"/>
      <c r="B53" s="945" t="s">
        <v>1237</v>
      </c>
      <c r="C53" s="762" t="s">
        <v>1238</v>
      </c>
      <c r="D53" s="762"/>
      <c r="E53" s="624"/>
      <c r="F53" s="643"/>
      <c r="G53" s="625"/>
      <c r="H53"/>
      <c r="I53"/>
      <c r="J53"/>
    </row>
    <row r="54" spans="1:10" ht="15" customHeight="1">
      <c r="A54"/>
      <c r="B54" s="942"/>
      <c r="C54" s="624"/>
      <c r="D54" s="624" t="s">
        <v>1239</v>
      </c>
      <c r="E54" s="685">
        <f>Calculations!B139</f>
        <v>0</v>
      </c>
      <c r="F54" s="649" t="e">
        <f>E54/Development_Budget!D87</f>
        <v>#DIV/0!</v>
      </c>
      <c r="G54" s="585"/>
      <c r="H54" s="583"/>
      <c r="I54" s="630"/>
      <c r="J54" s="583"/>
    </row>
    <row r="55" spans="1:10" ht="15.75">
      <c r="A55"/>
      <c r="B55" s="942"/>
      <c r="C55" s="624"/>
      <c r="D55" s="629" t="s">
        <v>1240</v>
      </c>
      <c r="E55" s="685">
        <f>Calculations!B140</f>
        <v>0</v>
      </c>
      <c r="F55"/>
      <c r="G55" s="625"/>
      <c r="H55" s="582"/>
      <c r="I55"/>
      <c r="J55" s="582"/>
    </row>
    <row r="56" spans="1:10" ht="15.75">
      <c r="A56"/>
      <c r="B56" s="943"/>
      <c r="C56" s="624"/>
      <c r="D56" s="629" t="s">
        <v>1240</v>
      </c>
      <c r="E56" s="685">
        <v>0</v>
      </c>
      <c r="F56" s="643"/>
      <c r="G56" s="625"/>
      <c r="H56" s="582"/>
      <c r="I56"/>
      <c r="J56" s="582"/>
    </row>
    <row r="57" spans="1:10" ht="15.75">
      <c r="A57"/>
      <c r="B57" s="631"/>
      <c r="C57" s="765" t="s">
        <v>1241</v>
      </c>
      <c r="D57" s="766"/>
      <c r="E57" s="767">
        <f>SUM(E37:E56)+E30+E22+E14</f>
        <v>0</v>
      </c>
      <c r="F57" s="643"/>
      <c r="G57" s="625"/>
      <c r="H57" s="582"/>
      <c r="I57"/>
      <c r="J57" s="582"/>
    </row>
    <row r="58" spans="1:10" ht="16.5" thickBot="1">
      <c r="A58"/>
      <c r="B58" s="632"/>
      <c r="C58" s="633" t="s">
        <v>1242</v>
      </c>
      <c r="D58" s="634"/>
      <c r="E58" s="635">
        <f>E9-E57</f>
        <v>0</v>
      </c>
      <c r="F58" s="768"/>
      <c r="G58" s="769"/>
      <c r="H58" s="582"/>
      <c r="I58"/>
      <c r="J58" s="582"/>
    </row>
    <row r="59" spans="1:10" ht="17.25" thickTop="1" thickBot="1">
      <c r="A59"/>
      <c r="B59"/>
      <c r="C59" s="582"/>
      <c r="D59" s="582"/>
      <c r="E59" s="582"/>
      <c r="F59" s="582"/>
      <c r="G59" s="582"/>
      <c r="H59" s="582"/>
      <c r="I59"/>
      <c r="J59" s="582"/>
    </row>
    <row r="60" spans="1:10" ht="16.5" thickTop="1">
      <c r="A60"/>
      <c r="B60"/>
      <c r="C60" s="770" t="s">
        <v>1185</v>
      </c>
      <c r="D60" s="771" t="e">
        <f>'Income+Expense'!D57</f>
        <v>#DIV/0!</v>
      </c>
      <c r="E60" s="772" t="s">
        <v>1243</v>
      </c>
      <c r="F60" s="773"/>
      <c r="G60" s="774">
        <f>'Income+Expense'!G57</f>
        <v>0</v>
      </c>
      <c r="H60" s="582"/>
      <c r="I60"/>
      <c r="J60" s="582"/>
    </row>
    <row r="61" spans="1:10" ht="16.5" thickBot="1">
      <c r="A61"/>
      <c r="B61"/>
      <c r="C61" s="775" t="s">
        <v>1244</v>
      </c>
      <c r="D61" s="776" t="e">
        <f>'Income+Expense'!G58</f>
        <v>#DIV/0!</v>
      </c>
      <c r="E61" s="686" t="s">
        <v>1245</v>
      </c>
      <c r="F61" s="946">
        <f>ABS(PV(E15,E17,G60))</f>
        <v>0</v>
      </c>
      <c r="G61" s="947"/>
      <c r="H61" s="582"/>
      <c r="I61"/>
      <c r="J61" s="582"/>
    </row>
    <row r="62" spans="1:10" ht="16.5" thickTop="1">
      <c r="A62"/>
      <c r="B62"/>
      <c r="C62"/>
      <c r="D62"/>
      <c r="E62"/>
      <c r="F62"/>
      <c r="G62"/>
      <c r="H62"/>
      <c r="I62"/>
      <c r="J62" s="582"/>
    </row>
    <row r="63" spans="1:10">
      <c r="C63" s="640"/>
      <c r="F63" s="650"/>
    </row>
    <row r="64" spans="1:10">
      <c r="C64" s="641"/>
      <c r="F64" s="641"/>
    </row>
  </sheetData>
  <mergeCells count="5">
    <mergeCell ref="B11:B35"/>
    <mergeCell ref="B36:B42"/>
    <mergeCell ref="B43:B52"/>
    <mergeCell ref="B53:B56"/>
    <mergeCell ref="F61:G61"/>
  </mergeCells>
  <conditionalFormatting sqref="C45:D45">
    <cfRule type="expression" dxfId="17" priority="1">
      <formula>$E$45&gt;0</formula>
    </cfRule>
  </conditionalFormatting>
  <conditionalFormatting sqref="C46:D46">
    <cfRule type="expression" dxfId="16" priority="2">
      <formula>$E$46&gt;0</formula>
    </cfRule>
  </conditionalFormatting>
  <conditionalFormatting sqref="D41">
    <cfRule type="expression" dxfId="15" priority="10">
      <formula>$E$41&gt;0</formula>
    </cfRule>
  </conditionalFormatting>
  <conditionalFormatting sqref="D49:D51 D55:D56">
    <cfRule type="expression" dxfId="14" priority="16">
      <formula>$E49&gt;0</formula>
    </cfRule>
  </conditionalFormatting>
  <conditionalFormatting sqref="E13:E17">
    <cfRule type="expression" dxfId="13" priority="5">
      <formula>$E$12&lt;&gt;"Name"</formula>
    </cfRule>
  </conditionalFormatting>
  <conditionalFormatting sqref="E21">
    <cfRule type="expression" dxfId="12" priority="4">
      <formula>$E$12&lt;&gt;"Name"</formula>
    </cfRule>
  </conditionalFormatting>
  <conditionalFormatting sqref="E22:E25">
    <cfRule type="expression" dxfId="11" priority="6">
      <formula>$E$20&lt;&gt;"Name"</formula>
    </cfRule>
  </conditionalFormatting>
  <conditionalFormatting sqref="E29">
    <cfRule type="expression" dxfId="10" priority="3">
      <formula>$E$12&lt;&gt;"Name"</formula>
    </cfRule>
  </conditionalFormatting>
  <conditionalFormatting sqref="E30:E33">
    <cfRule type="expression" dxfId="9" priority="7">
      <formula>$E$28&lt;&gt;"Name"</formula>
    </cfRule>
  </conditionalFormatting>
  <conditionalFormatting sqref="F37">
    <cfRule type="expression" dxfId="8" priority="8">
      <formula>$E$37&gt;0</formula>
    </cfRule>
  </conditionalFormatting>
  <conditionalFormatting sqref="F38">
    <cfRule type="expression" dxfId="7" priority="9">
      <formula>$E$38&gt;0</formula>
    </cfRule>
  </conditionalFormatting>
  <conditionalFormatting sqref="F39">
    <cfRule type="expression" dxfId="6" priority="11">
      <formula>$E$39&gt;0</formula>
    </cfRule>
  </conditionalFormatting>
  <conditionalFormatting sqref="F40">
    <cfRule type="expression" dxfId="5" priority="12">
      <formula>$E$40&gt;0</formula>
    </cfRule>
  </conditionalFormatting>
  <conditionalFormatting sqref="F41">
    <cfRule type="expression" dxfId="4" priority="13">
      <formula>$E$41&gt;0</formula>
    </cfRule>
  </conditionalFormatting>
  <dataValidations count="3">
    <dataValidation type="list" allowBlank="1" showErrorMessage="1" sqref="E21 E29" xr:uid="{3FACB815-7C45-4092-8226-75D01E6CA5BA}">
      <formula1>#REF!</formula1>
    </dataValidation>
    <dataValidation type="list" allowBlank="1" showErrorMessage="1" sqref="E13" xr:uid="{3439A933-D2A8-4774-9B66-1CB29B50DA13}">
      <formula1>$I$9:$I$12</formula1>
    </dataValidation>
    <dataValidation type="list" allowBlank="1" showInputMessage="1" showErrorMessage="1" sqref="D44 D45 D46" xr:uid="{238BF0F6-6220-4786-BF48-9C7CB6702558}">
      <formula1>$I$14:$I$15</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85" zoomScaleNormal="85" workbookViewId="0">
      <pane ySplit="8" topLeftCell="A675" activePane="bottomLeft" state="frozen"/>
      <selection activeCell="F21" sqref="F21"/>
      <selection pane="bottomLeft" sqref="A1:O1"/>
    </sheetView>
  </sheetViews>
  <sheetFormatPr defaultColWidth="9" defaultRowHeight="12.75"/>
  <cols>
    <col min="1" max="1" width="14" style="23" customWidth="1"/>
    <col min="2" max="2" width="9" style="23" bestFit="1" customWidth="1"/>
    <col min="3" max="7" width="9.5703125" style="23" bestFit="1" customWidth="1"/>
    <col min="8" max="15" width="11" style="23" customWidth="1"/>
    <col min="16" max="16384" width="9" style="23"/>
  </cols>
  <sheetData>
    <row r="1" spans="1:17">
      <c r="A1" s="948" t="s">
        <v>1246</v>
      </c>
      <c r="B1" s="948"/>
      <c r="C1" s="948"/>
      <c r="D1" s="948"/>
      <c r="E1" s="948"/>
      <c r="F1" s="948"/>
      <c r="G1" s="948"/>
      <c r="H1" s="948"/>
      <c r="I1" s="948"/>
      <c r="J1" s="948"/>
      <c r="K1" s="948"/>
      <c r="L1" s="948"/>
      <c r="M1" s="948"/>
      <c r="N1" s="948"/>
      <c r="O1" s="948"/>
      <c r="P1" s="242"/>
      <c r="Q1" s="242"/>
    </row>
    <row r="2" spans="1:17">
      <c r="A2" s="949" t="s">
        <v>1247</v>
      </c>
      <c r="B2" s="949"/>
      <c r="C2" s="949"/>
      <c r="D2" s="949"/>
      <c r="E2" s="949"/>
      <c r="F2" s="949"/>
      <c r="G2" s="949"/>
      <c r="H2" s="949"/>
      <c r="I2" s="949"/>
      <c r="J2" s="949"/>
      <c r="K2" s="949"/>
      <c r="L2" s="949"/>
      <c r="M2" s="949"/>
      <c r="N2" s="949"/>
      <c r="O2" s="949"/>
      <c r="P2" s="242"/>
      <c r="Q2" s="242"/>
    </row>
    <row r="3" spans="1:17">
      <c r="A3" s="949" t="s">
        <v>1248</v>
      </c>
      <c r="B3" s="949"/>
      <c r="C3" s="949"/>
      <c r="D3" s="949"/>
      <c r="E3" s="949"/>
      <c r="F3" s="949"/>
      <c r="G3" s="949"/>
      <c r="H3" s="949"/>
      <c r="I3" s="949"/>
      <c r="J3" s="949"/>
      <c r="K3" s="949"/>
      <c r="L3" s="949"/>
      <c r="M3" s="949"/>
      <c r="N3" s="949"/>
      <c r="O3" s="949"/>
      <c r="P3" s="242"/>
      <c r="Q3" s="242"/>
    </row>
    <row r="4" spans="1:17">
      <c r="A4" s="948"/>
      <c r="B4" s="948"/>
      <c r="C4" s="948"/>
      <c r="D4" s="948"/>
      <c r="E4" s="948"/>
      <c r="F4" s="948"/>
      <c r="G4" s="948"/>
      <c r="H4" s="948"/>
      <c r="I4" s="948"/>
      <c r="J4" s="948"/>
      <c r="K4" s="948"/>
      <c r="L4" s="948"/>
      <c r="M4" s="948"/>
      <c r="N4" s="948"/>
      <c r="O4" s="948"/>
      <c r="P4" s="242"/>
      <c r="Q4" s="242"/>
    </row>
    <row r="5" spans="1:17">
      <c r="A5" s="24"/>
      <c r="B5" s="24" t="s">
        <v>1249</v>
      </c>
      <c r="C5" s="25"/>
      <c r="D5" s="26"/>
      <c r="E5" s="26"/>
      <c r="F5" s="26"/>
      <c r="G5" s="26"/>
      <c r="H5" s="26"/>
      <c r="I5" s="26"/>
      <c r="J5" s="26"/>
      <c r="K5" s="27"/>
      <c r="L5" s="27"/>
      <c r="M5" s="27"/>
      <c r="N5" s="27"/>
      <c r="O5" s="24"/>
      <c r="P5" s="242"/>
      <c r="Q5" s="242"/>
    </row>
    <row r="6" spans="1:17">
      <c r="A6" s="24"/>
      <c r="B6" s="468"/>
      <c r="C6" s="28" t="s">
        <v>1250</v>
      </c>
      <c r="D6" s="25"/>
      <c r="E6" s="25"/>
      <c r="F6" s="25"/>
      <c r="G6" s="25"/>
      <c r="H6" s="25"/>
      <c r="I6" s="468"/>
      <c r="J6" s="29"/>
      <c r="K6" s="468"/>
      <c r="L6" s="30"/>
      <c r="M6" s="31" t="s">
        <v>1251</v>
      </c>
      <c r="N6" s="468"/>
      <c r="O6" s="24"/>
      <c r="P6" s="242"/>
      <c r="Q6" s="242"/>
    </row>
    <row r="7" spans="1:17">
      <c r="A7" s="24"/>
      <c r="B7" s="468"/>
      <c r="C7" s="28"/>
      <c r="D7" s="25"/>
      <c r="E7" s="25"/>
      <c r="F7" s="25"/>
      <c r="G7" s="25"/>
      <c r="H7" s="25"/>
      <c r="I7" s="468"/>
      <c r="J7" s="29"/>
      <c r="K7" s="468"/>
      <c r="L7" s="30"/>
      <c r="M7" s="31"/>
      <c r="N7" s="468"/>
      <c r="O7" s="24"/>
      <c r="P7" s="242"/>
      <c r="Q7" s="242"/>
    </row>
    <row r="8" spans="1:17" ht="13.5" thickBot="1">
      <c r="A8" s="32" t="s">
        <v>239</v>
      </c>
      <c r="B8" s="33"/>
      <c r="C8" s="34" t="s">
        <v>1252</v>
      </c>
      <c r="D8" s="34" t="s">
        <v>1253</v>
      </c>
      <c r="E8" s="34" t="s">
        <v>1254</v>
      </c>
      <c r="F8" s="34" t="s">
        <v>1255</v>
      </c>
      <c r="G8" s="35" t="s">
        <v>1256</v>
      </c>
      <c r="H8" s="34" t="s">
        <v>1257</v>
      </c>
      <c r="I8" s="34" t="s">
        <v>1258</v>
      </c>
      <c r="J8" s="34" t="s">
        <v>1259</v>
      </c>
      <c r="K8" s="34" t="s">
        <v>1260</v>
      </c>
      <c r="L8" s="34" t="s">
        <v>1261</v>
      </c>
      <c r="M8" s="34" t="s">
        <v>1262</v>
      </c>
      <c r="N8" s="34" t="s">
        <v>1263</v>
      </c>
      <c r="O8" s="34" t="s">
        <v>1264</v>
      </c>
      <c r="P8" s="242"/>
      <c r="Q8" s="242"/>
    </row>
    <row r="9" spans="1:17">
      <c r="A9" s="36"/>
      <c r="B9" s="335">
        <v>1.2</v>
      </c>
      <c r="C9" s="526">
        <v>2739</v>
      </c>
      <c r="D9" s="526">
        <v>2935</v>
      </c>
      <c r="E9" s="526">
        <v>3522</v>
      </c>
      <c r="F9" s="526">
        <v>4069</v>
      </c>
      <c r="G9" s="526">
        <v>4539</v>
      </c>
      <c r="H9" s="526">
        <v>109560</v>
      </c>
      <c r="I9" s="526">
        <v>125280</v>
      </c>
      <c r="J9" s="526">
        <v>140880</v>
      </c>
      <c r="K9" s="526">
        <v>156480</v>
      </c>
      <c r="L9" s="526">
        <v>169080</v>
      </c>
      <c r="M9" s="526">
        <v>181560</v>
      </c>
      <c r="N9" s="526">
        <v>194040</v>
      </c>
      <c r="O9" s="526">
        <v>206640</v>
      </c>
      <c r="P9" s="242"/>
      <c r="Q9" s="242"/>
    </row>
    <row r="10" spans="1:17">
      <c r="A10" s="38"/>
      <c r="B10" s="777">
        <v>1</v>
      </c>
      <c r="C10" s="778">
        <v>2282</v>
      </c>
      <c r="D10" s="778">
        <v>2446</v>
      </c>
      <c r="E10" s="778">
        <v>2935</v>
      </c>
      <c r="F10" s="778">
        <v>3391</v>
      </c>
      <c r="G10" s="778">
        <v>3782</v>
      </c>
      <c r="H10" s="778">
        <v>91300</v>
      </c>
      <c r="I10" s="778">
        <v>104400</v>
      </c>
      <c r="J10" s="778">
        <v>117400</v>
      </c>
      <c r="K10" s="778">
        <v>130400</v>
      </c>
      <c r="L10" s="778">
        <v>140900</v>
      </c>
      <c r="M10" s="778">
        <v>151300</v>
      </c>
      <c r="N10" s="778">
        <v>161700</v>
      </c>
      <c r="O10" s="778">
        <v>172200</v>
      </c>
      <c r="P10" s="242"/>
      <c r="Q10" s="242"/>
    </row>
    <row r="11" spans="1:17">
      <c r="A11" s="38" t="s">
        <v>1265</v>
      </c>
      <c r="B11" s="777">
        <v>0.8</v>
      </c>
      <c r="C11" s="778">
        <v>1826</v>
      </c>
      <c r="D11" s="778">
        <v>1957</v>
      </c>
      <c r="E11" s="778">
        <v>2348</v>
      </c>
      <c r="F11" s="778">
        <v>2713</v>
      </c>
      <c r="G11" s="778">
        <v>3026</v>
      </c>
      <c r="H11" s="779">
        <v>73040</v>
      </c>
      <c r="I11" s="779">
        <v>83520</v>
      </c>
      <c r="J11" s="779">
        <v>93920</v>
      </c>
      <c r="K11" s="779">
        <v>104320</v>
      </c>
      <c r="L11" s="779">
        <v>112720</v>
      </c>
      <c r="M11" s="779">
        <v>121040</v>
      </c>
      <c r="N11" s="779">
        <v>129360</v>
      </c>
      <c r="O11" s="779">
        <v>137760</v>
      </c>
      <c r="P11" s="242"/>
      <c r="Q11" s="242"/>
    </row>
    <row r="12" spans="1:17">
      <c r="A12" s="38"/>
      <c r="B12" s="777">
        <v>0.7</v>
      </c>
      <c r="C12" s="778">
        <v>1597</v>
      </c>
      <c r="D12" s="778">
        <v>1712</v>
      </c>
      <c r="E12" s="778">
        <v>2054</v>
      </c>
      <c r="F12" s="778">
        <v>2373</v>
      </c>
      <c r="G12" s="778">
        <v>2647</v>
      </c>
      <c r="H12" s="779">
        <v>63909.999999999993</v>
      </c>
      <c r="I12" s="779">
        <v>73080</v>
      </c>
      <c r="J12" s="779">
        <v>82180</v>
      </c>
      <c r="K12" s="779">
        <v>91280</v>
      </c>
      <c r="L12" s="779">
        <v>98630</v>
      </c>
      <c r="M12" s="779">
        <v>105910</v>
      </c>
      <c r="N12" s="779">
        <v>113190</v>
      </c>
      <c r="O12" s="779">
        <v>120539.99999999999</v>
      </c>
      <c r="P12" s="242"/>
      <c r="Q12" s="242"/>
    </row>
    <row r="13" spans="1:17">
      <c r="A13" s="38"/>
      <c r="B13" s="777">
        <v>0.6</v>
      </c>
      <c r="C13" s="778">
        <v>1369</v>
      </c>
      <c r="D13" s="778">
        <v>1467</v>
      </c>
      <c r="E13" s="778">
        <v>1761</v>
      </c>
      <c r="F13" s="778">
        <v>2034</v>
      </c>
      <c r="G13" s="778">
        <v>2269</v>
      </c>
      <c r="H13" s="778">
        <v>54780</v>
      </c>
      <c r="I13" s="778">
        <v>62640</v>
      </c>
      <c r="J13" s="778">
        <v>70440</v>
      </c>
      <c r="K13" s="778">
        <v>78240</v>
      </c>
      <c r="L13" s="778">
        <v>84540</v>
      </c>
      <c r="M13" s="780">
        <v>90780</v>
      </c>
      <c r="N13" s="780">
        <v>97020</v>
      </c>
      <c r="O13" s="780">
        <v>103320</v>
      </c>
      <c r="P13" s="242"/>
      <c r="Q13" s="242"/>
    </row>
    <row r="14" spans="1:17">
      <c r="A14" s="38"/>
      <c r="B14" s="777">
        <v>0.55000000000000004</v>
      </c>
      <c r="C14" s="778">
        <v>1255</v>
      </c>
      <c r="D14" s="778">
        <v>1345</v>
      </c>
      <c r="E14" s="778">
        <v>1614</v>
      </c>
      <c r="F14" s="778">
        <v>1865</v>
      </c>
      <c r="G14" s="778">
        <v>1937</v>
      </c>
      <c r="H14" s="778">
        <v>50215.000000000007</v>
      </c>
      <c r="I14" s="778">
        <v>57420.000000000007</v>
      </c>
      <c r="J14" s="778">
        <v>64570.000000000007</v>
      </c>
      <c r="K14" s="778">
        <v>71720</v>
      </c>
      <c r="L14" s="778">
        <v>77495</v>
      </c>
      <c r="M14" s="778">
        <v>83215</v>
      </c>
      <c r="N14" s="778">
        <v>88935</v>
      </c>
      <c r="O14" s="778">
        <v>94710.000000000015</v>
      </c>
      <c r="P14" s="242"/>
      <c r="Q14" s="242"/>
    </row>
    <row r="15" spans="1:17">
      <c r="A15" s="38"/>
      <c r="B15" s="777">
        <v>0.5</v>
      </c>
      <c r="C15" s="778">
        <v>1141</v>
      </c>
      <c r="D15" s="778">
        <v>1223</v>
      </c>
      <c r="E15" s="778">
        <v>1467</v>
      </c>
      <c r="F15" s="778">
        <v>1695</v>
      </c>
      <c r="G15" s="778">
        <v>1891</v>
      </c>
      <c r="H15" s="779">
        <v>45650</v>
      </c>
      <c r="I15" s="779">
        <v>52200</v>
      </c>
      <c r="J15" s="779">
        <v>58700</v>
      </c>
      <c r="K15" s="779">
        <v>65200</v>
      </c>
      <c r="L15" s="779">
        <v>70450</v>
      </c>
      <c r="M15" s="779">
        <v>75650</v>
      </c>
      <c r="N15" s="779">
        <v>80850</v>
      </c>
      <c r="O15" s="779">
        <v>86100</v>
      </c>
      <c r="P15" s="242"/>
      <c r="Q15" s="242"/>
    </row>
    <row r="16" spans="1:17">
      <c r="A16" s="38"/>
      <c r="B16" s="777">
        <v>0.45</v>
      </c>
      <c r="C16" s="778">
        <v>1027</v>
      </c>
      <c r="D16" s="778">
        <v>1100</v>
      </c>
      <c r="E16" s="778">
        <v>1320</v>
      </c>
      <c r="F16" s="778">
        <v>1526</v>
      </c>
      <c r="G16" s="778">
        <v>1702</v>
      </c>
      <c r="H16" s="778">
        <v>41085</v>
      </c>
      <c r="I16" s="778">
        <v>46980</v>
      </c>
      <c r="J16" s="778">
        <v>52830</v>
      </c>
      <c r="K16" s="778">
        <v>58680</v>
      </c>
      <c r="L16" s="778">
        <v>63405</v>
      </c>
      <c r="M16" s="780">
        <v>68085</v>
      </c>
      <c r="N16" s="780">
        <v>72765</v>
      </c>
      <c r="O16" s="780">
        <v>77490</v>
      </c>
      <c r="P16" s="39"/>
      <c r="Q16" s="39"/>
    </row>
    <row r="17" spans="1:17">
      <c r="A17" s="38"/>
      <c r="B17" s="777">
        <v>0.4</v>
      </c>
      <c r="C17" s="778">
        <v>913</v>
      </c>
      <c r="D17" s="778">
        <v>978</v>
      </c>
      <c r="E17" s="778">
        <v>1174</v>
      </c>
      <c r="F17" s="778">
        <v>1356</v>
      </c>
      <c r="G17" s="778">
        <v>1513</v>
      </c>
      <c r="H17" s="778">
        <v>36520</v>
      </c>
      <c r="I17" s="778">
        <v>41760</v>
      </c>
      <c r="J17" s="778">
        <v>46960</v>
      </c>
      <c r="K17" s="778">
        <v>52160</v>
      </c>
      <c r="L17" s="778">
        <v>56360</v>
      </c>
      <c r="M17" s="780">
        <v>60520</v>
      </c>
      <c r="N17" s="780">
        <v>64680</v>
      </c>
      <c r="O17" s="780">
        <v>68880</v>
      </c>
      <c r="P17" s="39"/>
      <c r="Q17" s="39"/>
    </row>
    <row r="18" spans="1:17">
      <c r="A18" s="38"/>
      <c r="B18" s="781">
        <v>0.3</v>
      </c>
      <c r="C18" s="778">
        <v>684</v>
      </c>
      <c r="D18" s="778">
        <v>733</v>
      </c>
      <c r="E18" s="778">
        <v>880</v>
      </c>
      <c r="F18" s="778">
        <v>1017</v>
      </c>
      <c r="G18" s="778">
        <v>1134</v>
      </c>
      <c r="H18" s="779">
        <v>27390</v>
      </c>
      <c r="I18" s="779">
        <v>31320</v>
      </c>
      <c r="J18" s="779">
        <v>35220</v>
      </c>
      <c r="K18" s="779">
        <v>39120</v>
      </c>
      <c r="L18" s="779">
        <v>42270</v>
      </c>
      <c r="M18" s="779">
        <v>45390</v>
      </c>
      <c r="N18" s="779">
        <v>48510</v>
      </c>
      <c r="O18" s="779">
        <v>51660</v>
      </c>
      <c r="P18" s="39"/>
      <c r="Q18" s="39"/>
    </row>
    <row r="19" spans="1:17" ht="13.5" thickBot="1">
      <c r="A19" s="782"/>
      <c r="B19" s="40">
        <v>0.2</v>
      </c>
      <c r="C19" s="524">
        <v>456</v>
      </c>
      <c r="D19" s="524">
        <v>489</v>
      </c>
      <c r="E19" s="524">
        <v>587</v>
      </c>
      <c r="F19" s="524">
        <v>678</v>
      </c>
      <c r="G19" s="524">
        <v>756</v>
      </c>
      <c r="H19" s="525">
        <v>18260</v>
      </c>
      <c r="I19" s="525">
        <v>20880</v>
      </c>
      <c r="J19" s="525">
        <v>23480</v>
      </c>
      <c r="K19" s="525">
        <v>26080</v>
      </c>
      <c r="L19" s="525">
        <v>28180</v>
      </c>
      <c r="M19" s="525">
        <v>30260</v>
      </c>
      <c r="N19" s="525">
        <v>32340</v>
      </c>
      <c r="O19" s="525">
        <v>34440</v>
      </c>
      <c r="P19" s="39"/>
      <c r="Q19" s="39"/>
    </row>
    <row r="20" spans="1:17">
      <c r="A20" s="38"/>
      <c r="B20" s="335">
        <v>1.2</v>
      </c>
      <c r="C20" s="526">
        <v>1980</v>
      </c>
      <c r="D20" s="526">
        <v>2121</v>
      </c>
      <c r="E20" s="526">
        <v>2544</v>
      </c>
      <c r="F20" s="526">
        <v>2940</v>
      </c>
      <c r="G20" s="526">
        <v>3279</v>
      </c>
      <c r="H20" s="526">
        <v>79200</v>
      </c>
      <c r="I20" s="526">
        <v>90480</v>
      </c>
      <c r="J20" s="526">
        <v>101760</v>
      </c>
      <c r="K20" s="526">
        <v>113040</v>
      </c>
      <c r="L20" s="526">
        <v>122160</v>
      </c>
      <c r="M20" s="526">
        <v>131160</v>
      </c>
      <c r="N20" s="526">
        <v>140280</v>
      </c>
      <c r="O20" s="526">
        <v>149280</v>
      </c>
      <c r="P20" s="39"/>
      <c r="Q20" s="39"/>
    </row>
    <row r="21" spans="1:17">
      <c r="A21" s="38"/>
      <c r="B21" s="777">
        <v>1</v>
      </c>
      <c r="C21" s="778">
        <v>1650</v>
      </c>
      <c r="D21" s="778">
        <v>1767</v>
      </c>
      <c r="E21" s="778">
        <v>2120</v>
      </c>
      <c r="F21" s="778">
        <v>2450</v>
      </c>
      <c r="G21" s="778">
        <v>2732</v>
      </c>
      <c r="H21" s="778">
        <v>66000</v>
      </c>
      <c r="I21" s="778">
        <v>75400</v>
      </c>
      <c r="J21" s="778">
        <v>84800</v>
      </c>
      <c r="K21" s="778">
        <v>94200</v>
      </c>
      <c r="L21" s="778">
        <v>101800</v>
      </c>
      <c r="M21" s="778">
        <v>109300</v>
      </c>
      <c r="N21" s="778">
        <v>116900</v>
      </c>
      <c r="O21" s="778">
        <v>124400</v>
      </c>
      <c r="P21" s="39"/>
      <c r="Q21" s="39"/>
    </row>
    <row r="22" spans="1:17">
      <c r="A22" s="38" t="s">
        <v>1266</v>
      </c>
      <c r="B22" s="777">
        <v>0.8</v>
      </c>
      <c r="C22" s="778">
        <v>1320</v>
      </c>
      <c r="D22" s="778">
        <v>1414</v>
      </c>
      <c r="E22" s="778">
        <v>1696</v>
      </c>
      <c r="F22" s="778">
        <v>1960</v>
      </c>
      <c r="G22" s="778">
        <v>2186</v>
      </c>
      <c r="H22" s="779">
        <v>52800</v>
      </c>
      <c r="I22" s="779">
        <v>60320</v>
      </c>
      <c r="J22" s="779">
        <v>67840</v>
      </c>
      <c r="K22" s="779">
        <v>75360</v>
      </c>
      <c r="L22" s="779">
        <v>81440</v>
      </c>
      <c r="M22" s="779">
        <v>87440</v>
      </c>
      <c r="N22" s="779">
        <v>93520</v>
      </c>
      <c r="O22" s="779">
        <v>99520</v>
      </c>
      <c r="P22" s="39"/>
      <c r="Q22" s="39"/>
    </row>
    <row r="23" spans="1:17">
      <c r="A23" s="38"/>
      <c r="B23" s="777">
        <v>0.7</v>
      </c>
      <c r="C23" s="778">
        <v>1155</v>
      </c>
      <c r="D23" s="778">
        <v>1237</v>
      </c>
      <c r="E23" s="778">
        <v>1484</v>
      </c>
      <c r="F23" s="778">
        <v>1715</v>
      </c>
      <c r="G23" s="778">
        <v>1912</v>
      </c>
      <c r="H23" s="779">
        <v>46200</v>
      </c>
      <c r="I23" s="779">
        <v>52780</v>
      </c>
      <c r="J23" s="779">
        <v>59359.999999999993</v>
      </c>
      <c r="K23" s="779">
        <v>65940</v>
      </c>
      <c r="L23" s="779">
        <v>71260</v>
      </c>
      <c r="M23" s="779">
        <v>76510</v>
      </c>
      <c r="N23" s="779">
        <v>81830</v>
      </c>
      <c r="O23" s="779">
        <v>87080</v>
      </c>
      <c r="P23" s="39"/>
      <c r="Q23" s="39"/>
    </row>
    <row r="24" spans="1:17">
      <c r="A24" s="38"/>
      <c r="B24" s="777">
        <v>0.6</v>
      </c>
      <c r="C24" s="778">
        <v>990</v>
      </c>
      <c r="D24" s="778">
        <v>1060</v>
      </c>
      <c r="E24" s="778">
        <v>1272</v>
      </c>
      <c r="F24" s="778">
        <v>1470</v>
      </c>
      <c r="G24" s="778">
        <v>1639</v>
      </c>
      <c r="H24" s="778">
        <v>39600</v>
      </c>
      <c r="I24" s="778">
        <v>45240</v>
      </c>
      <c r="J24" s="778">
        <v>50880</v>
      </c>
      <c r="K24" s="778">
        <v>56520</v>
      </c>
      <c r="L24" s="778">
        <v>61080</v>
      </c>
      <c r="M24" s="780">
        <v>65580</v>
      </c>
      <c r="N24" s="780">
        <v>70140</v>
      </c>
      <c r="O24" s="780">
        <v>74640</v>
      </c>
      <c r="P24" s="39"/>
      <c r="Q24" s="39"/>
    </row>
    <row r="25" spans="1:17">
      <c r="A25" s="38"/>
      <c r="B25" s="777">
        <v>0.55000000000000004</v>
      </c>
      <c r="C25" s="778">
        <v>907</v>
      </c>
      <c r="D25" s="778">
        <v>972</v>
      </c>
      <c r="E25" s="778">
        <v>1166</v>
      </c>
      <c r="F25" s="778">
        <v>1347</v>
      </c>
      <c r="G25" s="778">
        <v>1502</v>
      </c>
      <c r="H25" s="778">
        <v>36300</v>
      </c>
      <c r="I25" s="778">
        <v>41470</v>
      </c>
      <c r="J25" s="778">
        <v>46640.000000000007</v>
      </c>
      <c r="K25" s="778">
        <v>51810.000000000007</v>
      </c>
      <c r="L25" s="778">
        <v>55990.000000000007</v>
      </c>
      <c r="M25" s="778">
        <v>60115.000000000007</v>
      </c>
      <c r="N25" s="778">
        <v>64295.000000000007</v>
      </c>
      <c r="O25" s="778">
        <v>68420</v>
      </c>
      <c r="P25" s="39"/>
      <c r="Q25" s="39"/>
    </row>
    <row r="26" spans="1:17">
      <c r="A26" s="38"/>
      <c r="B26" s="777">
        <v>0.5</v>
      </c>
      <c r="C26" s="778">
        <v>825</v>
      </c>
      <c r="D26" s="778">
        <v>883</v>
      </c>
      <c r="E26" s="778">
        <v>1060</v>
      </c>
      <c r="F26" s="778">
        <v>1225</v>
      </c>
      <c r="G26" s="778">
        <v>1366</v>
      </c>
      <c r="H26" s="779">
        <v>33000</v>
      </c>
      <c r="I26" s="779">
        <v>37700</v>
      </c>
      <c r="J26" s="779">
        <v>42400</v>
      </c>
      <c r="K26" s="779">
        <v>47100</v>
      </c>
      <c r="L26" s="779">
        <v>50900</v>
      </c>
      <c r="M26" s="779">
        <v>54650</v>
      </c>
      <c r="N26" s="779">
        <v>58450</v>
      </c>
      <c r="O26" s="779">
        <v>62200</v>
      </c>
      <c r="P26" s="39"/>
      <c r="Q26" s="39"/>
    </row>
    <row r="27" spans="1:17">
      <c r="A27" s="38"/>
      <c r="B27" s="777">
        <v>0.45</v>
      </c>
      <c r="C27" s="778">
        <v>742</v>
      </c>
      <c r="D27" s="778">
        <v>795</v>
      </c>
      <c r="E27" s="778">
        <v>954</v>
      </c>
      <c r="F27" s="778">
        <v>1102</v>
      </c>
      <c r="G27" s="778">
        <v>1229</v>
      </c>
      <c r="H27" s="778">
        <v>29700</v>
      </c>
      <c r="I27" s="778">
        <v>33930</v>
      </c>
      <c r="J27" s="778">
        <v>38160</v>
      </c>
      <c r="K27" s="778">
        <v>42390</v>
      </c>
      <c r="L27" s="778">
        <v>45810</v>
      </c>
      <c r="M27" s="780">
        <v>49185</v>
      </c>
      <c r="N27" s="780">
        <v>52605</v>
      </c>
      <c r="O27" s="780">
        <v>55980</v>
      </c>
      <c r="P27" s="39"/>
      <c r="Q27" s="39"/>
    </row>
    <row r="28" spans="1:17">
      <c r="A28" s="38"/>
      <c r="B28" s="777">
        <v>0.4</v>
      </c>
      <c r="C28" s="778">
        <v>660</v>
      </c>
      <c r="D28" s="778">
        <v>707</v>
      </c>
      <c r="E28" s="778">
        <v>848</v>
      </c>
      <c r="F28" s="778">
        <v>980</v>
      </c>
      <c r="G28" s="778">
        <v>1093</v>
      </c>
      <c r="H28" s="778">
        <v>26400</v>
      </c>
      <c r="I28" s="778">
        <v>30160</v>
      </c>
      <c r="J28" s="778">
        <v>33920</v>
      </c>
      <c r="K28" s="778">
        <v>37680</v>
      </c>
      <c r="L28" s="778">
        <v>40720</v>
      </c>
      <c r="M28" s="780">
        <v>43720</v>
      </c>
      <c r="N28" s="780">
        <v>46760</v>
      </c>
      <c r="O28" s="780">
        <v>49760</v>
      </c>
      <c r="P28" s="39"/>
      <c r="Q28" s="39"/>
    </row>
    <row r="29" spans="1:17">
      <c r="A29" s="38"/>
      <c r="B29" s="781">
        <v>0.3</v>
      </c>
      <c r="C29" s="778">
        <v>495</v>
      </c>
      <c r="D29" s="778">
        <v>530</v>
      </c>
      <c r="E29" s="778">
        <v>636</v>
      </c>
      <c r="F29" s="778">
        <v>735</v>
      </c>
      <c r="G29" s="778">
        <v>819</v>
      </c>
      <c r="H29" s="779">
        <v>19800</v>
      </c>
      <c r="I29" s="779">
        <v>22620</v>
      </c>
      <c r="J29" s="779">
        <v>25440</v>
      </c>
      <c r="K29" s="779">
        <v>28260</v>
      </c>
      <c r="L29" s="779">
        <v>30540</v>
      </c>
      <c r="M29" s="779">
        <v>32790</v>
      </c>
      <c r="N29" s="779">
        <v>35070</v>
      </c>
      <c r="O29" s="779">
        <v>37320</v>
      </c>
      <c r="P29" s="39"/>
      <c r="Q29" s="39"/>
    </row>
    <row r="30" spans="1:17" ht="13.5" thickBot="1">
      <c r="A30" s="38"/>
      <c r="B30" s="522">
        <v>0.2</v>
      </c>
      <c r="C30" s="524">
        <v>330</v>
      </c>
      <c r="D30" s="524">
        <v>353</v>
      </c>
      <c r="E30" s="524">
        <v>424</v>
      </c>
      <c r="F30" s="524">
        <v>490</v>
      </c>
      <c r="G30" s="524">
        <v>546</v>
      </c>
      <c r="H30" s="525">
        <v>13200</v>
      </c>
      <c r="I30" s="525">
        <v>15080</v>
      </c>
      <c r="J30" s="525">
        <v>16960</v>
      </c>
      <c r="K30" s="525">
        <v>18840</v>
      </c>
      <c r="L30" s="525">
        <v>20360</v>
      </c>
      <c r="M30" s="525">
        <v>21860</v>
      </c>
      <c r="N30" s="525">
        <v>23380</v>
      </c>
      <c r="O30" s="525">
        <v>24880</v>
      </c>
      <c r="P30" s="39"/>
      <c r="Q30" s="39"/>
    </row>
    <row r="31" spans="1:17">
      <c r="A31" s="36"/>
      <c r="B31" s="335">
        <v>1.2</v>
      </c>
      <c r="C31" s="526">
        <v>2739</v>
      </c>
      <c r="D31" s="526">
        <v>2935</v>
      </c>
      <c r="E31" s="526">
        <v>3522</v>
      </c>
      <c r="F31" s="526">
        <v>4069</v>
      </c>
      <c r="G31" s="526">
        <v>4539</v>
      </c>
      <c r="H31" s="526">
        <v>109560</v>
      </c>
      <c r="I31" s="526">
        <v>125280</v>
      </c>
      <c r="J31" s="526">
        <v>140880</v>
      </c>
      <c r="K31" s="526">
        <v>156480</v>
      </c>
      <c r="L31" s="526">
        <v>169080</v>
      </c>
      <c r="M31" s="526">
        <v>181560</v>
      </c>
      <c r="N31" s="526">
        <v>194040</v>
      </c>
      <c r="O31" s="526">
        <v>206640</v>
      </c>
      <c r="P31" s="39"/>
      <c r="Q31" s="39"/>
    </row>
    <row r="32" spans="1:17">
      <c r="A32" s="38"/>
      <c r="B32" s="781">
        <v>1</v>
      </c>
      <c r="C32" s="778">
        <v>2282</v>
      </c>
      <c r="D32" s="778">
        <v>2446</v>
      </c>
      <c r="E32" s="778">
        <v>2935</v>
      </c>
      <c r="F32" s="778">
        <v>3391</v>
      </c>
      <c r="G32" s="778">
        <v>3782</v>
      </c>
      <c r="H32" s="778">
        <v>91300</v>
      </c>
      <c r="I32" s="778">
        <v>104400</v>
      </c>
      <c r="J32" s="778">
        <v>117400</v>
      </c>
      <c r="K32" s="778">
        <v>130400</v>
      </c>
      <c r="L32" s="778">
        <v>140900</v>
      </c>
      <c r="M32" s="778">
        <v>151300</v>
      </c>
      <c r="N32" s="778">
        <v>161700</v>
      </c>
      <c r="O32" s="778">
        <v>172200</v>
      </c>
      <c r="P32" s="39"/>
      <c r="Q32" s="39"/>
    </row>
    <row r="33" spans="1:17">
      <c r="A33" s="38" t="s">
        <v>1267</v>
      </c>
      <c r="B33" s="781">
        <v>0.8</v>
      </c>
      <c r="C33" s="778">
        <v>1826</v>
      </c>
      <c r="D33" s="778">
        <v>1957</v>
      </c>
      <c r="E33" s="778">
        <v>2348</v>
      </c>
      <c r="F33" s="778">
        <v>2713</v>
      </c>
      <c r="G33" s="778">
        <v>3026</v>
      </c>
      <c r="H33" s="779">
        <v>73040</v>
      </c>
      <c r="I33" s="779">
        <v>83520</v>
      </c>
      <c r="J33" s="779">
        <v>93920</v>
      </c>
      <c r="K33" s="779">
        <v>104320</v>
      </c>
      <c r="L33" s="779">
        <v>112720</v>
      </c>
      <c r="M33" s="779">
        <v>121040</v>
      </c>
      <c r="N33" s="779">
        <v>129360</v>
      </c>
      <c r="O33" s="779">
        <v>137760</v>
      </c>
      <c r="P33" s="39"/>
      <c r="Q33" s="39"/>
    </row>
    <row r="34" spans="1:17">
      <c r="A34" s="38"/>
      <c r="B34" s="781">
        <v>0.7</v>
      </c>
      <c r="C34" s="778">
        <v>1597</v>
      </c>
      <c r="D34" s="778">
        <v>1712</v>
      </c>
      <c r="E34" s="778">
        <v>2054</v>
      </c>
      <c r="F34" s="778">
        <v>2373</v>
      </c>
      <c r="G34" s="778">
        <v>2647</v>
      </c>
      <c r="H34" s="779">
        <v>63909.999999999993</v>
      </c>
      <c r="I34" s="779">
        <v>73080</v>
      </c>
      <c r="J34" s="779">
        <v>82180</v>
      </c>
      <c r="K34" s="779">
        <v>91280</v>
      </c>
      <c r="L34" s="779">
        <v>98630</v>
      </c>
      <c r="M34" s="779">
        <v>105910</v>
      </c>
      <c r="N34" s="779">
        <v>113190</v>
      </c>
      <c r="O34" s="779">
        <v>120539.99999999999</v>
      </c>
      <c r="P34" s="39"/>
      <c r="Q34" s="39"/>
    </row>
    <row r="35" spans="1:17">
      <c r="A35" s="38"/>
      <c r="B35" s="781">
        <v>0.6</v>
      </c>
      <c r="C35" s="778">
        <v>1369</v>
      </c>
      <c r="D35" s="778">
        <v>1467</v>
      </c>
      <c r="E35" s="778">
        <v>1761</v>
      </c>
      <c r="F35" s="778">
        <v>2034</v>
      </c>
      <c r="G35" s="778">
        <v>2269</v>
      </c>
      <c r="H35" s="778">
        <v>54780</v>
      </c>
      <c r="I35" s="778">
        <v>62640</v>
      </c>
      <c r="J35" s="778">
        <v>70440</v>
      </c>
      <c r="K35" s="778">
        <v>78240</v>
      </c>
      <c r="L35" s="778">
        <v>84540</v>
      </c>
      <c r="M35" s="780">
        <v>90780</v>
      </c>
      <c r="N35" s="780">
        <v>97020</v>
      </c>
      <c r="O35" s="780">
        <v>103320</v>
      </c>
      <c r="P35" s="39"/>
      <c r="Q35" s="39"/>
    </row>
    <row r="36" spans="1:17">
      <c r="A36" s="38"/>
      <c r="B36" s="781">
        <v>0.55000000000000004</v>
      </c>
      <c r="C36" s="778">
        <v>1255</v>
      </c>
      <c r="D36" s="778">
        <v>1345</v>
      </c>
      <c r="E36" s="778">
        <v>1614</v>
      </c>
      <c r="F36" s="778">
        <v>1865</v>
      </c>
      <c r="G36" s="778">
        <v>1937</v>
      </c>
      <c r="H36" s="778">
        <v>50215.000000000007</v>
      </c>
      <c r="I36" s="778">
        <v>57420.000000000007</v>
      </c>
      <c r="J36" s="778">
        <v>64570.000000000007</v>
      </c>
      <c r="K36" s="778">
        <v>71720</v>
      </c>
      <c r="L36" s="778">
        <v>77495</v>
      </c>
      <c r="M36" s="778">
        <v>83215</v>
      </c>
      <c r="N36" s="778">
        <v>88935</v>
      </c>
      <c r="O36" s="778">
        <v>94710.000000000015</v>
      </c>
      <c r="P36" s="39"/>
      <c r="Q36" s="39"/>
    </row>
    <row r="37" spans="1:17">
      <c r="A37" s="38"/>
      <c r="B37" s="781">
        <v>0.5</v>
      </c>
      <c r="C37" s="778">
        <v>1141</v>
      </c>
      <c r="D37" s="778">
        <v>1223</v>
      </c>
      <c r="E37" s="778">
        <v>1467</v>
      </c>
      <c r="F37" s="778">
        <v>1695</v>
      </c>
      <c r="G37" s="778">
        <v>1891</v>
      </c>
      <c r="H37" s="779">
        <v>45650</v>
      </c>
      <c r="I37" s="779">
        <v>52200</v>
      </c>
      <c r="J37" s="779">
        <v>58700</v>
      </c>
      <c r="K37" s="779">
        <v>65200</v>
      </c>
      <c r="L37" s="779">
        <v>70450</v>
      </c>
      <c r="M37" s="779">
        <v>75650</v>
      </c>
      <c r="N37" s="779">
        <v>80850</v>
      </c>
      <c r="O37" s="779">
        <v>86100</v>
      </c>
      <c r="P37" s="39"/>
      <c r="Q37" s="39"/>
    </row>
    <row r="38" spans="1:17">
      <c r="A38" s="38"/>
      <c r="B38" s="781">
        <v>0.45</v>
      </c>
      <c r="C38" s="778">
        <v>1027</v>
      </c>
      <c r="D38" s="778">
        <v>1100</v>
      </c>
      <c r="E38" s="778">
        <v>1320</v>
      </c>
      <c r="F38" s="778">
        <v>1526</v>
      </c>
      <c r="G38" s="778">
        <v>1702</v>
      </c>
      <c r="H38" s="778">
        <v>41085</v>
      </c>
      <c r="I38" s="778">
        <v>46980</v>
      </c>
      <c r="J38" s="778">
        <v>52830</v>
      </c>
      <c r="K38" s="778">
        <v>58680</v>
      </c>
      <c r="L38" s="778">
        <v>63405</v>
      </c>
      <c r="M38" s="780">
        <v>68085</v>
      </c>
      <c r="N38" s="780">
        <v>72765</v>
      </c>
      <c r="O38" s="780">
        <v>77490</v>
      </c>
      <c r="P38" s="39"/>
      <c r="Q38" s="39"/>
    </row>
    <row r="39" spans="1:17">
      <c r="A39" s="38"/>
      <c r="B39" s="781">
        <v>0.4</v>
      </c>
      <c r="C39" s="778">
        <v>913</v>
      </c>
      <c r="D39" s="778">
        <v>978</v>
      </c>
      <c r="E39" s="778">
        <v>1174</v>
      </c>
      <c r="F39" s="778">
        <v>1356</v>
      </c>
      <c r="G39" s="778">
        <v>1513</v>
      </c>
      <c r="H39" s="778">
        <v>36520</v>
      </c>
      <c r="I39" s="778">
        <v>41760</v>
      </c>
      <c r="J39" s="778">
        <v>46960</v>
      </c>
      <c r="K39" s="778">
        <v>52160</v>
      </c>
      <c r="L39" s="778">
        <v>56360</v>
      </c>
      <c r="M39" s="780">
        <v>60520</v>
      </c>
      <c r="N39" s="780">
        <v>64680</v>
      </c>
      <c r="O39" s="780">
        <v>68880</v>
      </c>
      <c r="P39" s="39"/>
      <c r="Q39" s="39"/>
    </row>
    <row r="40" spans="1:17">
      <c r="A40" s="38"/>
      <c r="B40" s="522">
        <v>0.3</v>
      </c>
      <c r="C40" s="778">
        <v>684</v>
      </c>
      <c r="D40" s="778">
        <v>733</v>
      </c>
      <c r="E40" s="778">
        <v>880</v>
      </c>
      <c r="F40" s="778">
        <v>1017</v>
      </c>
      <c r="G40" s="778">
        <v>1134</v>
      </c>
      <c r="H40" s="779">
        <v>27390</v>
      </c>
      <c r="I40" s="779">
        <v>31320</v>
      </c>
      <c r="J40" s="779">
        <v>35220</v>
      </c>
      <c r="K40" s="779">
        <v>39120</v>
      </c>
      <c r="L40" s="779">
        <v>42270</v>
      </c>
      <c r="M40" s="779">
        <v>45390</v>
      </c>
      <c r="N40" s="779">
        <v>48510</v>
      </c>
      <c r="O40" s="779">
        <v>51660</v>
      </c>
      <c r="P40" s="39"/>
      <c r="Q40" s="39"/>
    </row>
    <row r="41" spans="1:17" ht="13.5" thickBot="1">
      <c r="A41" s="782"/>
      <c r="B41" s="40">
        <v>0.2</v>
      </c>
      <c r="C41" s="524">
        <v>456</v>
      </c>
      <c r="D41" s="524">
        <v>489</v>
      </c>
      <c r="E41" s="524">
        <v>587</v>
      </c>
      <c r="F41" s="524">
        <v>678</v>
      </c>
      <c r="G41" s="524">
        <v>756</v>
      </c>
      <c r="H41" s="525">
        <v>18260</v>
      </c>
      <c r="I41" s="525">
        <v>20880</v>
      </c>
      <c r="J41" s="525">
        <v>23480</v>
      </c>
      <c r="K41" s="525">
        <v>26080</v>
      </c>
      <c r="L41" s="525">
        <v>28180</v>
      </c>
      <c r="M41" s="525">
        <v>30260</v>
      </c>
      <c r="N41" s="525">
        <v>32340</v>
      </c>
      <c r="O41" s="525">
        <v>34440</v>
      </c>
      <c r="P41" s="41"/>
      <c r="Q41" s="41"/>
    </row>
    <row r="42" spans="1:17" ht="13.5" thickTop="1">
      <c r="A42" s="38"/>
      <c r="B42" s="37">
        <v>1.2</v>
      </c>
      <c r="C42" s="526">
        <v>1980</v>
      </c>
      <c r="D42" s="526">
        <v>2121</v>
      </c>
      <c r="E42" s="526">
        <v>2544</v>
      </c>
      <c r="F42" s="526">
        <v>2940</v>
      </c>
      <c r="G42" s="526">
        <v>3279</v>
      </c>
      <c r="H42" s="526">
        <v>79200</v>
      </c>
      <c r="I42" s="526">
        <v>90480</v>
      </c>
      <c r="J42" s="526">
        <v>101760</v>
      </c>
      <c r="K42" s="526">
        <v>113040</v>
      </c>
      <c r="L42" s="526">
        <v>122160</v>
      </c>
      <c r="M42" s="526">
        <v>131160</v>
      </c>
      <c r="N42" s="526">
        <v>140280</v>
      </c>
      <c r="O42" s="526">
        <v>149280</v>
      </c>
      <c r="P42" s="41"/>
      <c r="Q42" s="41"/>
    </row>
    <row r="43" spans="1:17">
      <c r="A43" s="38"/>
      <c r="B43" s="781">
        <v>1</v>
      </c>
      <c r="C43" s="778">
        <v>1650</v>
      </c>
      <c r="D43" s="778">
        <v>1767</v>
      </c>
      <c r="E43" s="778">
        <v>2120</v>
      </c>
      <c r="F43" s="778">
        <v>2450</v>
      </c>
      <c r="G43" s="778">
        <v>2732</v>
      </c>
      <c r="H43" s="778">
        <v>66000</v>
      </c>
      <c r="I43" s="778">
        <v>75400</v>
      </c>
      <c r="J43" s="778">
        <v>84800</v>
      </c>
      <c r="K43" s="778">
        <v>94200</v>
      </c>
      <c r="L43" s="778">
        <v>101800</v>
      </c>
      <c r="M43" s="778">
        <v>109300</v>
      </c>
      <c r="N43" s="778">
        <v>116900</v>
      </c>
      <c r="O43" s="778">
        <v>124400</v>
      </c>
      <c r="P43" s="41"/>
      <c r="Q43" s="41"/>
    </row>
    <row r="44" spans="1:17">
      <c r="A44" s="38" t="s">
        <v>1268</v>
      </c>
      <c r="B44" s="781">
        <v>0.8</v>
      </c>
      <c r="C44" s="778">
        <v>1320</v>
      </c>
      <c r="D44" s="778">
        <v>1414</v>
      </c>
      <c r="E44" s="778">
        <v>1696</v>
      </c>
      <c r="F44" s="778">
        <v>1960</v>
      </c>
      <c r="G44" s="778">
        <v>2186</v>
      </c>
      <c r="H44" s="779">
        <v>52800</v>
      </c>
      <c r="I44" s="779">
        <v>60320</v>
      </c>
      <c r="J44" s="779">
        <v>67840</v>
      </c>
      <c r="K44" s="779">
        <v>75360</v>
      </c>
      <c r="L44" s="779">
        <v>81440</v>
      </c>
      <c r="M44" s="779">
        <v>87440</v>
      </c>
      <c r="N44" s="779">
        <v>93520</v>
      </c>
      <c r="O44" s="779">
        <v>99520</v>
      </c>
      <c r="P44" s="41"/>
      <c r="Q44" s="41"/>
    </row>
    <row r="45" spans="1:17">
      <c r="A45" s="38"/>
      <c r="B45" s="781">
        <v>0.7</v>
      </c>
      <c r="C45" s="778">
        <v>1155</v>
      </c>
      <c r="D45" s="778">
        <v>1237</v>
      </c>
      <c r="E45" s="778">
        <v>1484</v>
      </c>
      <c r="F45" s="778">
        <v>1715</v>
      </c>
      <c r="G45" s="778">
        <v>1912</v>
      </c>
      <c r="H45" s="779">
        <v>46200</v>
      </c>
      <c r="I45" s="779">
        <v>52780</v>
      </c>
      <c r="J45" s="779">
        <v>59359.999999999993</v>
      </c>
      <c r="K45" s="779">
        <v>65940</v>
      </c>
      <c r="L45" s="779">
        <v>71260</v>
      </c>
      <c r="M45" s="779">
        <v>76510</v>
      </c>
      <c r="N45" s="779">
        <v>81830</v>
      </c>
      <c r="O45" s="779">
        <v>87080</v>
      </c>
      <c r="P45" s="41"/>
      <c r="Q45" s="41"/>
    </row>
    <row r="46" spans="1:17">
      <c r="A46" s="38"/>
      <c r="B46" s="781">
        <v>0.6</v>
      </c>
      <c r="C46" s="778">
        <v>990</v>
      </c>
      <c r="D46" s="778">
        <v>1060</v>
      </c>
      <c r="E46" s="778">
        <v>1272</v>
      </c>
      <c r="F46" s="778">
        <v>1470</v>
      </c>
      <c r="G46" s="778">
        <v>1639</v>
      </c>
      <c r="H46" s="778">
        <v>39600</v>
      </c>
      <c r="I46" s="778">
        <v>45240</v>
      </c>
      <c r="J46" s="778">
        <v>50880</v>
      </c>
      <c r="K46" s="778">
        <v>56520</v>
      </c>
      <c r="L46" s="778">
        <v>61080</v>
      </c>
      <c r="M46" s="780">
        <v>65580</v>
      </c>
      <c r="N46" s="780">
        <v>70140</v>
      </c>
      <c r="O46" s="780">
        <v>74640</v>
      </c>
      <c r="P46" s="41"/>
      <c r="Q46" s="41"/>
    </row>
    <row r="47" spans="1:17">
      <c r="A47" s="38"/>
      <c r="B47" s="781">
        <v>0.55000000000000004</v>
      </c>
      <c r="C47" s="778">
        <v>907</v>
      </c>
      <c r="D47" s="778">
        <v>972</v>
      </c>
      <c r="E47" s="778">
        <v>1166</v>
      </c>
      <c r="F47" s="778">
        <v>1347</v>
      </c>
      <c r="G47" s="778">
        <v>1502</v>
      </c>
      <c r="H47" s="778">
        <v>36300</v>
      </c>
      <c r="I47" s="778">
        <v>41470</v>
      </c>
      <c r="J47" s="778">
        <v>46640.000000000007</v>
      </c>
      <c r="K47" s="778">
        <v>51810.000000000007</v>
      </c>
      <c r="L47" s="778">
        <v>55990.000000000007</v>
      </c>
      <c r="M47" s="778">
        <v>60115.000000000007</v>
      </c>
      <c r="N47" s="778">
        <v>64295.000000000007</v>
      </c>
      <c r="O47" s="778">
        <v>68420</v>
      </c>
      <c r="P47" s="41"/>
      <c r="Q47" s="41"/>
    </row>
    <row r="48" spans="1:17">
      <c r="A48" s="38"/>
      <c r="B48" s="781">
        <v>0.5</v>
      </c>
      <c r="C48" s="778">
        <v>825</v>
      </c>
      <c r="D48" s="778">
        <v>883</v>
      </c>
      <c r="E48" s="778">
        <v>1060</v>
      </c>
      <c r="F48" s="778">
        <v>1225</v>
      </c>
      <c r="G48" s="778">
        <v>1366</v>
      </c>
      <c r="H48" s="779">
        <v>33000</v>
      </c>
      <c r="I48" s="779">
        <v>37700</v>
      </c>
      <c r="J48" s="779">
        <v>42400</v>
      </c>
      <c r="K48" s="779">
        <v>47100</v>
      </c>
      <c r="L48" s="779">
        <v>50900</v>
      </c>
      <c r="M48" s="779">
        <v>54650</v>
      </c>
      <c r="N48" s="779">
        <v>58450</v>
      </c>
      <c r="O48" s="779">
        <v>62200</v>
      </c>
      <c r="P48" s="41"/>
      <c r="Q48" s="41"/>
    </row>
    <row r="49" spans="1:17">
      <c r="A49" s="38"/>
      <c r="B49" s="781">
        <v>0.45</v>
      </c>
      <c r="C49" s="778">
        <v>742</v>
      </c>
      <c r="D49" s="778">
        <v>795</v>
      </c>
      <c r="E49" s="778">
        <v>954</v>
      </c>
      <c r="F49" s="778">
        <v>1102</v>
      </c>
      <c r="G49" s="778">
        <v>1229</v>
      </c>
      <c r="H49" s="778">
        <v>29700</v>
      </c>
      <c r="I49" s="778">
        <v>33930</v>
      </c>
      <c r="J49" s="778">
        <v>38160</v>
      </c>
      <c r="K49" s="778">
        <v>42390</v>
      </c>
      <c r="L49" s="778">
        <v>45810</v>
      </c>
      <c r="M49" s="780">
        <v>49185</v>
      </c>
      <c r="N49" s="780">
        <v>52605</v>
      </c>
      <c r="O49" s="780">
        <v>55980</v>
      </c>
      <c r="P49" s="41"/>
      <c r="Q49" s="41"/>
    </row>
    <row r="50" spans="1:17">
      <c r="A50" s="38"/>
      <c r="B50" s="781">
        <v>0.4</v>
      </c>
      <c r="C50" s="778">
        <v>660</v>
      </c>
      <c r="D50" s="778">
        <v>707</v>
      </c>
      <c r="E50" s="778">
        <v>848</v>
      </c>
      <c r="F50" s="778">
        <v>980</v>
      </c>
      <c r="G50" s="778">
        <v>1093</v>
      </c>
      <c r="H50" s="778">
        <v>26400</v>
      </c>
      <c r="I50" s="778">
        <v>30160</v>
      </c>
      <c r="J50" s="778">
        <v>33920</v>
      </c>
      <c r="K50" s="778">
        <v>37680</v>
      </c>
      <c r="L50" s="778">
        <v>40720</v>
      </c>
      <c r="M50" s="780">
        <v>43720</v>
      </c>
      <c r="N50" s="780">
        <v>46760</v>
      </c>
      <c r="O50" s="780">
        <v>49760</v>
      </c>
      <c r="P50" s="41"/>
      <c r="Q50" s="41"/>
    </row>
    <row r="51" spans="1:17">
      <c r="A51" s="38"/>
      <c r="B51" s="522">
        <v>0.3</v>
      </c>
      <c r="C51" s="778">
        <v>495</v>
      </c>
      <c r="D51" s="778">
        <v>530</v>
      </c>
      <c r="E51" s="778">
        <v>636</v>
      </c>
      <c r="F51" s="778">
        <v>735</v>
      </c>
      <c r="G51" s="778">
        <v>819</v>
      </c>
      <c r="H51" s="779">
        <v>19800</v>
      </c>
      <c r="I51" s="779">
        <v>22620</v>
      </c>
      <c r="J51" s="779">
        <v>25440</v>
      </c>
      <c r="K51" s="779">
        <v>28260</v>
      </c>
      <c r="L51" s="779">
        <v>30540</v>
      </c>
      <c r="M51" s="779">
        <v>32790</v>
      </c>
      <c r="N51" s="779">
        <v>35070</v>
      </c>
      <c r="O51" s="779">
        <v>37320</v>
      </c>
      <c r="P51" s="41"/>
      <c r="Q51" s="41"/>
    </row>
    <row r="52" spans="1:17" ht="13.5" thickBot="1">
      <c r="A52" s="38"/>
      <c r="B52" s="40">
        <v>0.2</v>
      </c>
      <c r="C52" s="524">
        <v>330</v>
      </c>
      <c r="D52" s="524">
        <v>353</v>
      </c>
      <c r="E52" s="524">
        <v>424</v>
      </c>
      <c r="F52" s="524">
        <v>490</v>
      </c>
      <c r="G52" s="524">
        <v>546</v>
      </c>
      <c r="H52" s="525">
        <v>13200</v>
      </c>
      <c r="I52" s="525">
        <v>15080</v>
      </c>
      <c r="J52" s="525">
        <v>16960</v>
      </c>
      <c r="K52" s="525">
        <v>18840</v>
      </c>
      <c r="L52" s="525">
        <v>20360</v>
      </c>
      <c r="M52" s="525">
        <v>21860</v>
      </c>
      <c r="N52" s="525">
        <v>23380</v>
      </c>
      <c r="O52" s="525">
        <v>24880</v>
      </c>
      <c r="P52" s="41"/>
      <c r="Q52" s="41"/>
    </row>
    <row r="53" spans="1:17" ht="13.5" thickTop="1">
      <c r="A53" s="38"/>
      <c r="B53" s="37">
        <v>1.2</v>
      </c>
      <c r="C53" s="526">
        <v>1980</v>
      </c>
      <c r="D53" s="526">
        <v>2121</v>
      </c>
      <c r="E53" s="526">
        <v>2544</v>
      </c>
      <c r="F53" s="526">
        <v>2940</v>
      </c>
      <c r="G53" s="526">
        <v>3279</v>
      </c>
      <c r="H53" s="526">
        <v>79200</v>
      </c>
      <c r="I53" s="526">
        <v>90480</v>
      </c>
      <c r="J53" s="526">
        <v>101760</v>
      </c>
      <c r="K53" s="526">
        <v>113040</v>
      </c>
      <c r="L53" s="526">
        <v>122160</v>
      </c>
      <c r="M53" s="526">
        <v>131160</v>
      </c>
      <c r="N53" s="526">
        <v>140280</v>
      </c>
      <c r="O53" s="526">
        <v>149280</v>
      </c>
      <c r="P53" s="41"/>
      <c r="Q53" s="41"/>
    </row>
    <row r="54" spans="1:17">
      <c r="A54" s="38"/>
      <c r="B54" s="781">
        <v>1</v>
      </c>
      <c r="C54" s="778">
        <v>1650</v>
      </c>
      <c r="D54" s="778">
        <v>1767</v>
      </c>
      <c r="E54" s="778">
        <v>2120</v>
      </c>
      <c r="F54" s="778">
        <v>2450</v>
      </c>
      <c r="G54" s="778">
        <v>2732</v>
      </c>
      <c r="H54" s="778">
        <v>66000</v>
      </c>
      <c r="I54" s="778">
        <v>75400</v>
      </c>
      <c r="J54" s="778">
        <v>84800</v>
      </c>
      <c r="K54" s="778">
        <v>94200</v>
      </c>
      <c r="L54" s="778">
        <v>101800</v>
      </c>
      <c r="M54" s="778">
        <v>109300</v>
      </c>
      <c r="N54" s="778">
        <v>116900</v>
      </c>
      <c r="O54" s="778">
        <v>124400</v>
      </c>
      <c r="P54" s="41"/>
      <c r="Q54" s="41"/>
    </row>
    <row r="55" spans="1:17">
      <c r="A55" s="38" t="s">
        <v>1269</v>
      </c>
      <c r="B55" s="781">
        <v>0.8</v>
      </c>
      <c r="C55" s="778">
        <v>1320</v>
      </c>
      <c r="D55" s="778">
        <v>1414</v>
      </c>
      <c r="E55" s="778">
        <v>1696</v>
      </c>
      <c r="F55" s="778">
        <v>1960</v>
      </c>
      <c r="G55" s="778">
        <v>2186</v>
      </c>
      <c r="H55" s="779">
        <v>52800</v>
      </c>
      <c r="I55" s="779">
        <v>60320</v>
      </c>
      <c r="J55" s="779">
        <v>67840</v>
      </c>
      <c r="K55" s="779">
        <v>75360</v>
      </c>
      <c r="L55" s="779">
        <v>81440</v>
      </c>
      <c r="M55" s="779">
        <v>87440</v>
      </c>
      <c r="N55" s="779">
        <v>93520</v>
      </c>
      <c r="O55" s="779">
        <v>99520</v>
      </c>
      <c r="P55" s="41"/>
      <c r="Q55" s="41"/>
    </row>
    <row r="56" spans="1:17">
      <c r="A56" s="38"/>
      <c r="B56" s="781">
        <v>0.7</v>
      </c>
      <c r="C56" s="778">
        <v>1155</v>
      </c>
      <c r="D56" s="778">
        <v>1319</v>
      </c>
      <c r="E56" s="778">
        <v>1484</v>
      </c>
      <c r="F56" s="778">
        <v>1648</v>
      </c>
      <c r="G56" s="778">
        <v>1781</v>
      </c>
      <c r="H56" s="779">
        <v>46200</v>
      </c>
      <c r="I56" s="779">
        <v>52780</v>
      </c>
      <c r="J56" s="779">
        <v>59359.999999999993</v>
      </c>
      <c r="K56" s="779">
        <v>65940</v>
      </c>
      <c r="L56" s="779">
        <v>71260</v>
      </c>
      <c r="M56" s="779">
        <v>76510</v>
      </c>
      <c r="N56" s="779">
        <v>81830</v>
      </c>
      <c r="O56" s="779">
        <v>87080</v>
      </c>
      <c r="P56" s="41"/>
      <c r="Q56" s="41"/>
    </row>
    <row r="57" spans="1:17">
      <c r="A57" s="38"/>
      <c r="B57" s="781">
        <v>0.6</v>
      </c>
      <c r="C57" s="778">
        <v>990</v>
      </c>
      <c r="D57" s="778">
        <v>1060</v>
      </c>
      <c r="E57" s="778">
        <v>1272</v>
      </c>
      <c r="F57" s="778">
        <v>1470</v>
      </c>
      <c r="G57" s="778">
        <v>1639</v>
      </c>
      <c r="H57" s="778">
        <v>39600</v>
      </c>
      <c r="I57" s="778">
        <v>45240</v>
      </c>
      <c r="J57" s="778">
        <v>50880</v>
      </c>
      <c r="K57" s="778">
        <v>56520</v>
      </c>
      <c r="L57" s="778">
        <v>61080</v>
      </c>
      <c r="M57" s="780">
        <v>65580</v>
      </c>
      <c r="N57" s="780">
        <v>70140</v>
      </c>
      <c r="O57" s="780">
        <v>74640</v>
      </c>
      <c r="P57" s="41"/>
      <c r="Q57" s="41"/>
    </row>
    <row r="58" spans="1:17">
      <c r="A58" s="38"/>
      <c r="B58" s="781">
        <v>0.55000000000000004</v>
      </c>
      <c r="C58" s="778">
        <v>907</v>
      </c>
      <c r="D58" s="778">
        <v>972</v>
      </c>
      <c r="E58" s="778">
        <v>1166</v>
      </c>
      <c r="F58" s="778">
        <v>1347</v>
      </c>
      <c r="G58" s="778">
        <v>1502</v>
      </c>
      <c r="H58" s="778">
        <v>36300</v>
      </c>
      <c r="I58" s="778">
        <v>41470</v>
      </c>
      <c r="J58" s="778">
        <v>46640.000000000007</v>
      </c>
      <c r="K58" s="778">
        <v>51810.000000000007</v>
      </c>
      <c r="L58" s="778">
        <v>55990.000000000007</v>
      </c>
      <c r="M58" s="778">
        <v>60115.000000000007</v>
      </c>
      <c r="N58" s="778">
        <v>64295.000000000007</v>
      </c>
      <c r="O58" s="778">
        <v>68420</v>
      </c>
      <c r="P58" s="41"/>
      <c r="Q58" s="41"/>
    </row>
    <row r="59" spans="1:17">
      <c r="A59" s="38"/>
      <c r="B59" s="781">
        <v>0.5</v>
      </c>
      <c r="C59" s="778">
        <v>825</v>
      </c>
      <c r="D59" s="778">
        <v>883</v>
      </c>
      <c r="E59" s="778">
        <v>1060</v>
      </c>
      <c r="F59" s="778">
        <v>1225</v>
      </c>
      <c r="G59" s="778">
        <v>1366</v>
      </c>
      <c r="H59" s="779">
        <v>33000</v>
      </c>
      <c r="I59" s="779">
        <v>37700</v>
      </c>
      <c r="J59" s="779">
        <v>42400</v>
      </c>
      <c r="K59" s="779">
        <v>47100</v>
      </c>
      <c r="L59" s="779">
        <v>50900</v>
      </c>
      <c r="M59" s="779">
        <v>54650</v>
      </c>
      <c r="N59" s="779">
        <v>58450</v>
      </c>
      <c r="O59" s="779">
        <v>62200</v>
      </c>
      <c r="P59" s="41"/>
      <c r="Q59" s="41"/>
    </row>
    <row r="60" spans="1:17">
      <c r="A60" s="38"/>
      <c r="B60" s="781">
        <v>0.45</v>
      </c>
      <c r="C60" s="778">
        <v>742</v>
      </c>
      <c r="D60" s="778">
        <v>795</v>
      </c>
      <c r="E60" s="778">
        <v>954</v>
      </c>
      <c r="F60" s="778">
        <v>1102</v>
      </c>
      <c r="G60" s="778">
        <v>1229</v>
      </c>
      <c r="H60" s="778">
        <v>29700</v>
      </c>
      <c r="I60" s="778">
        <v>33930</v>
      </c>
      <c r="J60" s="778">
        <v>38160</v>
      </c>
      <c r="K60" s="778">
        <v>42390</v>
      </c>
      <c r="L60" s="778">
        <v>45810</v>
      </c>
      <c r="M60" s="780">
        <v>49185</v>
      </c>
      <c r="N60" s="780">
        <v>52605</v>
      </c>
      <c r="O60" s="780">
        <v>55980</v>
      </c>
      <c r="P60" s="41"/>
      <c r="Q60" s="41"/>
    </row>
    <row r="61" spans="1:17">
      <c r="A61" s="38"/>
      <c r="B61" s="781">
        <v>0.4</v>
      </c>
      <c r="C61" s="778">
        <v>660</v>
      </c>
      <c r="D61" s="778">
        <v>707</v>
      </c>
      <c r="E61" s="778">
        <v>848</v>
      </c>
      <c r="F61" s="778">
        <v>980</v>
      </c>
      <c r="G61" s="778">
        <v>1093</v>
      </c>
      <c r="H61" s="778">
        <v>26400</v>
      </c>
      <c r="I61" s="778">
        <v>30160</v>
      </c>
      <c r="J61" s="778">
        <v>33920</v>
      </c>
      <c r="K61" s="778">
        <v>37680</v>
      </c>
      <c r="L61" s="778">
        <v>40720</v>
      </c>
      <c r="M61" s="780">
        <v>43720</v>
      </c>
      <c r="N61" s="780">
        <v>46760</v>
      </c>
      <c r="O61" s="780">
        <v>49760</v>
      </c>
      <c r="P61" s="41"/>
      <c r="Q61" s="41"/>
    </row>
    <row r="62" spans="1:17">
      <c r="A62" s="38"/>
      <c r="B62" s="522">
        <v>0.3</v>
      </c>
      <c r="C62" s="778">
        <v>495</v>
      </c>
      <c r="D62" s="778">
        <v>530</v>
      </c>
      <c r="E62" s="778">
        <v>636</v>
      </c>
      <c r="F62" s="778">
        <v>735</v>
      </c>
      <c r="G62" s="778">
        <v>819</v>
      </c>
      <c r="H62" s="779">
        <v>19800</v>
      </c>
      <c r="I62" s="779">
        <v>22620</v>
      </c>
      <c r="J62" s="779">
        <v>25440</v>
      </c>
      <c r="K62" s="779">
        <v>28260</v>
      </c>
      <c r="L62" s="779">
        <v>30540</v>
      </c>
      <c r="M62" s="779">
        <v>32790</v>
      </c>
      <c r="N62" s="779">
        <v>35070</v>
      </c>
      <c r="O62" s="779">
        <v>37320</v>
      </c>
      <c r="P62" s="41"/>
      <c r="Q62" s="41"/>
    </row>
    <row r="63" spans="1:17" ht="13.5" thickBot="1">
      <c r="A63" s="38"/>
      <c r="B63" s="40">
        <v>0.2</v>
      </c>
      <c r="C63" s="524">
        <v>330</v>
      </c>
      <c r="D63" s="524">
        <v>353</v>
      </c>
      <c r="E63" s="524">
        <v>424</v>
      </c>
      <c r="F63" s="524">
        <v>490</v>
      </c>
      <c r="G63" s="524">
        <v>546</v>
      </c>
      <c r="H63" s="525">
        <v>13200</v>
      </c>
      <c r="I63" s="525">
        <v>15080</v>
      </c>
      <c r="J63" s="525">
        <v>16960</v>
      </c>
      <c r="K63" s="525">
        <v>18840</v>
      </c>
      <c r="L63" s="525">
        <v>20360</v>
      </c>
      <c r="M63" s="525">
        <v>21860</v>
      </c>
      <c r="N63" s="525">
        <v>23380</v>
      </c>
      <c r="O63" s="525">
        <v>24880</v>
      </c>
      <c r="P63" s="41"/>
      <c r="Q63" s="41"/>
    </row>
    <row r="64" spans="1:17" ht="13.5" thickTop="1">
      <c r="A64" s="38"/>
      <c r="B64" s="37">
        <v>1.2</v>
      </c>
      <c r="C64" s="526">
        <v>1980</v>
      </c>
      <c r="D64" s="526">
        <v>2121</v>
      </c>
      <c r="E64" s="526">
        <v>2544</v>
      </c>
      <c r="F64" s="526">
        <v>2940</v>
      </c>
      <c r="G64" s="526">
        <v>3279</v>
      </c>
      <c r="H64" s="526">
        <v>79200</v>
      </c>
      <c r="I64" s="526">
        <v>90480</v>
      </c>
      <c r="J64" s="526">
        <v>101760</v>
      </c>
      <c r="K64" s="526">
        <v>113040</v>
      </c>
      <c r="L64" s="526">
        <v>122160</v>
      </c>
      <c r="M64" s="526">
        <v>131160</v>
      </c>
      <c r="N64" s="526">
        <v>140280</v>
      </c>
      <c r="O64" s="526">
        <v>149280</v>
      </c>
      <c r="P64" s="41"/>
      <c r="Q64" s="41"/>
    </row>
    <row r="65" spans="1:17">
      <c r="A65" s="38"/>
      <c r="B65" s="781">
        <v>1</v>
      </c>
      <c r="C65" s="778">
        <v>1650</v>
      </c>
      <c r="D65" s="778">
        <v>1767</v>
      </c>
      <c r="E65" s="778">
        <v>2120</v>
      </c>
      <c r="F65" s="778">
        <v>2450</v>
      </c>
      <c r="G65" s="778">
        <v>2732</v>
      </c>
      <c r="H65" s="778">
        <v>66000</v>
      </c>
      <c r="I65" s="778">
        <v>75400</v>
      </c>
      <c r="J65" s="778">
        <v>84800</v>
      </c>
      <c r="K65" s="778">
        <v>94200</v>
      </c>
      <c r="L65" s="778">
        <v>101800</v>
      </c>
      <c r="M65" s="778">
        <v>109300</v>
      </c>
      <c r="N65" s="778">
        <v>116900</v>
      </c>
      <c r="O65" s="778">
        <v>124400</v>
      </c>
      <c r="P65" s="41"/>
      <c r="Q65" s="41"/>
    </row>
    <row r="66" spans="1:17">
      <c r="A66" s="38" t="s">
        <v>1270</v>
      </c>
      <c r="B66" s="781">
        <v>0.8</v>
      </c>
      <c r="C66" s="778">
        <v>1320</v>
      </c>
      <c r="D66" s="778">
        <v>1414</v>
      </c>
      <c r="E66" s="778">
        <v>1696</v>
      </c>
      <c r="F66" s="778">
        <v>1960</v>
      </c>
      <c r="G66" s="778">
        <v>2186</v>
      </c>
      <c r="H66" s="779">
        <v>52800</v>
      </c>
      <c r="I66" s="779">
        <v>60320</v>
      </c>
      <c r="J66" s="779">
        <v>67840</v>
      </c>
      <c r="K66" s="779">
        <v>75360</v>
      </c>
      <c r="L66" s="779">
        <v>81440</v>
      </c>
      <c r="M66" s="779">
        <v>87440</v>
      </c>
      <c r="N66" s="779">
        <v>93520</v>
      </c>
      <c r="O66" s="779">
        <v>99520</v>
      </c>
      <c r="P66" s="41"/>
      <c r="Q66" s="41"/>
    </row>
    <row r="67" spans="1:17">
      <c r="A67" s="38"/>
      <c r="B67" s="781">
        <v>0.7</v>
      </c>
      <c r="C67" s="778">
        <v>1155</v>
      </c>
      <c r="D67" s="778">
        <v>1319</v>
      </c>
      <c r="E67" s="778">
        <v>1484</v>
      </c>
      <c r="F67" s="778">
        <v>1648</v>
      </c>
      <c r="G67" s="778">
        <v>1781</v>
      </c>
      <c r="H67" s="779">
        <v>46200</v>
      </c>
      <c r="I67" s="779">
        <v>52780</v>
      </c>
      <c r="J67" s="779">
        <v>59359.999999999993</v>
      </c>
      <c r="K67" s="779">
        <v>65940</v>
      </c>
      <c r="L67" s="779">
        <v>71260</v>
      </c>
      <c r="M67" s="779">
        <v>76510</v>
      </c>
      <c r="N67" s="779">
        <v>81830</v>
      </c>
      <c r="O67" s="779">
        <v>87080</v>
      </c>
      <c r="P67" s="41"/>
      <c r="Q67" s="41"/>
    </row>
    <row r="68" spans="1:17">
      <c r="A68" s="38"/>
      <c r="B68" s="781">
        <v>0.6</v>
      </c>
      <c r="C68" s="778">
        <v>990</v>
      </c>
      <c r="D68" s="778">
        <v>1060</v>
      </c>
      <c r="E68" s="778">
        <v>1272</v>
      </c>
      <c r="F68" s="778">
        <v>1470</v>
      </c>
      <c r="G68" s="778">
        <v>1639</v>
      </c>
      <c r="H68" s="778">
        <v>39600</v>
      </c>
      <c r="I68" s="778">
        <v>45240</v>
      </c>
      <c r="J68" s="778">
        <v>50880</v>
      </c>
      <c r="K68" s="778">
        <v>56520</v>
      </c>
      <c r="L68" s="778">
        <v>61080</v>
      </c>
      <c r="M68" s="780">
        <v>65580</v>
      </c>
      <c r="N68" s="780">
        <v>70140</v>
      </c>
      <c r="O68" s="780">
        <v>74640</v>
      </c>
      <c r="P68" s="41"/>
      <c r="Q68" s="41"/>
    </row>
    <row r="69" spans="1:17">
      <c r="A69" s="38"/>
      <c r="B69" s="781">
        <v>0.55000000000000004</v>
      </c>
      <c r="C69" s="778">
        <v>907</v>
      </c>
      <c r="D69" s="778">
        <v>972</v>
      </c>
      <c r="E69" s="778">
        <v>1166</v>
      </c>
      <c r="F69" s="778">
        <v>1347</v>
      </c>
      <c r="G69" s="778">
        <v>1502</v>
      </c>
      <c r="H69" s="778">
        <v>36300</v>
      </c>
      <c r="I69" s="778">
        <v>41470</v>
      </c>
      <c r="J69" s="778">
        <v>46640.000000000007</v>
      </c>
      <c r="K69" s="778">
        <v>51810.000000000007</v>
      </c>
      <c r="L69" s="778">
        <v>55990.000000000007</v>
      </c>
      <c r="M69" s="778">
        <v>60115.000000000007</v>
      </c>
      <c r="N69" s="778">
        <v>64295.000000000007</v>
      </c>
      <c r="O69" s="778">
        <v>68420</v>
      </c>
      <c r="P69" s="41"/>
      <c r="Q69" s="41"/>
    </row>
    <row r="70" spans="1:17">
      <c r="A70" s="38"/>
      <c r="B70" s="781">
        <v>0.5</v>
      </c>
      <c r="C70" s="778">
        <v>825</v>
      </c>
      <c r="D70" s="778">
        <v>883</v>
      </c>
      <c r="E70" s="778">
        <v>1060</v>
      </c>
      <c r="F70" s="778">
        <v>1225</v>
      </c>
      <c r="G70" s="778">
        <v>1366</v>
      </c>
      <c r="H70" s="779">
        <v>33000</v>
      </c>
      <c r="I70" s="779">
        <v>37700</v>
      </c>
      <c r="J70" s="779">
        <v>42400</v>
      </c>
      <c r="K70" s="779">
        <v>47100</v>
      </c>
      <c r="L70" s="779">
        <v>50900</v>
      </c>
      <c r="M70" s="779">
        <v>54650</v>
      </c>
      <c r="N70" s="779">
        <v>58450</v>
      </c>
      <c r="O70" s="779">
        <v>62200</v>
      </c>
      <c r="P70" s="41"/>
      <c r="Q70" s="41"/>
    </row>
    <row r="71" spans="1:17">
      <c r="A71" s="38"/>
      <c r="B71" s="781">
        <v>0.45</v>
      </c>
      <c r="C71" s="778">
        <v>742</v>
      </c>
      <c r="D71" s="778">
        <v>795</v>
      </c>
      <c r="E71" s="778">
        <v>954</v>
      </c>
      <c r="F71" s="778">
        <v>1102</v>
      </c>
      <c r="G71" s="778">
        <v>1229</v>
      </c>
      <c r="H71" s="778">
        <v>29700</v>
      </c>
      <c r="I71" s="778">
        <v>33930</v>
      </c>
      <c r="J71" s="778">
        <v>38160</v>
      </c>
      <c r="K71" s="778">
        <v>42390</v>
      </c>
      <c r="L71" s="778">
        <v>45810</v>
      </c>
      <c r="M71" s="780">
        <v>49185</v>
      </c>
      <c r="N71" s="780">
        <v>52605</v>
      </c>
      <c r="O71" s="780">
        <v>55980</v>
      </c>
      <c r="P71" s="41"/>
      <c r="Q71" s="41"/>
    </row>
    <row r="72" spans="1:17">
      <c r="A72" s="38"/>
      <c r="B72" s="781">
        <v>0.4</v>
      </c>
      <c r="C72" s="778">
        <v>660</v>
      </c>
      <c r="D72" s="778">
        <v>707</v>
      </c>
      <c r="E72" s="778">
        <v>848</v>
      </c>
      <c r="F72" s="778">
        <v>980</v>
      </c>
      <c r="G72" s="778">
        <v>1093</v>
      </c>
      <c r="H72" s="778">
        <v>26400</v>
      </c>
      <c r="I72" s="778">
        <v>30160</v>
      </c>
      <c r="J72" s="778">
        <v>33920</v>
      </c>
      <c r="K72" s="778">
        <v>37680</v>
      </c>
      <c r="L72" s="778">
        <v>40720</v>
      </c>
      <c r="M72" s="780">
        <v>43720</v>
      </c>
      <c r="N72" s="780">
        <v>46760</v>
      </c>
      <c r="O72" s="780">
        <v>49760</v>
      </c>
      <c r="P72" s="41"/>
      <c r="Q72" s="41"/>
    </row>
    <row r="73" spans="1:17">
      <c r="A73" s="38"/>
      <c r="B73" s="522">
        <v>0.3</v>
      </c>
      <c r="C73" s="778">
        <v>495</v>
      </c>
      <c r="D73" s="778">
        <v>530</v>
      </c>
      <c r="E73" s="778">
        <v>636</v>
      </c>
      <c r="F73" s="778">
        <v>735</v>
      </c>
      <c r="G73" s="778">
        <v>819</v>
      </c>
      <c r="H73" s="779">
        <v>19800</v>
      </c>
      <c r="I73" s="779">
        <v>22620</v>
      </c>
      <c r="J73" s="779">
        <v>25440</v>
      </c>
      <c r="K73" s="779">
        <v>28260</v>
      </c>
      <c r="L73" s="779">
        <v>30540</v>
      </c>
      <c r="M73" s="779">
        <v>32790</v>
      </c>
      <c r="N73" s="779">
        <v>35070</v>
      </c>
      <c r="O73" s="779">
        <v>37320</v>
      </c>
      <c r="P73" s="41"/>
      <c r="Q73" s="41"/>
    </row>
    <row r="74" spans="1:17" ht="13.5" thickBot="1">
      <c r="A74" s="38"/>
      <c r="B74" s="40">
        <v>0.2</v>
      </c>
      <c r="C74" s="524">
        <v>330</v>
      </c>
      <c r="D74" s="524">
        <v>353</v>
      </c>
      <c r="E74" s="524">
        <v>424</v>
      </c>
      <c r="F74" s="524">
        <v>490</v>
      </c>
      <c r="G74" s="524">
        <v>546</v>
      </c>
      <c r="H74" s="525">
        <v>13200</v>
      </c>
      <c r="I74" s="525">
        <v>15080</v>
      </c>
      <c r="J74" s="525">
        <v>16960</v>
      </c>
      <c r="K74" s="525">
        <v>18840</v>
      </c>
      <c r="L74" s="525">
        <v>20360</v>
      </c>
      <c r="M74" s="525">
        <v>21860</v>
      </c>
      <c r="N74" s="525">
        <v>23380</v>
      </c>
      <c r="O74" s="525">
        <v>24880</v>
      </c>
      <c r="P74" s="41"/>
      <c r="Q74" s="41"/>
    </row>
    <row r="75" spans="1:17" ht="13.5" thickTop="1">
      <c r="A75" s="36"/>
      <c r="B75" s="37">
        <v>1.2</v>
      </c>
      <c r="C75" s="526">
        <v>3066</v>
      </c>
      <c r="D75" s="526">
        <v>3285</v>
      </c>
      <c r="E75" s="526">
        <v>3942</v>
      </c>
      <c r="F75" s="526">
        <v>4555</v>
      </c>
      <c r="G75" s="526">
        <v>5082</v>
      </c>
      <c r="H75" s="526">
        <v>122640</v>
      </c>
      <c r="I75" s="526">
        <v>140160</v>
      </c>
      <c r="J75" s="526">
        <v>157680</v>
      </c>
      <c r="K75" s="526">
        <v>175200</v>
      </c>
      <c r="L75" s="526">
        <v>189240</v>
      </c>
      <c r="M75" s="526">
        <v>203280</v>
      </c>
      <c r="N75" s="526">
        <v>217320</v>
      </c>
      <c r="O75" s="526">
        <v>231360</v>
      </c>
      <c r="P75" s="39"/>
      <c r="Q75" s="39"/>
    </row>
    <row r="76" spans="1:17">
      <c r="A76" s="38"/>
      <c r="B76" s="781">
        <v>1</v>
      </c>
      <c r="C76" s="778">
        <v>2555</v>
      </c>
      <c r="D76" s="778">
        <v>2737</v>
      </c>
      <c r="E76" s="778">
        <v>3285</v>
      </c>
      <c r="F76" s="778">
        <v>3796</v>
      </c>
      <c r="G76" s="778">
        <v>4235</v>
      </c>
      <c r="H76" s="778">
        <v>102200</v>
      </c>
      <c r="I76" s="778">
        <v>116800</v>
      </c>
      <c r="J76" s="778">
        <v>131400</v>
      </c>
      <c r="K76" s="778">
        <v>146000</v>
      </c>
      <c r="L76" s="778">
        <v>157700</v>
      </c>
      <c r="M76" s="778">
        <v>169400</v>
      </c>
      <c r="N76" s="778">
        <v>181100</v>
      </c>
      <c r="O76" s="778">
        <v>192800</v>
      </c>
      <c r="P76" s="39"/>
      <c r="Q76" s="39"/>
    </row>
    <row r="77" spans="1:17">
      <c r="A77" s="38" t="s">
        <v>1271</v>
      </c>
      <c r="B77" s="781">
        <v>0.8</v>
      </c>
      <c r="C77" s="778">
        <v>2044</v>
      </c>
      <c r="D77" s="778">
        <v>2190</v>
      </c>
      <c r="E77" s="778">
        <v>2628</v>
      </c>
      <c r="F77" s="778">
        <v>3037</v>
      </c>
      <c r="G77" s="778">
        <v>3388</v>
      </c>
      <c r="H77" s="779">
        <v>81760</v>
      </c>
      <c r="I77" s="779">
        <v>93440</v>
      </c>
      <c r="J77" s="779">
        <v>105120</v>
      </c>
      <c r="K77" s="779">
        <v>116800</v>
      </c>
      <c r="L77" s="779">
        <v>126160</v>
      </c>
      <c r="M77" s="779">
        <v>135520</v>
      </c>
      <c r="N77" s="779">
        <v>144880</v>
      </c>
      <c r="O77" s="779">
        <v>154240</v>
      </c>
      <c r="P77" s="39"/>
      <c r="Q77" s="39"/>
    </row>
    <row r="78" spans="1:17">
      <c r="A78" s="38"/>
      <c r="B78" s="781">
        <v>0.7</v>
      </c>
      <c r="C78" s="778">
        <v>1788</v>
      </c>
      <c r="D78" s="778">
        <v>1916</v>
      </c>
      <c r="E78" s="778">
        <v>2299</v>
      </c>
      <c r="F78" s="778">
        <v>2657</v>
      </c>
      <c r="G78" s="778">
        <v>2964</v>
      </c>
      <c r="H78" s="779">
        <v>71540</v>
      </c>
      <c r="I78" s="779">
        <v>81760</v>
      </c>
      <c r="J78" s="779">
        <v>91980</v>
      </c>
      <c r="K78" s="779">
        <v>102200</v>
      </c>
      <c r="L78" s="779">
        <v>110390</v>
      </c>
      <c r="M78" s="779">
        <v>118579.99999999999</v>
      </c>
      <c r="N78" s="779">
        <v>126769.99999999999</v>
      </c>
      <c r="O78" s="779">
        <v>134960</v>
      </c>
      <c r="P78" s="39"/>
      <c r="Q78" s="39"/>
    </row>
    <row r="79" spans="1:17">
      <c r="A79" s="38"/>
      <c r="B79" s="781">
        <v>0.6</v>
      </c>
      <c r="C79" s="778">
        <v>1533</v>
      </c>
      <c r="D79" s="778">
        <v>1642</v>
      </c>
      <c r="E79" s="778">
        <v>1971</v>
      </c>
      <c r="F79" s="778">
        <v>2277</v>
      </c>
      <c r="G79" s="778">
        <v>2541</v>
      </c>
      <c r="H79" s="778">
        <v>61320</v>
      </c>
      <c r="I79" s="778">
        <v>70080</v>
      </c>
      <c r="J79" s="778">
        <v>78840</v>
      </c>
      <c r="K79" s="778">
        <v>87600</v>
      </c>
      <c r="L79" s="778">
        <v>94620</v>
      </c>
      <c r="M79" s="780">
        <v>101640</v>
      </c>
      <c r="N79" s="780">
        <v>108660</v>
      </c>
      <c r="O79" s="780">
        <v>115680</v>
      </c>
      <c r="P79" s="39"/>
      <c r="Q79" s="39"/>
    </row>
    <row r="80" spans="1:17">
      <c r="A80" s="38"/>
      <c r="B80" s="781">
        <v>0.55000000000000004</v>
      </c>
      <c r="C80" s="778">
        <v>1405</v>
      </c>
      <c r="D80" s="778">
        <v>1505</v>
      </c>
      <c r="E80" s="778">
        <v>1806</v>
      </c>
      <c r="F80" s="778">
        <v>2087</v>
      </c>
      <c r="G80" s="778">
        <v>2329</v>
      </c>
      <c r="H80" s="778">
        <v>56210.000000000007</v>
      </c>
      <c r="I80" s="778">
        <v>64240.000000000007</v>
      </c>
      <c r="J80" s="778">
        <v>72270</v>
      </c>
      <c r="K80" s="778">
        <v>80300</v>
      </c>
      <c r="L80" s="778">
        <v>86735</v>
      </c>
      <c r="M80" s="778">
        <v>93170.000000000015</v>
      </c>
      <c r="N80" s="778">
        <v>99605.000000000015</v>
      </c>
      <c r="O80" s="778">
        <v>106040.00000000001</v>
      </c>
      <c r="P80" s="39"/>
      <c r="Q80" s="39"/>
    </row>
    <row r="81" spans="1:17">
      <c r="A81" s="38"/>
      <c r="B81" s="781">
        <v>0.5</v>
      </c>
      <c r="C81" s="778">
        <v>1277</v>
      </c>
      <c r="D81" s="778">
        <v>1368</v>
      </c>
      <c r="E81" s="778">
        <v>1642</v>
      </c>
      <c r="F81" s="778">
        <v>1898</v>
      </c>
      <c r="G81" s="778">
        <v>2117</v>
      </c>
      <c r="H81" s="779">
        <v>51100</v>
      </c>
      <c r="I81" s="779">
        <v>58400</v>
      </c>
      <c r="J81" s="779">
        <v>65700</v>
      </c>
      <c r="K81" s="779">
        <v>73000</v>
      </c>
      <c r="L81" s="779">
        <v>78850</v>
      </c>
      <c r="M81" s="779">
        <v>84700</v>
      </c>
      <c r="N81" s="779">
        <v>90550</v>
      </c>
      <c r="O81" s="779">
        <v>96400</v>
      </c>
      <c r="P81" s="39"/>
      <c r="Q81" s="39"/>
    </row>
    <row r="82" spans="1:17">
      <c r="A82" s="38"/>
      <c r="B82" s="781">
        <v>0.45</v>
      </c>
      <c r="C82" s="778">
        <v>1149</v>
      </c>
      <c r="D82" s="778">
        <v>1231</v>
      </c>
      <c r="E82" s="778">
        <v>1478</v>
      </c>
      <c r="F82" s="778">
        <v>1708</v>
      </c>
      <c r="G82" s="778">
        <v>1905</v>
      </c>
      <c r="H82" s="778">
        <v>45990</v>
      </c>
      <c r="I82" s="778">
        <v>52560</v>
      </c>
      <c r="J82" s="778">
        <v>59130</v>
      </c>
      <c r="K82" s="778">
        <v>65700</v>
      </c>
      <c r="L82" s="778">
        <v>70965</v>
      </c>
      <c r="M82" s="780">
        <v>76230</v>
      </c>
      <c r="N82" s="780">
        <v>81495</v>
      </c>
      <c r="O82" s="780">
        <v>86760</v>
      </c>
      <c r="P82" s="39"/>
      <c r="Q82" s="39"/>
    </row>
    <row r="83" spans="1:17">
      <c r="A83" s="38"/>
      <c r="B83" s="781">
        <v>0.4</v>
      </c>
      <c r="C83" s="778">
        <v>1022</v>
      </c>
      <c r="D83" s="778">
        <v>1095</v>
      </c>
      <c r="E83" s="778">
        <v>1314</v>
      </c>
      <c r="F83" s="778">
        <v>1518</v>
      </c>
      <c r="G83" s="778">
        <v>1694</v>
      </c>
      <c r="H83" s="778">
        <v>40880</v>
      </c>
      <c r="I83" s="778">
        <v>46720</v>
      </c>
      <c r="J83" s="778">
        <v>52560</v>
      </c>
      <c r="K83" s="778">
        <v>58400</v>
      </c>
      <c r="L83" s="778">
        <v>63080</v>
      </c>
      <c r="M83" s="780">
        <v>67760</v>
      </c>
      <c r="N83" s="780">
        <v>72440</v>
      </c>
      <c r="O83" s="780">
        <v>77120</v>
      </c>
      <c r="P83" s="39"/>
      <c r="Q83" s="39"/>
    </row>
    <row r="84" spans="1:17">
      <c r="A84" s="38"/>
      <c r="B84" s="522">
        <v>0.3</v>
      </c>
      <c r="C84" s="778">
        <v>766</v>
      </c>
      <c r="D84" s="778">
        <v>821</v>
      </c>
      <c r="E84" s="778">
        <v>985</v>
      </c>
      <c r="F84" s="778">
        <v>1138</v>
      </c>
      <c r="G84" s="778">
        <v>1270</v>
      </c>
      <c r="H84" s="779">
        <v>30660</v>
      </c>
      <c r="I84" s="779">
        <v>35040</v>
      </c>
      <c r="J84" s="779">
        <v>39420</v>
      </c>
      <c r="K84" s="779">
        <v>43800</v>
      </c>
      <c r="L84" s="779">
        <v>47310</v>
      </c>
      <c r="M84" s="779">
        <v>50820</v>
      </c>
      <c r="N84" s="779">
        <v>54330</v>
      </c>
      <c r="O84" s="779">
        <v>57840</v>
      </c>
      <c r="P84" s="39"/>
      <c r="Q84" s="39"/>
    </row>
    <row r="85" spans="1:17" ht="13.5" thickBot="1">
      <c r="A85" s="782"/>
      <c r="B85" s="40">
        <v>0.2</v>
      </c>
      <c r="C85" s="524">
        <v>511</v>
      </c>
      <c r="D85" s="524">
        <v>547</v>
      </c>
      <c r="E85" s="524">
        <v>657</v>
      </c>
      <c r="F85" s="524">
        <v>759</v>
      </c>
      <c r="G85" s="524">
        <v>847</v>
      </c>
      <c r="H85" s="525">
        <v>20440</v>
      </c>
      <c r="I85" s="525">
        <v>23360</v>
      </c>
      <c r="J85" s="525">
        <v>26280</v>
      </c>
      <c r="K85" s="525">
        <v>29200</v>
      </c>
      <c r="L85" s="525">
        <v>31540</v>
      </c>
      <c r="M85" s="525">
        <v>33880</v>
      </c>
      <c r="N85" s="525">
        <v>36220</v>
      </c>
      <c r="O85" s="525">
        <v>38560</v>
      </c>
      <c r="P85" s="41"/>
      <c r="Q85" s="41"/>
    </row>
    <row r="86" spans="1:17" ht="13.5" thickTop="1">
      <c r="A86" s="36"/>
      <c r="B86" s="37">
        <v>1.2</v>
      </c>
      <c r="C86" s="526">
        <v>2739</v>
      </c>
      <c r="D86" s="526">
        <v>2935</v>
      </c>
      <c r="E86" s="526">
        <v>3522</v>
      </c>
      <c r="F86" s="526">
        <v>4069</v>
      </c>
      <c r="G86" s="526">
        <v>4539</v>
      </c>
      <c r="H86" s="526">
        <v>109560</v>
      </c>
      <c r="I86" s="526">
        <v>125280</v>
      </c>
      <c r="J86" s="526">
        <v>140880</v>
      </c>
      <c r="K86" s="526">
        <v>156480</v>
      </c>
      <c r="L86" s="526">
        <v>169080</v>
      </c>
      <c r="M86" s="526">
        <v>181560</v>
      </c>
      <c r="N86" s="526">
        <v>194040</v>
      </c>
      <c r="O86" s="526">
        <v>206640</v>
      </c>
      <c r="P86" s="39"/>
      <c r="Q86" s="39"/>
    </row>
    <row r="87" spans="1:17">
      <c r="A87" s="38"/>
      <c r="B87" s="781">
        <v>1</v>
      </c>
      <c r="C87" s="778">
        <v>2282</v>
      </c>
      <c r="D87" s="778">
        <v>2446</v>
      </c>
      <c r="E87" s="778">
        <v>2935</v>
      </c>
      <c r="F87" s="778">
        <v>3391</v>
      </c>
      <c r="G87" s="778">
        <v>3782</v>
      </c>
      <c r="H87" s="778">
        <v>91300</v>
      </c>
      <c r="I87" s="778">
        <v>104400</v>
      </c>
      <c r="J87" s="778">
        <v>117400</v>
      </c>
      <c r="K87" s="778">
        <v>130400</v>
      </c>
      <c r="L87" s="778">
        <v>140900</v>
      </c>
      <c r="M87" s="778">
        <v>151300</v>
      </c>
      <c r="N87" s="778">
        <v>161700</v>
      </c>
      <c r="O87" s="778">
        <v>172200</v>
      </c>
      <c r="P87" s="39"/>
      <c r="Q87" s="39"/>
    </row>
    <row r="88" spans="1:17">
      <c r="A88" s="38" t="s">
        <v>1272</v>
      </c>
      <c r="B88" s="781">
        <v>0.8</v>
      </c>
      <c r="C88" s="778">
        <v>1826</v>
      </c>
      <c r="D88" s="778">
        <v>1957</v>
      </c>
      <c r="E88" s="778">
        <v>2348</v>
      </c>
      <c r="F88" s="778">
        <v>2713</v>
      </c>
      <c r="G88" s="778">
        <v>3026</v>
      </c>
      <c r="H88" s="779">
        <v>73040</v>
      </c>
      <c r="I88" s="779">
        <v>83520</v>
      </c>
      <c r="J88" s="779">
        <v>93920</v>
      </c>
      <c r="K88" s="779">
        <v>104320</v>
      </c>
      <c r="L88" s="779">
        <v>112720</v>
      </c>
      <c r="M88" s="779">
        <v>121040</v>
      </c>
      <c r="N88" s="779">
        <v>129360</v>
      </c>
      <c r="O88" s="779">
        <v>137760</v>
      </c>
      <c r="P88" s="39"/>
      <c r="Q88" s="39"/>
    </row>
    <row r="89" spans="1:17">
      <c r="A89" s="38"/>
      <c r="B89" s="781">
        <v>0.7</v>
      </c>
      <c r="C89" s="778">
        <v>1597</v>
      </c>
      <c r="D89" s="778">
        <v>1712</v>
      </c>
      <c r="E89" s="778">
        <v>2054</v>
      </c>
      <c r="F89" s="778">
        <v>2373</v>
      </c>
      <c r="G89" s="778">
        <v>2647</v>
      </c>
      <c r="H89" s="779">
        <v>63909.999999999993</v>
      </c>
      <c r="I89" s="779">
        <v>73080</v>
      </c>
      <c r="J89" s="779">
        <v>82180</v>
      </c>
      <c r="K89" s="779">
        <v>91280</v>
      </c>
      <c r="L89" s="779">
        <v>98630</v>
      </c>
      <c r="M89" s="779">
        <v>105910</v>
      </c>
      <c r="N89" s="779">
        <v>113190</v>
      </c>
      <c r="O89" s="779">
        <v>120539.99999999999</v>
      </c>
      <c r="P89" s="39"/>
      <c r="Q89" s="39"/>
    </row>
    <row r="90" spans="1:17">
      <c r="A90" s="38"/>
      <c r="B90" s="781">
        <v>0.6</v>
      </c>
      <c r="C90" s="778">
        <v>1369</v>
      </c>
      <c r="D90" s="778">
        <v>1467</v>
      </c>
      <c r="E90" s="778">
        <v>1761</v>
      </c>
      <c r="F90" s="778">
        <v>2034</v>
      </c>
      <c r="G90" s="778">
        <v>2269</v>
      </c>
      <c r="H90" s="778">
        <v>54780</v>
      </c>
      <c r="I90" s="778">
        <v>62640</v>
      </c>
      <c r="J90" s="778">
        <v>70440</v>
      </c>
      <c r="K90" s="778">
        <v>78240</v>
      </c>
      <c r="L90" s="778">
        <v>84540</v>
      </c>
      <c r="M90" s="780">
        <v>90780</v>
      </c>
      <c r="N90" s="780">
        <v>97020</v>
      </c>
      <c r="O90" s="780">
        <v>103320</v>
      </c>
      <c r="P90" s="39"/>
      <c r="Q90" s="39"/>
    </row>
    <row r="91" spans="1:17">
      <c r="A91" s="38"/>
      <c r="B91" s="781">
        <v>0.55000000000000004</v>
      </c>
      <c r="C91" s="778">
        <v>1255</v>
      </c>
      <c r="D91" s="778">
        <v>1345</v>
      </c>
      <c r="E91" s="778">
        <v>1614</v>
      </c>
      <c r="F91" s="778">
        <v>1865</v>
      </c>
      <c r="G91" s="778">
        <v>2080</v>
      </c>
      <c r="H91" s="778">
        <v>50215.000000000007</v>
      </c>
      <c r="I91" s="778">
        <v>57420.000000000007</v>
      </c>
      <c r="J91" s="778">
        <v>64570.000000000007</v>
      </c>
      <c r="K91" s="778">
        <v>71720</v>
      </c>
      <c r="L91" s="778">
        <v>77495</v>
      </c>
      <c r="M91" s="778">
        <v>83215</v>
      </c>
      <c r="N91" s="778">
        <v>88935</v>
      </c>
      <c r="O91" s="778">
        <v>94710.000000000015</v>
      </c>
      <c r="P91" s="39"/>
      <c r="Q91" s="39"/>
    </row>
    <row r="92" spans="1:17">
      <c r="A92" s="38"/>
      <c r="B92" s="781">
        <v>0.5</v>
      </c>
      <c r="C92" s="778">
        <v>1141</v>
      </c>
      <c r="D92" s="778">
        <v>1223</v>
      </c>
      <c r="E92" s="778">
        <v>1467</v>
      </c>
      <c r="F92" s="778">
        <v>1695</v>
      </c>
      <c r="G92" s="778">
        <v>1891</v>
      </c>
      <c r="H92" s="779">
        <v>45650</v>
      </c>
      <c r="I92" s="779">
        <v>52200</v>
      </c>
      <c r="J92" s="779">
        <v>58700</v>
      </c>
      <c r="K92" s="779">
        <v>65200</v>
      </c>
      <c r="L92" s="779">
        <v>70450</v>
      </c>
      <c r="M92" s="779">
        <v>75650</v>
      </c>
      <c r="N92" s="779">
        <v>80850</v>
      </c>
      <c r="O92" s="779">
        <v>86100</v>
      </c>
      <c r="P92" s="39"/>
      <c r="Q92" s="39"/>
    </row>
    <row r="93" spans="1:17">
      <c r="A93" s="38"/>
      <c r="B93" s="781">
        <v>0.45</v>
      </c>
      <c r="C93" s="778">
        <v>1027</v>
      </c>
      <c r="D93" s="778">
        <v>1100</v>
      </c>
      <c r="E93" s="778">
        <v>1320</v>
      </c>
      <c r="F93" s="778">
        <v>1526</v>
      </c>
      <c r="G93" s="778">
        <v>1702</v>
      </c>
      <c r="H93" s="778">
        <v>41085</v>
      </c>
      <c r="I93" s="778">
        <v>46980</v>
      </c>
      <c r="J93" s="778">
        <v>52830</v>
      </c>
      <c r="K93" s="778">
        <v>58680</v>
      </c>
      <c r="L93" s="778">
        <v>63405</v>
      </c>
      <c r="M93" s="780">
        <v>68085</v>
      </c>
      <c r="N93" s="780">
        <v>72765</v>
      </c>
      <c r="O93" s="780">
        <v>77490</v>
      </c>
      <c r="P93" s="39"/>
      <c r="Q93" s="39"/>
    </row>
    <row r="94" spans="1:17">
      <c r="A94" s="38"/>
      <c r="B94" s="781">
        <v>0.4</v>
      </c>
      <c r="C94" s="778">
        <v>913</v>
      </c>
      <c r="D94" s="778">
        <v>978</v>
      </c>
      <c r="E94" s="778">
        <v>1174</v>
      </c>
      <c r="F94" s="778">
        <v>1356</v>
      </c>
      <c r="G94" s="778">
        <v>1513</v>
      </c>
      <c r="H94" s="778">
        <v>36520</v>
      </c>
      <c r="I94" s="778">
        <v>41760</v>
      </c>
      <c r="J94" s="778">
        <v>46960</v>
      </c>
      <c r="K94" s="778">
        <v>52160</v>
      </c>
      <c r="L94" s="778">
        <v>56360</v>
      </c>
      <c r="M94" s="780">
        <v>60520</v>
      </c>
      <c r="N94" s="780">
        <v>64680</v>
      </c>
      <c r="O94" s="780">
        <v>68880</v>
      </c>
      <c r="P94" s="39"/>
      <c r="Q94" s="39"/>
    </row>
    <row r="95" spans="1:17">
      <c r="A95" s="38"/>
      <c r="B95" s="522">
        <v>0.3</v>
      </c>
      <c r="C95" s="778">
        <v>684</v>
      </c>
      <c r="D95" s="778">
        <v>733</v>
      </c>
      <c r="E95" s="778">
        <v>880</v>
      </c>
      <c r="F95" s="778">
        <v>1017</v>
      </c>
      <c r="G95" s="778">
        <v>1134</v>
      </c>
      <c r="H95" s="779">
        <v>27390</v>
      </c>
      <c r="I95" s="779">
        <v>31320</v>
      </c>
      <c r="J95" s="779">
        <v>35220</v>
      </c>
      <c r="K95" s="779">
        <v>39120</v>
      </c>
      <c r="L95" s="779">
        <v>42270</v>
      </c>
      <c r="M95" s="779">
        <v>45390</v>
      </c>
      <c r="N95" s="779">
        <v>48510</v>
      </c>
      <c r="O95" s="779">
        <v>51660</v>
      </c>
      <c r="P95" s="39"/>
      <c r="Q95" s="39"/>
    </row>
    <row r="96" spans="1:17" ht="13.5" thickBot="1">
      <c r="A96" s="782"/>
      <c r="B96" s="40">
        <v>0.2</v>
      </c>
      <c r="C96" s="524">
        <v>456</v>
      </c>
      <c r="D96" s="524">
        <v>489</v>
      </c>
      <c r="E96" s="524">
        <v>587</v>
      </c>
      <c r="F96" s="524">
        <v>678</v>
      </c>
      <c r="G96" s="524">
        <v>756</v>
      </c>
      <c r="H96" s="525">
        <v>18260</v>
      </c>
      <c r="I96" s="525">
        <v>20880</v>
      </c>
      <c r="J96" s="525">
        <v>23480</v>
      </c>
      <c r="K96" s="525">
        <v>26080</v>
      </c>
      <c r="L96" s="525">
        <v>28180</v>
      </c>
      <c r="M96" s="525">
        <v>30260</v>
      </c>
      <c r="N96" s="525">
        <v>32340</v>
      </c>
      <c r="O96" s="525">
        <v>34440</v>
      </c>
      <c r="P96" s="41"/>
      <c r="Q96" s="41"/>
    </row>
    <row r="97" spans="1:17" ht="13.5" thickTop="1">
      <c r="A97" s="38"/>
      <c r="B97" s="37">
        <v>1.2</v>
      </c>
      <c r="C97" s="526">
        <v>1980</v>
      </c>
      <c r="D97" s="526">
        <v>2121</v>
      </c>
      <c r="E97" s="526">
        <v>2544</v>
      </c>
      <c r="F97" s="526">
        <v>2940</v>
      </c>
      <c r="G97" s="526">
        <v>3279</v>
      </c>
      <c r="H97" s="526">
        <v>79200</v>
      </c>
      <c r="I97" s="526">
        <v>90480</v>
      </c>
      <c r="J97" s="526">
        <v>101760</v>
      </c>
      <c r="K97" s="526">
        <v>113040</v>
      </c>
      <c r="L97" s="526">
        <v>122160</v>
      </c>
      <c r="M97" s="526">
        <v>131160</v>
      </c>
      <c r="N97" s="526">
        <v>140280</v>
      </c>
      <c r="O97" s="526">
        <v>149280</v>
      </c>
      <c r="P97" s="41"/>
      <c r="Q97" s="41"/>
    </row>
    <row r="98" spans="1:17">
      <c r="A98" s="38"/>
      <c r="B98" s="781">
        <v>1</v>
      </c>
      <c r="C98" s="778">
        <v>1650</v>
      </c>
      <c r="D98" s="778">
        <v>1767</v>
      </c>
      <c r="E98" s="778">
        <v>2120</v>
      </c>
      <c r="F98" s="778">
        <v>2450</v>
      </c>
      <c r="G98" s="778">
        <v>2732</v>
      </c>
      <c r="H98" s="778">
        <v>66000</v>
      </c>
      <c r="I98" s="778">
        <v>75400</v>
      </c>
      <c r="J98" s="778">
        <v>84800</v>
      </c>
      <c r="K98" s="778">
        <v>94200</v>
      </c>
      <c r="L98" s="778">
        <v>101800</v>
      </c>
      <c r="M98" s="778">
        <v>109300</v>
      </c>
      <c r="N98" s="778">
        <v>116900</v>
      </c>
      <c r="O98" s="778">
        <v>124400</v>
      </c>
      <c r="P98" s="41"/>
      <c r="Q98" s="41"/>
    </row>
    <row r="99" spans="1:17">
      <c r="A99" s="38" t="s">
        <v>1273</v>
      </c>
      <c r="B99" s="781">
        <v>0.8</v>
      </c>
      <c r="C99" s="778">
        <v>1320</v>
      </c>
      <c r="D99" s="778">
        <v>1414</v>
      </c>
      <c r="E99" s="778">
        <v>1696</v>
      </c>
      <c r="F99" s="778">
        <v>1960</v>
      </c>
      <c r="G99" s="778">
        <v>2186</v>
      </c>
      <c r="H99" s="779">
        <v>52800</v>
      </c>
      <c r="I99" s="779">
        <v>60320</v>
      </c>
      <c r="J99" s="779">
        <v>67840</v>
      </c>
      <c r="K99" s="779">
        <v>75360</v>
      </c>
      <c r="L99" s="779">
        <v>81440</v>
      </c>
      <c r="M99" s="779">
        <v>87440</v>
      </c>
      <c r="N99" s="779">
        <v>93520</v>
      </c>
      <c r="O99" s="779">
        <v>99520</v>
      </c>
      <c r="P99" s="41"/>
      <c r="Q99" s="41"/>
    </row>
    <row r="100" spans="1:17">
      <c r="A100" s="38"/>
      <c r="B100" s="781">
        <v>0.7</v>
      </c>
      <c r="C100" s="778">
        <v>1155</v>
      </c>
      <c r="D100" s="778">
        <v>1237</v>
      </c>
      <c r="E100" s="778">
        <v>1484</v>
      </c>
      <c r="F100" s="778">
        <v>1715</v>
      </c>
      <c r="G100" s="778">
        <v>1912</v>
      </c>
      <c r="H100" s="779">
        <v>46200</v>
      </c>
      <c r="I100" s="779">
        <v>52780</v>
      </c>
      <c r="J100" s="779">
        <v>59359.999999999993</v>
      </c>
      <c r="K100" s="779">
        <v>65940</v>
      </c>
      <c r="L100" s="779">
        <v>71260</v>
      </c>
      <c r="M100" s="779">
        <v>76510</v>
      </c>
      <c r="N100" s="779">
        <v>81830</v>
      </c>
      <c r="O100" s="779">
        <v>87080</v>
      </c>
      <c r="P100" s="41"/>
      <c r="Q100" s="41"/>
    </row>
    <row r="101" spans="1:17">
      <c r="A101" s="38"/>
      <c r="B101" s="781">
        <v>0.6</v>
      </c>
      <c r="C101" s="778">
        <v>990</v>
      </c>
      <c r="D101" s="778">
        <v>1060</v>
      </c>
      <c r="E101" s="778">
        <v>1272</v>
      </c>
      <c r="F101" s="778">
        <v>1470</v>
      </c>
      <c r="G101" s="778">
        <v>1639</v>
      </c>
      <c r="H101" s="778">
        <v>39600</v>
      </c>
      <c r="I101" s="778">
        <v>45240</v>
      </c>
      <c r="J101" s="778">
        <v>50880</v>
      </c>
      <c r="K101" s="778">
        <v>56520</v>
      </c>
      <c r="L101" s="778">
        <v>61080</v>
      </c>
      <c r="M101" s="780">
        <v>65580</v>
      </c>
      <c r="N101" s="780">
        <v>70140</v>
      </c>
      <c r="O101" s="780">
        <v>74640</v>
      </c>
      <c r="P101" s="41"/>
      <c r="Q101" s="41"/>
    </row>
    <row r="102" spans="1:17">
      <c r="A102" s="38"/>
      <c r="B102" s="781">
        <v>0.55000000000000004</v>
      </c>
      <c r="C102" s="778">
        <v>907</v>
      </c>
      <c r="D102" s="778">
        <v>972</v>
      </c>
      <c r="E102" s="778">
        <v>1166</v>
      </c>
      <c r="F102" s="778">
        <v>1347</v>
      </c>
      <c r="G102" s="778">
        <v>1502</v>
      </c>
      <c r="H102" s="778">
        <v>36300</v>
      </c>
      <c r="I102" s="778">
        <v>41470</v>
      </c>
      <c r="J102" s="778">
        <v>46640.000000000007</v>
      </c>
      <c r="K102" s="778">
        <v>51810.000000000007</v>
      </c>
      <c r="L102" s="778">
        <v>55990.000000000007</v>
      </c>
      <c r="M102" s="778">
        <v>60115.000000000007</v>
      </c>
      <c r="N102" s="778">
        <v>64295.000000000007</v>
      </c>
      <c r="O102" s="778">
        <v>68420</v>
      </c>
      <c r="P102" s="41"/>
      <c r="Q102" s="41"/>
    </row>
    <row r="103" spans="1:17">
      <c r="A103" s="38"/>
      <c r="B103" s="781">
        <v>0.5</v>
      </c>
      <c r="C103" s="778">
        <v>825</v>
      </c>
      <c r="D103" s="778">
        <v>883</v>
      </c>
      <c r="E103" s="778">
        <v>1060</v>
      </c>
      <c r="F103" s="778">
        <v>1225</v>
      </c>
      <c r="G103" s="778">
        <v>1366</v>
      </c>
      <c r="H103" s="779">
        <v>33000</v>
      </c>
      <c r="I103" s="779">
        <v>37700</v>
      </c>
      <c r="J103" s="779">
        <v>42400</v>
      </c>
      <c r="K103" s="779">
        <v>47100</v>
      </c>
      <c r="L103" s="779">
        <v>50900</v>
      </c>
      <c r="M103" s="779">
        <v>54650</v>
      </c>
      <c r="N103" s="779">
        <v>58450</v>
      </c>
      <c r="O103" s="779">
        <v>62200</v>
      </c>
      <c r="P103" s="41"/>
      <c r="Q103" s="41"/>
    </row>
    <row r="104" spans="1:17">
      <c r="A104" s="38"/>
      <c r="B104" s="781">
        <v>0.45</v>
      </c>
      <c r="C104" s="778">
        <v>742</v>
      </c>
      <c r="D104" s="778">
        <v>795</v>
      </c>
      <c r="E104" s="778">
        <v>954</v>
      </c>
      <c r="F104" s="778">
        <v>1102</v>
      </c>
      <c r="G104" s="778">
        <v>1229</v>
      </c>
      <c r="H104" s="778">
        <v>29700</v>
      </c>
      <c r="I104" s="778">
        <v>33930</v>
      </c>
      <c r="J104" s="778">
        <v>38160</v>
      </c>
      <c r="K104" s="778">
        <v>42390</v>
      </c>
      <c r="L104" s="778">
        <v>45810</v>
      </c>
      <c r="M104" s="780">
        <v>49185</v>
      </c>
      <c r="N104" s="780">
        <v>52605</v>
      </c>
      <c r="O104" s="780">
        <v>55980</v>
      </c>
      <c r="P104" s="41"/>
      <c r="Q104" s="41"/>
    </row>
    <row r="105" spans="1:17">
      <c r="A105" s="38"/>
      <c r="B105" s="781">
        <v>0.4</v>
      </c>
      <c r="C105" s="778">
        <v>660</v>
      </c>
      <c r="D105" s="778">
        <v>707</v>
      </c>
      <c r="E105" s="778">
        <v>848</v>
      </c>
      <c r="F105" s="778">
        <v>980</v>
      </c>
      <c r="G105" s="778">
        <v>1093</v>
      </c>
      <c r="H105" s="778">
        <v>26400</v>
      </c>
      <c r="I105" s="778">
        <v>30160</v>
      </c>
      <c r="J105" s="778">
        <v>33920</v>
      </c>
      <c r="K105" s="778">
        <v>37680</v>
      </c>
      <c r="L105" s="778">
        <v>40720</v>
      </c>
      <c r="M105" s="780">
        <v>43720</v>
      </c>
      <c r="N105" s="780">
        <v>46760</v>
      </c>
      <c r="O105" s="780">
        <v>49760</v>
      </c>
      <c r="P105" s="41"/>
      <c r="Q105" s="41"/>
    </row>
    <row r="106" spans="1:17">
      <c r="A106" s="38"/>
      <c r="B106" s="522">
        <v>0.3</v>
      </c>
      <c r="C106" s="778">
        <v>495</v>
      </c>
      <c r="D106" s="778">
        <v>530</v>
      </c>
      <c r="E106" s="778">
        <v>636</v>
      </c>
      <c r="F106" s="778">
        <v>735</v>
      </c>
      <c r="G106" s="778">
        <v>819</v>
      </c>
      <c r="H106" s="779">
        <v>19800</v>
      </c>
      <c r="I106" s="779">
        <v>22620</v>
      </c>
      <c r="J106" s="779">
        <v>25440</v>
      </c>
      <c r="K106" s="779">
        <v>28260</v>
      </c>
      <c r="L106" s="779">
        <v>30540</v>
      </c>
      <c r="M106" s="779">
        <v>32790</v>
      </c>
      <c r="N106" s="779">
        <v>35070</v>
      </c>
      <c r="O106" s="779">
        <v>37320</v>
      </c>
      <c r="P106" s="41"/>
      <c r="Q106" s="41"/>
    </row>
    <row r="107" spans="1:17" ht="13.5" thickBot="1">
      <c r="A107" s="38"/>
      <c r="B107" s="40">
        <v>0.2</v>
      </c>
      <c r="C107" s="524">
        <v>330</v>
      </c>
      <c r="D107" s="524">
        <v>353</v>
      </c>
      <c r="E107" s="524">
        <v>424</v>
      </c>
      <c r="F107" s="524">
        <v>490</v>
      </c>
      <c r="G107" s="524">
        <v>546</v>
      </c>
      <c r="H107" s="525">
        <v>13200</v>
      </c>
      <c r="I107" s="525">
        <v>15080</v>
      </c>
      <c r="J107" s="525">
        <v>16960</v>
      </c>
      <c r="K107" s="525">
        <v>18840</v>
      </c>
      <c r="L107" s="525">
        <v>20360</v>
      </c>
      <c r="M107" s="525">
        <v>21860</v>
      </c>
      <c r="N107" s="525">
        <v>23380</v>
      </c>
      <c r="O107" s="525">
        <v>24880</v>
      </c>
      <c r="P107" s="41"/>
      <c r="Q107" s="41"/>
    </row>
    <row r="108" spans="1:17" ht="13.5" thickTop="1">
      <c r="A108" s="36"/>
      <c r="B108" s="37">
        <v>1.2</v>
      </c>
      <c r="C108" s="526">
        <v>1980</v>
      </c>
      <c r="D108" s="526">
        <v>2121</v>
      </c>
      <c r="E108" s="526">
        <v>2544</v>
      </c>
      <c r="F108" s="526">
        <v>2940</v>
      </c>
      <c r="G108" s="526">
        <v>3279</v>
      </c>
      <c r="H108" s="526">
        <v>79200</v>
      </c>
      <c r="I108" s="526">
        <v>90480</v>
      </c>
      <c r="J108" s="526">
        <v>101760</v>
      </c>
      <c r="K108" s="526">
        <v>113040</v>
      </c>
      <c r="L108" s="526">
        <v>122160</v>
      </c>
      <c r="M108" s="526">
        <v>131160</v>
      </c>
      <c r="N108" s="526">
        <v>140280</v>
      </c>
      <c r="O108" s="526">
        <v>149280</v>
      </c>
      <c r="P108" s="39"/>
      <c r="Q108" s="39"/>
    </row>
    <row r="109" spans="1:17">
      <c r="A109" s="38"/>
      <c r="B109" s="781">
        <v>1</v>
      </c>
      <c r="C109" s="778">
        <v>1650</v>
      </c>
      <c r="D109" s="778">
        <v>1767</v>
      </c>
      <c r="E109" s="778">
        <v>2120</v>
      </c>
      <c r="F109" s="778">
        <v>2450</v>
      </c>
      <c r="G109" s="778">
        <v>2732</v>
      </c>
      <c r="H109" s="778">
        <v>66000</v>
      </c>
      <c r="I109" s="778">
        <v>75400</v>
      </c>
      <c r="J109" s="778">
        <v>84800</v>
      </c>
      <c r="K109" s="778">
        <v>94200</v>
      </c>
      <c r="L109" s="778">
        <v>101800</v>
      </c>
      <c r="M109" s="778">
        <v>109300</v>
      </c>
      <c r="N109" s="778">
        <v>116900</v>
      </c>
      <c r="O109" s="778">
        <v>124400</v>
      </c>
      <c r="P109" s="39"/>
      <c r="Q109" s="39"/>
    </row>
    <row r="110" spans="1:17">
      <c r="A110" s="38" t="s">
        <v>1274</v>
      </c>
      <c r="B110" s="781">
        <v>0.8</v>
      </c>
      <c r="C110" s="778">
        <v>1320</v>
      </c>
      <c r="D110" s="778">
        <v>1414</v>
      </c>
      <c r="E110" s="778">
        <v>1696</v>
      </c>
      <c r="F110" s="778">
        <v>1960</v>
      </c>
      <c r="G110" s="778">
        <v>2186</v>
      </c>
      <c r="H110" s="779">
        <v>52800</v>
      </c>
      <c r="I110" s="779">
        <v>60320</v>
      </c>
      <c r="J110" s="779">
        <v>67840</v>
      </c>
      <c r="K110" s="779">
        <v>75360</v>
      </c>
      <c r="L110" s="779">
        <v>81440</v>
      </c>
      <c r="M110" s="779">
        <v>87440</v>
      </c>
      <c r="N110" s="779">
        <v>93520</v>
      </c>
      <c r="O110" s="779">
        <v>99520</v>
      </c>
      <c r="P110" s="39"/>
      <c r="Q110" s="39"/>
    </row>
    <row r="111" spans="1:17">
      <c r="A111" s="38"/>
      <c r="B111" s="781">
        <v>0.7</v>
      </c>
      <c r="C111" s="778">
        <v>1155</v>
      </c>
      <c r="D111" s="778">
        <v>1237</v>
      </c>
      <c r="E111" s="778">
        <v>1484</v>
      </c>
      <c r="F111" s="778">
        <v>1715</v>
      </c>
      <c r="G111" s="778">
        <v>1912</v>
      </c>
      <c r="H111" s="779">
        <v>46200</v>
      </c>
      <c r="I111" s="779">
        <v>52780</v>
      </c>
      <c r="J111" s="779">
        <v>59359.999999999993</v>
      </c>
      <c r="K111" s="779">
        <v>65940</v>
      </c>
      <c r="L111" s="779">
        <v>71260</v>
      </c>
      <c r="M111" s="779">
        <v>76510</v>
      </c>
      <c r="N111" s="779">
        <v>81830</v>
      </c>
      <c r="O111" s="779">
        <v>87080</v>
      </c>
      <c r="P111" s="39"/>
      <c r="Q111" s="39"/>
    </row>
    <row r="112" spans="1:17">
      <c r="A112" s="38"/>
      <c r="B112" s="781">
        <v>0.6</v>
      </c>
      <c r="C112" s="778">
        <v>990</v>
      </c>
      <c r="D112" s="778">
        <v>1060</v>
      </c>
      <c r="E112" s="778">
        <v>1272</v>
      </c>
      <c r="F112" s="778">
        <v>1470</v>
      </c>
      <c r="G112" s="778">
        <v>1639</v>
      </c>
      <c r="H112" s="778">
        <v>39600</v>
      </c>
      <c r="I112" s="778">
        <v>45240</v>
      </c>
      <c r="J112" s="778">
        <v>50880</v>
      </c>
      <c r="K112" s="778">
        <v>56520</v>
      </c>
      <c r="L112" s="778">
        <v>61080</v>
      </c>
      <c r="M112" s="780">
        <v>65580</v>
      </c>
      <c r="N112" s="780">
        <v>70140</v>
      </c>
      <c r="O112" s="780">
        <v>74640</v>
      </c>
      <c r="P112" s="39"/>
      <c r="Q112" s="39"/>
    </row>
    <row r="113" spans="1:17">
      <c r="A113" s="38"/>
      <c r="B113" s="781">
        <v>0.55000000000000004</v>
      </c>
      <c r="C113" s="778">
        <v>907</v>
      </c>
      <c r="D113" s="778">
        <v>972</v>
      </c>
      <c r="E113" s="778">
        <v>1166</v>
      </c>
      <c r="F113" s="778">
        <v>1347</v>
      </c>
      <c r="G113" s="778">
        <v>1502</v>
      </c>
      <c r="H113" s="778">
        <v>36300</v>
      </c>
      <c r="I113" s="778">
        <v>41470</v>
      </c>
      <c r="J113" s="778">
        <v>46640.000000000007</v>
      </c>
      <c r="K113" s="778">
        <v>51810.000000000007</v>
      </c>
      <c r="L113" s="778">
        <v>55990.000000000007</v>
      </c>
      <c r="M113" s="778">
        <v>60115.000000000007</v>
      </c>
      <c r="N113" s="778">
        <v>64295.000000000007</v>
      </c>
      <c r="O113" s="778">
        <v>68420</v>
      </c>
      <c r="P113" s="39"/>
      <c r="Q113" s="39"/>
    </row>
    <row r="114" spans="1:17">
      <c r="A114" s="38"/>
      <c r="B114" s="781">
        <v>0.5</v>
      </c>
      <c r="C114" s="778">
        <v>825</v>
      </c>
      <c r="D114" s="778">
        <v>883</v>
      </c>
      <c r="E114" s="778">
        <v>1060</v>
      </c>
      <c r="F114" s="778">
        <v>1225</v>
      </c>
      <c r="G114" s="778">
        <v>1366</v>
      </c>
      <c r="H114" s="779">
        <v>33000</v>
      </c>
      <c r="I114" s="779">
        <v>37700</v>
      </c>
      <c r="J114" s="779">
        <v>42400</v>
      </c>
      <c r="K114" s="779">
        <v>47100</v>
      </c>
      <c r="L114" s="779">
        <v>50900</v>
      </c>
      <c r="M114" s="779">
        <v>54650</v>
      </c>
      <c r="N114" s="779">
        <v>58450</v>
      </c>
      <c r="O114" s="779">
        <v>62200</v>
      </c>
      <c r="P114" s="39"/>
      <c r="Q114" s="39"/>
    </row>
    <row r="115" spans="1:17">
      <c r="A115" s="38"/>
      <c r="B115" s="781">
        <v>0.45</v>
      </c>
      <c r="C115" s="778">
        <v>742</v>
      </c>
      <c r="D115" s="778">
        <v>795</v>
      </c>
      <c r="E115" s="778">
        <v>954</v>
      </c>
      <c r="F115" s="778">
        <v>1102</v>
      </c>
      <c r="G115" s="778">
        <v>1229</v>
      </c>
      <c r="H115" s="778">
        <v>29700</v>
      </c>
      <c r="I115" s="778">
        <v>33930</v>
      </c>
      <c r="J115" s="778">
        <v>38160</v>
      </c>
      <c r="K115" s="778">
        <v>42390</v>
      </c>
      <c r="L115" s="778">
        <v>45810</v>
      </c>
      <c r="M115" s="780">
        <v>49185</v>
      </c>
      <c r="N115" s="780">
        <v>52605</v>
      </c>
      <c r="O115" s="780">
        <v>55980</v>
      </c>
      <c r="P115" s="39"/>
      <c r="Q115" s="39"/>
    </row>
    <row r="116" spans="1:17">
      <c r="A116" s="38"/>
      <c r="B116" s="781">
        <v>0.4</v>
      </c>
      <c r="C116" s="778">
        <v>660</v>
      </c>
      <c r="D116" s="778">
        <v>707</v>
      </c>
      <c r="E116" s="778">
        <v>848</v>
      </c>
      <c r="F116" s="778">
        <v>980</v>
      </c>
      <c r="G116" s="778">
        <v>1093</v>
      </c>
      <c r="H116" s="778">
        <v>26400</v>
      </c>
      <c r="I116" s="778">
        <v>30160</v>
      </c>
      <c r="J116" s="778">
        <v>33920</v>
      </c>
      <c r="K116" s="778">
        <v>37680</v>
      </c>
      <c r="L116" s="778">
        <v>40720</v>
      </c>
      <c r="M116" s="780">
        <v>43720</v>
      </c>
      <c r="N116" s="780">
        <v>46760</v>
      </c>
      <c r="O116" s="780">
        <v>49760</v>
      </c>
      <c r="P116" s="39"/>
      <c r="Q116" s="39"/>
    </row>
    <row r="117" spans="1:17">
      <c r="A117" s="38"/>
      <c r="B117" s="522">
        <v>0.3</v>
      </c>
      <c r="C117" s="778">
        <v>495</v>
      </c>
      <c r="D117" s="778">
        <v>530</v>
      </c>
      <c r="E117" s="778">
        <v>636</v>
      </c>
      <c r="F117" s="778">
        <v>735</v>
      </c>
      <c r="G117" s="778">
        <v>819</v>
      </c>
      <c r="H117" s="779">
        <v>19800</v>
      </c>
      <c r="I117" s="779">
        <v>22620</v>
      </c>
      <c r="J117" s="779">
        <v>25440</v>
      </c>
      <c r="K117" s="779">
        <v>28260</v>
      </c>
      <c r="L117" s="779">
        <v>30540</v>
      </c>
      <c r="M117" s="779">
        <v>32790</v>
      </c>
      <c r="N117" s="779">
        <v>35070</v>
      </c>
      <c r="O117" s="779">
        <v>37320</v>
      </c>
      <c r="P117" s="39"/>
      <c r="Q117" s="39"/>
    </row>
    <row r="118" spans="1:17" ht="13.5" thickBot="1">
      <c r="A118" s="782"/>
      <c r="B118" s="40">
        <v>0.2</v>
      </c>
      <c r="C118" s="524">
        <v>330</v>
      </c>
      <c r="D118" s="524">
        <v>353</v>
      </c>
      <c r="E118" s="524">
        <v>424</v>
      </c>
      <c r="F118" s="524">
        <v>490</v>
      </c>
      <c r="G118" s="524">
        <v>546</v>
      </c>
      <c r="H118" s="525">
        <v>13200</v>
      </c>
      <c r="I118" s="525">
        <v>15080</v>
      </c>
      <c r="J118" s="525">
        <v>16960</v>
      </c>
      <c r="K118" s="525">
        <v>18840</v>
      </c>
      <c r="L118" s="525">
        <v>20360</v>
      </c>
      <c r="M118" s="525">
        <v>21860</v>
      </c>
      <c r="N118" s="525">
        <v>23380</v>
      </c>
      <c r="O118" s="525">
        <v>24880</v>
      </c>
      <c r="P118" s="41"/>
      <c r="Q118" s="41"/>
    </row>
    <row r="119" spans="1:17" ht="13.5" thickTop="1">
      <c r="A119" s="36"/>
      <c r="B119" s="37">
        <v>1.2</v>
      </c>
      <c r="C119" s="526">
        <v>2739</v>
      </c>
      <c r="D119" s="526">
        <v>2935</v>
      </c>
      <c r="E119" s="526">
        <v>3522</v>
      </c>
      <c r="F119" s="526">
        <v>4069</v>
      </c>
      <c r="G119" s="526">
        <v>4539</v>
      </c>
      <c r="H119" s="526">
        <v>109560</v>
      </c>
      <c r="I119" s="526">
        <v>125280</v>
      </c>
      <c r="J119" s="526">
        <v>140880</v>
      </c>
      <c r="K119" s="526">
        <v>156480</v>
      </c>
      <c r="L119" s="526">
        <v>169080</v>
      </c>
      <c r="M119" s="526">
        <v>181560</v>
      </c>
      <c r="N119" s="526">
        <v>194040</v>
      </c>
      <c r="O119" s="526">
        <v>206640</v>
      </c>
      <c r="P119" s="39"/>
      <c r="Q119" s="39"/>
    </row>
    <row r="120" spans="1:17">
      <c r="A120" s="38"/>
      <c r="B120" s="781">
        <v>1</v>
      </c>
      <c r="C120" s="778">
        <v>2282</v>
      </c>
      <c r="D120" s="778">
        <v>2446</v>
      </c>
      <c r="E120" s="778">
        <v>2935</v>
      </c>
      <c r="F120" s="778">
        <v>3391</v>
      </c>
      <c r="G120" s="778">
        <v>3782</v>
      </c>
      <c r="H120" s="778">
        <v>91300</v>
      </c>
      <c r="I120" s="778">
        <v>104400</v>
      </c>
      <c r="J120" s="778">
        <v>117400</v>
      </c>
      <c r="K120" s="778">
        <v>130400</v>
      </c>
      <c r="L120" s="778">
        <v>140900</v>
      </c>
      <c r="M120" s="778">
        <v>151300</v>
      </c>
      <c r="N120" s="778">
        <v>161700</v>
      </c>
      <c r="O120" s="778">
        <v>172200</v>
      </c>
      <c r="P120" s="39"/>
      <c r="Q120" s="39"/>
    </row>
    <row r="121" spans="1:17">
      <c r="A121" s="38" t="s">
        <v>1275</v>
      </c>
      <c r="B121" s="781">
        <v>0.8</v>
      </c>
      <c r="C121" s="778">
        <v>1826</v>
      </c>
      <c r="D121" s="778">
        <v>1957</v>
      </c>
      <c r="E121" s="778">
        <v>2348</v>
      </c>
      <c r="F121" s="778">
        <v>2713</v>
      </c>
      <c r="G121" s="778">
        <v>3026</v>
      </c>
      <c r="H121" s="779">
        <v>73040</v>
      </c>
      <c r="I121" s="779">
        <v>83520</v>
      </c>
      <c r="J121" s="779">
        <v>93920</v>
      </c>
      <c r="K121" s="779">
        <v>104320</v>
      </c>
      <c r="L121" s="779">
        <v>112720</v>
      </c>
      <c r="M121" s="779">
        <v>121040</v>
      </c>
      <c r="N121" s="779">
        <v>129360</v>
      </c>
      <c r="O121" s="779">
        <v>137760</v>
      </c>
      <c r="P121" s="39"/>
      <c r="Q121" s="39"/>
    </row>
    <row r="122" spans="1:17">
      <c r="A122" s="38"/>
      <c r="B122" s="781">
        <v>0.7</v>
      </c>
      <c r="C122" s="778">
        <v>1597</v>
      </c>
      <c r="D122" s="778">
        <v>1712</v>
      </c>
      <c r="E122" s="778">
        <v>2054</v>
      </c>
      <c r="F122" s="778">
        <v>2373</v>
      </c>
      <c r="G122" s="778">
        <v>2647</v>
      </c>
      <c r="H122" s="779">
        <v>63909.999999999993</v>
      </c>
      <c r="I122" s="779">
        <v>73080</v>
      </c>
      <c r="J122" s="779">
        <v>82180</v>
      </c>
      <c r="K122" s="779">
        <v>91280</v>
      </c>
      <c r="L122" s="779">
        <v>98630</v>
      </c>
      <c r="M122" s="779">
        <v>105910</v>
      </c>
      <c r="N122" s="779">
        <v>113190</v>
      </c>
      <c r="O122" s="779">
        <v>120539.99999999999</v>
      </c>
      <c r="P122" s="39"/>
      <c r="Q122" s="39"/>
    </row>
    <row r="123" spans="1:17">
      <c r="A123" s="38"/>
      <c r="B123" s="781">
        <v>0.6</v>
      </c>
      <c r="C123" s="778">
        <v>1369</v>
      </c>
      <c r="D123" s="778">
        <v>1467</v>
      </c>
      <c r="E123" s="778">
        <v>1761</v>
      </c>
      <c r="F123" s="778">
        <v>2034</v>
      </c>
      <c r="G123" s="778">
        <v>2269</v>
      </c>
      <c r="H123" s="778">
        <v>54780</v>
      </c>
      <c r="I123" s="778">
        <v>62640</v>
      </c>
      <c r="J123" s="778">
        <v>70440</v>
      </c>
      <c r="K123" s="778">
        <v>78240</v>
      </c>
      <c r="L123" s="778">
        <v>84540</v>
      </c>
      <c r="M123" s="780">
        <v>90780</v>
      </c>
      <c r="N123" s="780">
        <v>97020</v>
      </c>
      <c r="O123" s="780">
        <v>103320</v>
      </c>
      <c r="P123" s="39"/>
      <c r="Q123" s="39"/>
    </row>
    <row r="124" spans="1:17">
      <c r="A124" s="38"/>
      <c r="B124" s="781">
        <v>0.55000000000000004</v>
      </c>
      <c r="C124" s="778">
        <v>1255</v>
      </c>
      <c r="D124" s="778">
        <v>1345</v>
      </c>
      <c r="E124" s="778">
        <v>1614</v>
      </c>
      <c r="F124" s="778">
        <v>1865</v>
      </c>
      <c r="G124" s="778">
        <v>2080</v>
      </c>
      <c r="H124" s="778">
        <v>50215.000000000007</v>
      </c>
      <c r="I124" s="778">
        <v>57420.000000000007</v>
      </c>
      <c r="J124" s="778">
        <v>64570.000000000007</v>
      </c>
      <c r="K124" s="778">
        <v>71720</v>
      </c>
      <c r="L124" s="778">
        <v>77495</v>
      </c>
      <c r="M124" s="778">
        <v>83215</v>
      </c>
      <c r="N124" s="778">
        <v>88935</v>
      </c>
      <c r="O124" s="778">
        <v>94710.000000000015</v>
      </c>
      <c r="P124" s="39"/>
      <c r="Q124" s="39"/>
    </row>
    <row r="125" spans="1:17">
      <c r="A125" s="38"/>
      <c r="B125" s="781">
        <v>0.5</v>
      </c>
      <c r="C125" s="778">
        <v>1141</v>
      </c>
      <c r="D125" s="778">
        <v>1223</v>
      </c>
      <c r="E125" s="778">
        <v>1467</v>
      </c>
      <c r="F125" s="778">
        <v>1695</v>
      </c>
      <c r="G125" s="778">
        <v>1891</v>
      </c>
      <c r="H125" s="779">
        <v>45650</v>
      </c>
      <c r="I125" s="779">
        <v>52200</v>
      </c>
      <c r="J125" s="779">
        <v>58700</v>
      </c>
      <c r="K125" s="779">
        <v>65200</v>
      </c>
      <c r="L125" s="779">
        <v>70450</v>
      </c>
      <c r="M125" s="779">
        <v>75650</v>
      </c>
      <c r="N125" s="779">
        <v>80850</v>
      </c>
      <c r="O125" s="779">
        <v>86100</v>
      </c>
      <c r="P125" s="39"/>
      <c r="Q125" s="39"/>
    </row>
    <row r="126" spans="1:17">
      <c r="A126" s="38"/>
      <c r="B126" s="781">
        <v>0.45</v>
      </c>
      <c r="C126" s="778">
        <v>1027</v>
      </c>
      <c r="D126" s="778">
        <v>1100</v>
      </c>
      <c r="E126" s="778">
        <v>1320</v>
      </c>
      <c r="F126" s="778">
        <v>1526</v>
      </c>
      <c r="G126" s="778">
        <v>1702</v>
      </c>
      <c r="H126" s="778">
        <v>41085</v>
      </c>
      <c r="I126" s="778">
        <v>46980</v>
      </c>
      <c r="J126" s="778">
        <v>52830</v>
      </c>
      <c r="K126" s="778">
        <v>58680</v>
      </c>
      <c r="L126" s="778">
        <v>63405</v>
      </c>
      <c r="M126" s="780">
        <v>68085</v>
      </c>
      <c r="N126" s="780">
        <v>72765</v>
      </c>
      <c r="O126" s="780">
        <v>77490</v>
      </c>
      <c r="P126" s="39"/>
      <c r="Q126" s="39"/>
    </row>
    <row r="127" spans="1:17">
      <c r="A127" s="38"/>
      <c r="B127" s="781">
        <v>0.4</v>
      </c>
      <c r="C127" s="778">
        <v>913</v>
      </c>
      <c r="D127" s="778">
        <v>978</v>
      </c>
      <c r="E127" s="778">
        <v>1174</v>
      </c>
      <c r="F127" s="778">
        <v>1356</v>
      </c>
      <c r="G127" s="778">
        <v>1513</v>
      </c>
      <c r="H127" s="778">
        <v>36520</v>
      </c>
      <c r="I127" s="778">
        <v>41760</v>
      </c>
      <c r="J127" s="778">
        <v>46960</v>
      </c>
      <c r="K127" s="778">
        <v>52160</v>
      </c>
      <c r="L127" s="778">
        <v>56360</v>
      </c>
      <c r="M127" s="780">
        <v>60520</v>
      </c>
      <c r="N127" s="780">
        <v>64680</v>
      </c>
      <c r="O127" s="780">
        <v>68880</v>
      </c>
      <c r="P127" s="39"/>
      <c r="Q127" s="39"/>
    </row>
    <row r="128" spans="1:17">
      <c r="A128" s="38"/>
      <c r="B128" s="522">
        <v>0.3</v>
      </c>
      <c r="C128" s="778">
        <v>684</v>
      </c>
      <c r="D128" s="778">
        <v>733</v>
      </c>
      <c r="E128" s="778">
        <v>880</v>
      </c>
      <c r="F128" s="778">
        <v>1017</v>
      </c>
      <c r="G128" s="778">
        <v>1134</v>
      </c>
      <c r="H128" s="779">
        <v>27390</v>
      </c>
      <c r="I128" s="779">
        <v>31320</v>
      </c>
      <c r="J128" s="779">
        <v>35220</v>
      </c>
      <c r="K128" s="779">
        <v>39120</v>
      </c>
      <c r="L128" s="779">
        <v>42270</v>
      </c>
      <c r="M128" s="779">
        <v>45390</v>
      </c>
      <c r="N128" s="779">
        <v>48510</v>
      </c>
      <c r="O128" s="779">
        <v>51660</v>
      </c>
      <c r="P128" s="39"/>
      <c r="Q128" s="39"/>
    </row>
    <row r="129" spans="1:17" ht="13.5" thickBot="1">
      <c r="A129" s="782"/>
      <c r="B129" s="40">
        <v>0.2</v>
      </c>
      <c r="C129" s="524">
        <v>456</v>
      </c>
      <c r="D129" s="524">
        <v>489</v>
      </c>
      <c r="E129" s="524">
        <v>587</v>
      </c>
      <c r="F129" s="524">
        <v>678</v>
      </c>
      <c r="G129" s="524">
        <v>756</v>
      </c>
      <c r="H129" s="525">
        <v>18260</v>
      </c>
      <c r="I129" s="525">
        <v>20880</v>
      </c>
      <c r="J129" s="525">
        <v>23480</v>
      </c>
      <c r="K129" s="525">
        <v>26080</v>
      </c>
      <c r="L129" s="525">
        <v>28180</v>
      </c>
      <c r="M129" s="525">
        <v>30260</v>
      </c>
      <c r="N129" s="525">
        <v>32340</v>
      </c>
      <c r="O129" s="525">
        <v>34440</v>
      </c>
      <c r="P129" s="41"/>
      <c r="Q129" s="41"/>
    </row>
    <row r="130" spans="1:17" ht="13.5" thickTop="1">
      <c r="A130" s="36"/>
      <c r="B130" s="37">
        <v>1.2</v>
      </c>
      <c r="C130" s="526">
        <v>1980</v>
      </c>
      <c r="D130" s="526">
        <v>2121</v>
      </c>
      <c r="E130" s="526">
        <v>2544</v>
      </c>
      <c r="F130" s="526">
        <v>2940</v>
      </c>
      <c r="G130" s="526">
        <v>3279</v>
      </c>
      <c r="H130" s="526">
        <v>79200</v>
      </c>
      <c r="I130" s="526">
        <v>90480</v>
      </c>
      <c r="J130" s="526">
        <v>101760</v>
      </c>
      <c r="K130" s="526">
        <v>113040</v>
      </c>
      <c r="L130" s="526">
        <v>122160</v>
      </c>
      <c r="M130" s="526">
        <v>131160</v>
      </c>
      <c r="N130" s="526">
        <v>140280</v>
      </c>
      <c r="O130" s="526">
        <v>149280</v>
      </c>
      <c r="P130" s="41"/>
      <c r="Q130" s="41"/>
    </row>
    <row r="131" spans="1:17">
      <c r="A131" s="38"/>
      <c r="B131" s="781">
        <v>1</v>
      </c>
      <c r="C131" s="778">
        <v>1650</v>
      </c>
      <c r="D131" s="778">
        <v>1767</v>
      </c>
      <c r="E131" s="778">
        <v>2120</v>
      </c>
      <c r="F131" s="778">
        <v>2450</v>
      </c>
      <c r="G131" s="778">
        <v>2732</v>
      </c>
      <c r="H131" s="778">
        <v>66000</v>
      </c>
      <c r="I131" s="778">
        <v>75400</v>
      </c>
      <c r="J131" s="778">
        <v>84800</v>
      </c>
      <c r="K131" s="778">
        <v>94200</v>
      </c>
      <c r="L131" s="778">
        <v>101800</v>
      </c>
      <c r="M131" s="778">
        <v>109300</v>
      </c>
      <c r="N131" s="778">
        <v>116900</v>
      </c>
      <c r="O131" s="778">
        <v>124400</v>
      </c>
      <c r="P131" s="41"/>
      <c r="Q131" s="41"/>
    </row>
    <row r="132" spans="1:17">
      <c r="A132" s="38" t="s">
        <v>1276</v>
      </c>
      <c r="B132" s="781">
        <v>0.8</v>
      </c>
      <c r="C132" s="778">
        <v>1320</v>
      </c>
      <c r="D132" s="778">
        <v>1414</v>
      </c>
      <c r="E132" s="778">
        <v>1696</v>
      </c>
      <c r="F132" s="778">
        <v>1960</v>
      </c>
      <c r="G132" s="778">
        <v>2186</v>
      </c>
      <c r="H132" s="779">
        <v>52800</v>
      </c>
      <c r="I132" s="779">
        <v>60320</v>
      </c>
      <c r="J132" s="779">
        <v>67840</v>
      </c>
      <c r="K132" s="779">
        <v>75360</v>
      </c>
      <c r="L132" s="779">
        <v>81440</v>
      </c>
      <c r="M132" s="779">
        <v>87440</v>
      </c>
      <c r="N132" s="779">
        <v>93520</v>
      </c>
      <c r="O132" s="779">
        <v>99520</v>
      </c>
      <c r="P132" s="41"/>
      <c r="Q132" s="41"/>
    </row>
    <row r="133" spans="1:17">
      <c r="A133" s="38"/>
      <c r="B133" s="781">
        <v>0.7</v>
      </c>
      <c r="C133" s="778">
        <v>1155</v>
      </c>
      <c r="D133" s="778">
        <v>1237</v>
      </c>
      <c r="E133" s="778">
        <v>1484</v>
      </c>
      <c r="F133" s="778">
        <v>1715</v>
      </c>
      <c r="G133" s="778">
        <v>1912</v>
      </c>
      <c r="H133" s="779">
        <v>46200</v>
      </c>
      <c r="I133" s="779">
        <v>52780</v>
      </c>
      <c r="J133" s="779">
        <v>59359.999999999993</v>
      </c>
      <c r="K133" s="779">
        <v>65940</v>
      </c>
      <c r="L133" s="779">
        <v>71260</v>
      </c>
      <c r="M133" s="779">
        <v>76510</v>
      </c>
      <c r="N133" s="779">
        <v>81830</v>
      </c>
      <c r="O133" s="779">
        <v>87080</v>
      </c>
      <c r="P133" s="41"/>
      <c r="Q133" s="41"/>
    </row>
    <row r="134" spans="1:17">
      <c r="A134" s="38"/>
      <c r="B134" s="781">
        <v>0.6</v>
      </c>
      <c r="C134" s="778">
        <v>990</v>
      </c>
      <c r="D134" s="778">
        <v>1060</v>
      </c>
      <c r="E134" s="778">
        <v>1272</v>
      </c>
      <c r="F134" s="778">
        <v>1470</v>
      </c>
      <c r="G134" s="778">
        <v>1639</v>
      </c>
      <c r="H134" s="778">
        <v>39600</v>
      </c>
      <c r="I134" s="778">
        <v>45240</v>
      </c>
      <c r="J134" s="778">
        <v>50880</v>
      </c>
      <c r="K134" s="778">
        <v>56520</v>
      </c>
      <c r="L134" s="778">
        <v>61080</v>
      </c>
      <c r="M134" s="780">
        <v>65580</v>
      </c>
      <c r="N134" s="780">
        <v>70140</v>
      </c>
      <c r="O134" s="780">
        <v>74640</v>
      </c>
      <c r="P134" s="41"/>
      <c r="Q134" s="41"/>
    </row>
    <row r="135" spans="1:17">
      <c r="A135" s="38"/>
      <c r="B135" s="781">
        <v>0.55000000000000004</v>
      </c>
      <c r="C135" s="778">
        <v>907</v>
      </c>
      <c r="D135" s="778">
        <v>972</v>
      </c>
      <c r="E135" s="778">
        <v>1166</v>
      </c>
      <c r="F135" s="778">
        <v>1347</v>
      </c>
      <c r="G135" s="778">
        <v>1502</v>
      </c>
      <c r="H135" s="778">
        <v>36300</v>
      </c>
      <c r="I135" s="778">
        <v>41470</v>
      </c>
      <c r="J135" s="778">
        <v>46640.000000000007</v>
      </c>
      <c r="K135" s="778">
        <v>51810.000000000007</v>
      </c>
      <c r="L135" s="778">
        <v>55990.000000000007</v>
      </c>
      <c r="M135" s="778">
        <v>60115.000000000007</v>
      </c>
      <c r="N135" s="778">
        <v>64295.000000000007</v>
      </c>
      <c r="O135" s="778">
        <v>68420</v>
      </c>
      <c r="P135" s="41"/>
      <c r="Q135" s="41"/>
    </row>
    <row r="136" spans="1:17">
      <c r="A136" s="38"/>
      <c r="B136" s="781">
        <v>0.5</v>
      </c>
      <c r="C136" s="778">
        <v>825</v>
      </c>
      <c r="D136" s="778">
        <v>883</v>
      </c>
      <c r="E136" s="778">
        <v>1060</v>
      </c>
      <c r="F136" s="778">
        <v>1225</v>
      </c>
      <c r="G136" s="778">
        <v>1366</v>
      </c>
      <c r="H136" s="779">
        <v>33000</v>
      </c>
      <c r="I136" s="779">
        <v>37700</v>
      </c>
      <c r="J136" s="779">
        <v>42400</v>
      </c>
      <c r="K136" s="779">
        <v>47100</v>
      </c>
      <c r="L136" s="779">
        <v>50900</v>
      </c>
      <c r="M136" s="779">
        <v>54650</v>
      </c>
      <c r="N136" s="779">
        <v>58450</v>
      </c>
      <c r="O136" s="779">
        <v>62200</v>
      </c>
      <c r="P136" s="41"/>
      <c r="Q136" s="41"/>
    </row>
    <row r="137" spans="1:17">
      <c r="A137" s="38"/>
      <c r="B137" s="781">
        <v>0.45</v>
      </c>
      <c r="C137" s="778">
        <v>742</v>
      </c>
      <c r="D137" s="778">
        <v>795</v>
      </c>
      <c r="E137" s="778">
        <v>954</v>
      </c>
      <c r="F137" s="778">
        <v>1102</v>
      </c>
      <c r="G137" s="778">
        <v>1229</v>
      </c>
      <c r="H137" s="778">
        <v>29700</v>
      </c>
      <c r="I137" s="778">
        <v>33930</v>
      </c>
      <c r="J137" s="778">
        <v>38160</v>
      </c>
      <c r="K137" s="778">
        <v>42390</v>
      </c>
      <c r="L137" s="778">
        <v>45810</v>
      </c>
      <c r="M137" s="780">
        <v>49185</v>
      </c>
      <c r="N137" s="780">
        <v>52605</v>
      </c>
      <c r="O137" s="780">
        <v>55980</v>
      </c>
      <c r="P137" s="41"/>
      <c r="Q137" s="41"/>
    </row>
    <row r="138" spans="1:17">
      <c r="A138" s="38"/>
      <c r="B138" s="781">
        <v>0.4</v>
      </c>
      <c r="C138" s="778">
        <v>660</v>
      </c>
      <c r="D138" s="778">
        <v>707</v>
      </c>
      <c r="E138" s="778">
        <v>848</v>
      </c>
      <c r="F138" s="778">
        <v>980</v>
      </c>
      <c r="G138" s="778">
        <v>1093</v>
      </c>
      <c r="H138" s="778">
        <v>26400</v>
      </c>
      <c r="I138" s="778">
        <v>30160</v>
      </c>
      <c r="J138" s="778">
        <v>33920</v>
      </c>
      <c r="K138" s="778">
        <v>37680</v>
      </c>
      <c r="L138" s="778">
        <v>40720</v>
      </c>
      <c r="M138" s="780">
        <v>43720</v>
      </c>
      <c r="N138" s="780">
        <v>46760</v>
      </c>
      <c r="O138" s="780">
        <v>49760</v>
      </c>
      <c r="P138" s="41"/>
      <c r="Q138" s="41"/>
    </row>
    <row r="139" spans="1:17">
      <c r="A139" s="38"/>
      <c r="B139" s="522">
        <v>0.3</v>
      </c>
      <c r="C139" s="778">
        <v>495</v>
      </c>
      <c r="D139" s="778">
        <v>530</v>
      </c>
      <c r="E139" s="778">
        <v>636</v>
      </c>
      <c r="F139" s="778">
        <v>735</v>
      </c>
      <c r="G139" s="778">
        <v>819</v>
      </c>
      <c r="H139" s="779">
        <v>19800</v>
      </c>
      <c r="I139" s="779">
        <v>22620</v>
      </c>
      <c r="J139" s="779">
        <v>25440</v>
      </c>
      <c r="K139" s="779">
        <v>28260</v>
      </c>
      <c r="L139" s="779">
        <v>30540</v>
      </c>
      <c r="M139" s="779">
        <v>32790</v>
      </c>
      <c r="N139" s="779">
        <v>35070</v>
      </c>
      <c r="O139" s="779">
        <v>37320</v>
      </c>
      <c r="P139" s="41"/>
      <c r="Q139" s="41"/>
    </row>
    <row r="140" spans="1:17" ht="13.5" thickBot="1">
      <c r="A140" s="782"/>
      <c r="B140" s="40">
        <v>0.2</v>
      </c>
      <c r="C140" s="524">
        <v>330</v>
      </c>
      <c r="D140" s="524">
        <v>353</v>
      </c>
      <c r="E140" s="524">
        <v>424</v>
      </c>
      <c r="F140" s="524">
        <v>490</v>
      </c>
      <c r="G140" s="524">
        <v>546</v>
      </c>
      <c r="H140" s="525">
        <v>13200</v>
      </c>
      <c r="I140" s="525">
        <v>15080</v>
      </c>
      <c r="J140" s="525">
        <v>16960</v>
      </c>
      <c r="K140" s="525">
        <v>18840</v>
      </c>
      <c r="L140" s="525">
        <v>20360</v>
      </c>
      <c r="M140" s="525">
        <v>21860</v>
      </c>
      <c r="N140" s="525">
        <v>23380</v>
      </c>
      <c r="O140" s="525">
        <v>24880</v>
      </c>
      <c r="P140" s="41"/>
      <c r="Q140" s="41"/>
    </row>
    <row r="141" spans="1:17" ht="13.5" thickTop="1">
      <c r="A141" s="36"/>
      <c r="B141" s="37">
        <v>1.2</v>
      </c>
      <c r="C141" s="526">
        <v>1980</v>
      </c>
      <c r="D141" s="526">
        <v>2121</v>
      </c>
      <c r="E141" s="526">
        <v>2544</v>
      </c>
      <c r="F141" s="526">
        <v>2940</v>
      </c>
      <c r="G141" s="526">
        <v>3279</v>
      </c>
      <c r="H141" s="526">
        <v>79200</v>
      </c>
      <c r="I141" s="526">
        <v>90480</v>
      </c>
      <c r="J141" s="526">
        <v>101760</v>
      </c>
      <c r="K141" s="526">
        <v>113040</v>
      </c>
      <c r="L141" s="526">
        <v>122160</v>
      </c>
      <c r="M141" s="526">
        <v>131160</v>
      </c>
      <c r="N141" s="526">
        <v>140280</v>
      </c>
      <c r="O141" s="526">
        <v>149280</v>
      </c>
      <c r="P141" s="41"/>
      <c r="Q141" s="41"/>
    </row>
    <row r="142" spans="1:17">
      <c r="A142" s="38"/>
      <c r="B142" s="781">
        <v>1</v>
      </c>
      <c r="C142" s="778">
        <v>1650</v>
      </c>
      <c r="D142" s="778">
        <v>1767</v>
      </c>
      <c r="E142" s="778">
        <v>2120</v>
      </c>
      <c r="F142" s="778">
        <v>2450</v>
      </c>
      <c r="G142" s="778">
        <v>2732</v>
      </c>
      <c r="H142" s="778">
        <v>66000</v>
      </c>
      <c r="I142" s="778">
        <v>75400</v>
      </c>
      <c r="J142" s="778">
        <v>84800</v>
      </c>
      <c r="K142" s="778">
        <v>94200</v>
      </c>
      <c r="L142" s="778">
        <v>101800</v>
      </c>
      <c r="M142" s="778">
        <v>109300</v>
      </c>
      <c r="N142" s="778">
        <v>116900</v>
      </c>
      <c r="O142" s="778">
        <v>124400</v>
      </c>
      <c r="P142" s="41"/>
      <c r="Q142" s="41"/>
    </row>
    <row r="143" spans="1:17">
      <c r="A143" s="38" t="s">
        <v>1277</v>
      </c>
      <c r="B143" s="781">
        <v>0.8</v>
      </c>
      <c r="C143" s="778">
        <v>1320</v>
      </c>
      <c r="D143" s="778">
        <v>1414</v>
      </c>
      <c r="E143" s="778">
        <v>1696</v>
      </c>
      <c r="F143" s="778">
        <v>1960</v>
      </c>
      <c r="G143" s="778">
        <v>2186</v>
      </c>
      <c r="H143" s="779">
        <v>52800</v>
      </c>
      <c r="I143" s="779">
        <v>60320</v>
      </c>
      <c r="J143" s="779">
        <v>67840</v>
      </c>
      <c r="K143" s="779">
        <v>75360</v>
      </c>
      <c r="L143" s="779">
        <v>81440</v>
      </c>
      <c r="M143" s="779">
        <v>87440</v>
      </c>
      <c r="N143" s="779">
        <v>93520</v>
      </c>
      <c r="O143" s="779">
        <v>99520</v>
      </c>
      <c r="P143" s="41"/>
      <c r="Q143" s="41"/>
    </row>
    <row r="144" spans="1:17">
      <c r="A144" s="38"/>
      <c r="B144" s="781">
        <v>0.7</v>
      </c>
      <c r="C144" s="778">
        <v>1155</v>
      </c>
      <c r="D144" s="778">
        <v>1237</v>
      </c>
      <c r="E144" s="778">
        <v>1484</v>
      </c>
      <c r="F144" s="778">
        <v>1715</v>
      </c>
      <c r="G144" s="778">
        <v>1912</v>
      </c>
      <c r="H144" s="779">
        <v>46200</v>
      </c>
      <c r="I144" s="779">
        <v>52780</v>
      </c>
      <c r="J144" s="779">
        <v>59359.999999999993</v>
      </c>
      <c r="K144" s="779">
        <v>65940</v>
      </c>
      <c r="L144" s="779">
        <v>71260</v>
      </c>
      <c r="M144" s="779">
        <v>76510</v>
      </c>
      <c r="N144" s="779">
        <v>81830</v>
      </c>
      <c r="O144" s="779">
        <v>87080</v>
      </c>
      <c r="P144" s="41"/>
      <c r="Q144" s="41"/>
    </row>
    <row r="145" spans="1:17">
      <c r="A145" s="38"/>
      <c r="B145" s="781">
        <v>0.6</v>
      </c>
      <c r="C145" s="778">
        <v>990</v>
      </c>
      <c r="D145" s="778">
        <v>1060</v>
      </c>
      <c r="E145" s="778">
        <v>1272</v>
      </c>
      <c r="F145" s="778">
        <v>1470</v>
      </c>
      <c r="G145" s="778">
        <v>1639</v>
      </c>
      <c r="H145" s="778">
        <v>39600</v>
      </c>
      <c r="I145" s="778">
        <v>45240</v>
      </c>
      <c r="J145" s="778">
        <v>50880</v>
      </c>
      <c r="K145" s="778">
        <v>56520</v>
      </c>
      <c r="L145" s="778">
        <v>61080</v>
      </c>
      <c r="M145" s="780">
        <v>65580</v>
      </c>
      <c r="N145" s="780">
        <v>70140</v>
      </c>
      <c r="O145" s="780">
        <v>74640</v>
      </c>
      <c r="P145" s="41"/>
      <c r="Q145" s="41"/>
    </row>
    <row r="146" spans="1:17">
      <c r="A146" s="38"/>
      <c r="B146" s="781">
        <v>0.55000000000000004</v>
      </c>
      <c r="C146" s="778">
        <v>907</v>
      </c>
      <c r="D146" s="778">
        <v>972</v>
      </c>
      <c r="E146" s="778">
        <v>1166</v>
      </c>
      <c r="F146" s="778">
        <v>1347</v>
      </c>
      <c r="G146" s="778">
        <v>1502</v>
      </c>
      <c r="H146" s="778">
        <v>36300</v>
      </c>
      <c r="I146" s="778">
        <v>41470</v>
      </c>
      <c r="J146" s="778">
        <v>46640.000000000007</v>
      </c>
      <c r="K146" s="778">
        <v>51810.000000000007</v>
      </c>
      <c r="L146" s="778">
        <v>55990.000000000007</v>
      </c>
      <c r="M146" s="778">
        <v>60115.000000000007</v>
      </c>
      <c r="N146" s="778">
        <v>64295.000000000007</v>
      </c>
      <c r="O146" s="778">
        <v>68420</v>
      </c>
      <c r="P146" s="41"/>
      <c r="Q146" s="41"/>
    </row>
    <row r="147" spans="1:17">
      <c r="A147" s="38"/>
      <c r="B147" s="781">
        <v>0.5</v>
      </c>
      <c r="C147" s="778">
        <v>825</v>
      </c>
      <c r="D147" s="778">
        <v>883</v>
      </c>
      <c r="E147" s="778">
        <v>1060</v>
      </c>
      <c r="F147" s="778">
        <v>1225</v>
      </c>
      <c r="G147" s="778">
        <v>1366</v>
      </c>
      <c r="H147" s="779">
        <v>33000</v>
      </c>
      <c r="I147" s="779">
        <v>37700</v>
      </c>
      <c r="J147" s="779">
        <v>42400</v>
      </c>
      <c r="K147" s="779">
        <v>47100</v>
      </c>
      <c r="L147" s="779">
        <v>50900</v>
      </c>
      <c r="M147" s="779">
        <v>54650</v>
      </c>
      <c r="N147" s="779">
        <v>58450</v>
      </c>
      <c r="O147" s="779">
        <v>62200</v>
      </c>
      <c r="P147" s="41"/>
      <c r="Q147" s="41"/>
    </row>
    <row r="148" spans="1:17">
      <c r="A148" s="38"/>
      <c r="B148" s="781">
        <v>0.45</v>
      </c>
      <c r="C148" s="778">
        <v>742</v>
      </c>
      <c r="D148" s="778">
        <v>795</v>
      </c>
      <c r="E148" s="778">
        <v>954</v>
      </c>
      <c r="F148" s="778">
        <v>1102</v>
      </c>
      <c r="G148" s="778">
        <v>1229</v>
      </c>
      <c r="H148" s="778">
        <v>29700</v>
      </c>
      <c r="I148" s="778">
        <v>33930</v>
      </c>
      <c r="J148" s="778">
        <v>38160</v>
      </c>
      <c r="K148" s="778">
        <v>42390</v>
      </c>
      <c r="L148" s="778">
        <v>45810</v>
      </c>
      <c r="M148" s="780">
        <v>49185</v>
      </c>
      <c r="N148" s="780">
        <v>52605</v>
      </c>
      <c r="O148" s="780">
        <v>55980</v>
      </c>
      <c r="P148" s="41"/>
      <c r="Q148" s="41"/>
    </row>
    <row r="149" spans="1:17">
      <c r="A149" s="38"/>
      <c r="B149" s="781">
        <v>0.4</v>
      </c>
      <c r="C149" s="778">
        <v>660</v>
      </c>
      <c r="D149" s="778">
        <v>707</v>
      </c>
      <c r="E149" s="778">
        <v>848</v>
      </c>
      <c r="F149" s="778">
        <v>980</v>
      </c>
      <c r="G149" s="778">
        <v>1093</v>
      </c>
      <c r="H149" s="778">
        <v>26400</v>
      </c>
      <c r="I149" s="778">
        <v>30160</v>
      </c>
      <c r="J149" s="778">
        <v>33920</v>
      </c>
      <c r="K149" s="778">
        <v>37680</v>
      </c>
      <c r="L149" s="778">
        <v>40720</v>
      </c>
      <c r="M149" s="780">
        <v>43720</v>
      </c>
      <c r="N149" s="780">
        <v>46760</v>
      </c>
      <c r="O149" s="780">
        <v>49760</v>
      </c>
      <c r="P149" s="41"/>
      <c r="Q149" s="41"/>
    </row>
    <row r="150" spans="1:17">
      <c r="A150" s="38"/>
      <c r="B150" s="522">
        <v>0.3</v>
      </c>
      <c r="C150" s="778">
        <v>495</v>
      </c>
      <c r="D150" s="778">
        <v>530</v>
      </c>
      <c r="E150" s="778">
        <v>636</v>
      </c>
      <c r="F150" s="778">
        <v>735</v>
      </c>
      <c r="G150" s="778">
        <v>819</v>
      </c>
      <c r="H150" s="779">
        <v>19800</v>
      </c>
      <c r="I150" s="779">
        <v>22620</v>
      </c>
      <c r="J150" s="779">
        <v>25440</v>
      </c>
      <c r="K150" s="779">
        <v>28260</v>
      </c>
      <c r="L150" s="779">
        <v>30540</v>
      </c>
      <c r="M150" s="779">
        <v>32790</v>
      </c>
      <c r="N150" s="779">
        <v>35070</v>
      </c>
      <c r="O150" s="779">
        <v>37320</v>
      </c>
      <c r="P150" s="41"/>
      <c r="Q150" s="41"/>
    </row>
    <row r="151" spans="1:17" ht="13.5" thickBot="1">
      <c r="A151" s="782"/>
      <c r="B151" s="40">
        <v>0.2</v>
      </c>
      <c r="C151" s="524">
        <v>330</v>
      </c>
      <c r="D151" s="524">
        <v>353</v>
      </c>
      <c r="E151" s="524">
        <v>424</v>
      </c>
      <c r="F151" s="524">
        <v>490</v>
      </c>
      <c r="G151" s="524">
        <v>546</v>
      </c>
      <c r="H151" s="525">
        <v>13200</v>
      </c>
      <c r="I151" s="525">
        <v>15080</v>
      </c>
      <c r="J151" s="525">
        <v>16960</v>
      </c>
      <c r="K151" s="525">
        <v>18840</v>
      </c>
      <c r="L151" s="525">
        <v>20360</v>
      </c>
      <c r="M151" s="525">
        <v>21860</v>
      </c>
      <c r="N151" s="525">
        <v>23380</v>
      </c>
      <c r="O151" s="525">
        <v>24880</v>
      </c>
      <c r="P151" s="41"/>
      <c r="Q151" s="41"/>
    </row>
    <row r="152" spans="1:17" ht="13.5" thickTop="1">
      <c r="A152" s="38"/>
      <c r="B152" s="37">
        <v>1.2</v>
      </c>
      <c r="C152" s="526">
        <v>1980</v>
      </c>
      <c r="D152" s="526">
        <v>2121</v>
      </c>
      <c r="E152" s="526">
        <v>2544</v>
      </c>
      <c r="F152" s="526">
        <v>2940</v>
      </c>
      <c r="G152" s="526">
        <v>3279</v>
      </c>
      <c r="H152" s="526">
        <v>79200</v>
      </c>
      <c r="I152" s="526">
        <v>90480</v>
      </c>
      <c r="J152" s="526">
        <v>101760</v>
      </c>
      <c r="K152" s="526">
        <v>113040</v>
      </c>
      <c r="L152" s="526">
        <v>122160</v>
      </c>
      <c r="M152" s="526">
        <v>131160</v>
      </c>
      <c r="N152" s="526">
        <v>140280</v>
      </c>
      <c r="O152" s="526">
        <v>149280</v>
      </c>
      <c r="P152" s="41"/>
      <c r="Q152" s="41"/>
    </row>
    <row r="153" spans="1:17">
      <c r="A153" s="38"/>
      <c r="B153" s="781">
        <v>1</v>
      </c>
      <c r="C153" s="778">
        <v>1650</v>
      </c>
      <c r="D153" s="778">
        <v>1767</v>
      </c>
      <c r="E153" s="778">
        <v>2120</v>
      </c>
      <c r="F153" s="778">
        <v>2450</v>
      </c>
      <c r="G153" s="778">
        <v>2732</v>
      </c>
      <c r="H153" s="778">
        <v>66000</v>
      </c>
      <c r="I153" s="778">
        <v>75400</v>
      </c>
      <c r="J153" s="778">
        <v>84800</v>
      </c>
      <c r="K153" s="778">
        <v>94200</v>
      </c>
      <c r="L153" s="778">
        <v>101800</v>
      </c>
      <c r="M153" s="778">
        <v>109300</v>
      </c>
      <c r="N153" s="778">
        <v>116900</v>
      </c>
      <c r="O153" s="778">
        <v>124400</v>
      </c>
      <c r="P153" s="41"/>
      <c r="Q153" s="41"/>
    </row>
    <row r="154" spans="1:17">
      <c r="A154" s="38" t="s">
        <v>1278</v>
      </c>
      <c r="B154" s="781">
        <v>0.8</v>
      </c>
      <c r="C154" s="778">
        <v>1320</v>
      </c>
      <c r="D154" s="778">
        <v>1414</v>
      </c>
      <c r="E154" s="778">
        <v>1696</v>
      </c>
      <c r="F154" s="778">
        <v>1960</v>
      </c>
      <c r="G154" s="778">
        <v>2186</v>
      </c>
      <c r="H154" s="779">
        <v>52800</v>
      </c>
      <c r="I154" s="779">
        <v>60320</v>
      </c>
      <c r="J154" s="779">
        <v>67840</v>
      </c>
      <c r="K154" s="779">
        <v>75360</v>
      </c>
      <c r="L154" s="779">
        <v>81440</v>
      </c>
      <c r="M154" s="779">
        <v>87440</v>
      </c>
      <c r="N154" s="779">
        <v>93520</v>
      </c>
      <c r="O154" s="779">
        <v>99520</v>
      </c>
      <c r="P154" s="41"/>
      <c r="Q154" s="41"/>
    </row>
    <row r="155" spans="1:17">
      <c r="A155" s="38"/>
      <c r="B155" s="781">
        <v>0.7</v>
      </c>
      <c r="C155" s="778">
        <v>1155</v>
      </c>
      <c r="D155" s="778">
        <v>1237</v>
      </c>
      <c r="E155" s="778">
        <v>1484</v>
      </c>
      <c r="F155" s="778">
        <v>1715</v>
      </c>
      <c r="G155" s="778">
        <v>1912</v>
      </c>
      <c r="H155" s="779">
        <v>46200</v>
      </c>
      <c r="I155" s="779">
        <v>52780</v>
      </c>
      <c r="J155" s="779">
        <v>59359.999999999993</v>
      </c>
      <c r="K155" s="779">
        <v>65940</v>
      </c>
      <c r="L155" s="779">
        <v>71260</v>
      </c>
      <c r="M155" s="779">
        <v>76510</v>
      </c>
      <c r="N155" s="779">
        <v>81830</v>
      </c>
      <c r="O155" s="779">
        <v>87080</v>
      </c>
      <c r="P155" s="41"/>
      <c r="Q155" s="41"/>
    </row>
    <row r="156" spans="1:17">
      <c r="A156" s="38"/>
      <c r="B156" s="781">
        <v>0.6</v>
      </c>
      <c r="C156" s="778">
        <v>990</v>
      </c>
      <c r="D156" s="778">
        <v>1060</v>
      </c>
      <c r="E156" s="778">
        <v>1272</v>
      </c>
      <c r="F156" s="778">
        <v>1470</v>
      </c>
      <c r="G156" s="778">
        <v>1639</v>
      </c>
      <c r="H156" s="778">
        <v>39600</v>
      </c>
      <c r="I156" s="778">
        <v>45240</v>
      </c>
      <c r="J156" s="778">
        <v>50880</v>
      </c>
      <c r="K156" s="778">
        <v>56520</v>
      </c>
      <c r="L156" s="778">
        <v>61080</v>
      </c>
      <c r="M156" s="780">
        <v>65580</v>
      </c>
      <c r="N156" s="780">
        <v>70140</v>
      </c>
      <c r="O156" s="780">
        <v>74640</v>
      </c>
      <c r="P156" s="41"/>
      <c r="Q156" s="41"/>
    </row>
    <row r="157" spans="1:17">
      <c r="A157" s="38"/>
      <c r="B157" s="781">
        <v>0.55000000000000004</v>
      </c>
      <c r="C157" s="778">
        <v>907</v>
      </c>
      <c r="D157" s="778">
        <v>972</v>
      </c>
      <c r="E157" s="778">
        <v>1166</v>
      </c>
      <c r="F157" s="778">
        <v>1347</v>
      </c>
      <c r="G157" s="778">
        <v>1502</v>
      </c>
      <c r="H157" s="778">
        <v>36300</v>
      </c>
      <c r="I157" s="778">
        <v>41470</v>
      </c>
      <c r="J157" s="778">
        <v>46640.000000000007</v>
      </c>
      <c r="K157" s="778">
        <v>51810.000000000007</v>
      </c>
      <c r="L157" s="778">
        <v>55990.000000000007</v>
      </c>
      <c r="M157" s="778">
        <v>60115.000000000007</v>
      </c>
      <c r="N157" s="778">
        <v>64295.000000000007</v>
      </c>
      <c r="O157" s="778">
        <v>68420</v>
      </c>
      <c r="P157" s="41"/>
      <c r="Q157" s="41"/>
    </row>
    <row r="158" spans="1:17">
      <c r="A158" s="38"/>
      <c r="B158" s="781">
        <v>0.5</v>
      </c>
      <c r="C158" s="778">
        <v>825</v>
      </c>
      <c r="D158" s="778">
        <v>883</v>
      </c>
      <c r="E158" s="778">
        <v>1060</v>
      </c>
      <c r="F158" s="778">
        <v>1225</v>
      </c>
      <c r="G158" s="778">
        <v>1366</v>
      </c>
      <c r="H158" s="779">
        <v>33000</v>
      </c>
      <c r="I158" s="779">
        <v>37700</v>
      </c>
      <c r="J158" s="779">
        <v>42400</v>
      </c>
      <c r="K158" s="779">
        <v>47100</v>
      </c>
      <c r="L158" s="779">
        <v>50900</v>
      </c>
      <c r="M158" s="779">
        <v>54650</v>
      </c>
      <c r="N158" s="779">
        <v>58450</v>
      </c>
      <c r="O158" s="779">
        <v>62200</v>
      </c>
      <c r="P158" s="41"/>
      <c r="Q158" s="41"/>
    </row>
    <row r="159" spans="1:17">
      <c r="A159" s="38"/>
      <c r="B159" s="781">
        <v>0.45</v>
      </c>
      <c r="C159" s="778">
        <v>742</v>
      </c>
      <c r="D159" s="778">
        <v>795</v>
      </c>
      <c r="E159" s="778">
        <v>954</v>
      </c>
      <c r="F159" s="778">
        <v>1102</v>
      </c>
      <c r="G159" s="778">
        <v>1229</v>
      </c>
      <c r="H159" s="778">
        <v>29700</v>
      </c>
      <c r="I159" s="778">
        <v>33930</v>
      </c>
      <c r="J159" s="778">
        <v>38160</v>
      </c>
      <c r="K159" s="778">
        <v>42390</v>
      </c>
      <c r="L159" s="778">
        <v>45810</v>
      </c>
      <c r="M159" s="780">
        <v>49185</v>
      </c>
      <c r="N159" s="780">
        <v>52605</v>
      </c>
      <c r="O159" s="780">
        <v>55980</v>
      </c>
      <c r="P159" s="41"/>
      <c r="Q159" s="41"/>
    </row>
    <row r="160" spans="1:17">
      <c r="A160" s="38"/>
      <c r="B160" s="781">
        <v>0.4</v>
      </c>
      <c r="C160" s="778">
        <v>660</v>
      </c>
      <c r="D160" s="778">
        <v>707</v>
      </c>
      <c r="E160" s="778">
        <v>848</v>
      </c>
      <c r="F160" s="778">
        <v>980</v>
      </c>
      <c r="G160" s="778">
        <v>1093</v>
      </c>
      <c r="H160" s="778">
        <v>26400</v>
      </c>
      <c r="I160" s="778">
        <v>30160</v>
      </c>
      <c r="J160" s="778">
        <v>33920</v>
      </c>
      <c r="K160" s="778">
        <v>37680</v>
      </c>
      <c r="L160" s="778">
        <v>40720</v>
      </c>
      <c r="M160" s="780">
        <v>43720</v>
      </c>
      <c r="N160" s="780">
        <v>46760</v>
      </c>
      <c r="O160" s="780">
        <v>49760</v>
      </c>
      <c r="P160" s="41"/>
      <c r="Q160" s="41"/>
    </row>
    <row r="161" spans="1:17">
      <c r="A161" s="38"/>
      <c r="B161" s="522">
        <v>0.3</v>
      </c>
      <c r="C161" s="778">
        <v>495</v>
      </c>
      <c r="D161" s="778">
        <v>530</v>
      </c>
      <c r="E161" s="778">
        <v>636</v>
      </c>
      <c r="F161" s="778">
        <v>735</v>
      </c>
      <c r="G161" s="778">
        <v>819</v>
      </c>
      <c r="H161" s="779">
        <v>19800</v>
      </c>
      <c r="I161" s="779">
        <v>22620</v>
      </c>
      <c r="J161" s="779">
        <v>25440</v>
      </c>
      <c r="K161" s="779">
        <v>28260</v>
      </c>
      <c r="L161" s="779">
        <v>30540</v>
      </c>
      <c r="M161" s="779">
        <v>32790</v>
      </c>
      <c r="N161" s="779">
        <v>35070</v>
      </c>
      <c r="O161" s="779">
        <v>37320</v>
      </c>
      <c r="P161" s="41"/>
      <c r="Q161" s="41"/>
    </row>
    <row r="162" spans="1:17" ht="13.5" thickBot="1">
      <c r="A162" s="38"/>
      <c r="B162" s="40">
        <v>0.2</v>
      </c>
      <c r="C162" s="524">
        <v>330</v>
      </c>
      <c r="D162" s="524">
        <v>353</v>
      </c>
      <c r="E162" s="524">
        <v>424</v>
      </c>
      <c r="F162" s="524">
        <v>490</v>
      </c>
      <c r="G162" s="524">
        <v>546</v>
      </c>
      <c r="H162" s="525">
        <v>13200</v>
      </c>
      <c r="I162" s="525">
        <v>15080</v>
      </c>
      <c r="J162" s="525">
        <v>16960</v>
      </c>
      <c r="K162" s="525">
        <v>18840</v>
      </c>
      <c r="L162" s="525">
        <v>20360</v>
      </c>
      <c r="M162" s="525">
        <v>21860</v>
      </c>
      <c r="N162" s="525">
        <v>23380</v>
      </c>
      <c r="O162" s="525">
        <v>24880</v>
      </c>
      <c r="P162" s="41"/>
      <c r="Q162" s="41"/>
    </row>
    <row r="163" spans="1:17" ht="13.5" thickTop="1">
      <c r="A163" s="36"/>
      <c r="B163" s="37">
        <v>1.2</v>
      </c>
      <c r="C163" s="526">
        <v>1980</v>
      </c>
      <c r="D163" s="526">
        <v>2121</v>
      </c>
      <c r="E163" s="526">
        <v>2544</v>
      </c>
      <c r="F163" s="526">
        <v>2940</v>
      </c>
      <c r="G163" s="526">
        <v>3279</v>
      </c>
      <c r="H163" s="526">
        <v>79200</v>
      </c>
      <c r="I163" s="526">
        <v>90480</v>
      </c>
      <c r="J163" s="526">
        <v>101760</v>
      </c>
      <c r="K163" s="526">
        <v>113040</v>
      </c>
      <c r="L163" s="526">
        <v>122160</v>
      </c>
      <c r="M163" s="526">
        <v>131160</v>
      </c>
      <c r="N163" s="526">
        <v>140280</v>
      </c>
      <c r="O163" s="526">
        <v>149280</v>
      </c>
      <c r="P163" s="41"/>
      <c r="Q163" s="41"/>
    </row>
    <row r="164" spans="1:17">
      <c r="A164" s="38"/>
      <c r="B164" s="781">
        <v>1</v>
      </c>
      <c r="C164" s="778">
        <v>1650</v>
      </c>
      <c r="D164" s="778">
        <v>1767</v>
      </c>
      <c r="E164" s="778">
        <v>2120</v>
      </c>
      <c r="F164" s="778">
        <v>2450</v>
      </c>
      <c r="G164" s="778">
        <v>2732</v>
      </c>
      <c r="H164" s="778">
        <v>66000</v>
      </c>
      <c r="I164" s="778">
        <v>75400</v>
      </c>
      <c r="J164" s="778">
        <v>84800</v>
      </c>
      <c r="K164" s="778">
        <v>94200</v>
      </c>
      <c r="L164" s="778">
        <v>101800</v>
      </c>
      <c r="M164" s="778">
        <v>109300</v>
      </c>
      <c r="N164" s="778">
        <v>116900</v>
      </c>
      <c r="O164" s="778">
        <v>124400</v>
      </c>
      <c r="P164" s="41"/>
      <c r="Q164" s="41"/>
    </row>
    <row r="165" spans="1:17">
      <c r="A165" s="43" t="s">
        <v>1279</v>
      </c>
      <c r="B165" s="781">
        <v>0.8</v>
      </c>
      <c r="C165" s="778">
        <v>1320</v>
      </c>
      <c r="D165" s="778">
        <v>1414</v>
      </c>
      <c r="E165" s="778">
        <v>1696</v>
      </c>
      <c r="F165" s="778">
        <v>1960</v>
      </c>
      <c r="G165" s="778">
        <v>2186</v>
      </c>
      <c r="H165" s="779">
        <v>52800</v>
      </c>
      <c r="I165" s="779">
        <v>60320</v>
      </c>
      <c r="J165" s="779">
        <v>67840</v>
      </c>
      <c r="K165" s="779">
        <v>75360</v>
      </c>
      <c r="L165" s="779">
        <v>81440</v>
      </c>
      <c r="M165" s="779">
        <v>87440</v>
      </c>
      <c r="N165" s="779">
        <v>93520</v>
      </c>
      <c r="O165" s="779">
        <v>99520</v>
      </c>
      <c r="P165" s="41"/>
      <c r="Q165" s="41"/>
    </row>
    <row r="166" spans="1:17">
      <c r="A166" s="43"/>
      <c r="B166" s="781">
        <v>0.7</v>
      </c>
      <c r="C166" s="778">
        <v>1155</v>
      </c>
      <c r="D166" s="778">
        <v>1237</v>
      </c>
      <c r="E166" s="778">
        <v>1484</v>
      </c>
      <c r="F166" s="778">
        <v>1715</v>
      </c>
      <c r="G166" s="778">
        <v>1912</v>
      </c>
      <c r="H166" s="779">
        <v>46200</v>
      </c>
      <c r="I166" s="779">
        <v>52780</v>
      </c>
      <c r="J166" s="779">
        <v>59359.999999999993</v>
      </c>
      <c r="K166" s="779">
        <v>65940</v>
      </c>
      <c r="L166" s="779">
        <v>71260</v>
      </c>
      <c r="M166" s="779">
        <v>76510</v>
      </c>
      <c r="N166" s="779">
        <v>81830</v>
      </c>
      <c r="O166" s="779">
        <v>87080</v>
      </c>
      <c r="P166" s="41"/>
      <c r="Q166" s="41"/>
    </row>
    <row r="167" spans="1:17">
      <c r="A167" s="38"/>
      <c r="B167" s="781">
        <v>0.6</v>
      </c>
      <c r="C167" s="778">
        <v>990</v>
      </c>
      <c r="D167" s="778">
        <v>1060</v>
      </c>
      <c r="E167" s="778">
        <v>1272</v>
      </c>
      <c r="F167" s="778">
        <v>1470</v>
      </c>
      <c r="G167" s="778">
        <v>1639</v>
      </c>
      <c r="H167" s="778">
        <v>39600</v>
      </c>
      <c r="I167" s="778">
        <v>45240</v>
      </c>
      <c r="J167" s="778">
        <v>50880</v>
      </c>
      <c r="K167" s="778">
        <v>56520</v>
      </c>
      <c r="L167" s="778">
        <v>61080</v>
      </c>
      <c r="M167" s="780">
        <v>65580</v>
      </c>
      <c r="N167" s="780">
        <v>70140</v>
      </c>
      <c r="O167" s="780">
        <v>74640</v>
      </c>
      <c r="P167" s="41"/>
      <c r="Q167" s="41"/>
    </row>
    <row r="168" spans="1:17">
      <c r="A168" s="38"/>
      <c r="B168" s="781">
        <v>0.55000000000000004</v>
      </c>
      <c r="C168" s="778">
        <v>907</v>
      </c>
      <c r="D168" s="778">
        <v>972</v>
      </c>
      <c r="E168" s="778">
        <v>1166</v>
      </c>
      <c r="F168" s="778">
        <v>1347</v>
      </c>
      <c r="G168" s="778">
        <v>1502</v>
      </c>
      <c r="H168" s="778">
        <v>36300</v>
      </c>
      <c r="I168" s="778">
        <v>41470</v>
      </c>
      <c r="J168" s="778">
        <v>46640.000000000007</v>
      </c>
      <c r="K168" s="778">
        <v>51810.000000000007</v>
      </c>
      <c r="L168" s="778">
        <v>55990.000000000007</v>
      </c>
      <c r="M168" s="778">
        <v>60115.000000000007</v>
      </c>
      <c r="N168" s="778">
        <v>64295.000000000007</v>
      </c>
      <c r="O168" s="778">
        <v>68420</v>
      </c>
      <c r="P168" s="41"/>
      <c r="Q168" s="41"/>
    </row>
    <row r="169" spans="1:17">
      <c r="A169" s="38"/>
      <c r="B169" s="781">
        <v>0.5</v>
      </c>
      <c r="C169" s="778">
        <v>825</v>
      </c>
      <c r="D169" s="778">
        <v>883</v>
      </c>
      <c r="E169" s="778">
        <v>1060</v>
      </c>
      <c r="F169" s="778">
        <v>1225</v>
      </c>
      <c r="G169" s="778">
        <v>1366</v>
      </c>
      <c r="H169" s="779">
        <v>33000</v>
      </c>
      <c r="I169" s="779">
        <v>37700</v>
      </c>
      <c r="J169" s="779">
        <v>42400</v>
      </c>
      <c r="K169" s="779">
        <v>47100</v>
      </c>
      <c r="L169" s="779">
        <v>50900</v>
      </c>
      <c r="M169" s="779">
        <v>54650</v>
      </c>
      <c r="N169" s="779">
        <v>58450</v>
      </c>
      <c r="O169" s="779">
        <v>62200</v>
      </c>
      <c r="P169" s="41"/>
      <c r="Q169" s="41"/>
    </row>
    <row r="170" spans="1:17">
      <c r="A170" s="38"/>
      <c r="B170" s="781">
        <v>0.45</v>
      </c>
      <c r="C170" s="778">
        <v>742</v>
      </c>
      <c r="D170" s="778">
        <v>795</v>
      </c>
      <c r="E170" s="778">
        <v>954</v>
      </c>
      <c r="F170" s="778">
        <v>1102</v>
      </c>
      <c r="G170" s="778">
        <v>1229</v>
      </c>
      <c r="H170" s="778">
        <v>29700</v>
      </c>
      <c r="I170" s="778">
        <v>33930</v>
      </c>
      <c r="J170" s="778">
        <v>38160</v>
      </c>
      <c r="K170" s="778">
        <v>42390</v>
      </c>
      <c r="L170" s="778">
        <v>45810</v>
      </c>
      <c r="M170" s="780">
        <v>49185</v>
      </c>
      <c r="N170" s="780">
        <v>52605</v>
      </c>
      <c r="O170" s="780">
        <v>55980</v>
      </c>
      <c r="P170" s="41"/>
      <c r="Q170" s="41"/>
    </row>
    <row r="171" spans="1:17">
      <c r="A171" s="38"/>
      <c r="B171" s="781">
        <v>0.4</v>
      </c>
      <c r="C171" s="778">
        <v>660</v>
      </c>
      <c r="D171" s="778">
        <v>707</v>
      </c>
      <c r="E171" s="778">
        <v>848</v>
      </c>
      <c r="F171" s="778">
        <v>980</v>
      </c>
      <c r="G171" s="778">
        <v>1093</v>
      </c>
      <c r="H171" s="778">
        <v>26400</v>
      </c>
      <c r="I171" s="778">
        <v>30160</v>
      </c>
      <c r="J171" s="778">
        <v>33920</v>
      </c>
      <c r="K171" s="778">
        <v>37680</v>
      </c>
      <c r="L171" s="778">
        <v>40720</v>
      </c>
      <c r="M171" s="780">
        <v>43720</v>
      </c>
      <c r="N171" s="780">
        <v>46760</v>
      </c>
      <c r="O171" s="780">
        <v>49760</v>
      </c>
      <c r="P171" s="41"/>
      <c r="Q171" s="41"/>
    </row>
    <row r="172" spans="1:17">
      <c r="A172" s="38"/>
      <c r="B172" s="522">
        <v>0.3</v>
      </c>
      <c r="C172" s="778">
        <v>495</v>
      </c>
      <c r="D172" s="778">
        <v>530</v>
      </c>
      <c r="E172" s="778">
        <v>636</v>
      </c>
      <c r="F172" s="778">
        <v>735</v>
      </c>
      <c r="G172" s="778">
        <v>819</v>
      </c>
      <c r="H172" s="779">
        <v>19800</v>
      </c>
      <c r="I172" s="779">
        <v>22620</v>
      </c>
      <c r="J172" s="779">
        <v>25440</v>
      </c>
      <c r="K172" s="779">
        <v>28260</v>
      </c>
      <c r="L172" s="779">
        <v>30540</v>
      </c>
      <c r="M172" s="779">
        <v>32790</v>
      </c>
      <c r="N172" s="779">
        <v>35070</v>
      </c>
      <c r="O172" s="779">
        <v>37320</v>
      </c>
      <c r="P172" s="41"/>
      <c r="Q172" s="41"/>
    </row>
    <row r="173" spans="1:17" ht="13.5" thickBot="1">
      <c r="A173" s="38"/>
      <c r="B173" s="40">
        <v>0.2</v>
      </c>
      <c r="C173" s="524">
        <v>330</v>
      </c>
      <c r="D173" s="524">
        <v>353</v>
      </c>
      <c r="E173" s="524">
        <v>424</v>
      </c>
      <c r="F173" s="524">
        <v>490</v>
      </c>
      <c r="G173" s="524">
        <v>546</v>
      </c>
      <c r="H173" s="525">
        <v>13200</v>
      </c>
      <c r="I173" s="525">
        <v>15080</v>
      </c>
      <c r="J173" s="525">
        <v>16960</v>
      </c>
      <c r="K173" s="525">
        <v>18840</v>
      </c>
      <c r="L173" s="525">
        <v>20360</v>
      </c>
      <c r="M173" s="525">
        <v>21860</v>
      </c>
      <c r="N173" s="525">
        <v>23380</v>
      </c>
      <c r="O173" s="525">
        <v>24880</v>
      </c>
      <c r="P173" s="41"/>
      <c r="Q173" s="41"/>
    </row>
    <row r="174" spans="1:17" ht="13.5" thickTop="1">
      <c r="A174" s="36"/>
      <c r="B174" s="37">
        <v>1.2</v>
      </c>
      <c r="C174" s="526">
        <v>1980</v>
      </c>
      <c r="D174" s="526">
        <v>2121</v>
      </c>
      <c r="E174" s="526">
        <v>2544</v>
      </c>
      <c r="F174" s="526">
        <v>2940</v>
      </c>
      <c r="G174" s="526">
        <v>3279</v>
      </c>
      <c r="H174" s="526">
        <v>79200</v>
      </c>
      <c r="I174" s="526">
        <v>90480</v>
      </c>
      <c r="J174" s="526">
        <v>101760</v>
      </c>
      <c r="K174" s="526">
        <v>113040</v>
      </c>
      <c r="L174" s="526">
        <v>122160</v>
      </c>
      <c r="M174" s="526">
        <v>131160</v>
      </c>
      <c r="N174" s="526">
        <v>140280</v>
      </c>
      <c r="O174" s="526">
        <v>149280</v>
      </c>
      <c r="P174" s="41"/>
      <c r="Q174" s="41"/>
    </row>
    <row r="175" spans="1:17">
      <c r="A175" s="38"/>
      <c r="B175" s="781">
        <v>1</v>
      </c>
      <c r="C175" s="778">
        <v>1650</v>
      </c>
      <c r="D175" s="778">
        <v>1767</v>
      </c>
      <c r="E175" s="778">
        <v>2120</v>
      </c>
      <c r="F175" s="778">
        <v>2450</v>
      </c>
      <c r="G175" s="778">
        <v>2732</v>
      </c>
      <c r="H175" s="778">
        <v>66000</v>
      </c>
      <c r="I175" s="778">
        <v>75400</v>
      </c>
      <c r="J175" s="778">
        <v>84800</v>
      </c>
      <c r="K175" s="778">
        <v>94200</v>
      </c>
      <c r="L175" s="778">
        <v>101800</v>
      </c>
      <c r="M175" s="778">
        <v>109300</v>
      </c>
      <c r="N175" s="778">
        <v>116900</v>
      </c>
      <c r="O175" s="778">
        <v>124400</v>
      </c>
      <c r="P175" s="41"/>
      <c r="Q175" s="41"/>
    </row>
    <row r="176" spans="1:17">
      <c r="A176" s="43" t="s">
        <v>1280</v>
      </c>
      <c r="B176" s="781">
        <v>0.8</v>
      </c>
      <c r="C176" s="778">
        <v>1320</v>
      </c>
      <c r="D176" s="778">
        <v>1414</v>
      </c>
      <c r="E176" s="778">
        <v>1696</v>
      </c>
      <c r="F176" s="778">
        <v>1960</v>
      </c>
      <c r="G176" s="778">
        <v>2186</v>
      </c>
      <c r="H176" s="779">
        <v>52800</v>
      </c>
      <c r="I176" s="779">
        <v>60320</v>
      </c>
      <c r="J176" s="779">
        <v>67840</v>
      </c>
      <c r="K176" s="779">
        <v>75360</v>
      </c>
      <c r="L176" s="779">
        <v>81440</v>
      </c>
      <c r="M176" s="779">
        <v>87440</v>
      </c>
      <c r="N176" s="779">
        <v>93520</v>
      </c>
      <c r="O176" s="779">
        <v>99520</v>
      </c>
      <c r="P176" s="41"/>
      <c r="Q176" s="41"/>
    </row>
    <row r="177" spans="1:17">
      <c r="A177" s="43"/>
      <c r="B177" s="781">
        <v>0.7</v>
      </c>
      <c r="C177" s="778">
        <v>1155</v>
      </c>
      <c r="D177" s="778">
        <v>1237</v>
      </c>
      <c r="E177" s="778">
        <v>1484</v>
      </c>
      <c r="F177" s="778">
        <v>1715</v>
      </c>
      <c r="G177" s="778">
        <v>1912</v>
      </c>
      <c r="H177" s="779">
        <v>46200</v>
      </c>
      <c r="I177" s="779">
        <v>52780</v>
      </c>
      <c r="J177" s="779">
        <v>59359.999999999993</v>
      </c>
      <c r="K177" s="779">
        <v>65940</v>
      </c>
      <c r="L177" s="779">
        <v>71260</v>
      </c>
      <c r="M177" s="779">
        <v>76510</v>
      </c>
      <c r="N177" s="779">
        <v>81830</v>
      </c>
      <c r="O177" s="779">
        <v>87080</v>
      </c>
      <c r="P177" s="41"/>
      <c r="Q177" s="41"/>
    </row>
    <row r="178" spans="1:17">
      <c r="A178" s="38"/>
      <c r="B178" s="781">
        <v>0.6</v>
      </c>
      <c r="C178" s="778">
        <v>990</v>
      </c>
      <c r="D178" s="778">
        <v>1060</v>
      </c>
      <c r="E178" s="778">
        <v>1272</v>
      </c>
      <c r="F178" s="778">
        <v>1470</v>
      </c>
      <c r="G178" s="778">
        <v>1639</v>
      </c>
      <c r="H178" s="778">
        <v>39600</v>
      </c>
      <c r="I178" s="778">
        <v>45240</v>
      </c>
      <c r="J178" s="778">
        <v>50880</v>
      </c>
      <c r="K178" s="778">
        <v>56520</v>
      </c>
      <c r="L178" s="778">
        <v>61080</v>
      </c>
      <c r="M178" s="780">
        <v>65580</v>
      </c>
      <c r="N178" s="780">
        <v>70140</v>
      </c>
      <c r="O178" s="780">
        <v>74640</v>
      </c>
      <c r="P178" s="41"/>
      <c r="Q178" s="41"/>
    </row>
    <row r="179" spans="1:17">
      <c r="A179" s="38"/>
      <c r="B179" s="781">
        <v>0.55000000000000004</v>
      </c>
      <c r="C179" s="778">
        <v>907</v>
      </c>
      <c r="D179" s="778">
        <v>972</v>
      </c>
      <c r="E179" s="778">
        <v>1166</v>
      </c>
      <c r="F179" s="778">
        <v>1347</v>
      </c>
      <c r="G179" s="778">
        <v>1502</v>
      </c>
      <c r="H179" s="778">
        <v>36300</v>
      </c>
      <c r="I179" s="778">
        <v>41470</v>
      </c>
      <c r="J179" s="778">
        <v>46640.000000000007</v>
      </c>
      <c r="K179" s="778">
        <v>51810.000000000007</v>
      </c>
      <c r="L179" s="778">
        <v>55990.000000000007</v>
      </c>
      <c r="M179" s="778">
        <v>60115.000000000007</v>
      </c>
      <c r="N179" s="778">
        <v>64295.000000000007</v>
      </c>
      <c r="O179" s="778">
        <v>68420</v>
      </c>
      <c r="P179" s="41"/>
      <c r="Q179" s="41"/>
    </row>
    <row r="180" spans="1:17">
      <c r="A180" s="38"/>
      <c r="B180" s="781">
        <v>0.5</v>
      </c>
      <c r="C180" s="778">
        <v>825</v>
      </c>
      <c r="D180" s="778">
        <v>883</v>
      </c>
      <c r="E180" s="778">
        <v>1060</v>
      </c>
      <c r="F180" s="778">
        <v>1225</v>
      </c>
      <c r="G180" s="778">
        <v>1366</v>
      </c>
      <c r="H180" s="779">
        <v>33000</v>
      </c>
      <c r="I180" s="779">
        <v>37700</v>
      </c>
      <c r="J180" s="779">
        <v>42400</v>
      </c>
      <c r="K180" s="779">
        <v>47100</v>
      </c>
      <c r="L180" s="779">
        <v>50900</v>
      </c>
      <c r="M180" s="779">
        <v>54650</v>
      </c>
      <c r="N180" s="779">
        <v>58450</v>
      </c>
      <c r="O180" s="779">
        <v>62200</v>
      </c>
      <c r="P180" s="41"/>
      <c r="Q180" s="41"/>
    </row>
    <row r="181" spans="1:17">
      <c r="A181" s="38"/>
      <c r="B181" s="781">
        <v>0.45</v>
      </c>
      <c r="C181" s="778">
        <v>742</v>
      </c>
      <c r="D181" s="778">
        <v>795</v>
      </c>
      <c r="E181" s="778">
        <v>954</v>
      </c>
      <c r="F181" s="778">
        <v>1102</v>
      </c>
      <c r="G181" s="778">
        <v>1229</v>
      </c>
      <c r="H181" s="778">
        <v>29700</v>
      </c>
      <c r="I181" s="778">
        <v>33930</v>
      </c>
      <c r="J181" s="778">
        <v>38160</v>
      </c>
      <c r="K181" s="778">
        <v>42390</v>
      </c>
      <c r="L181" s="778">
        <v>45810</v>
      </c>
      <c r="M181" s="780">
        <v>49185</v>
      </c>
      <c r="N181" s="780">
        <v>52605</v>
      </c>
      <c r="O181" s="780">
        <v>55980</v>
      </c>
      <c r="P181" s="41"/>
      <c r="Q181" s="41"/>
    </row>
    <row r="182" spans="1:17">
      <c r="A182" s="38"/>
      <c r="B182" s="781">
        <v>0.4</v>
      </c>
      <c r="C182" s="778">
        <v>660</v>
      </c>
      <c r="D182" s="778">
        <v>707</v>
      </c>
      <c r="E182" s="778">
        <v>848</v>
      </c>
      <c r="F182" s="778">
        <v>980</v>
      </c>
      <c r="G182" s="778">
        <v>1093</v>
      </c>
      <c r="H182" s="778">
        <v>26400</v>
      </c>
      <c r="I182" s="778">
        <v>30160</v>
      </c>
      <c r="J182" s="778">
        <v>33920</v>
      </c>
      <c r="K182" s="778">
        <v>37680</v>
      </c>
      <c r="L182" s="778">
        <v>40720</v>
      </c>
      <c r="M182" s="780">
        <v>43720</v>
      </c>
      <c r="N182" s="780">
        <v>46760</v>
      </c>
      <c r="O182" s="780">
        <v>49760</v>
      </c>
      <c r="P182" s="41"/>
      <c r="Q182" s="41"/>
    </row>
    <row r="183" spans="1:17">
      <c r="A183" s="38"/>
      <c r="B183" s="522">
        <v>0.3</v>
      </c>
      <c r="C183" s="778">
        <v>495</v>
      </c>
      <c r="D183" s="778">
        <v>530</v>
      </c>
      <c r="E183" s="778">
        <v>636</v>
      </c>
      <c r="F183" s="778">
        <v>735</v>
      </c>
      <c r="G183" s="778">
        <v>819</v>
      </c>
      <c r="H183" s="779">
        <v>19800</v>
      </c>
      <c r="I183" s="779">
        <v>22620</v>
      </c>
      <c r="J183" s="779">
        <v>25440</v>
      </c>
      <c r="K183" s="779">
        <v>28260</v>
      </c>
      <c r="L183" s="779">
        <v>30540</v>
      </c>
      <c r="M183" s="779">
        <v>32790</v>
      </c>
      <c r="N183" s="779">
        <v>35070</v>
      </c>
      <c r="O183" s="779">
        <v>37320</v>
      </c>
      <c r="P183" s="41"/>
      <c r="Q183" s="41"/>
    </row>
    <row r="184" spans="1:17" ht="13.5" thickBot="1">
      <c r="A184" s="38"/>
      <c r="B184" s="40">
        <v>0.2</v>
      </c>
      <c r="C184" s="524">
        <v>330</v>
      </c>
      <c r="D184" s="524">
        <v>353</v>
      </c>
      <c r="E184" s="524">
        <v>424</v>
      </c>
      <c r="F184" s="524">
        <v>490</v>
      </c>
      <c r="G184" s="524">
        <v>546</v>
      </c>
      <c r="H184" s="525">
        <v>13200</v>
      </c>
      <c r="I184" s="525">
        <v>15080</v>
      </c>
      <c r="J184" s="525">
        <v>16960</v>
      </c>
      <c r="K184" s="525">
        <v>18840</v>
      </c>
      <c r="L184" s="525">
        <v>20360</v>
      </c>
      <c r="M184" s="525">
        <v>21860</v>
      </c>
      <c r="N184" s="525">
        <v>23380</v>
      </c>
      <c r="O184" s="525">
        <v>24880</v>
      </c>
      <c r="P184" s="41"/>
      <c r="Q184" s="41"/>
    </row>
    <row r="185" spans="1:17" ht="13.5" thickTop="1">
      <c r="A185" s="36"/>
      <c r="B185" s="37">
        <v>1.2</v>
      </c>
      <c r="C185" s="526">
        <v>2739</v>
      </c>
      <c r="D185" s="526">
        <v>2935</v>
      </c>
      <c r="E185" s="526">
        <v>3522</v>
      </c>
      <c r="F185" s="526">
        <v>4069</v>
      </c>
      <c r="G185" s="526">
        <v>4539</v>
      </c>
      <c r="H185" s="526">
        <v>109560</v>
      </c>
      <c r="I185" s="526">
        <v>125280</v>
      </c>
      <c r="J185" s="526">
        <v>140880</v>
      </c>
      <c r="K185" s="526">
        <v>156480</v>
      </c>
      <c r="L185" s="526">
        <v>169080</v>
      </c>
      <c r="M185" s="526">
        <v>181560</v>
      </c>
      <c r="N185" s="526">
        <v>194040</v>
      </c>
      <c r="O185" s="526">
        <v>206640</v>
      </c>
      <c r="P185" s="42"/>
      <c r="Q185" s="42"/>
    </row>
    <row r="186" spans="1:17">
      <c r="A186" s="38"/>
      <c r="B186" s="781">
        <v>1</v>
      </c>
      <c r="C186" s="778">
        <v>2282</v>
      </c>
      <c r="D186" s="778">
        <v>2446</v>
      </c>
      <c r="E186" s="778">
        <v>2935</v>
      </c>
      <c r="F186" s="778">
        <v>3391</v>
      </c>
      <c r="G186" s="778">
        <v>3782</v>
      </c>
      <c r="H186" s="778">
        <v>91300</v>
      </c>
      <c r="I186" s="778">
        <v>104400</v>
      </c>
      <c r="J186" s="778">
        <v>117400</v>
      </c>
      <c r="K186" s="778">
        <v>130400</v>
      </c>
      <c r="L186" s="778">
        <v>140900</v>
      </c>
      <c r="M186" s="778">
        <v>151300</v>
      </c>
      <c r="N186" s="778">
        <v>161700</v>
      </c>
      <c r="O186" s="778">
        <v>172200</v>
      </c>
      <c r="P186" s="39"/>
      <c r="Q186" s="39"/>
    </row>
    <row r="187" spans="1:17">
      <c r="A187" s="43" t="s">
        <v>1281</v>
      </c>
      <c r="B187" s="781">
        <v>0.8</v>
      </c>
      <c r="C187" s="778">
        <v>1826</v>
      </c>
      <c r="D187" s="778">
        <v>1957</v>
      </c>
      <c r="E187" s="778">
        <v>2348</v>
      </c>
      <c r="F187" s="778">
        <v>2713</v>
      </c>
      <c r="G187" s="778">
        <v>3026</v>
      </c>
      <c r="H187" s="779">
        <v>73040</v>
      </c>
      <c r="I187" s="779">
        <v>83520</v>
      </c>
      <c r="J187" s="779">
        <v>93920</v>
      </c>
      <c r="K187" s="779">
        <v>104320</v>
      </c>
      <c r="L187" s="779">
        <v>112720</v>
      </c>
      <c r="M187" s="779">
        <v>121040</v>
      </c>
      <c r="N187" s="779">
        <v>129360</v>
      </c>
      <c r="O187" s="779">
        <v>137760</v>
      </c>
      <c r="P187" s="39"/>
      <c r="Q187" s="39"/>
    </row>
    <row r="188" spans="1:17">
      <c r="A188" s="43"/>
      <c r="B188" s="781">
        <v>0.7</v>
      </c>
      <c r="C188" s="778">
        <v>1597</v>
      </c>
      <c r="D188" s="778">
        <v>1712</v>
      </c>
      <c r="E188" s="778">
        <v>2054</v>
      </c>
      <c r="F188" s="778">
        <v>2373</v>
      </c>
      <c r="G188" s="778">
        <v>2647</v>
      </c>
      <c r="H188" s="779">
        <v>63909.999999999993</v>
      </c>
      <c r="I188" s="779">
        <v>73080</v>
      </c>
      <c r="J188" s="779">
        <v>82180</v>
      </c>
      <c r="K188" s="779">
        <v>91280</v>
      </c>
      <c r="L188" s="779">
        <v>98630</v>
      </c>
      <c r="M188" s="779">
        <v>105910</v>
      </c>
      <c r="N188" s="779">
        <v>113190</v>
      </c>
      <c r="O188" s="779">
        <v>120539.99999999999</v>
      </c>
      <c r="P188" s="39"/>
      <c r="Q188" s="39"/>
    </row>
    <row r="189" spans="1:17">
      <c r="A189" s="38"/>
      <c r="B189" s="781">
        <v>0.6</v>
      </c>
      <c r="C189" s="778">
        <v>1369</v>
      </c>
      <c r="D189" s="778">
        <v>1467</v>
      </c>
      <c r="E189" s="778">
        <v>1761</v>
      </c>
      <c r="F189" s="778">
        <v>2034</v>
      </c>
      <c r="G189" s="778">
        <v>2269</v>
      </c>
      <c r="H189" s="778">
        <v>54780</v>
      </c>
      <c r="I189" s="778">
        <v>62640</v>
      </c>
      <c r="J189" s="778">
        <v>70440</v>
      </c>
      <c r="K189" s="778">
        <v>78240</v>
      </c>
      <c r="L189" s="778">
        <v>84540</v>
      </c>
      <c r="M189" s="780">
        <v>90780</v>
      </c>
      <c r="N189" s="780">
        <v>97020</v>
      </c>
      <c r="O189" s="780">
        <v>103320</v>
      </c>
      <c r="P189" s="39"/>
      <c r="Q189" s="39"/>
    </row>
    <row r="190" spans="1:17">
      <c r="A190" s="38"/>
      <c r="B190" s="781">
        <v>0.55000000000000004</v>
      </c>
      <c r="C190" s="778">
        <v>1255</v>
      </c>
      <c r="D190" s="778">
        <v>1345</v>
      </c>
      <c r="E190" s="778">
        <v>1614</v>
      </c>
      <c r="F190" s="778">
        <v>1865</v>
      </c>
      <c r="G190" s="778">
        <v>2080</v>
      </c>
      <c r="H190" s="778">
        <v>50215.000000000007</v>
      </c>
      <c r="I190" s="778">
        <v>57420.000000000007</v>
      </c>
      <c r="J190" s="778">
        <v>64570.000000000007</v>
      </c>
      <c r="K190" s="778">
        <v>71720</v>
      </c>
      <c r="L190" s="778">
        <v>77495</v>
      </c>
      <c r="M190" s="778">
        <v>83215</v>
      </c>
      <c r="N190" s="778">
        <v>88935</v>
      </c>
      <c r="O190" s="778">
        <v>94710.000000000015</v>
      </c>
      <c r="P190" s="39"/>
      <c r="Q190" s="39"/>
    </row>
    <row r="191" spans="1:17">
      <c r="A191" s="38"/>
      <c r="B191" s="781">
        <v>0.5</v>
      </c>
      <c r="C191" s="778">
        <v>1141</v>
      </c>
      <c r="D191" s="778">
        <v>1223</v>
      </c>
      <c r="E191" s="778">
        <v>1467</v>
      </c>
      <c r="F191" s="778">
        <v>1695</v>
      </c>
      <c r="G191" s="778">
        <v>1891</v>
      </c>
      <c r="H191" s="779">
        <v>45650</v>
      </c>
      <c r="I191" s="779">
        <v>52200</v>
      </c>
      <c r="J191" s="779">
        <v>58700</v>
      </c>
      <c r="K191" s="779">
        <v>65200</v>
      </c>
      <c r="L191" s="779">
        <v>70450</v>
      </c>
      <c r="M191" s="779">
        <v>75650</v>
      </c>
      <c r="N191" s="779">
        <v>80850</v>
      </c>
      <c r="O191" s="779">
        <v>86100</v>
      </c>
      <c r="P191" s="39"/>
      <c r="Q191" s="39"/>
    </row>
    <row r="192" spans="1:17">
      <c r="A192" s="38"/>
      <c r="B192" s="781">
        <v>0.45</v>
      </c>
      <c r="C192" s="778">
        <v>1027</v>
      </c>
      <c r="D192" s="778">
        <v>1100</v>
      </c>
      <c r="E192" s="778">
        <v>1320</v>
      </c>
      <c r="F192" s="778">
        <v>1526</v>
      </c>
      <c r="G192" s="778">
        <v>1702</v>
      </c>
      <c r="H192" s="778">
        <v>41085</v>
      </c>
      <c r="I192" s="778">
        <v>46980</v>
      </c>
      <c r="J192" s="778">
        <v>52830</v>
      </c>
      <c r="K192" s="778">
        <v>58680</v>
      </c>
      <c r="L192" s="778">
        <v>63405</v>
      </c>
      <c r="M192" s="780">
        <v>68085</v>
      </c>
      <c r="N192" s="780">
        <v>72765</v>
      </c>
      <c r="O192" s="780">
        <v>77490</v>
      </c>
      <c r="P192" s="39"/>
      <c r="Q192" s="39"/>
    </row>
    <row r="193" spans="1:17">
      <c r="A193" s="38"/>
      <c r="B193" s="781">
        <v>0.4</v>
      </c>
      <c r="C193" s="778">
        <v>913</v>
      </c>
      <c r="D193" s="778">
        <v>978</v>
      </c>
      <c r="E193" s="778">
        <v>1174</v>
      </c>
      <c r="F193" s="778">
        <v>1356</v>
      </c>
      <c r="G193" s="778">
        <v>1513</v>
      </c>
      <c r="H193" s="778">
        <v>36520</v>
      </c>
      <c r="I193" s="778">
        <v>41760</v>
      </c>
      <c r="J193" s="778">
        <v>46960</v>
      </c>
      <c r="K193" s="778">
        <v>52160</v>
      </c>
      <c r="L193" s="778">
        <v>56360</v>
      </c>
      <c r="M193" s="780">
        <v>60520</v>
      </c>
      <c r="N193" s="780">
        <v>64680</v>
      </c>
      <c r="O193" s="780">
        <v>68880</v>
      </c>
      <c r="P193" s="39"/>
      <c r="Q193" s="39"/>
    </row>
    <row r="194" spans="1:17">
      <c r="A194" s="38"/>
      <c r="B194" s="522">
        <v>0.3</v>
      </c>
      <c r="C194" s="778">
        <v>684</v>
      </c>
      <c r="D194" s="778">
        <v>733</v>
      </c>
      <c r="E194" s="778">
        <v>880</v>
      </c>
      <c r="F194" s="778">
        <v>1017</v>
      </c>
      <c r="G194" s="778">
        <v>1134</v>
      </c>
      <c r="H194" s="779">
        <v>27390</v>
      </c>
      <c r="I194" s="779">
        <v>31320</v>
      </c>
      <c r="J194" s="779">
        <v>35220</v>
      </c>
      <c r="K194" s="779">
        <v>39120</v>
      </c>
      <c r="L194" s="779">
        <v>42270</v>
      </c>
      <c r="M194" s="779">
        <v>45390</v>
      </c>
      <c r="N194" s="779">
        <v>48510</v>
      </c>
      <c r="O194" s="779">
        <v>51660</v>
      </c>
      <c r="P194" s="39"/>
      <c r="Q194" s="39"/>
    </row>
    <row r="195" spans="1:17" ht="13.5" thickBot="1">
      <c r="A195" s="806"/>
      <c r="B195" s="40">
        <v>0.2</v>
      </c>
      <c r="C195" s="524">
        <v>456</v>
      </c>
      <c r="D195" s="524">
        <v>489</v>
      </c>
      <c r="E195" s="524">
        <v>587</v>
      </c>
      <c r="F195" s="524">
        <v>678</v>
      </c>
      <c r="G195" s="524">
        <v>756</v>
      </c>
      <c r="H195" s="525">
        <v>18260</v>
      </c>
      <c r="I195" s="525">
        <v>20880</v>
      </c>
      <c r="J195" s="525">
        <v>23480</v>
      </c>
      <c r="K195" s="525">
        <v>26080</v>
      </c>
      <c r="L195" s="525">
        <v>28180</v>
      </c>
      <c r="M195" s="525">
        <v>30260</v>
      </c>
      <c r="N195" s="525">
        <v>32340</v>
      </c>
      <c r="O195" s="525">
        <v>34440</v>
      </c>
      <c r="P195" s="41"/>
      <c r="Q195" s="41"/>
    </row>
    <row r="196" spans="1:17" ht="13.5" thickTop="1">
      <c r="A196" s="38"/>
      <c r="B196" s="37">
        <v>1.2</v>
      </c>
      <c r="C196" s="526">
        <v>2007</v>
      </c>
      <c r="D196" s="526">
        <v>2151</v>
      </c>
      <c r="E196" s="526">
        <v>2583</v>
      </c>
      <c r="F196" s="526">
        <v>2986</v>
      </c>
      <c r="G196" s="526">
        <v>3333</v>
      </c>
      <c r="H196" s="526">
        <v>80280</v>
      </c>
      <c r="I196" s="526">
        <v>91800</v>
      </c>
      <c r="J196" s="526">
        <v>103320</v>
      </c>
      <c r="K196" s="526">
        <v>114840</v>
      </c>
      <c r="L196" s="526">
        <v>124080</v>
      </c>
      <c r="M196" s="526">
        <v>133320</v>
      </c>
      <c r="N196" s="526">
        <v>142320</v>
      </c>
      <c r="O196" s="526">
        <v>151560</v>
      </c>
      <c r="P196" s="41"/>
      <c r="Q196" s="41"/>
    </row>
    <row r="197" spans="1:17">
      <c r="A197" s="38"/>
      <c r="B197" s="781">
        <v>1</v>
      </c>
      <c r="C197" s="778">
        <v>1672</v>
      </c>
      <c r="D197" s="778">
        <v>1792</v>
      </c>
      <c r="E197" s="778">
        <v>2152</v>
      </c>
      <c r="F197" s="778">
        <v>2488</v>
      </c>
      <c r="G197" s="778">
        <v>2777</v>
      </c>
      <c r="H197" s="778">
        <v>66900</v>
      </c>
      <c r="I197" s="778">
        <v>76500</v>
      </c>
      <c r="J197" s="778">
        <v>86100</v>
      </c>
      <c r="K197" s="778">
        <v>95700</v>
      </c>
      <c r="L197" s="778">
        <v>103400</v>
      </c>
      <c r="M197" s="778">
        <v>111100</v>
      </c>
      <c r="N197" s="778">
        <v>118600</v>
      </c>
      <c r="O197" s="778">
        <v>126300</v>
      </c>
      <c r="P197" s="41"/>
      <c r="Q197" s="41"/>
    </row>
    <row r="198" spans="1:17">
      <c r="A198" s="38" t="s">
        <v>1282</v>
      </c>
      <c r="B198" s="781">
        <v>0.8</v>
      </c>
      <c r="C198" s="778">
        <v>1338</v>
      </c>
      <c r="D198" s="778">
        <v>1434</v>
      </c>
      <c r="E198" s="778">
        <v>1722</v>
      </c>
      <c r="F198" s="778">
        <v>1991</v>
      </c>
      <c r="G198" s="778">
        <v>2222</v>
      </c>
      <c r="H198" s="779">
        <v>53520</v>
      </c>
      <c r="I198" s="779">
        <v>61200</v>
      </c>
      <c r="J198" s="779">
        <v>68880</v>
      </c>
      <c r="K198" s="779">
        <v>76560</v>
      </c>
      <c r="L198" s="779">
        <v>82720</v>
      </c>
      <c r="M198" s="779">
        <v>88880</v>
      </c>
      <c r="N198" s="779">
        <v>94880</v>
      </c>
      <c r="O198" s="779">
        <v>101040</v>
      </c>
      <c r="P198" s="41"/>
      <c r="Q198" s="41"/>
    </row>
    <row r="199" spans="1:17">
      <c r="A199" s="38"/>
      <c r="B199" s="781">
        <v>0.7</v>
      </c>
      <c r="C199" s="778">
        <v>1170</v>
      </c>
      <c r="D199" s="778">
        <v>1254</v>
      </c>
      <c r="E199" s="778">
        <v>1506</v>
      </c>
      <c r="F199" s="778">
        <v>1742</v>
      </c>
      <c r="G199" s="778">
        <v>1944</v>
      </c>
      <c r="H199" s="779">
        <v>46830</v>
      </c>
      <c r="I199" s="779">
        <v>53550</v>
      </c>
      <c r="J199" s="779">
        <v>60269.999999999993</v>
      </c>
      <c r="K199" s="779">
        <v>66990</v>
      </c>
      <c r="L199" s="779">
        <v>72380</v>
      </c>
      <c r="M199" s="779">
        <v>77770</v>
      </c>
      <c r="N199" s="779">
        <v>83020</v>
      </c>
      <c r="O199" s="779">
        <v>88410</v>
      </c>
      <c r="P199" s="41"/>
      <c r="Q199" s="41"/>
    </row>
    <row r="200" spans="1:17">
      <c r="A200" s="38"/>
      <c r="B200" s="781">
        <v>0.6</v>
      </c>
      <c r="C200" s="778">
        <v>1003</v>
      </c>
      <c r="D200" s="778">
        <v>1075</v>
      </c>
      <c r="E200" s="778">
        <v>1291</v>
      </c>
      <c r="F200" s="778">
        <v>1493</v>
      </c>
      <c r="G200" s="778">
        <v>1666</v>
      </c>
      <c r="H200" s="778">
        <v>40140</v>
      </c>
      <c r="I200" s="778">
        <v>45900</v>
      </c>
      <c r="J200" s="778">
        <v>51660</v>
      </c>
      <c r="K200" s="778">
        <v>57420</v>
      </c>
      <c r="L200" s="778">
        <v>62040</v>
      </c>
      <c r="M200" s="780">
        <v>66660</v>
      </c>
      <c r="N200" s="780">
        <v>71160</v>
      </c>
      <c r="O200" s="780">
        <v>75780</v>
      </c>
      <c r="P200" s="41"/>
      <c r="Q200" s="41"/>
    </row>
    <row r="201" spans="1:17">
      <c r="A201" s="38"/>
      <c r="B201" s="781">
        <v>0.55000000000000004</v>
      </c>
      <c r="C201" s="778">
        <v>919</v>
      </c>
      <c r="D201" s="778">
        <v>985</v>
      </c>
      <c r="E201" s="778">
        <v>1183</v>
      </c>
      <c r="F201" s="778">
        <v>1368</v>
      </c>
      <c r="G201" s="778">
        <v>1527</v>
      </c>
      <c r="H201" s="778">
        <v>36795</v>
      </c>
      <c r="I201" s="778">
        <v>42075</v>
      </c>
      <c r="J201" s="778">
        <v>47355.000000000007</v>
      </c>
      <c r="K201" s="778">
        <v>52635.000000000007</v>
      </c>
      <c r="L201" s="778">
        <v>56870.000000000007</v>
      </c>
      <c r="M201" s="778">
        <v>61105.000000000007</v>
      </c>
      <c r="N201" s="778">
        <v>65230.000000000007</v>
      </c>
      <c r="O201" s="778">
        <v>69465</v>
      </c>
      <c r="P201" s="41"/>
      <c r="Q201" s="41"/>
    </row>
    <row r="202" spans="1:17">
      <c r="A202" s="38"/>
      <c r="B202" s="781">
        <v>0.5</v>
      </c>
      <c r="C202" s="778">
        <v>836</v>
      </c>
      <c r="D202" s="778">
        <v>896</v>
      </c>
      <c r="E202" s="778">
        <v>1076</v>
      </c>
      <c r="F202" s="778">
        <v>1244</v>
      </c>
      <c r="G202" s="778">
        <v>1388</v>
      </c>
      <c r="H202" s="779">
        <v>33450</v>
      </c>
      <c r="I202" s="779">
        <v>38250</v>
      </c>
      <c r="J202" s="779">
        <v>43050</v>
      </c>
      <c r="K202" s="779">
        <v>47850</v>
      </c>
      <c r="L202" s="779">
        <v>51700</v>
      </c>
      <c r="M202" s="779">
        <v>55550</v>
      </c>
      <c r="N202" s="779">
        <v>59300</v>
      </c>
      <c r="O202" s="779">
        <v>63150</v>
      </c>
      <c r="P202" s="41"/>
      <c r="Q202" s="41"/>
    </row>
    <row r="203" spans="1:17">
      <c r="A203" s="38"/>
      <c r="B203" s="781">
        <v>0.45</v>
      </c>
      <c r="C203" s="778">
        <v>752</v>
      </c>
      <c r="D203" s="778">
        <v>806</v>
      </c>
      <c r="E203" s="778">
        <v>968</v>
      </c>
      <c r="F203" s="778">
        <v>1119</v>
      </c>
      <c r="G203" s="778">
        <v>1249</v>
      </c>
      <c r="H203" s="778">
        <v>30105</v>
      </c>
      <c r="I203" s="778">
        <v>34425</v>
      </c>
      <c r="J203" s="778">
        <v>38745</v>
      </c>
      <c r="K203" s="778">
        <v>43065</v>
      </c>
      <c r="L203" s="778">
        <v>46530</v>
      </c>
      <c r="M203" s="780">
        <v>49995</v>
      </c>
      <c r="N203" s="780">
        <v>53370</v>
      </c>
      <c r="O203" s="780">
        <v>56835</v>
      </c>
      <c r="P203" s="41"/>
      <c r="Q203" s="41"/>
    </row>
    <row r="204" spans="1:17">
      <c r="A204" s="38"/>
      <c r="B204" s="781">
        <v>0.4</v>
      </c>
      <c r="C204" s="778">
        <v>669</v>
      </c>
      <c r="D204" s="778">
        <v>717</v>
      </c>
      <c r="E204" s="778">
        <v>861</v>
      </c>
      <c r="F204" s="778">
        <v>995</v>
      </c>
      <c r="G204" s="778">
        <v>1111</v>
      </c>
      <c r="H204" s="778">
        <v>26760</v>
      </c>
      <c r="I204" s="778">
        <v>30600</v>
      </c>
      <c r="J204" s="778">
        <v>34440</v>
      </c>
      <c r="K204" s="778">
        <v>38280</v>
      </c>
      <c r="L204" s="778">
        <v>41360</v>
      </c>
      <c r="M204" s="780">
        <v>44440</v>
      </c>
      <c r="N204" s="780">
        <v>47440</v>
      </c>
      <c r="O204" s="780">
        <v>50520</v>
      </c>
      <c r="P204" s="41"/>
      <c r="Q204" s="41"/>
    </row>
    <row r="205" spans="1:17">
      <c r="A205" s="38"/>
      <c r="B205" s="522">
        <v>0.3</v>
      </c>
      <c r="C205" s="778">
        <v>501</v>
      </c>
      <c r="D205" s="778">
        <v>537</v>
      </c>
      <c r="E205" s="778">
        <v>645</v>
      </c>
      <c r="F205" s="778">
        <v>746</v>
      </c>
      <c r="G205" s="778">
        <v>833</v>
      </c>
      <c r="H205" s="779">
        <v>20070</v>
      </c>
      <c r="I205" s="779">
        <v>22950</v>
      </c>
      <c r="J205" s="779">
        <v>25830</v>
      </c>
      <c r="K205" s="779">
        <v>28710</v>
      </c>
      <c r="L205" s="779">
        <v>31020</v>
      </c>
      <c r="M205" s="779">
        <v>33330</v>
      </c>
      <c r="N205" s="779">
        <v>35580</v>
      </c>
      <c r="O205" s="779">
        <v>37890</v>
      </c>
      <c r="P205" s="41"/>
      <c r="Q205" s="41"/>
    </row>
    <row r="206" spans="1:17" ht="13.5" thickBot="1">
      <c r="A206" s="38"/>
      <c r="B206" s="40">
        <v>0.2</v>
      </c>
      <c r="C206" s="524">
        <v>334</v>
      </c>
      <c r="D206" s="524">
        <v>358</v>
      </c>
      <c r="E206" s="524">
        <v>430</v>
      </c>
      <c r="F206" s="524">
        <v>497</v>
      </c>
      <c r="G206" s="524">
        <v>555</v>
      </c>
      <c r="H206" s="525">
        <v>13380</v>
      </c>
      <c r="I206" s="525">
        <v>15300</v>
      </c>
      <c r="J206" s="525">
        <v>17220</v>
      </c>
      <c r="K206" s="525">
        <v>19140</v>
      </c>
      <c r="L206" s="525">
        <v>20680</v>
      </c>
      <c r="M206" s="525">
        <v>22220</v>
      </c>
      <c r="N206" s="525">
        <v>23720</v>
      </c>
      <c r="O206" s="525">
        <v>25260</v>
      </c>
      <c r="P206" s="41"/>
      <c r="Q206" s="41"/>
    </row>
    <row r="207" spans="1:17" ht="13.5" thickTop="1">
      <c r="A207" s="36"/>
      <c r="B207" s="37">
        <v>1.2</v>
      </c>
      <c r="C207" s="526">
        <v>2739</v>
      </c>
      <c r="D207" s="526">
        <v>2935</v>
      </c>
      <c r="E207" s="526">
        <v>3522</v>
      </c>
      <c r="F207" s="526">
        <v>4069</v>
      </c>
      <c r="G207" s="526">
        <v>4539</v>
      </c>
      <c r="H207" s="526">
        <v>109560</v>
      </c>
      <c r="I207" s="526">
        <v>125280</v>
      </c>
      <c r="J207" s="526">
        <v>140880</v>
      </c>
      <c r="K207" s="526">
        <v>156480</v>
      </c>
      <c r="L207" s="526">
        <v>169080</v>
      </c>
      <c r="M207" s="526">
        <v>181560</v>
      </c>
      <c r="N207" s="526">
        <v>194040</v>
      </c>
      <c r="O207" s="526">
        <v>206640</v>
      </c>
      <c r="P207" s="39"/>
      <c r="Q207" s="39"/>
    </row>
    <row r="208" spans="1:17">
      <c r="A208" s="38"/>
      <c r="B208" s="781">
        <v>1</v>
      </c>
      <c r="C208" s="778">
        <v>2282</v>
      </c>
      <c r="D208" s="778">
        <v>2446</v>
      </c>
      <c r="E208" s="778">
        <v>2935</v>
      </c>
      <c r="F208" s="778">
        <v>3391</v>
      </c>
      <c r="G208" s="778">
        <v>3782</v>
      </c>
      <c r="H208" s="778">
        <v>91300</v>
      </c>
      <c r="I208" s="778">
        <v>104400</v>
      </c>
      <c r="J208" s="778">
        <v>117400</v>
      </c>
      <c r="K208" s="778">
        <v>130400</v>
      </c>
      <c r="L208" s="778">
        <v>140900</v>
      </c>
      <c r="M208" s="778">
        <v>151300</v>
      </c>
      <c r="N208" s="778">
        <v>161700</v>
      </c>
      <c r="O208" s="778">
        <v>172200</v>
      </c>
      <c r="P208" s="39"/>
      <c r="Q208" s="39"/>
    </row>
    <row r="209" spans="1:17">
      <c r="A209" s="38" t="s">
        <v>1283</v>
      </c>
      <c r="B209" s="781">
        <v>0.8</v>
      </c>
      <c r="C209" s="778">
        <v>1826</v>
      </c>
      <c r="D209" s="778">
        <v>1957</v>
      </c>
      <c r="E209" s="778">
        <v>2348</v>
      </c>
      <c r="F209" s="778">
        <v>2713</v>
      </c>
      <c r="G209" s="778">
        <v>3026</v>
      </c>
      <c r="H209" s="779">
        <v>73040</v>
      </c>
      <c r="I209" s="779">
        <v>83520</v>
      </c>
      <c r="J209" s="779">
        <v>93920</v>
      </c>
      <c r="K209" s="779">
        <v>104320</v>
      </c>
      <c r="L209" s="779">
        <v>112720</v>
      </c>
      <c r="M209" s="779">
        <v>121040</v>
      </c>
      <c r="N209" s="779">
        <v>129360</v>
      </c>
      <c r="O209" s="779">
        <v>137760</v>
      </c>
      <c r="P209" s="39"/>
      <c r="Q209" s="39"/>
    </row>
    <row r="210" spans="1:17">
      <c r="A210" s="38"/>
      <c r="B210" s="781">
        <v>0.7</v>
      </c>
      <c r="C210" s="778">
        <v>1597</v>
      </c>
      <c r="D210" s="778">
        <v>1712</v>
      </c>
      <c r="E210" s="778">
        <v>2054</v>
      </c>
      <c r="F210" s="778">
        <v>2373</v>
      </c>
      <c r="G210" s="778">
        <v>2647</v>
      </c>
      <c r="H210" s="779">
        <v>63909.999999999993</v>
      </c>
      <c r="I210" s="779">
        <v>73080</v>
      </c>
      <c r="J210" s="779">
        <v>82180</v>
      </c>
      <c r="K210" s="779">
        <v>91280</v>
      </c>
      <c r="L210" s="779">
        <v>98630</v>
      </c>
      <c r="M210" s="779">
        <v>105910</v>
      </c>
      <c r="N210" s="779">
        <v>113190</v>
      </c>
      <c r="O210" s="779">
        <v>120539.99999999999</v>
      </c>
      <c r="P210" s="39"/>
      <c r="Q210" s="39"/>
    </row>
    <row r="211" spans="1:17">
      <c r="A211" s="38"/>
      <c r="B211" s="781">
        <v>0.6</v>
      </c>
      <c r="C211" s="778">
        <v>1369</v>
      </c>
      <c r="D211" s="778">
        <v>1467</v>
      </c>
      <c r="E211" s="778">
        <v>1761</v>
      </c>
      <c r="F211" s="778">
        <v>2034</v>
      </c>
      <c r="G211" s="778">
        <v>2269</v>
      </c>
      <c r="H211" s="778">
        <v>54780</v>
      </c>
      <c r="I211" s="778">
        <v>62640</v>
      </c>
      <c r="J211" s="778">
        <v>70440</v>
      </c>
      <c r="K211" s="778">
        <v>78240</v>
      </c>
      <c r="L211" s="778">
        <v>84540</v>
      </c>
      <c r="M211" s="780">
        <v>90780</v>
      </c>
      <c r="N211" s="780">
        <v>97020</v>
      </c>
      <c r="O211" s="780">
        <v>103320</v>
      </c>
      <c r="P211" s="39"/>
      <c r="Q211" s="39"/>
    </row>
    <row r="212" spans="1:17">
      <c r="A212" s="38"/>
      <c r="B212" s="781">
        <v>0.55000000000000004</v>
      </c>
      <c r="C212" s="778">
        <v>1255</v>
      </c>
      <c r="D212" s="778">
        <v>1345</v>
      </c>
      <c r="E212" s="778">
        <v>1614</v>
      </c>
      <c r="F212" s="778">
        <v>1865</v>
      </c>
      <c r="G212" s="778">
        <v>2080</v>
      </c>
      <c r="H212" s="778">
        <v>50215.000000000007</v>
      </c>
      <c r="I212" s="778">
        <v>57420.000000000007</v>
      </c>
      <c r="J212" s="778">
        <v>64570.000000000007</v>
      </c>
      <c r="K212" s="778">
        <v>71720</v>
      </c>
      <c r="L212" s="778">
        <v>77495</v>
      </c>
      <c r="M212" s="778">
        <v>83215</v>
      </c>
      <c r="N212" s="778">
        <v>88935</v>
      </c>
      <c r="O212" s="778">
        <v>94710.000000000015</v>
      </c>
      <c r="P212" s="39"/>
      <c r="Q212" s="39"/>
    </row>
    <row r="213" spans="1:17">
      <c r="A213" s="38"/>
      <c r="B213" s="781">
        <v>0.5</v>
      </c>
      <c r="C213" s="778">
        <v>1141</v>
      </c>
      <c r="D213" s="778">
        <v>1223</v>
      </c>
      <c r="E213" s="778">
        <v>1467</v>
      </c>
      <c r="F213" s="778">
        <v>1695</v>
      </c>
      <c r="G213" s="778">
        <v>1891</v>
      </c>
      <c r="H213" s="779">
        <v>45650</v>
      </c>
      <c r="I213" s="779">
        <v>52200</v>
      </c>
      <c r="J213" s="779">
        <v>58700</v>
      </c>
      <c r="K213" s="779">
        <v>65200</v>
      </c>
      <c r="L213" s="779">
        <v>70450</v>
      </c>
      <c r="M213" s="779">
        <v>75650</v>
      </c>
      <c r="N213" s="779">
        <v>80850</v>
      </c>
      <c r="O213" s="779">
        <v>86100</v>
      </c>
      <c r="P213" s="39"/>
      <c r="Q213" s="39"/>
    </row>
    <row r="214" spans="1:17">
      <c r="A214" s="38"/>
      <c r="B214" s="781">
        <v>0.45</v>
      </c>
      <c r="C214" s="778">
        <v>1027</v>
      </c>
      <c r="D214" s="778">
        <v>1100</v>
      </c>
      <c r="E214" s="778">
        <v>1320</v>
      </c>
      <c r="F214" s="778">
        <v>1526</v>
      </c>
      <c r="G214" s="778">
        <v>1702</v>
      </c>
      <c r="H214" s="778">
        <v>41085</v>
      </c>
      <c r="I214" s="778">
        <v>46980</v>
      </c>
      <c r="J214" s="778">
        <v>52830</v>
      </c>
      <c r="K214" s="778">
        <v>58680</v>
      </c>
      <c r="L214" s="778">
        <v>63405</v>
      </c>
      <c r="M214" s="780">
        <v>68085</v>
      </c>
      <c r="N214" s="780">
        <v>72765</v>
      </c>
      <c r="O214" s="780">
        <v>77490</v>
      </c>
      <c r="P214" s="39"/>
      <c r="Q214" s="39"/>
    </row>
    <row r="215" spans="1:17">
      <c r="A215" s="38"/>
      <c r="B215" s="781">
        <v>0.4</v>
      </c>
      <c r="C215" s="778">
        <v>913</v>
      </c>
      <c r="D215" s="778">
        <v>978</v>
      </c>
      <c r="E215" s="778">
        <v>1174</v>
      </c>
      <c r="F215" s="778">
        <v>1356</v>
      </c>
      <c r="G215" s="778">
        <v>1513</v>
      </c>
      <c r="H215" s="778">
        <v>36520</v>
      </c>
      <c r="I215" s="778">
        <v>41760</v>
      </c>
      <c r="J215" s="778">
        <v>46960</v>
      </c>
      <c r="K215" s="778">
        <v>52160</v>
      </c>
      <c r="L215" s="778">
        <v>56360</v>
      </c>
      <c r="M215" s="780">
        <v>60520</v>
      </c>
      <c r="N215" s="780">
        <v>64680</v>
      </c>
      <c r="O215" s="780">
        <v>68880</v>
      </c>
      <c r="P215" s="39"/>
      <c r="Q215" s="39"/>
    </row>
    <row r="216" spans="1:17">
      <c r="A216" s="38"/>
      <c r="B216" s="522">
        <v>0.3</v>
      </c>
      <c r="C216" s="778">
        <v>684</v>
      </c>
      <c r="D216" s="778">
        <v>733</v>
      </c>
      <c r="E216" s="778">
        <v>880</v>
      </c>
      <c r="F216" s="778">
        <v>1017</v>
      </c>
      <c r="G216" s="778">
        <v>1134</v>
      </c>
      <c r="H216" s="779">
        <v>27390</v>
      </c>
      <c r="I216" s="779">
        <v>31320</v>
      </c>
      <c r="J216" s="779">
        <v>35220</v>
      </c>
      <c r="K216" s="779">
        <v>39120</v>
      </c>
      <c r="L216" s="779">
        <v>42270</v>
      </c>
      <c r="M216" s="779">
        <v>45390</v>
      </c>
      <c r="N216" s="779">
        <v>48510</v>
      </c>
      <c r="O216" s="779">
        <v>51660</v>
      </c>
      <c r="P216" s="39"/>
      <c r="Q216" s="39"/>
    </row>
    <row r="217" spans="1:17" ht="13.5" thickBot="1">
      <c r="A217" s="782"/>
      <c r="B217" s="40">
        <v>0.2</v>
      </c>
      <c r="C217" s="524">
        <v>456</v>
      </c>
      <c r="D217" s="524">
        <v>489</v>
      </c>
      <c r="E217" s="524">
        <v>587</v>
      </c>
      <c r="F217" s="524">
        <v>678</v>
      </c>
      <c r="G217" s="524">
        <v>756</v>
      </c>
      <c r="H217" s="525">
        <v>18260</v>
      </c>
      <c r="I217" s="525">
        <v>20880</v>
      </c>
      <c r="J217" s="525">
        <v>23480</v>
      </c>
      <c r="K217" s="525">
        <v>26080</v>
      </c>
      <c r="L217" s="525">
        <v>28180</v>
      </c>
      <c r="M217" s="525">
        <v>30260</v>
      </c>
      <c r="N217" s="525">
        <v>32340</v>
      </c>
      <c r="O217" s="525">
        <v>34440</v>
      </c>
      <c r="P217" s="41"/>
      <c r="Q217" s="41"/>
    </row>
    <row r="218" spans="1:17" ht="13.5" thickTop="1">
      <c r="A218" s="44"/>
      <c r="B218" s="37">
        <v>1.2</v>
      </c>
      <c r="C218" s="526">
        <v>2733</v>
      </c>
      <c r="D218" s="526">
        <v>2928</v>
      </c>
      <c r="E218" s="526">
        <v>3513</v>
      </c>
      <c r="F218" s="526">
        <v>4059</v>
      </c>
      <c r="G218" s="526">
        <v>4530</v>
      </c>
      <c r="H218" s="526">
        <v>109320</v>
      </c>
      <c r="I218" s="526">
        <v>124920</v>
      </c>
      <c r="J218" s="526">
        <v>140520</v>
      </c>
      <c r="K218" s="526">
        <v>156120</v>
      </c>
      <c r="L218" s="526">
        <v>168600</v>
      </c>
      <c r="M218" s="526">
        <v>181200</v>
      </c>
      <c r="N218" s="526">
        <v>193560</v>
      </c>
      <c r="O218" s="526">
        <v>206160</v>
      </c>
      <c r="P218" s="39"/>
      <c r="Q218" s="39"/>
    </row>
    <row r="219" spans="1:17">
      <c r="A219" s="38"/>
      <c r="B219" s="781">
        <v>1</v>
      </c>
      <c r="C219" s="778">
        <v>2277</v>
      </c>
      <c r="D219" s="778">
        <v>2440</v>
      </c>
      <c r="E219" s="778">
        <v>2927</v>
      </c>
      <c r="F219" s="778">
        <v>3382</v>
      </c>
      <c r="G219" s="778">
        <v>3775</v>
      </c>
      <c r="H219" s="778">
        <v>91100</v>
      </c>
      <c r="I219" s="778">
        <v>104100</v>
      </c>
      <c r="J219" s="778">
        <v>117100</v>
      </c>
      <c r="K219" s="778">
        <v>130100</v>
      </c>
      <c r="L219" s="778">
        <v>140500</v>
      </c>
      <c r="M219" s="778">
        <v>151000</v>
      </c>
      <c r="N219" s="778">
        <v>161300</v>
      </c>
      <c r="O219" s="778">
        <v>171800</v>
      </c>
      <c r="P219" s="39"/>
      <c r="Q219" s="39"/>
    </row>
    <row r="220" spans="1:17">
      <c r="A220" s="38" t="s">
        <v>1284</v>
      </c>
      <c r="B220" s="781">
        <v>0.8</v>
      </c>
      <c r="C220" s="778">
        <v>1822</v>
      </c>
      <c r="D220" s="778">
        <v>1952</v>
      </c>
      <c r="E220" s="778">
        <v>2342</v>
      </c>
      <c r="F220" s="778">
        <v>2706</v>
      </c>
      <c r="G220" s="778">
        <v>3020</v>
      </c>
      <c r="H220" s="779">
        <v>72880</v>
      </c>
      <c r="I220" s="779">
        <v>83280</v>
      </c>
      <c r="J220" s="779">
        <v>93680</v>
      </c>
      <c r="K220" s="779">
        <v>104080</v>
      </c>
      <c r="L220" s="779">
        <v>112400</v>
      </c>
      <c r="M220" s="779">
        <v>120800</v>
      </c>
      <c r="N220" s="779">
        <v>129040</v>
      </c>
      <c r="O220" s="779">
        <v>137440</v>
      </c>
      <c r="P220" s="39"/>
      <c r="Q220" s="39"/>
    </row>
    <row r="221" spans="1:17">
      <c r="A221" s="38"/>
      <c r="B221" s="781">
        <v>0.7</v>
      </c>
      <c r="C221" s="778">
        <v>1594</v>
      </c>
      <c r="D221" s="778">
        <v>1708</v>
      </c>
      <c r="E221" s="778">
        <v>2049</v>
      </c>
      <c r="F221" s="778">
        <v>2367</v>
      </c>
      <c r="G221" s="778">
        <v>2642</v>
      </c>
      <c r="H221" s="779">
        <v>63769.999999999993</v>
      </c>
      <c r="I221" s="779">
        <v>72870</v>
      </c>
      <c r="J221" s="779">
        <v>81970</v>
      </c>
      <c r="K221" s="779">
        <v>91070</v>
      </c>
      <c r="L221" s="779">
        <v>98350</v>
      </c>
      <c r="M221" s="779">
        <v>105700</v>
      </c>
      <c r="N221" s="779">
        <v>112910</v>
      </c>
      <c r="O221" s="779">
        <v>120259.99999999999</v>
      </c>
      <c r="P221" s="39"/>
      <c r="Q221" s="39"/>
    </row>
    <row r="222" spans="1:17">
      <c r="A222" s="38"/>
      <c r="B222" s="781">
        <v>0.6</v>
      </c>
      <c r="C222" s="778">
        <v>1366</v>
      </c>
      <c r="D222" s="778">
        <v>1464</v>
      </c>
      <c r="E222" s="778">
        <v>1756</v>
      </c>
      <c r="F222" s="778">
        <v>2029</v>
      </c>
      <c r="G222" s="778">
        <v>2265</v>
      </c>
      <c r="H222" s="778">
        <v>54660</v>
      </c>
      <c r="I222" s="778">
        <v>62460</v>
      </c>
      <c r="J222" s="778">
        <v>70260</v>
      </c>
      <c r="K222" s="778">
        <v>78060</v>
      </c>
      <c r="L222" s="778">
        <v>84300</v>
      </c>
      <c r="M222" s="780">
        <v>90600</v>
      </c>
      <c r="N222" s="780">
        <v>96780</v>
      </c>
      <c r="O222" s="780">
        <v>103080</v>
      </c>
      <c r="P222" s="39"/>
      <c r="Q222" s="39"/>
    </row>
    <row r="223" spans="1:17">
      <c r="A223" s="38"/>
      <c r="B223" s="781">
        <v>0.55000000000000004</v>
      </c>
      <c r="C223" s="778">
        <v>1252</v>
      </c>
      <c r="D223" s="778">
        <v>1342</v>
      </c>
      <c r="E223" s="778">
        <v>1610</v>
      </c>
      <c r="F223" s="778">
        <v>1860</v>
      </c>
      <c r="G223" s="778">
        <v>2076</v>
      </c>
      <c r="H223" s="778">
        <v>50105.000000000007</v>
      </c>
      <c r="I223" s="778">
        <v>57255.000000000007</v>
      </c>
      <c r="J223" s="778">
        <v>64405.000000000007</v>
      </c>
      <c r="K223" s="778">
        <v>71555</v>
      </c>
      <c r="L223" s="778">
        <v>77275</v>
      </c>
      <c r="M223" s="778">
        <v>83050</v>
      </c>
      <c r="N223" s="778">
        <v>88715</v>
      </c>
      <c r="O223" s="778">
        <v>94490.000000000015</v>
      </c>
      <c r="P223" s="39"/>
      <c r="Q223" s="39"/>
    </row>
    <row r="224" spans="1:17">
      <c r="A224" s="38"/>
      <c r="B224" s="781">
        <v>0.5</v>
      </c>
      <c r="C224" s="778">
        <v>1138</v>
      </c>
      <c r="D224" s="778">
        <v>1220</v>
      </c>
      <c r="E224" s="778">
        <v>1463</v>
      </c>
      <c r="F224" s="778">
        <v>1691</v>
      </c>
      <c r="G224" s="778">
        <v>1887</v>
      </c>
      <c r="H224" s="779">
        <v>45550</v>
      </c>
      <c r="I224" s="779">
        <v>52050</v>
      </c>
      <c r="J224" s="779">
        <v>58550</v>
      </c>
      <c r="K224" s="779">
        <v>65050</v>
      </c>
      <c r="L224" s="779">
        <v>70250</v>
      </c>
      <c r="M224" s="779">
        <v>75500</v>
      </c>
      <c r="N224" s="779">
        <v>80650</v>
      </c>
      <c r="O224" s="779">
        <v>85900</v>
      </c>
      <c r="P224" s="39"/>
      <c r="Q224" s="39"/>
    </row>
    <row r="225" spans="1:17">
      <c r="A225" s="38"/>
      <c r="B225" s="781">
        <v>0.45</v>
      </c>
      <c r="C225" s="778">
        <v>1024</v>
      </c>
      <c r="D225" s="778">
        <v>1098</v>
      </c>
      <c r="E225" s="778">
        <v>1317</v>
      </c>
      <c r="F225" s="778">
        <v>1522</v>
      </c>
      <c r="G225" s="778">
        <v>1698</v>
      </c>
      <c r="H225" s="778">
        <v>40995</v>
      </c>
      <c r="I225" s="778">
        <v>46845</v>
      </c>
      <c r="J225" s="778">
        <v>52695</v>
      </c>
      <c r="K225" s="778">
        <v>58545</v>
      </c>
      <c r="L225" s="778">
        <v>63225</v>
      </c>
      <c r="M225" s="780">
        <v>67950</v>
      </c>
      <c r="N225" s="780">
        <v>72585</v>
      </c>
      <c r="O225" s="780">
        <v>77310</v>
      </c>
      <c r="P225" s="39"/>
      <c r="Q225" s="39"/>
    </row>
    <row r="226" spans="1:17">
      <c r="A226" s="38"/>
      <c r="B226" s="781">
        <v>0.4</v>
      </c>
      <c r="C226" s="778">
        <v>911</v>
      </c>
      <c r="D226" s="778">
        <v>976</v>
      </c>
      <c r="E226" s="778">
        <v>1171</v>
      </c>
      <c r="F226" s="778">
        <v>1353</v>
      </c>
      <c r="G226" s="778">
        <v>1510</v>
      </c>
      <c r="H226" s="778">
        <v>36440</v>
      </c>
      <c r="I226" s="778">
        <v>41640</v>
      </c>
      <c r="J226" s="778">
        <v>46840</v>
      </c>
      <c r="K226" s="778">
        <v>52040</v>
      </c>
      <c r="L226" s="778">
        <v>56200</v>
      </c>
      <c r="M226" s="780">
        <v>60400</v>
      </c>
      <c r="N226" s="780">
        <v>64520</v>
      </c>
      <c r="O226" s="780">
        <v>68720</v>
      </c>
      <c r="P226" s="39"/>
      <c r="Q226" s="39"/>
    </row>
    <row r="227" spans="1:17">
      <c r="A227" s="38"/>
      <c r="B227" s="522">
        <v>0.3</v>
      </c>
      <c r="C227" s="778">
        <v>683</v>
      </c>
      <c r="D227" s="778">
        <v>732</v>
      </c>
      <c r="E227" s="778">
        <v>878</v>
      </c>
      <c r="F227" s="778">
        <v>1014</v>
      </c>
      <c r="G227" s="778">
        <v>1132</v>
      </c>
      <c r="H227" s="779">
        <v>27330</v>
      </c>
      <c r="I227" s="779">
        <v>31230</v>
      </c>
      <c r="J227" s="779">
        <v>35130</v>
      </c>
      <c r="K227" s="779">
        <v>39030</v>
      </c>
      <c r="L227" s="779">
        <v>42150</v>
      </c>
      <c r="M227" s="779">
        <v>45300</v>
      </c>
      <c r="N227" s="779">
        <v>48390</v>
      </c>
      <c r="O227" s="779">
        <v>51540</v>
      </c>
      <c r="P227" s="39"/>
      <c r="Q227" s="39"/>
    </row>
    <row r="228" spans="1:17" ht="13.5" thickBot="1">
      <c r="A228" s="782"/>
      <c r="B228" s="40">
        <v>0.2</v>
      </c>
      <c r="C228" s="524">
        <v>455</v>
      </c>
      <c r="D228" s="524">
        <v>488</v>
      </c>
      <c r="E228" s="524">
        <v>585</v>
      </c>
      <c r="F228" s="524">
        <v>676</v>
      </c>
      <c r="G228" s="524">
        <v>755</v>
      </c>
      <c r="H228" s="525">
        <v>18220</v>
      </c>
      <c r="I228" s="525">
        <v>20820</v>
      </c>
      <c r="J228" s="525">
        <v>23420</v>
      </c>
      <c r="K228" s="525">
        <v>26020</v>
      </c>
      <c r="L228" s="525">
        <v>28100</v>
      </c>
      <c r="M228" s="525">
        <v>30200</v>
      </c>
      <c r="N228" s="525">
        <v>32260</v>
      </c>
      <c r="O228" s="525">
        <v>34360</v>
      </c>
      <c r="P228" s="45"/>
      <c r="Q228" s="45"/>
    </row>
    <row r="229" spans="1:17" ht="13.5" thickTop="1">
      <c r="A229" s="36"/>
      <c r="B229" s="37">
        <v>1.2</v>
      </c>
      <c r="C229" s="526">
        <v>2184</v>
      </c>
      <c r="D229" s="526">
        <v>2340</v>
      </c>
      <c r="E229" s="526">
        <v>2808</v>
      </c>
      <c r="F229" s="526">
        <v>3246</v>
      </c>
      <c r="G229" s="526">
        <v>3621</v>
      </c>
      <c r="H229" s="526">
        <v>87360</v>
      </c>
      <c r="I229" s="526">
        <v>99840</v>
      </c>
      <c r="J229" s="526">
        <v>112320</v>
      </c>
      <c r="K229" s="526">
        <v>124800</v>
      </c>
      <c r="L229" s="526">
        <v>134880</v>
      </c>
      <c r="M229" s="526">
        <v>144840</v>
      </c>
      <c r="N229" s="526">
        <v>154800</v>
      </c>
      <c r="O229" s="526">
        <v>164760</v>
      </c>
      <c r="P229" s="39"/>
      <c r="Q229" s="39"/>
    </row>
    <row r="230" spans="1:17">
      <c r="A230" s="38"/>
      <c r="B230" s="781">
        <v>1</v>
      </c>
      <c r="C230" s="778">
        <v>1820</v>
      </c>
      <c r="D230" s="778">
        <v>1950</v>
      </c>
      <c r="E230" s="778">
        <v>2340</v>
      </c>
      <c r="F230" s="778">
        <v>2705</v>
      </c>
      <c r="G230" s="778">
        <v>3017</v>
      </c>
      <c r="H230" s="778">
        <v>72800</v>
      </c>
      <c r="I230" s="778">
        <v>83200</v>
      </c>
      <c r="J230" s="778">
        <v>93600</v>
      </c>
      <c r="K230" s="778">
        <v>104000</v>
      </c>
      <c r="L230" s="778">
        <v>112400</v>
      </c>
      <c r="M230" s="778">
        <v>120700</v>
      </c>
      <c r="N230" s="778">
        <v>129000</v>
      </c>
      <c r="O230" s="778">
        <v>137300</v>
      </c>
      <c r="P230" s="39"/>
      <c r="Q230" s="39"/>
    </row>
    <row r="231" spans="1:17">
      <c r="A231" s="38" t="s">
        <v>1285</v>
      </c>
      <c r="B231" s="781">
        <v>0.8</v>
      </c>
      <c r="C231" s="778">
        <v>1456</v>
      </c>
      <c r="D231" s="778">
        <v>1560</v>
      </c>
      <c r="E231" s="778">
        <v>1872</v>
      </c>
      <c r="F231" s="778">
        <v>2164</v>
      </c>
      <c r="G231" s="778">
        <v>2414</v>
      </c>
      <c r="H231" s="779">
        <v>58240</v>
      </c>
      <c r="I231" s="779">
        <v>66560</v>
      </c>
      <c r="J231" s="779">
        <v>74880</v>
      </c>
      <c r="K231" s="779">
        <v>83200</v>
      </c>
      <c r="L231" s="779">
        <v>89920</v>
      </c>
      <c r="M231" s="779">
        <v>96560</v>
      </c>
      <c r="N231" s="779">
        <v>103200</v>
      </c>
      <c r="O231" s="779">
        <v>109840</v>
      </c>
      <c r="P231" s="39"/>
      <c r="Q231" s="39"/>
    </row>
    <row r="232" spans="1:17">
      <c r="A232" s="38"/>
      <c r="B232" s="781">
        <v>0.7</v>
      </c>
      <c r="C232" s="778">
        <v>1274</v>
      </c>
      <c r="D232" s="778">
        <v>1365</v>
      </c>
      <c r="E232" s="778">
        <v>1638</v>
      </c>
      <c r="F232" s="778">
        <v>1893</v>
      </c>
      <c r="G232" s="778">
        <v>2112</v>
      </c>
      <c r="H232" s="779">
        <v>50960</v>
      </c>
      <c r="I232" s="779">
        <v>58239.999999999993</v>
      </c>
      <c r="J232" s="779">
        <v>65519.999999999993</v>
      </c>
      <c r="K232" s="779">
        <v>72800</v>
      </c>
      <c r="L232" s="779">
        <v>78680</v>
      </c>
      <c r="M232" s="779">
        <v>84490</v>
      </c>
      <c r="N232" s="779">
        <v>90300</v>
      </c>
      <c r="O232" s="779">
        <v>96110</v>
      </c>
      <c r="P232" s="39"/>
      <c r="Q232" s="39"/>
    </row>
    <row r="233" spans="1:17">
      <c r="A233" s="38"/>
      <c r="B233" s="781">
        <v>0.6</v>
      </c>
      <c r="C233" s="778">
        <v>1092</v>
      </c>
      <c r="D233" s="778">
        <v>1170</v>
      </c>
      <c r="E233" s="778">
        <v>1404</v>
      </c>
      <c r="F233" s="778">
        <v>1623</v>
      </c>
      <c r="G233" s="778">
        <v>1810</v>
      </c>
      <c r="H233" s="778">
        <v>43680</v>
      </c>
      <c r="I233" s="778">
        <v>49920</v>
      </c>
      <c r="J233" s="778">
        <v>56160</v>
      </c>
      <c r="K233" s="778">
        <v>62400</v>
      </c>
      <c r="L233" s="778">
        <v>67440</v>
      </c>
      <c r="M233" s="780">
        <v>72420</v>
      </c>
      <c r="N233" s="780">
        <v>77400</v>
      </c>
      <c r="O233" s="780">
        <v>82380</v>
      </c>
      <c r="P233" s="39"/>
      <c r="Q233" s="39"/>
    </row>
    <row r="234" spans="1:17">
      <c r="A234" s="38"/>
      <c r="B234" s="781">
        <v>0.55000000000000004</v>
      </c>
      <c r="C234" s="778">
        <v>1001</v>
      </c>
      <c r="D234" s="778">
        <v>1072</v>
      </c>
      <c r="E234" s="778">
        <v>1287</v>
      </c>
      <c r="F234" s="778">
        <v>1487</v>
      </c>
      <c r="G234" s="778">
        <v>1659</v>
      </c>
      <c r="H234" s="778">
        <v>40040</v>
      </c>
      <c r="I234" s="778">
        <v>45760.000000000007</v>
      </c>
      <c r="J234" s="778">
        <v>51480.000000000007</v>
      </c>
      <c r="K234" s="778">
        <v>57200.000000000007</v>
      </c>
      <c r="L234" s="778">
        <v>61820.000000000007</v>
      </c>
      <c r="M234" s="778">
        <v>66385</v>
      </c>
      <c r="N234" s="778">
        <v>70950</v>
      </c>
      <c r="O234" s="778">
        <v>75515</v>
      </c>
      <c r="P234" s="39"/>
      <c r="Q234" s="39"/>
    </row>
    <row r="235" spans="1:17">
      <c r="A235" s="38"/>
      <c r="B235" s="781">
        <v>0.5</v>
      </c>
      <c r="C235" s="778">
        <v>910</v>
      </c>
      <c r="D235" s="778">
        <v>975</v>
      </c>
      <c r="E235" s="778">
        <v>1170</v>
      </c>
      <c r="F235" s="778">
        <v>1352</v>
      </c>
      <c r="G235" s="778">
        <v>1508</v>
      </c>
      <c r="H235" s="779">
        <v>36400</v>
      </c>
      <c r="I235" s="779">
        <v>41600</v>
      </c>
      <c r="J235" s="779">
        <v>46800</v>
      </c>
      <c r="K235" s="779">
        <v>52000</v>
      </c>
      <c r="L235" s="779">
        <v>56200</v>
      </c>
      <c r="M235" s="779">
        <v>60350</v>
      </c>
      <c r="N235" s="779">
        <v>64500</v>
      </c>
      <c r="O235" s="779">
        <v>68650</v>
      </c>
      <c r="P235" s="39"/>
      <c r="Q235" s="39"/>
    </row>
    <row r="236" spans="1:17">
      <c r="A236" s="38"/>
      <c r="B236" s="781">
        <v>0.45</v>
      </c>
      <c r="C236" s="778">
        <v>819</v>
      </c>
      <c r="D236" s="778">
        <v>877</v>
      </c>
      <c r="E236" s="778">
        <v>1053</v>
      </c>
      <c r="F236" s="778">
        <v>1217</v>
      </c>
      <c r="G236" s="778">
        <v>1357</v>
      </c>
      <c r="H236" s="778">
        <v>32760</v>
      </c>
      <c r="I236" s="778">
        <v>37440</v>
      </c>
      <c r="J236" s="778">
        <v>42120</v>
      </c>
      <c r="K236" s="778">
        <v>46800</v>
      </c>
      <c r="L236" s="778">
        <v>50580</v>
      </c>
      <c r="M236" s="780">
        <v>54315</v>
      </c>
      <c r="N236" s="780">
        <v>58050</v>
      </c>
      <c r="O236" s="780">
        <v>61785</v>
      </c>
      <c r="P236" s="39"/>
      <c r="Q236" s="39"/>
    </row>
    <row r="237" spans="1:17">
      <c r="A237" s="38"/>
      <c r="B237" s="781">
        <v>0.4</v>
      </c>
      <c r="C237" s="778">
        <v>728</v>
      </c>
      <c r="D237" s="778">
        <v>780</v>
      </c>
      <c r="E237" s="778">
        <v>936</v>
      </c>
      <c r="F237" s="778">
        <v>1082</v>
      </c>
      <c r="G237" s="778">
        <v>1207</v>
      </c>
      <c r="H237" s="778">
        <v>29120</v>
      </c>
      <c r="I237" s="778">
        <v>33280</v>
      </c>
      <c r="J237" s="778">
        <v>37440</v>
      </c>
      <c r="K237" s="778">
        <v>41600</v>
      </c>
      <c r="L237" s="778">
        <v>44960</v>
      </c>
      <c r="M237" s="780">
        <v>48280</v>
      </c>
      <c r="N237" s="780">
        <v>51600</v>
      </c>
      <c r="O237" s="780">
        <v>54920</v>
      </c>
      <c r="P237" s="39"/>
      <c r="Q237" s="39"/>
    </row>
    <row r="238" spans="1:17">
      <c r="A238" s="38"/>
      <c r="B238" s="522">
        <v>0.3</v>
      </c>
      <c r="C238" s="778">
        <v>546</v>
      </c>
      <c r="D238" s="778">
        <v>585</v>
      </c>
      <c r="E238" s="778">
        <v>702</v>
      </c>
      <c r="F238" s="778">
        <v>811</v>
      </c>
      <c r="G238" s="778">
        <v>905</v>
      </c>
      <c r="H238" s="779">
        <v>21840</v>
      </c>
      <c r="I238" s="779">
        <v>24960</v>
      </c>
      <c r="J238" s="779">
        <v>28080</v>
      </c>
      <c r="K238" s="779">
        <v>31200</v>
      </c>
      <c r="L238" s="779">
        <v>33720</v>
      </c>
      <c r="M238" s="779">
        <v>36210</v>
      </c>
      <c r="N238" s="779">
        <v>38700</v>
      </c>
      <c r="O238" s="779">
        <v>41190</v>
      </c>
      <c r="P238" s="39"/>
      <c r="Q238" s="39"/>
    </row>
    <row r="239" spans="1:17" ht="13.5" thickBot="1">
      <c r="A239" s="38"/>
      <c r="B239" s="40">
        <v>0.2</v>
      </c>
      <c r="C239" s="524">
        <v>364</v>
      </c>
      <c r="D239" s="524">
        <v>390</v>
      </c>
      <c r="E239" s="524">
        <v>468</v>
      </c>
      <c r="F239" s="524">
        <v>541</v>
      </c>
      <c r="G239" s="524">
        <v>603</v>
      </c>
      <c r="H239" s="525">
        <v>14560</v>
      </c>
      <c r="I239" s="525">
        <v>16640</v>
      </c>
      <c r="J239" s="525">
        <v>18720</v>
      </c>
      <c r="K239" s="525">
        <v>20800</v>
      </c>
      <c r="L239" s="525">
        <v>22480</v>
      </c>
      <c r="M239" s="525">
        <v>24140</v>
      </c>
      <c r="N239" s="525">
        <v>25800</v>
      </c>
      <c r="O239" s="525">
        <v>27460</v>
      </c>
      <c r="P239" s="41"/>
      <c r="Q239" s="41"/>
    </row>
    <row r="240" spans="1:17" ht="13.5" thickTop="1">
      <c r="A240" s="36"/>
      <c r="B240" s="37">
        <v>1.2</v>
      </c>
      <c r="C240" s="526">
        <v>2739</v>
      </c>
      <c r="D240" s="526">
        <v>2935</v>
      </c>
      <c r="E240" s="526">
        <v>3522</v>
      </c>
      <c r="F240" s="526">
        <v>4069</v>
      </c>
      <c r="G240" s="526">
        <v>4539</v>
      </c>
      <c r="H240" s="526">
        <v>109560</v>
      </c>
      <c r="I240" s="526">
        <v>125280</v>
      </c>
      <c r="J240" s="526">
        <v>140880</v>
      </c>
      <c r="K240" s="526">
        <v>156480</v>
      </c>
      <c r="L240" s="526">
        <v>169080</v>
      </c>
      <c r="M240" s="526">
        <v>181560</v>
      </c>
      <c r="N240" s="526">
        <v>194040</v>
      </c>
      <c r="O240" s="526">
        <v>206640</v>
      </c>
      <c r="P240" s="39"/>
      <c r="Q240" s="39"/>
    </row>
    <row r="241" spans="1:17">
      <c r="A241" s="38"/>
      <c r="B241" s="781">
        <v>1</v>
      </c>
      <c r="C241" s="778">
        <v>2282</v>
      </c>
      <c r="D241" s="778">
        <v>2446</v>
      </c>
      <c r="E241" s="778">
        <v>2935</v>
      </c>
      <c r="F241" s="778">
        <v>3391</v>
      </c>
      <c r="G241" s="778">
        <v>3782</v>
      </c>
      <c r="H241" s="778">
        <v>91300</v>
      </c>
      <c r="I241" s="778">
        <v>104400</v>
      </c>
      <c r="J241" s="778">
        <v>117400</v>
      </c>
      <c r="K241" s="778">
        <v>130400</v>
      </c>
      <c r="L241" s="778">
        <v>140900</v>
      </c>
      <c r="M241" s="778">
        <v>151300</v>
      </c>
      <c r="N241" s="778">
        <v>161700</v>
      </c>
      <c r="O241" s="778">
        <v>172200</v>
      </c>
      <c r="P241" s="39"/>
      <c r="Q241" s="39"/>
    </row>
    <row r="242" spans="1:17">
      <c r="A242" s="38" t="s">
        <v>1286</v>
      </c>
      <c r="B242" s="781">
        <v>0.8</v>
      </c>
      <c r="C242" s="778">
        <v>1826</v>
      </c>
      <c r="D242" s="778">
        <v>1957</v>
      </c>
      <c r="E242" s="778">
        <v>2348</v>
      </c>
      <c r="F242" s="778">
        <v>2713</v>
      </c>
      <c r="G242" s="778">
        <v>3026</v>
      </c>
      <c r="H242" s="779">
        <v>73040</v>
      </c>
      <c r="I242" s="779">
        <v>83520</v>
      </c>
      <c r="J242" s="779">
        <v>93920</v>
      </c>
      <c r="K242" s="779">
        <v>104320</v>
      </c>
      <c r="L242" s="779">
        <v>112720</v>
      </c>
      <c r="M242" s="779">
        <v>121040</v>
      </c>
      <c r="N242" s="779">
        <v>129360</v>
      </c>
      <c r="O242" s="779">
        <v>137760</v>
      </c>
      <c r="P242" s="39"/>
      <c r="Q242" s="39"/>
    </row>
    <row r="243" spans="1:17">
      <c r="A243" s="38"/>
      <c r="B243" s="781">
        <v>0.7</v>
      </c>
      <c r="C243" s="778">
        <v>1597</v>
      </c>
      <c r="D243" s="778">
        <v>1712</v>
      </c>
      <c r="E243" s="778">
        <v>2054</v>
      </c>
      <c r="F243" s="778">
        <v>2373</v>
      </c>
      <c r="G243" s="778">
        <v>2647</v>
      </c>
      <c r="H243" s="779">
        <v>63909.999999999993</v>
      </c>
      <c r="I243" s="779">
        <v>73080</v>
      </c>
      <c r="J243" s="779">
        <v>82180</v>
      </c>
      <c r="K243" s="779">
        <v>91280</v>
      </c>
      <c r="L243" s="779">
        <v>98630</v>
      </c>
      <c r="M243" s="779">
        <v>105910</v>
      </c>
      <c r="N243" s="779">
        <v>113190</v>
      </c>
      <c r="O243" s="779">
        <v>120539.99999999999</v>
      </c>
      <c r="P243" s="39"/>
      <c r="Q243" s="39"/>
    </row>
    <row r="244" spans="1:17">
      <c r="A244" s="38"/>
      <c r="B244" s="781">
        <v>0.6</v>
      </c>
      <c r="C244" s="778">
        <v>1369</v>
      </c>
      <c r="D244" s="778">
        <v>1467</v>
      </c>
      <c r="E244" s="778">
        <v>1761</v>
      </c>
      <c r="F244" s="778">
        <v>2034</v>
      </c>
      <c r="G244" s="778">
        <v>2269</v>
      </c>
      <c r="H244" s="778">
        <v>54780</v>
      </c>
      <c r="I244" s="778">
        <v>62640</v>
      </c>
      <c r="J244" s="778">
        <v>70440</v>
      </c>
      <c r="K244" s="778">
        <v>78240</v>
      </c>
      <c r="L244" s="778">
        <v>84540</v>
      </c>
      <c r="M244" s="780">
        <v>90780</v>
      </c>
      <c r="N244" s="780">
        <v>97020</v>
      </c>
      <c r="O244" s="780">
        <v>103320</v>
      </c>
      <c r="P244" s="39"/>
      <c r="Q244" s="39"/>
    </row>
    <row r="245" spans="1:17">
      <c r="A245" s="38"/>
      <c r="B245" s="781">
        <v>0.55000000000000004</v>
      </c>
      <c r="C245" s="778">
        <v>1255</v>
      </c>
      <c r="D245" s="778">
        <v>1345</v>
      </c>
      <c r="E245" s="778">
        <v>1614</v>
      </c>
      <c r="F245" s="778">
        <v>1865</v>
      </c>
      <c r="G245" s="778">
        <v>2080</v>
      </c>
      <c r="H245" s="778">
        <v>50215.000000000007</v>
      </c>
      <c r="I245" s="778">
        <v>57420.000000000007</v>
      </c>
      <c r="J245" s="778">
        <v>64570.000000000007</v>
      </c>
      <c r="K245" s="778">
        <v>71720</v>
      </c>
      <c r="L245" s="778">
        <v>77495</v>
      </c>
      <c r="M245" s="778">
        <v>83215</v>
      </c>
      <c r="N245" s="778">
        <v>88935</v>
      </c>
      <c r="O245" s="778">
        <v>94710.000000000015</v>
      </c>
      <c r="P245" s="39"/>
      <c r="Q245" s="39"/>
    </row>
    <row r="246" spans="1:17">
      <c r="A246" s="38"/>
      <c r="B246" s="781">
        <v>0.5</v>
      </c>
      <c r="C246" s="778">
        <v>1141</v>
      </c>
      <c r="D246" s="778">
        <v>1223</v>
      </c>
      <c r="E246" s="778">
        <v>1467</v>
      </c>
      <c r="F246" s="778">
        <v>1695</v>
      </c>
      <c r="G246" s="778">
        <v>1891</v>
      </c>
      <c r="H246" s="779">
        <v>45650</v>
      </c>
      <c r="I246" s="779">
        <v>52200</v>
      </c>
      <c r="J246" s="779">
        <v>58700</v>
      </c>
      <c r="K246" s="779">
        <v>65200</v>
      </c>
      <c r="L246" s="779">
        <v>70450</v>
      </c>
      <c r="M246" s="779">
        <v>75650</v>
      </c>
      <c r="N246" s="779">
        <v>80850</v>
      </c>
      <c r="O246" s="779">
        <v>86100</v>
      </c>
      <c r="P246" s="39"/>
      <c r="Q246" s="39"/>
    </row>
    <row r="247" spans="1:17">
      <c r="A247" s="38"/>
      <c r="B247" s="781">
        <v>0.45</v>
      </c>
      <c r="C247" s="778">
        <v>1027</v>
      </c>
      <c r="D247" s="778">
        <v>1100</v>
      </c>
      <c r="E247" s="778">
        <v>1320</v>
      </c>
      <c r="F247" s="778">
        <v>1526</v>
      </c>
      <c r="G247" s="778">
        <v>1702</v>
      </c>
      <c r="H247" s="778">
        <v>41085</v>
      </c>
      <c r="I247" s="778">
        <v>46980</v>
      </c>
      <c r="J247" s="778">
        <v>52830</v>
      </c>
      <c r="K247" s="778">
        <v>58680</v>
      </c>
      <c r="L247" s="778">
        <v>63405</v>
      </c>
      <c r="M247" s="780">
        <v>68085</v>
      </c>
      <c r="N247" s="780">
        <v>72765</v>
      </c>
      <c r="O247" s="780">
        <v>77490</v>
      </c>
      <c r="P247" s="39"/>
      <c r="Q247" s="39"/>
    </row>
    <row r="248" spans="1:17">
      <c r="A248" s="38"/>
      <c r="B248" s="781">
        <v>0.4</v>
      </c>
      <c r="C248" s="778">
        <v>913</v>
      </c>
      <c r="D248" s="778">
        <v>978</v>
      </c>
      <c r="E248" s="778">
        <v>1174</v>
      </c>
      <c r="F248" s="778">
        <v>1356</v>
      </c>
      <c r="G248" s="778">
        <v>1513</v>
      </c>
      <c r="H248" s="778">
        <v>36520</v>
      </c>
      <c r="I248" s="778">
        <v>41760</v>
      </c>
      <c r="J248" s="778">
        <v>46960</v>
      </c>
      <c r="K248" s="778">
        <v>52160</v>
      </c>
      <c r="L248" s="778">
        <v>56360</v>
      </c>
      <c r="M248" s="780">
        <v>60520</v>
      </c>
      <c r="N248" s="780">
        <v>64680</v>
      </c>
      <c r="O248" s="780">
        <v>68880</v>
      </c>
      <c r="P248" s="39"/>
      <c r="Q248" s="39"/>
    </row>
    <row r="249" spans="1:17">
      <c r="A249" s="38"/>
      <c r="B249" s="522">
        <v>0.3</v>
      </c>
      <c r="C249" s="778">
        <v>684</v>
      </c>
      <c r="D249" s="778">
        <v>733</v>
      </c>
      <c r="E249" s="778">
        <v>880</v>
      </c>
      <c r="F249" s="778">
        <v>1017</v>
      </c>
      <c r="G249" s="778">
        <v>1134</v>
      </c>
      <c r="H249" s="779">
        <v>27390</v>
      </c>
      <c r="I249" s="779">
        <v>31320</v>
      </c>
      <c r="J249" s="779">
        <v>35220</v>
      </c>
      <c r="K249" s="779">
        <v>39120</v>
      </c>
      <c r="L249" s="779">
        <v>42270</v>
      </c>
      <c r="M249" s="779">
        <v>45390</v>
      </c>
      <c r="N249" s="779">
        <v>48510</v>
      </c>
      <c r="O249" s="779">
        <v>51660</v>
      </c>
      <c r="P249" s="39"/>
      <c r="Q249" s="39"/>
    </row>
    <row r="250" spans="1:17" ht="13.5" thickBot="1">
      <c r="A250" s="782"/>
      <c r="B250" s="40">
        <v>0.2</v>
      </c>
      <c r="C250" s="524">
        <v>456</v>
      </c>
      <c r="D250" s="524">
        <v>489</v>
      </c>
      <c r="E250" s="524">
        <v>587</v>
      </c>
      <c r="F250" s="524">
        <v>678</v>
      </c>
      <c r="G250" s="524">
        <v>756</v>
      </c>
      <c r="H250" s="525">
        <v>18260</v>
      </c>
      <c r="I250" s="525">
        <v>20880</v>
      </c>
      <c r="J250" s="525">
        <v>23480</v>
      </c>
      <c r="K250" s="525">
        <v>26080</v>
      </c>
      <c r="L250" s="525">
        <v>28180</v>
      </c>
      <c r="M250" s="525">
        <v>30260</v>
      </c>
      <c r="N250" s="525">
        <v>32340</v>
      </c>
      <c r="O250" s="525">
        <v>34440</v>
      </c>
      <c r="P250" s="41"/>
      <c r="Q250" s="41"/>
    </row>
    <row r="251" spans="1:17" ht="13.5" thickTop="1">
      <c r="A251" s="36"/>
      <c r="B251" s="37">
        <v>1.2</v>
      </c>
      <c r="C251" s="526">
        <v>1980</v>
      </c>
      <c r="D251" s="526">
        <v>2121</v>
      </c>
      <c r="E251" s="526">
        <v>2544</v>
      </c>
      <c r="F251" s="526">
        <v>2940</v>
      </c>
      <c r="G251" s="526">
        <v>3279</v>
      </c>
      <c r="H251" s="526">
        <v>79200</v>
      </c>
      <c r="I251" s="526">
        <v>90480</v>
      </c>
      <c r="J251" s="526">
        <v>101760</v>
      </c>
      <c r="K251" s="526">
        <v>113040</v>
      </c>
      <c r="L251" s="526">
        <v>122160</v>
      </c>
      <c r="M251" s="526">
        <v>131160</v>
      </c>
      <c r="N251" s="526">
        <v>140280</v>
      </c>
      <c r="O251" s="526">
        <v>149280</v>
      </c>
      <c r="P251" s="41"/>
      <c r="Q251" s="41"/>
    </row>
    <row r="252" spans="1:17">
      <c r="A252" s="38"/>
      <c r="B252" s="781">
        <v>1</v>
      </c>
      <c r="C252" s="778">
        <v>1650</v>
      </c>
      <c r="D252" s="778">
        <v>1767</v>
      </c>
      <c r="E252" s="778">
        <v>2120</v>
      </c>
      <c r="F252" s="778">
        <v>2450</v>
      </c>
      <c r="G252" s="778">
        <v>2732</v>
      </c>
      <c r="H252" s="778">
        <v>66000</v>
      </c>
      <c r="I252" s="778">
        <v>75400</v>
      </c>
      <c r="J252" s="778">
        <v>84800</v>
      </c>
      <c r="K252" s="778">
        <v>94200</v>
      </c>
      <c r="L252" s="778">
        <v>101800</v>
      </c>
      <c r="M252" s="778">
        <v>109300</v>
      </c>
      <c r="N252" s="778">
        <v>116900</v>
      </c>
      <c r="O252" s="778">
        <v>124400</v>
      </c>
      <c r="P252" s="41"/>
      <c r="Q252" s="41"/>
    </row>
    <row r="253" spans="1:17">
      <c r="A253" s="38" t="s">
        <v>1287</v>
      </c>
      <c r="B253" s="781">
        <v>0.8</v>
      </c>
      <c r="C253" s="778">
        <v>1320</v>
      </c>
      <c r="D253" s="778">
        <v>1414</v>
      </c>
      <c r="E253" s="778">
        <v>1696</v>
      </c>
      <c r="F253" s="778">
        <v>1960</v>
      </c>
      <c r="G253" s="778">
        <v>2186</v>
      </c>
      <c r="H253" s="779">
        <v>52800</v>
      </c>
      <c r="I253" s="779">
        <v>60320</v>
      </c>
      <c r="J253" s="779">
        <v>67840</v>
      </c>
      <c r="K253" s="779">
        <v>75360</v>
      </c>
      <c r="L253" s="779">
        <v>81440</v>
      </c>
      <c r="M253" s="779">
        <v>87440</v>
      </c>
      <c r="N253" s="779">
        <v>93520</v>
      </c>
      <c r="O253" s="779">
        <v>99520</v>
      </c>
      <c r="P253" s="41"/>
      <c r="Q253" s="41"/>
    </row>
    <row r="254" spans="1:17">
      <c r="A254" s="38"/>
      <c r="B254" s="781">
        <v>0.7</v>
      </c>
      <c r="C254" s="778">
        <v>1155</v>
      </c>
      <c r="D254" s="778">
        <v>1237</v>
      </c>
      <c r="E254" s="778">
        <v>1484</v>
      </c>
      <c r="F254" s="778">
        <v>1715</v>
      </c>
      <c r="G254" s="778">
        <v>1912</v>
      </c>
      <c r="H254" s="779">
        <v>46200</v>
      </c>
      <c r="I254" s="779">
        <v>52780</v>
      </c>
      <c r="J254" s="779">
        <v>59359.999999999993</v>
      </c>
      <c r="K254" s="779">
        <v>65940</v>
      </c>
      <c r="L254" s="779">
        <v>71260</v>
      </c>
      <c r="M254" s="779">
        <v>76510</v>
      </c>
      <c r="N254" s="779">
        <v>81830</v>
      </c>
      <c r="O254" s="779">
        <v>87080</v>
      </c>
      <c r="P254" s="41"/>
      <c r="Q254" s="41"/>
    </row>
    <row r="255" spans="1:17">
      <c r="A255" s="38"/>
      <c r="B255" s="781">
        <v>0.6</v>
      </c>
      <c r="C255" s="778">
        <v>990</v>
      </c>
      <c r="D255" s="778">
        <v>1060</v>
      </c>
      <c r="E255" s="778">
        <v>1272</v>
      </c>
      <c r="F255" s="778">
        <v>1470</v>
      </c>
      <c r="G255" s="778">
        <v>1639</v>
      </c>
      <c r="H255" s="778">
        <v>39600</v>
      </c>
      <c r="I255" s="778">
        <v>45240</v>
      </c>
      <c r="J255" s="778">
        <v>50880</v>
      </c>
      <c r="K255" s="778">
        <v>56520</v>
      </c>
      <c r="L255" s="778">
        <v>61080</v>
      </c>
      <c r="M255" s="780">
        <v>65580</v>
      </c>
      <c r="N255" s="780">
        <v>70140</v>
      </c>
      <c r="O255" s="780">
        <v>74640</v>
      </c>
      <c r="P255" s="41"/>
      <c r="Q255" s="41"/>
    </row>
    <row r="256" spans="1:17">
      <c r="A256" s="38"/>
      <c r="B256" s="781">
        <v>0.55000000000000004</v>
      </c>
      <c r="C256" s="778">
        <v>907</v>
      </c>
      <c r="D256" s="778">
        <v>972</v>
      </c>
      <c r="E256" s="778">
        <v>1166</v>
      </c>
      <c r="F256" s="778">
        <v>1347</v>
      </c>
      <c r="G256" s="778">
        <v>1502</v>
      </c>
      <c r="H256" s="778">
        <v>36300</v>
      </c>
      <c r="I256" s="778">
        <v>41470</v>
      </c>
      <c r="J256" s="778">
        <v>46640.000000000007</v>
      </c>
      <c r="K256" s="778">
        <v>51810.000000000007</v>
      </c>
      <c r="L256" s="778">
        <v>55990.000000000007</v>
      </c>
      <c r="M256" s="778">
        <v>60115.000000000007</v>
      </c>
      <c r="N256" s="778">
        <v>64295.000000000007</v>
      </c>
      <c r="O256" s="778">
        <v>68420</v>
      </c>
      <c r="P256" s="41"/>
      <c r="Q256" s="41"/>
    </row>
    <row r="257" spans="1:17">
      <c r="A257" s="38"/>
      <c r="B257" s="781">
        <v>0.5</v>
      </c>
      <c r="C257" s="778">
        <v>825</v>
      </c>
      <c r="D257" s="778">
        <v>883</v>
      </c>
      <c r="E257" s="778">
        <v>1060</v>
      </c>
      <c r="F257" s="778">
        <v>1225</v>
      </c>
      <c r="G257" s="778">
        <v>1366</v>
      </c>
      <c r="H257" s="779">
        <v>33000</v>
      </c>
      <c r="I257" s="779">
        <v>37700</v>
      </c>
      <c r="J257" s="779">
        <v>42400</v>
      </c>
      <c r="K257" s="779">
        <v>47100</v>
      </c>
      <c r="L257" s="779">
        <v>50900</v>
      </c>
      <c r="M257" s="779">
        <v>54650</v>
      </c>
      <c r="N257" s="779">
        <v>58450</v>
      </c>
      <c r="O257" s="779">
        <v>62200</v>
      </c>
      <c r="P257" s="41"/>
      <c r="Q257" s="41"/>
    </row>
    <row r="258" spans="1:17">
      <c r="A258" s="38"/>
      <c r="B258" s="781">
        <v>0.45</v>
      </c>
      <c r="C258" s="778">
        <v>742</v>
      </c>
      <c r="D258" s="778">
        <v>795</v>
      </c>
      <c r="E258" s="778">
        <v>954</v>
      </c>
      <c r="F258" s="778">
        <v>1102</v>
      </c>
      <c r="G258" s="778">
        <v>1229</v>
      </c>
      <c r="H258" s="778">
        <v>29700</v>
      </c>
      <c r="I258" s="778">
        <v>33930</v>
      </c>
      <c r="J258" s="778">
        <v>38160</v>
      </c>
      <c r="K258" s="778">
        <v>42390</v>
      </c>
      <c r="L258" s="778">
        <v>45810</v>
      </c>
      <c r="M258" s="780">
        <v>49185</v>
      </c>
      <c r="N258" s="780">
        <v>52605</v>
      </c>
      <c r="O258" s="780">
        <v>55980</v>
      </c>
      <c r="P258" s="41"/>
      <c r="Q258" s="41"/>
    </row>
    <row r="259" spans="1:17">
      <c r="A259" s="38"/>
      <c r="B259" s="781">
        <v>0.4</v>
      </c>
      <c r="C259" s="778">
        <v>660</v>
      </c>
      <c r="D259" s="778">
        <v>707</v>
      </c>
      <c r="E259" s="778">
        <v>848</v>
      </c>
      <c r="F259" s="778">
        <v>980</v>
      </c>
      <c r="G259" s="778">
        <v>1093</v>
      </c>
      <c r="H259" s="778">
        <v>26400</v>
      </c>
      <c r="I259" s="778">
        <v>30160</v>
      </c>
      <c r="J259" s="778">
        <v>33920</v>
      </c>
      <c r="K259" s="778">
        <v>37680</v>
      </c>
      <c r="L259" s="778">
        <v>40720</v>
      </c>
      <c r="M259" s="780">
        <v>43720</v>
      </c>
      <c r="N259" s="780">
        <v>46760</v>
      </c>
      <c r="O259" s="780">
        <v>49760</v>
      </c>
      <c r="P259" s="41"/>
      <c r="Q259" s="41"/>
    </row>
    <row r="260" spans="1:17">
      <c r="A260" s="38"/>
      <c r="B260" s="522">
        <v>0.3</v>
      </c>
      <c r="C260" s="778">
        <v>495</v>
      </c>
      <c r="D260" s="778">
        <v>530</v>
      </c>
      <c r="E260" s="778">
        <v>636</v>
      </c>
      <c r="F260" s="778">
        <v>735</v>
      </c>
      <c r="G260" s="778">
        <v>819</v>
      </c>
      <c r="H260" s="779">
        <v>19800</v>
      </c>
      <c r="I260" s="779">
        <v>22620</v>
      </c>
      <c r="J260" s="779">
        <v>25440</v>
      </c>
      <c r="K260" s="779">
        <v>28260</v>
      </c>
      <c r="L260" s="779">
        <v>30540</v>
      </c>
      <c r="M260" s="779">
        <v>32790</v>
      </c>
      <c r="N260" s="779">
        <v>35070</v>
      </c>
      <c r="O260" s="779">
        <v>37320</v>
      </c>
      <c r="P260" s="41"/>
      <c r="Q260" s="41"/>
    </row>
    <row r="261" spans="1:17" ht="13.5" thickBot="1">
      <c r="A261" s="782"/>
      <c r="B261" s="40">
        <v>0.2</v>
      </c>
      <c r="C261" s="524">
        <v>330</v>
      </c>
      <c r="D261" s="524">
        <v>353</v>
      </c>
      <c r="E261" s="524">
        <v>424</v>
      </c>
      <c r="F261" s="524">
        <v>490</v>
      </c>
      <c r="G261" s="524">
        <v>546</v>
      </c>
      <c r="H261" s="525">
        <v>13200</v>
      </c>
      <c r="I261" s="525">
        <v>15080</v>
      </c>
      <c r="J261" s="525">
        <v>16960</v>
      </c>
      <c r="K261" s="525">
        <v>18840</v>
      </c>
      <c r="L261" s="525">
        <v>20360</v>
      </c>
      <c r="M261" s="525">
        <v>21860</v>
      </c>
      <c r="N261" s="525">
        <v>23380</v>
      </c>
      <c r="O261" s="525">
        <v>24880</v>
      </c>
      <c r="P261" s="41"/>
      <c r="Q261" s="41"/>
    </row>
    <row r="262" spans="1:17" ht="13.5" thickTop="1">
      <c r="A262" s="38"/>
      <c r="B262" s="37">
        <v>1.2</v>
      </c>
      <c r="C262" s="526">
        <v>2151</v>
      </c>
      <c r="D262" s="526">
        <v>2305</v>
      </c>
      <c r="E262" s="526">
        <v>2766</v>
      </c>
      <c r="F262" s="526">
        <v>3195</v>
      </c>
      <c r="G262" s="526">
        <v>3564</v>
      </c>
      <c r="H262" s="526">
        <v>86040</v>
      </c>
      <c r="I262" s="526">
        <v>98400</v>
      </c>
      <c r="J262" s="526">
        <v>110640</v>
      </c>
      <c r="K262" s="526">
        <v>122880</v>
      </c>
      <c r="L262" s="526">
        <v>132720</v>
      </c>
      <c r="M262" s="526">
        <v>142560</v>
      </c>
      <c r="N262" s="526">
        <v>152400</v>
      </c>
      <c r="O262" s="526">
        <v>162240</v>
      </c>
      <c r="P262" s="39"/>
      <c r="Q262" s="39"/>
    </row>
    <row r="263" spans="1:17">
      <c r="A263" s="38"/>
      <c r="B263" s="781">
        <v>1</v>
      </c>
      <c r="C263" s="778">
        <v>1792</v>
      </c>
      <c r="D263" s="778">
        <v>1921</v>
      </c>
      <c r="E263" s="778">
        <v>2305</v>
      </c>
      <c r="F263" s="778">
        <v>2662</v>
      </c>
      <c r="G263" s="778">
        <v>2970</v>
      </c>
      <c r="H263" s="778">
        <v>71700</v>
      </c>
      <c r="I263" s="778">
        <v>82000</v>
      </c>
      <c r="J263" s="778">
        <v>92200</v>
      </c>
      <c r="K263" s="778">
        <v>102400</v>
      </c>
      <c r="L263" s="778">
        <v>110600</v>
      </c>
      <c r="M263" s="778">
        <v>118800</v>
      </c>
      <c r="N263" s="778">
        <v>127000</v>
      </c>
      <c r="O263" s="778">
        <v>135200</v>
      </c>
      <c r="P263" s="39"/>
      <c r="Q263" s="39"/>
    </row>
    <row r="264" spans="1:17">
      <c r="A264" s="38" t="s">
        <v>1288</v>
      </c>
      <c r="B264" s="781">
        <v>0.8</v>
      </c>
      <c r="C264" s="778">
        <v>1434</v>
      </c>
      <c r="D264" s="778">
        <v>1537</v>
      </c>
      <c r="E264" s="778">
        <v>1844</v>
      </c>
      <c r="F264" s="778">
        <v>2130</v>
      </c>
      <c r="G264" s="778">
        <v>2376</v>
      </c>
      <c r="H264" s="779">
        <v>57360</v>
      </c>
      <c r="I264" s="779">
        <v>65600</v>
      </c>
      <c r="J264" s="779">
        <v>73760</v>
      </c>
      <c r="K264" s="779">
        <v>81920</v>
      </c>
      <c r="L264" s="779">
        <v>88480</v>
      </c>
      <c r="M264" s="779">
        <v>95040</v>
      </c>
      <c r="N264" s="779">
        <v>101600</v>
      </c>
      <c r="O264" s="779">
        <v>108160</v>
      </c>
      <c r="P264" s="39"/>
      <c r="Q264" s="39"/>
    </row>
    <row r="265" spans="1:17">
      <c r="A265" s="38"/>
      <c r="B265" s="781">
        <v>0.7</v>
      </c>
      <c r="C265" s="778">
        <v>1254</v>
      </c>
      <c r="D265" s="778">
        <v>1344</v>
      </c>
      <c r="E265" s="778">
        <v>1613</v>
      </c>
      <c r="F265" s="778">
        <v>1863</v>
      </c>
      <c r="G265" s="778">
        <v>2079</v>
      </c>
      <c r="H265" s="779">
        <v>50190</v>
      </c>
      <c r="I265" s="779">
        <v>57399.999999999993</v>
      </c>
      <c r="J265" s="779">
        <v>64539.999999999993</v>
      </c>
      <c r="K265" s="779">
        <v>71680</v>
      </c>
      <c r="L265" s="779">
        <v>77420</v>
      </c>
      <c r="M265" s="779">
        <v>83160</v>
      </c>
      <c r="N265" s="779">
        <v>88900</v>
      </c>
      <c r="O265" s="779">
        <v>94640</v>
      </c>
      <c r="P265" s="39"/>
      <c r="Q265" s="39"/>
    </row>
    <row r="266" spans="1:17">
      <c r="A266" s="38"/>
      <c r="B266" s="781">
        <v>0.6</v>
      </c>
      <c r="C266" s="778">
        <v>1075</v>
      </c>
      <c r="D266" s="778">
        <v>1152</v>
      </c>
      <c r="E266" s="778">
        <v>1383</v>
      </c>
      <c r="F266" s="778">
        <v>1597</v>
      </c>
      <c r="G266" s="778">
        <v>1782</v>
      </c>
      <c r="H266" s="778">
        <v>43020</v>
      </c>
      <c r="I266" s="778">
        <v>49200</v>
      </c>
      <c r="J266" s="778">
        <v>55320</v>
      </c>
      <c r="K266" s="778">
        <v>61440</v>
      </c>
      <c r="L266" s="778">
        <v>66360</v>
      </c>
      <c r="M266" s="780">
        <v>71280</v>
      </c>
      <c r="N266" s="780">
        <v>76200</v>
      </c>
      <c r="O266" s="780">
        <v>81120</v>
      </c>
      <c r="P266" s="39"/>
      <c r="Q266" s="39"/>
    </row>
    <row r="267" spans="1:17">
      <c r="A267" s="38"/>
      <c r="B267" s="781">
        <v>0.55000000000000004</v>
      </c>
      <c r="C267" s="778">
        <v>985</v>
      </c>
      <c r="D267" s="778">
        <v>1056</v>
      </c>
      <c r="E267" s="778">
        <v>1267</v>
      </c>
      <c r="F267" s="778">
        <v>1464</v>
      </c>
      <c r="G267" s="778">
        <v>1633</v>
      </c>
      <c r="H267" s="778">
        <v>39435</v>
      </c>
      <c r="I267" s="778">
        <v>45100.000000000007</v>
      </c>
      <c r="J267" s="778">
        <v>50710.000000000007</v>
      </c>
      <c r="K267" s="778">
        <v>56320.000000000007</v>
      </c>
      <c r="L267" s="778">
        <v>60830.000000000007</v>
      </c>
      <c r="M267" s="778">
        <v>65340.000000000007</v>
      </c>
      <c r="N267" s="778">
        <v>69850</v>
      </c>
      <c r="O267" s="778">
        <v>74360</v>
      </c>
      <c r="P267" s="39"/>
      <c r="Q267" s="39"/>
    </row>
    <row r="268" spans="1:17">
      <c r="A268" s="38"/>
      <c r="B268" s="781">
        <v>0.5</v>
      </c>
      <c r="C268" s="778">
        <v>896</v>
      </c>
      <c r="D268" s="778">
        <v>960</v>
      </c>
      <c r="E268" s="778">
        <v>1152</v>
      </c>
      <c r="F268" s="778">
        <v>1331</v>
      </c>
      <c r="G268" s="778">
        <v>1485</v>
      </c>
      <c r="H268" s="779">
        <v>35850</v>
      </c>
      <c r="I268" s="779">
        <v>41000</v>
      </c>
      <c r="J268" s="779">
        <v>46100</v>
      </c>
      <c r="K268" s="779">
        <v>51200</v>
      </c>
      <c r="L268" s="779">
        <v>55300</v>
      </c>
      <c r="M268" s="779">
        <v>59400</v>
      </c>
      <c r="N268" s="779">
        <v>63500</v>
      </c>
      <c r="O268" s="779">
        <v>67600</v>
      </c>
      <c r="P268" s="39"/>
      <c r="Q268" s="39"/>
    </row>
    <row r="269" spans="1:17">
      <c r="A269" s="38"/>
      <c r="B269" s="781">
        <v>0.45</v>
      </c>
      <c r="C269" s="778">
        <v>806</v>
      </c>
      <c r="D269" s="778">
        <v>864</v>
      </c>
      <c r="E269" s="778">
        <v>1037</v>
      </c>
      <c r="F269" s="778">
        <v>1198</v>
      </c>
      <c r="G269" s="778">
        <v>1336</v>
      </c>
      <c r="H269" s="778">
        <v>32265</v>
      </c>
      <c r="I269" s="778">
        <v>36900</v>
      </c>
      <c r="J269" s="778">
        <v>41490</v>
      </c>
      <c r="K269" s="778">
        <v>46080</v>
      </c>
      <c r="L269" s="778">
        <v>49770</v>
      </c>
      <c r="M269" s="780">
        <v>53460</v>
      </c>
      <c r="N269" s="780">
        <v>57150</v>
      </c>
      <c r="O269" s="780">
        <v>60840</v>
      </c>
      <c r="P269" s="39"/>
      <c r="Q269" s="39"/>
    </row>
    <row r="270" spans="1:17">
      <c r="A270" s="38"/>
      <c r="B270" s="781">
        <v>0.4</v>
      </c>
      <c r="C270" s="778">
        <v>717</v>
      </c>
      <c r="D270" s="778">
        <v>768</v>
      </c>
      <c r="E270" s="778">
        <v>922</v>
      </c>
      <c r="F270" s="778">
        <v>1065</v>
      </c>
      <c r="G270" s="778">
        <v>1188</v>
      </c>
      <c r="H270" s="778">
        <v>28680</v>
      </c>
      <c r="I270" s="778">
        <v>32800</v>
      </c>
      <c r="J270" s="778">
        <v>36880</v>
      </c>
      <c r="K270" s="778">
        <v>40960</v>
      </c>
      <c r="L270" s="778">
        <v>44240</v>
      </c>
      <c r="M270" s="780">
        <v>47520</v>
      </c>
      <c r="N270" s="780">
        <v>50800</v>
      </c>
      <c r="O270" s="780">
        <v>54080</v>
      </c>
      <c r="P270" s="39"/>
      <c r="Q270" s="39"/>
    </row>
    <row r="271" spans="1:17">
      <c r="A271" s="38"/>
      <c r="B271" s="522">
        <v>0.3</v>
      </c>
      <c r="C271" s="778">
        <v>537</v>
      </c>
      <c r="D271" s="778">
        <v>576</v>
      </c>
      <c r="E271" s="778">
        <v>691</v>
      </c>
      <c r="F271" s="778">
        <v>798</v>
      </c>
      <c r="G271" s="778">
        <v>891</v>
      </c>
      <c r="H271" s="779">
        <v>21510</v>
      </c>
      <c r="I271" s="779">
        <v>24600</v>
      </c>
      <c r="J271" s="779">
        <v>27660</v>
      </c>
      <c r="K271" s="779">
        <v>30720</v>
      </c>
      <c r="L271" s="779">
        <v>33180</v>
      </c>
      <c r="M271" s="779">
        <v>35640</v>
      </c>
      <c r="N271" s="779">
        <v>38100</v>
      </c>
      <c r="O271" s="779">
        <v>40560</v>
      </c>
      <c r="P271" s="39"/>
      <c r="Q271" s="39"/>
    </row>
    <row r="272" spans="1:17" ht="13.5" thickBot="1">
      <c r="A272" s="782"/>
      <c r="B272" s="40">
        <v>0.2</v>
      </c>
      <c r="C272" s="524">
        <v>358</v>
      </c>
      <c r="D272" s="524">
        <v>384</v>
      </c>
      <c r="E272" s="524">
        <v>461</v>
      </c>
      <c r="F272" s="524">
        <v>532</v>
      </c>
      <c r="G272" s="524">
        <v>594</v>
      </c>
      <c r="H272" s="525">
        <v>14340</v>
      </c>
      <c r="I272" s="525">
        <v>16400</v>
      </c>
      <c r="J272" s="525">
        <v>18440</v>
      </c>
      <c r="K272" s="525">
        <v>20480</v>
      </c>
      <c r="L272" s="525">
        <v>22120</v>
      </c>
      <c r="M272" s="525">
        <v>23760</v>
      </c>
      <c r="N272" s="525">
        <v>25400</v>
      </c>
      <c r="O272" s="525">
        <v>27040</v>
      </c>
      <c r="P272" s="45"/>
      <c r="Q272" s="45"/>
    </row>
    <row r="273" spans="1:17" ht="13.5" thickTop="1">
      <c r="A273" s="38"/>
      <c r="B273" s="37">
        <v>1.2</v>
      </c>
      <c r="C273" s="526">
        <v>2739</v>
      </c>
      <c r="D273" s="526">
        <v>2935</v>
      </c>
      <c r="E273" s="526">
        <v>3522</v>
      </c>
      <c r="F273" s="526">
        <v>4069</v>
      </c>
      <c r="G273" s="526">
        <v>4539</v>
      </c>
      <c r="H273" s="526">
        <v>109560</v>
      </c>
      <c r="I273" s="526">
        <v>125280</v>
      </c>
      <c r="J273" s="526">
        <v>140880</v>
      </c>
      <c r="K273" s="526">
        <v>156480</v>
      </c>
      <c r="L273" s="526">
        <v>169080</v>
      </c>
      <c r="M273" s="526">
        <v>181560</v>
      </c>
      <c r="N273" s="526">
        <v>194040</v>
      </c>
      <c r="O273" s="526">
        <v>206640</v>
      </c>
      <c r="P273" s="39"/>
      <c r="Q273" s="39"/>
    </row>
    <row r="274" spans="1:17">
      <c r="A274" s="38"/>
      <c r="B274" s="781">
        <v>1</v>
      </c>
      <c r="C274" s="778">
        <v>2282</v>
      </c>
      <c r="D274" s="778">
        <v>2446</v>
      </c>
      <c r="E274" s="778">
        <v>2935</v>
      </c>
      <c r="F274" s="778">
        <v>3391</v>
      </c>
      <c r="G274" s="778">
        <v>3782</v>
      </c>
      <c r="H274" s="778">
        <v>91300</v>
      </c>
      <c r="I274" s="778">
        <v>104400</v>
      </c>
      <c r="J274" s="778">
        <v>117400</v>
      </c>
      <c r="K274" s="778">
        <v>130400</v>
      </c>
      <c r="L274" s="778">
        <v>140900</v>
      </c>
      <c r="M274" s="778">
        <v>151300</v>
      </c>
      <c r="N274" s="778">
        <v>161700</v>
      </c>
      <c r="O274" s="778">
        <v>172200</v>
      </c>
      <c r="P274" s="39"/>
      <c r="Q274" s="39"/>
    </row>
    <row r="275" spans="1:17">
      <c r="A275" s="38" t="s">
        <v>1289</v>
      </c>
      <c r="B275" s="781">
        <v>0.8</v>
      </c>
      <c r="C275" s="778">
        <v>1826</v>
      </c>
      <c r="D275" s="778">
        <v>1957</v>
      </c>
      <c r="E275" s="778">
        <v>2348</v>
      </c>
      <c r="F275" s="778">
        <v>2713</v>
      </c>
      <c r="G275" s="778">
        <v>3026</v>
      </c>
      <c r="H275" s="779">
        <v>73040</v>
      </c>
      <c r="I275" s="779">
        <v>83520</v>
      </c>
      <c r="J275" s="779">
        <v>93920</v>
      </c>
      <c r="K275" s="779">
        <v>104320</v>
      </c>
      <c r="L275" s="779">
        <v>112720</v>
      </c>
      <c r="M275" s="779">
        <v>121040</v>
      </c>
      <c r="N275" s="779">
        <v>129360</v>
      </c>
      <c r="O275" s="779">
        <v>137760</v>
      </c>
      <c r="P275" s="39"/>
      <c r="Q275" s="39"/>
    </row>
    <row r="276" spans="1:17">
      <c r="A276" s="38"/>
      <c r="B276" s="781">
        <v>0.7</v>
      </c>
      <c r="C276" s="778">
        <v>1597</v>
      </c>
      <c r="D276" s="778">
        <v>1712</v>
      </c>
      <c r="E276" s="778">
        <v>2054</v>
      </c>
      <c r="F276" s="778">
        <v>2373</v>
      </c>
      <c r="G276" s="778">
        <v>2647</v>
      </c>
      <c r="H276" s="779">
        <v>63909.999999999993</v>
      </c>
      <c r="I276" s="779">
        <v>73080</v>
      </c>
      <c r="J276" s="779">
        <v>82180</v>
      </c>
      <c r="K276" s="779">
        <v>91280</v>
      </c>
      <c r="L276" s="779">
        <v>98630</v>
      </c>
      <c r="M276" s="779">
        <v>105910</v>
      </c>
      <c r="N276" s="779">
        <v>113190</v>
      </c>
      <c r="O276" s="779">
        <v>120539.99999999999</v>
      </c>
      <c r="P276" s="39"/>
      <c r="Q276" s="39"/>
    </row>
    <row r="277" spans="1:17">
      <c r="A277" s="38"/>
      <c r="B277" s="781">
        <v>0.6</v>
      </c>
      <c r="C277" s="778">
        <v>1369</v>
      </c>
      <c r="D277" s="778">
        <v>1467</v>
      </c>
      <c r="E277" s="778">
        <v>1761</v>
      </c>
      <c r="F277" s="778">
        <v>2034</v>
      </c>
      <c r="G277" s="778">
        <v>2269</v>
      </c>
      <c r="H277" s="778">
        <v>54780</v>
      </c>
      <c r="I277" s="778">
        <v>62640</v>
      </c>
      <c r="J277" s="778">
        <v>70440</v>
      </c>
      <c r="K277" s="778">
        <v>78240</v>
      </c>
      <c r="L277" s="778">
        <v>84540</v>
      </c>
      <c r="M277" s="780">
        <v>90780</v>
      </c>
      <c r="N277" s="780">
        <v>97020</v>
      </c>
      <c r="O277" s="780">
        <v>103320</v>
      </c>
      <c r="P277" s="39"/>
      <c r="Q277" s="39"/>
    </row>
    <row r="278" spans="1:17">
      <c r="A278" s="38"/>
      <c r="B278" s="781">
        <v>0.55000000000000004</v>
      </c>
      <c r="C278" s="778">
        <v>1255</v>
      </c>
      <c r="D278" s="778">
        <v>1345</v>
      </c>
      <c r="E278" s="778">
        <v>1614</v>
      </c>
      <c r="F278" s="778">
        <v>1865</v>
      </c>
      <c r="G278" s="778">
        <v>2080</v>
      </c>
      <c r="H278" s="778">
        <v>50215.000000000007</v>
      </c>
      <c r="I278" s="778">
        <v>57420.000000000007</v>
      </c>
      <c r="J278" s="778">
        <v>64570.000000000007</v>
      </c>
      <c r="K278" s="778">
        <v>71720</v>
      </c>
      <c r="L278" s="778">
        <v>77495</v>
      </c>
      <c r="M278" s="778">
        <v>83215</v>
      </c>
      <c r="N278" s="778">
        <v>88935</v>
      </c>
      <c r="O278" s="778">
        <v>94710.000000000015</v>
      </c>
      <c r="P278" s="39"/>
      <c r="Q278" s="39"/>
    </row>
    <row r="279" spans="1:17">
      <c r="A279" s="38"/>
      <c r="B279" s="781">
        <v>0.5</v>
      </c>
      <c r="C279" s="778">
        <v>1141</v>
      </c>
      <c r="D279" s="778">
        <v>1223</v>
      </c>
      <c r="E279" s="778">
        <v>1467</v>
      </c>
      <c r="F279" s="778">
        <v>1695</v>
      </c>
      <c r="G279" s="778">
        <v>1891</v>
      </c>
      <c r="H279" s="779">
        <v>45650</v>
      </c>
      <c r="I279" s="779">
        <v>52200</v>
      </c>
      <c r="J279" s="779">
        <v>58700</v>
      </c>
      <c r="K279" s="779">
        <v>65200</v>
      </c>
      <c r="L279" s="779">
        <v>70450</v>
      </c>
      <c r="M279" s="779">
        <v>75650</v>
      </c>
      <c r="N279" s="779">
        <v>80850</v>
      </c>
      <c r="O279" s="779">
        <v>86100</v>
      </c>
      <c r="P279" s="39"/>
      <c r="Q279" s="39"/>
    </row>
    <row r="280" spans="1:17">
      <c r="A280" s="38"/>
      <c r="B280" s="781">
        <v>0.45</v>
      </c>
      <c r="C280" s="778">
        <v>1027</v>
      </c>
      <c r="D280" s="778">
        <v>1100</v>
      </c>
      <c r="E280" s="778">
        <v>1320</v>
      </c>
      <c r="F280" s="778">
        <v>1526</v>
      </c>
      <c r="G280" s="778">
        <v>1702</v>
      </c>
      <c r="H280" s="778">
        <v>41085</v>
      </c>
      <c r="I280" s="778">
        <v>46980</v>
      </c>
      <c r="J280" s="778">
        <v>52830</v>
      </c>
      <c r="K280" s="778">
        <v>58680</v>
      </c>
      <c r="L280" s="778">
        <v>63405</v>
      </c>
      <c r="M280" s="780">
        <v>68085</v>
      </c>
      <c r="N280" s="780">
        <v>72765</v>
      </c>
      <c r="O280" s="780">
        <v>77490</v>
      </c>
      <c r="P280" s="39"/>
      <c r="Q280" s="39"/>
    </row>
    <row r="281" spans="1:17">
      <c r="A281" s="38"/>
      <c r="B281" s="781">
        <v>0.4</v>
      </c>
      <c r="C281" s="778">
        <v>913</v>
      </c>
      <c r="D281" s="778">
        <v>978</v>
      </c>
      <c r="E281" s="778">
        <v>1174</v>
      </c>
      <c r="F281" s="778">
        <v>1356</v>
      </c>
      <c r="G281" s="778">
        <v>1513</v>
      </c>
      <c r="H281" s="778">
        <v>36520</v>
      </c>
      <c r="I281" s="778">
        <v>41760</v>
      </c>
      <c r="J281" s="778">
        <v>46960</v>
      </c>
      <c r="K281" s="778">
        <v>52160</v>
      </c>
      <c r="L281" s="778">
        <v>56360</v>
      </c>
      <c r="M281" s="780">
        <v>60520</v>
      </c>
      <c r="N281" s="780">
        <v>64680</v>
      </c>
      <c r="O281" s="780">
        <v>68880</v>
      </c>
      <c r="P281" s="39"/>
      <c r="Q281" s="39"/>
    </row>
    <row r="282" spans="1:17">
      <c r="A282" s="38"/>
      <c r="B282" s="522">
        <v>0.3</v>
      </c>
      <c r="C282" s="778">
        <v>684</v>
      </c>
      <c r="D282" s="778">
        <v>733</v>
      </c>
      <c r="E282" s="778">
        <v>880</v>
      </c>
      <c r="F282" s="778">
        <v>1017</v>
      </c>
      <c r="G282" s="778">
        <v>1134</v>
      </c>
      <c r="H282" s="779">
        <v>27390</v>
      </c>
      <c r="I282" s="779">
        <v>31320</v>
      </c>
      <c r="J282" s="779">
        <v>35220</v>
      </c>
      <c r="K282" s="779">
        <v>39120</v>
      </c>
      <c r="L282" s="779">
        <v>42270</v>
      </c>
      <c r="M282" s="779">
        <v>45390</v>
      </c>
      <c r="N282" s="779">
        <v>48510</v>
      </c>
      <c r="O282" s="779">
        <v>51660</v>
      </c>
      <c r="P282" s="39"/>
      <c r="Q282" s="39"/>
    </row>
    <row r="283" spans="1:17" ht="13.5" thickBot="1">
      <c r="A283" s="782"/>
      <c r="B283" s="40">
        <v>0.2</v>
      </c>
      <c r="C283" s="524">
        <v>456</v>
      </c>
      <c r="D283" s="524">
        <v>489</v>
      </c>
      <c r="E283" s="524">
        <v>587</v>
      </c>
      <c r="F283" s="524">
        <v>678</v>
      </c>
      <c r="G283" s="524">
        <v>756</v>
      </c>
      <c r="H283" s="525">
        <v>18260</v>
      </c>
      <c r="I283" s="525">
        <v>20880</v>
      </c>
      <c r="J283" s="525">
        <v>23480</v>
      </c>
      <c r="K283" s="525">
        <v>26080</v>
      </c>
      <c r="L283" s="525">
        <v>28180</v>
      </c>
      <c r="M283" s="525">
        <v>30260</v>
      </c>
      <c r="N283" s="525">
        <v>32340</v>
      </c>
      <c r="O283" s="525">
        <v>34440</v>
      </c>
      <c r="P283" s="45"/>
      <c r="Q283" s="45"/>
    </row>
    <row r="284" spans="1:17" ht="13.5" thickTop="1">
      <c r="A284" s="38"/>
      <c r="B284" s="37">
        <v>1.2</v>
      </c>
      <c r="C284" s="526">
        <v>2157</v>
      </c>
      <c r="D284" s="526">
        <v>2310</v>
      </c>
      <c r="E284" s="526">
        <v>2772</v>
      </c>
      <c r="F284" s="526">
        <v>3201</v>
      </c>
      <c r="G284" s="526">
        <v>3573</v>
      </c>
      <c r="H284" s="526">
        <v>86280</v>
      </c>
      <c r="I284" s="526">
        <v>98520</v>
      </c>
      <c r="J284" s="526">
        <v>110880</v>
      </c>
      <c r="K284" s="526">
        <v>123120</v>
      </c>
      <c r="L284" s="526">
        <v>132960</v>
      </c>
      <c r="M284" s="526">
        <v>142920</v>
      </c>
      <c r="N284" s="526">
        <v>152640</v>
      </c>
      <c r="O284" s="526">
        <v>162600</v>
      </c>
      <c r="P284" s="39"/>
      <c r="Q284" s="39"/>
    </row>
    <row r="285" spans="1:17">
      <c r="A285" s="38"/>
      <c r="B285" s="781">
        <v>1</v>
      </c>
      <c r="C285" s="778">
        <v>1797</v>
      </c>
      <c r="D285" s="778">
        <v>1925</v>
      </c>
      <c r="E285" s="778">
        <v>2310</v>
      </c>
      <c r="F285" s="778">
        <v>2667</v>
      </c>
      <c r="G285" s="778">
        <v>2977</v>
      </c>
      <c r="H285" s="778">
        <v>71900</v>
      </c>
      <c r="I285" s="778">
        <v>82100</v>
      </c>
      <c r="J285" s="778">
        <v>92400</v>
      </c>
      <c r="K285" s="778">
        <v>102600</v>
      </c>
      <c r="L285" s="778">
        <v>110800</v>
      </c>
      <c r="M285" s="778">
        <v>119100</v>
      </c>
      <c r="N285" s="778">
        <v>127200</v>
      </c>
      <c r="O285" s="778">
        <v>135500</v>
      </c>
      <c r="P285" s="39"/>
      <c r="Q285" s="39"/>
    </row>
    <row r="286" spans="1:17">
      <c r="A286" s="38" t="s">
        <v>1290</v>
      </c>
      <c r="B286" s="781">
        <v>0.8</v>
      </c>
      <c r="C286" s="778">
        <v>1438</v>
      </c>
      <c r="D286" s="778">
        <v>1540</v>
      </c>
      <c r="E286" s="778">
        <v>1848</v>
      </c>
      <c r="F286" s="778">
        <v>2134</v>
      </c>
      <c r="G286" s="778">
        <v>2382</v>
      </c>
      <c r="H286" s="779">
        <v>57520</v>
      </c>
      <c r="I286" s="779">
        <v>65680</v>
      </c>
      <c r="J286" s="779">
        <v>73920</v>
      </c>
      <c r="K286" s="779">
        <v>82080</v>
      </c>
      <c r="L286" s="779">
        <v>88640</v>
      </c>
      <c r="M286" s="779">
        <v>95280</v>
      </c>
      <c r="N286" s="779">
        <v>101760</v>
      </c>
      <c r="O286" s="779">
        <v>108400</v>
      </c>
      <c r="P286" s="39"/>
      <c r="Q286" s="39"/>
    </row>
    <row r="287" spans="1:17">
      <c r="A287" s="38"/>
      <c r="B287" s="781">
        <v>0.7</v>
      </c>
      <c r="C287" s="778">
        <v>1258</v>
      </c>
      <c r="D287" s="778">
        <v>1347</v>
      </c>
      <c r="E287" s="778">
        <v>1617</v>
      </c>
      <c r="F287" s="778">
        <v>1867</v>
      </c>
      <c r="G287" s="778">
        <v>2084</v>
      </c>
      <c r="H287" s="779">
        <v>50330</v>
      </c>
      <c r="I287" s="779">
        <v>57469.999999999993</v>
      </c>
      <c r="J287" s="779">
        <v>64679.999999999993</v>
      </c>
      <c r="K287" s="779">
        <v>71820</v>
      </c>
      <c r="L287" s="779">
        <v>77560</v>
      </c>
      <c r="M287" s="779">
        <v>83370</v>
      </c>
      <c r="N287" s="779">
        <v>89040</v>
      </c>
      <c r="O287" s="779">
        <v>94850</v>
      </c>
      <c r="P287" s="39"/>
      <c r="Q287" s="39"/>
    </row>
    <row r="288" spans="1:17">
      <c r="A288" s="38"/>
      <c r="B288" s="781">
        <v>0.6</v>
      </c>
      <c r="C288" s="778">
        <v>1078</v>
      </c>
      <c r="D288" s="778">
        <v>1155</v>
      </c>
      <c r="E288" s="778">
        <v>1386</v>
      </c>
      <c r="F288" s="778">
        <v>1600</v>
      </c>
      <c r="G288" s="778">
        <v>1786</v>
      </c>
      <c r="H288" s="778">
        <v>43140</v>
      </c>
      <c r="I288" s="778">
        <v>49260</v>
      </c>
      <c r="J288" s="778">
        <v>55440</v>
      </c>
      <c r="K288" s="778">
        <v>61560</v>
      </c>
      <c r="L288" s="778">
        <v>66480</v>
      </c>
      <c r="M288" s="780">
        <v>71460</v>
      </c>
      <c r="N288" s="780">
        <v>76320</v>
      </c>
      <c r="O288" s="780">
        <v>81300</v>
      </c>
      <c r="P288" s="39"/>
      <c r="Q288" s="39"/>
    </row>
    <row r="289" spans="1:17">
      <c r="A289" s="38"/>
      <c r="B289" s="781">
        <v>0.55000000000000004</v>
      </c>
      <c r="C289" s="778">
        <v>988</v>
      </c>
      <c r="D289" s="778">
        <v>1058</v>
      </c>
      <c r="E289" s="778">
        <v>1270</v>
      </c>
      <c r="F289" s="778">
        <v>1467</v>
      </c>
      <c r="G289" s="778">
        <v>1637</v>
      </c>
      <c r="H289" s="778">
        <v>39545</v>
      </c>
      <c r="I289" s="778">
        <v>45155.000000000007</v>
      </c>
      <c r="J289" s="778">
        <v>50820.000000000007</v>
      </c>
      <c r="K289" s="778">
        <v>56430.000000000007</v>
      </c>
      <c r="L289" s="778">
        <v>60940.000000000007</v>
      </c>
      <c r="M289" s="778">
        <v>65505.000000000007</v>
      </c>
      <c r="N289" s="778">
        <v>69960</v>
      </c>
      <c r="O289" s="778">
        <v>74525</v>
      </c>
      <c r="P289" s="39"/>
      <c r="Q289" s="39"/>
    </row>
    <row r="290" spans="1:17">
      <c r="A290" s="38"/>
      <c r="B290" s="781">
        <v>0.5</v>
      </c>
      <c r="C290" s="778">
        <v>898</v>
      </c>
      <c r="D290" s="778">
        <v>962</v>
      </c>
      <c r="E290" s="778">
        <v>1155</v>
      </c>
      <c r="F290" s="778">
        <v>1333</v>
      </c>
      <c r="G290" s="778">
        <v>1488</v>
      </c>
      <c r="H290" s="779">
        <v>35950</v>
      </c>
      <c r="I290" s="779">
        <v>41050</v>
      </c>
      <c r="J290" s="779">
        <v>46200</v>
      </c>
      <c r="K290" s="779">
        <v>51300</v>
      </c>
      <c r="L290" s="779">
        <v>55400</v>
      </c>
      <c r="M290" s="779">
        <v>59550</v>
      </c>
      <c r="N290" s="779">
        <v>63600</v>
      </c>
      <c r="O290" s="779">
        <v>67750</v>
      </c>
      <c r="P290" s="39"/>
      <c r="Q290" s="39"/>
    </row>
    <row r="291" spans="1:17">
      <c r="A291" s="38"/>
      <c r="B291" s="781">
        <v>0.45</v>
      </c>
      <c r="C291" s="778">
        <v>808</v>
      </c>
      <c r="D291" s="778">
        <v>866</v>
      </c>
      <c r="E291" s="778">
        <v>1039</v>
      </c>
      <c r="F291" s="778">
        <v>1200</v>
      </c>
      <c r="G291" s="778">
        <v>1339</v>
      </c>
      <c r="H291" s="778">
        <v>32355</v>
      </c>
      <c r="I291" s="778">
        <v>36945</v>
      </c>
      <c r="J291" s="778">
        <v>41580</v>
      </c>
      <c r="K291" s="778">
        <v>46170</v>
      </c>
      <c r="L291" s="778">
        <v>49860</v>
      </c>
      <c r="M291" s="780">
        <v>53595</v>
      </c>
      <c r="N291" s="780">
        <v>57240</v>
      </c>
      <c r="O291" s="780">
        <v>60975</v>
      </c>
      <c r="P291" s="39"/>
      <c r="Q291" s="39"/>
    </row>
    <row r="292" spans="1:17">
      <c r="A292" s="38"/>
      <c r="B292" s="781">
        <v>0.4</v>
      </c>
      <c r="C292" s="778">
        <v>719</v>
      </c>
      <c r="D292" s="778">
        <v>770</v>
      </c>
      <c r="E292" s="778">
        <v>924</v>
      </c>
      <c r="F292" s="778">
        <v>1067</v>
      </c>
      <c r="G292" s="778">
        <v>1191</v>
      </c>
      <c r="H292" s="778">
        <v>28760</v>
      </c>
      <c r="I292" s="778">
        <v>32840</v>
      </c>
      <c r="J292" s="778">
        <v>36960</v>
      </c>
      <c r="K292" s="778">
        <v>41040</v>
      </c>
      <c r="L292" s="778">
        <v>44320</v>
      </c>
      <c r="M292" s="780">
        <v>47640</v>
      </c>
      <c r="N292" s="780">
        <v>50880</v>
      </c>
      <c r="O292" s="780">
        <v>54200</v>
      </c>
      <c r="P292" s="39"/>
      <c r="Q292" s="39"/>
    </row>
    <row r="293" spans="1:17">
      <c r="A293" s="38"/>
      <c r="B293" s="522">
        <v>0.3</v>
      </c>
      <c r="C293" s="778">
        <v>539</v>
      </c>
      <c r="D293" s="778">
        <v>577</v>
      </c>
      <c r="E293" s="778">
        <v>693</v>
      </c>
      <c r="F293" s="778">
        <v>800</v>
      </c>
      <c r="G293" s="778">
        <v>893</v>
      </c>
      <c r="H293" s="779">
        <v>21570</v>
      </c>
      <c r="I293" s="779">
        <v>24630</v>
      </c>
      <c r="J293" s="779">
        <v>27720</v>
      </c>
      <c r="K293" s="779">
        <v>30780</v>
      </c>
      <c r="L293" s="779">
        <v>33240</v>
      </c>
      <c r="M293" s="779">
        <v>35730</v>
      </c>
      <c r="N293" s="779">
        <v>38160</v>
      </c>
      <c r="O293" s="779">
        <v>40650</v>
      </c>
      <c r="P293" s="39"/>
      <c r="Q293" s="39"/>
    </row>
    <row r="294" spans="1:17" ht="13.5" thickBot="1">
      <c r="A294" s="782"/>
      <c r="B294" s="40">
        <v>0.2</v>
      </c>
      <c r="C294" s="524">
        <v>359</v>
      </c>
      <c r="D294" s="524">
        <v>385</v>
      </c>
      <c r="E294" s="524">
        <v>462</v>
      </c>
      <c r="F294" s="524">
        <v>533</v>
      </c>
      <c r="G294" s="524">
        <v>595</v>
      </c>
      <c r="H294" s="525">
        <v>14380</v>
      </c>
      <c r="I294" s="525">
        <v>16420</v>
      </c>
      <c r="J294" s="525">
        <v>18480</v>
      </c>
      <c r="K294" s="525">
        <v>20520</v>
      </c>
      <c r="L294" s="525">
        <v>22160</v>
      </c>
      <c r="M294" s="525">
        <v>23820</v>
      </c>
      <c r="N294" s="525">
        <v>25440</v>
      </c>
      <c r="O294" s="525">
        <v>27100</v>
      </c>
      <c r="P294" s="45"/>
      <c r="Q294" s="45"/>
    </row>
    <row r="295" spans="1:17" ht="13.5" thickTop="1">
      <c r="A295" s="38"/>
      <c r="B295" s="37">
        <v>1.2</v>
      </c>
      <c r="C295" s="526">
        <v>2163</v>
      </c>
      <c r="D295" s="526">
        <v>2317</v>
      </c>
      <c r="E295" s="526">
        <v>2781</v>
      </c>
      <c r="F295" s="526">
        <v>3214</v>
      </c>
      <c r="G295" s="526">
        <v>3585</v>
      </c>
      <c r="H295" s="526">
        <v>86520</v>
      </c>
      <c r="I295" s="526">
        <v>98880</v>
      </c>
      <c r="J295" s="526">
        <v>111240</v>
      </c>
      <c r="K295" s="526">
        <v>123600</v>
      </c>
      <c r="L295" s="526">
        <v>133560</v>
      </c>
      <c r="M295" s="526">
        <v>143400</v>
      </c>
      <c r="N295" s="526">
        <v>153360</v>
      </c>
      <c r="O295" s="526">
        <v>163200</v>
      </c>
      <c r="P295" s="39"/>
      <c r="Q295" s="39"/>
    </row>
    <row r="296" spans="1:17">
      <c r="A296" s="38"/>
      <c r="B296" s="781">
        <v>1</v>
      </c>
      <c r="C296" s="778">
        <v>1802</v>
      </c>
      <c r="D296" s="778">
        <v>1931</v>
      </c>
      <c r="E296" s="778">
        <v>2317</v>
      </c>
      <c r="F296" s="778">
        <v>2678</v>
      </c>
      <c r="G296" s="778">
        <v>2987</v>
      </c>
      <c r="H296" s="778">
        <v>72100</v>
      </c>
      <c r="I296" s="778">
        <v>82400</v>
      </c>
      <c r="J296" s="778">
        <v>92700</v>
      </c>
      <c r="K296" s="778">
        <v>103000</v>
      </c>
      <c r="L296" s="778">
        <v>111300</v>
      </c>
      <c r="M296" s="778">
        <v>119500</v>
      </c>
      <c r="N296" s="778">
        <v>127800</v>
      </c>
      <c r="O296" s="778">
        <v>136000</v>
      </c>
      <c r="P296" s="39"/>
      <c r="Q296" s="39"/>
    </row>
    <row r="297" spans="1:17">
      <c r="A297" s="38" t="s">
        <v>1291</v>
      </c>
      <c r="B297" s="781">
        <v>0.8</v>
      </c>
      <c r="C297" s="778">
        <v>1442</v>
      </c>
      <c r="D297" s="778">
        <v>1545</v>
      </c>
      <c r="E297" s="778">
        <v>1854</v>
      </c>
      <c r="F297" s="778">
        <v>2143</v>
      </c>
      <c r="G297" s="778">
        <v>2390</v>
      </c>
      <c r="H297" s="779">
        <v>57680</v>
      </c>
      <c r="I297" s="779">
        <v>65920</v>
      </c>
      <c r="J297" s="779">
        <v>74160</v>
      </c>
      <c r="K297" s="779">
        <v>82400</v>
      </c>
      <c r="L297" s="779">
        <v>89040</v>
      </c>
      <c r="M297" s="779">
        <v>95600</v>
      </c>
      <c r="N297" s="779">
        <v>102240</v>
      </c>
      <c r="O297" s="779">
        <v>108800</v>
      </c>
      <c r="P297" s="39"/>
      <c r="Q297" s="39"/>
    </row>
    <row r="298" spans="1:17">
      <c r="A298" s="38"/>
      <c r="B298" s="781">
        <v>0.7</v>
      </c>
      <c r="C298" s="778">
        <v>1261</v>
      </c>
      <c r="D298" s="778">
        <v>1351</v>
      </c>
      <c r="E298" s="778">
        <v>1622</v>
      </c>
      <c r="F298" s="778">
        <v>1875</v>
      </c>
      <c r="G298" s="778">
        <v>2091</v>
      </c>
      <c r="H298" s="779">
        <v>50470</v>
      </c>
      <c r="I298" s="779">
        <v>57679.999999999993</v>
      </c>
      <c r="J298" s="779">
        <v>64889.999999999993</v>
      </c>
      <c r="K298" s="779">
        <v>72100</v>
      </c>
      <c r="L298" s="779">
        <v>77910</v>
      </c>
      <c r="M298" s="779">
        <v>83650</v>
      </c>
      <c r="N298" s="779">
        <v>89460</v>
      </c>
      <c r="O298" s="779">
        <v>95200</v>
      </c>
      <c r="P298" s="39"/>
      <c r="Q298" s="39"/>
    </row>
    <row r="299" spans="1:17">
      <c r="A299" s="38"/>
      <c r="B299" s="781">
        <v>0.6</v>
      </c>
      <c r="C299" s="778">
        <v>1081</v>
      </c>
      <c r="D299" s="778">
        <v>1158</v>
      </c>
      <c r="E299" s="778">
        <v>1390</v>
      </c>
      <c r="F299" s="778">
        <v>1607</v>
      </c>
      <c r="G299" s="778">
        <v>1792</v>
      </c>
      <c r="H299" s="778">
        <v>43260</v>
      </c>
      <c r="I299" s="778">
        <v>49440</v>
      </c>
      <c r="J299" s="778">
        <v>55620</v>
      </c>
      <c r="K299" s="778">
        <v>61800</v>
      </c>
      <c r="L299" s="778">
        <v>66780</v>
      </c>
      <c r="M299" s="780">
        <v>71700</v>
      </c>
      <c r="N299" s="780">
        <v>76680</v>
      </c>
      <c r="O299" s="780">
        <v>81600</v>
      </c>
      <c r="P299" s="39"/>
      <c r="Q299" s="39"/>
    </row>
    <row r="300" spans="1:17">
      <c r="A300" s="38"/>
      <c r="B300" s="781">
        <v>0.55000000000000004</v>
      </c>
      <c r="C300" s="778">
        <v>991</v>
      </c>
      <c r="D300" s="778">
        <v>1062</v>
      </c>
      <c r="E300" s="778">
        <v>1274</v>
      </c>
      <c r="F300" s="778">
        <v>1473</v>
      </c>
      <c r="G300" s="778">
        <v>1643</v>
      </c>
      <c r="H300" s="778">
        <v>39655</v>
      </c>
      <c r="I300" s="778">
        <v>45320.000000000007</v>
      </c>
      <c r="J300" s="778">
        <v>50985.000000000007</v>
      </c>
      <c r="K300" s="778">
        <v>56650.000000000007</v>
      </c>
      <c r="L300" s="778">
        <v>61215.000000000007</v>
      </c>
      <c r="M300" s="778">
        <v>65725</v>
      </c>
      <c r="N300" s="778">
        <v>70290</v>
      </c>
      <c r="O300" s="778">
        <v>74800</v>
      </c>
      <c r="P300" s="39"/>
      <c r="Q300" s="39"/>
    </row>
    <row r="301" spans="1:17">
      <c r="A301" s="38"/>
      <c r="B301" s="781">
        <v>0.5</v>
      </c>
      <c r="C301" s="778">
        <v>901</v>
      </c>
      <c r="D301" s="778">
        <v>965</v>
      </c>
      <c r="E301" s="778">
        <v>1158</v>
      </c>
      <c r="F301" s="778">
        <v>1339</v>
      </c>
      <c r="G301" s="778">
        <v>1493</v>
      </c>
      <c r="H301" s="779">
        <v>36050</v>
      </c>
      <c r="I301" s="779">
        <v>41200</v>
      </c>
      <c r="J301" s="779">
        <v>46350</v>
      </c>
      <c r="K301" s="779">
        <v>51500</v>
      </c>
      <c r="L301" s="779">
        <v>55650</v>
      </c>
      <c r="M301" s="779">
        <v>59750</v>
      </c>
      <c r="N301" s="779">
        <v>63900</v>
      </c>
      <c r="O301" s="779">
        <v>68000</v>
      </c>
      <c r="P301" s="39"/>
      <c r="Q301" s="39"/>
    </row>
    <row r="302" spans="1:17">
      <c r="A302" s="38"/>
      <c r="B302" s="781">
        <v>0.45</v>
      </c>
      <c r="C302" s="778">
        <v>811</v>
      </c>
      <c r="D302" s="778">
        <v>869</v>
      </c>
      <c r="E302" s="778">
        <v>1042</v>
      </c>
      <c r="F302" s="778">
        <v>1205</v>
      </c>
      <c r="G302" s="778">
        <v>1344</v>
      </c>
      <c r="H302" s="778">
        <v>32445</v>
      </c>
      <c r="I302" s="778">
        <v>37080</v>
      </c>
      <c r="J302" s="778">
        <v>41715</v>
      </c>
      <c r="K302" s="778">
        <v>46350</v>
      </c>
      <c r="L302" s="778">
        <v>50085</v>
      </c>
      <c r="M302" s="780">
        <v>53775</v>
      </c>
      <c r="N302" s="780">
        <v>57510</v>
      </c>
      <c r="O302" s="780">
        <v>61200</v>
      </c>
      <c r="P302" s="39"/>
      <c r="Q302" s="39"/>
    </row>
    <row r="303" spans="1:17">
      <c r="A303" s="38"/>
      <c r="B303" s="781">
        <v>0.4</v>
      </c>
      <c r="C303" s="778">
        <v>721</v>
      </c>
      <c r="D303" s="778">
        <v>772</v>
      </c>
      <c r="E303" s="778">
        <v>927</v>
      </c>
      <c r="F303" s="778">
        <v>1071</v>
      </c>
      <c r="G303" s="778">
        <v>1195</v>
      </c>
      <c r="H303" s="778">
        <v>28840</v>
      </c>
      <c r="I303" s="778">
        <v>32960</v>
      </c>
      <c r="J303" s="778">
        <v>37080</v>
      </c>
      <c r="K303" s="778">
        <v>41200</v>
      </c>
      <c r="L303" s="778">
        <v>44520</v>
      </c>
      <c r="M303" s="780">
        <v>47800</v>
      </c>
      <c r="N303" s="780">
        <v>51120</v>
      </c>
      <c r="O303" s="780">
        <v>54400</v>
      </c>
      <c r="P303" s="39"/>
      <c r="Q303" s="39"/>
    </row>
    <row r="304" spans="1:17">
      <c r="A304" s="38"/>
      <c r="B304" s="522">
        <v>0.3</v>
      </c>
      <c r="C304" s="778">
        <v>540</v>
      </c>
      <c r="D304" s="778">
        <v>579</v>
      </c>
      <c r="E304" s="778">
        <v>695</v>
      </c>
      <c r="F304" s="778">
        <v>803</v>
      </c>
      <c r="G304" s="778">
        <v>896</v>
      </c>
      <c r="H304" s="779">
        <v>21630</v>
      </c>
      <c r="I304" s="779">
        <v>24720</v>
      </c>
      <c r="J304" s="779">
        <v>27810</v>
      </c>
      <c r="K304" s="779">
        <v>30900</v>
      </c>
      <c r="L304" s="779">
        <v>33390</v>
      </c>
      <c r="M304" s="779">
        <v>35850</v>
      </c>
      <c r="N304" s="779">
        <v>38340</v>
      </c>
      <c r="O304" s="779">
        <v>40800</v>
      </c>
      <c r="P304" s="39"/>
      <c r="Q304" s="39"/>
    </row>
    <row r="305" spans="1:17" ht="13.5" thickBot="1">
      <c r="A305" s="782"/>
      <c r="B305" s="40">
        <v>0.2</v>
      </c>
      <c r="C305" s="524">
        <v>360</v>
      </c>
      <c r="D305" s="524">
        <v>386</v>
      </c>
      <c r="E305" s="524">
        <v>463</v>
      </c>
      <c r="F305" s="524">
        <v>535</v>
      </c>
      <c r="G305" s="524">
        <v>597</v>
      </c>
      <c r="H305" s="525">
        <v>14420</v>
      </c>
      <c r="I305" s="525">
        <v>16480</v>
      </c>
      <c r="J305" s="525">
        <v>18540</v>
      </c>
      <c r="K305" s="525">
        <v>20600</v>
      </c>
      <c r="L305" s="525">
        <v>22260</v>
      </c>
      <c r="M305" s="525">
        <v>23900</v>
      </c>
      <c r="N305" s="525">
        <v>25560</v>
      </c>
      <c r="O305" s="525">
        <v>27200</v>
      </c>
      <c r="P305" s="45"/>
      <c r="Q305" s="45"/>
    </row>
    <row r="306" spans="1:17" ht="13.5" thickTop="1">
      <c r="A306" s="46"/>
      <c r="B306" s="37">
        <v>1.2</v>
      </c>
      <c r="C306" s="526">
        <v>1980</v>
      </c>
      <c r="D306" s="526">
        <v>2121</v>
      </c>
      <c r="E306" s="526">
        <v>2544</v>
      </c>
      <c r="F306" s="526">
        <v>2940</v>
      </c>
      <c r="G306" s="526">
        <v>3279</v>
      </c>
      <c r="H306" s="526">
        <v>79200</v>
      </c>
      <c r="I306" s="526">
        <v>90480</v>
      </c>
      <c r="J306" s="526">
        <v>101760</v>
      </c>
      <c r="K306" s="526">
        <v>113040</v>
      </c>
      <c r="L306" s="526">
        <v>122160</v>
      </c>
      <c r="M306" s="526">
        <v>131160</v>
      </c>
      <c r="N306" s="526">
        <v>140280</v>
      </c>
      <c r="O306" s="526">
        <v>149280</v>
      </c>
      <c r="P306" s="39"/>
      <c r="Q306" s="39"/>
    </row>
    <row r="307" spans="1:17">
      <c r="A307" s="38"/>
      <c r="B307" s="781">
        <v>1</v>
      </c>
      <c r="C307" s="778">
        <v>1650</v>
      </c>
      <c r="D307" s="778">
        <v>1767</v>
      </c>
      <c r="E307" s="778">
        <v>2120</v>
      </c>
      <c r="F307" s="778">
        <v>2450</v>
      </c>
      <c r="G307" s="778">
        <v>2732</v>
      </c>
      <c r="H307" s="778">
        <v>66000</v>
      </c>
      <c r="I307" s="778">
        <v>75400</v>
      </c>
      <c r="J307" s="778">
        <v>84800</v>
      </c>
      <c r="K307" s="778">
        <v>94200</v>
      </c>
      <c r="L307" s="778">
        <v>101800</v>
      </c>
      <c r="M307" s="778">
        <v>109300</v>
      </c>
      <c r="N307" s="778">
        <v>116900</v>
      </c>
      <c r="O307" s="778">
        <v>124400</v>
      </c>
      <c r="P307" s="39"/>
      <c r="Q307" s="39"/>
    </row>
    <row r="308" spans="1:17">
      <c r="A308" s="38" t="s">
        <v>1292</v>
      </c>
      <c r="B308" s="781">
        <v>0.8</v>
      </c>
      <c r="C308" s="778">
        <v>1320</v>
      </c>
      <c r="D308" s="778">
        <v>1414</v>
      </c>
      <c r="E308" s="778">
        <v>1696</v>
      </c>
      <c r="F308" s="778">
        <v>1960</v>
      </c>
      <c r="G308" s="778">
        <v>2186</v>
      </c>
      <c r="H308" s="779">
        <v>52800</v>
      </c>
      <c r="I308" s="779">
        <v>60320</v>
      </c>
      <c r="J308" s="779">
        <v>67840</v>
      </c>
      <c r="K308" s="779">
        <v>75360</v>
      </c>
      <c r="L308" s="779">
        <v>81440</v>
      </c>
      <c r="M308" s="779">
        <v>87440</v>
      </c>
      <c r="N308" s="779">
        <v>93520</v>
      </c>
      <c r="O308" s="779">
        <v>99520</v>
      </c>
      <c r="P308" s="39"/>
      <c r="Q308" s="39"/>
    </row>
    <row r="309" spans="1:17">
      <c r="A309" s="38"/>
      <c r="B309" s="781">
        <v>0.7</v>
      </c>
      <c r="C309" s="778">
        <v>1155</v>
      </c>
      <c r="D309" s="778">
        <v>1237</v>
      </c>
      <c r="E309" s="778">
        <v>1484</v>
      </c>
      <c r="F309" s="778">
        <v>1715</v>
      </c>
      <c r="G309" s="778">
        <v>1912</v>
      </c>
      <c r="H309" s="779">
        <v>46200</v>
      </c>
      <c r="I309" s="779">
        <v>52780</v>
      </c>
      <c r="J309" s="779">
        <v>59359.999999999993</v>
      </c>
      <c r="K309" s="779">
        <v>65940</v>
      </c>
      <c r="L309" s="779">
        <v>71260</v>
      </c>
      <c r="M309" s="779">
        <v>76510</v>
      </c>
      <c r="N309" s="779">
        <v>81830</v>
      </c>
      <c r="O309" s="779">
        <v>87080</v>
      </c>
      <c r="P309" s="39"/>
      <c r="Q309" s="39"/>
    </row>
    <row r="310" spans="1:17">
      <c r="A310" s="38"/>
      <c r="B310" s="781">
        <v>0.6</v>
      </c>
      <c r="C310" s="778">
        <v>990</v>
      </c>
      <c r="D310" s="778">
        <v>1060</v>
      </c>
      <c r="E310" s="778">
        <v>1272</v>
      </c>
      <c r="F310" s="778">
        <v>1470</v>
      </c>
      <c r="G310" s="778">
        <v>1639</v>
      </c>
      <c r="H310" s="778">
        <v>39600</v>
      </c>
      <c r="I310" s="778">
        <v>45240</v>
      </c>
      <c r="J310" s="778">
        <v>50880</v>
      </c>
      <c r="K310" s="778">
        <v>56520</v>
      </c>
      <c r="L310" s="778">
        <v>61080</v>
      </c>
      <c r="M310" s="780">
        <v>65580</v>
      </c>
      <c r="N310" s="780">
        <v>70140</v>
      </c>
      <c r="O310" s="780">
        <v>74640</v>
      </c>
      <c r="P310" s="39"/>
      <c r="Q310" s="39"/>
    </row>
    <row r="311" spans="1:17">
      <c r="A311" s="38"/>
      <c r="B311" s="781">
        <v>0.55000000000000004</v>
      </c>
      <c r="C311" s="778">
        <v>907</v>
      </c>
      <c r="D311" s="778">
        <v>972</v>
      </c>
      <c r="E311" s="778">
        <v>1166</v>
      </c>
      <c r="F311" s="778">
        <v>1347</v>
      </c>
      <c r="G311" s="778">
        <v>1502</v>
      </c>
      <c r="H311" s="778">
        <v>36300</v>
      </c>
      <c r="I311" s="778">
        <v>41470</v>
      </c>
      <c r="J311" s="778">
        <v>46640.000000000007</v>
      </c>
      <c r="K311" s="778">
        <v>51810.000000000007</v>
      </c>
      <c r="L311" s="778">
        <v>55990.000000000007</v>
      </c>
      <c r="M311" s="778">
        <v>60115.000000000007</v>
      </c>
      <c r="N311" s="778">
        <v>64295.000000000007</v>
      </c>
      <c r="O311" s="778">
        <v>68420</v>
      </c>
      <c r="P311" s="39"/>
      <c r="Q311" s="39"/>
    </row>
    <row r="312" spans="1:17">
      <c r="A312" s="38"/>
      <c r="B312" s="781">
        <v>0.5</v>
      </c>
      <c r="C312" s="778">
        <v>825</v>
      </c>
      <c r="D312" s="778">
        <v>883</v>
      </c>
      <c r="E312" s="778">
        <v>1060</v>
      </c>
      <c r="F312" s="778">
        <v>1225</v>
      </c>
      <c r="G312" s="778">
        <v>1366</v>
      </c>
      <c r="H312" s="779">
        <v>33000</v>
      </c>
      <c r="I312" s="779">
        <v>37700</v>
      </c>
      <c r="J312" s="779">
        <v>42400</v>
      </c>
      <c r="K312" s="779">
        <v>47100</v>
      </c>
      <c r="L312" s="779">
        <v>50900</v>
      </c>
      <c r="M312" s="779">
        <v>54650</v>
      </c>
      <c r="N312" s="779">
        <v>58450</v>
      </c>
      <c r="O312" s="779">
        <v>62200</v>
      </c>
      <c r="P312" s="39"/>
      <c r="Q312" s="39"/>
    </row>
    <row r="313" spans="1:17">
      <c r="A313" s="38"/>
      <c r="B313" s="781">
        <v>0.45</v>
      </c>
      <c r="C313" s="778">
        <v>742</v>
      </c>
      <c r="D313" s="778">
        <v>795</v>
      </c>
      <c r="E313" s="778">
        <v>954</v>
      </c>
      <c r="F313" s="778">
        <v>1102</v>
      </c>
      <c r="G313" s="778">
        <v>1229</v>
      </c>
      <c r="H313" s="778">
        <v>29700</v>
      </c>
      <c r="I313" s="778">
        <v>33930</v>
      </c>
      <c r="J313" s="778">
        <v>38160</v>
      </c>
      <c r="K313" s="778">
        <v>42390</v>
      </c>
      <c r="L313" s="778">
        <v>45810</v>
      </c>
      <c r="M313" s="780">
        <v>49185</v>
      </c>
      <c r="N313" s="780">
        <v>52605</v>
      </c>
      <c r="O313" s="780">
        <v>55980</v>
      </c>
      <c r="P313" s="39"/>
      <c r="Q313" s="39"/>
    </row>
    <row r="314" spans="1:17">
      <c r="A314" s="38"/>
      <c r="B314" s="781">
        <v>0.4</v>
      </c>
      <c r="C314" s="778">
        <v>660</v>
      </c>
      <c r="D314" s="778">
        <v>707</v>
      </c>
      <c r="E314" s="778">
        <v>848</v>
      </c>
      <c r="F314" s="778">
        <v>980</v>
      </c>
      <c r="G314" s="778">
        <v>1093</v>
      </c>
      <c r="H314" s="778">
        <v>26400</v>
      </c>
      <c r="I314" s="778">
        <v>30160</v>
      </c>
      <c r="J314" s="778">
        <v>33920</v>
      </c>
      <c r="K314" s="778">
        <v>37680</v>
      </c>
      <c r="L314" s="778">
        <v>40720</v>
      </c>
      <c r="M314" s="780">
        <v>43720</v>
      </c>
      <c r="N314" s="780">
        <v>46760</v>
      </c>
      <c r="O314" s="780">
        <v>49760</v>
      </c>
      <c r="P314" s="39"/>
      <c r="Q314" s="39"/>
    </row>
    <row r="315" spans="1:17">
      <c r="A315" s="38"/>
      <c r="B315" s="522">
        <v>0.3</v>
      </c>
      <c r="C315" s="778">
        <v>495</v>
      </c>
      <c r="D315" s="778">
        <v>530</v>
      </c>
      <c r="E315" s="778">
        <v>636</v>
      </c>
      <c r="F315" s="778">
        <v>735</v>
      </c>
      <c r="G315" s="778">
        <v>819</v>
      </c>
      <c r="H315" s="779">
        <v>19800</v>
      </c>
      <c r="I315" s="779">
        <v>22620</v>
      </c>
      <c r="J315" s="779">
        <v>25440</v>
      </c>
      <c r="K315" s="779">
        <v>28260</v>
      </c>
      <c r="L315" s="779">
        <v>30540</v>
      </c>
      <c r="M315" s="779">
        <v>32790</v>
      </c>
      <c r="N315" s="779">
        <v>35070</v>
      </c>
      <c r="O315" s="779">
        <v>37320</v>
      </c>
      <c r="P315" s="39"/>
      <c r="Q315" s="39"/>
    </row>
    <row r="316" spans="1:17" ht="13.5" thickBot="1">
      <c r="A316" s="782"/>
      <c r="B316" s="40">
        <v>0.2</v>
      </c>
      <c r="C316" s="524">
        <v>330</v>
      </c>
      <c r="D316" s="524">
        <v>353</v>
      </c>
      <c r="E316" s="524">
        <v>424</v>
      </c>
      <c r="F316" s="524">
        <v>490</v>
      </c>
      <c r="G316" s="524">
        <v>546</v>
      </c>
      <c r="H316" s="525">
        <v>13200</v>
      </c>
      <c r="I316" s="525">
        <v>15080</v>
      </c>
      <c r="J316" s="525">
        <v>16960</v>
      </c>
      <c r="K316" s="525">
        <v>18840</v>
      </c>
      <c r="L316" s="525">
        <v>20360</v>
      </c>
      <c r="M316" s="525">
        <v>21860</v>
      </c>
      <c r="N316" s="525">
        <v>23380</v>
      </c>
      <c r="O316" s="525">
        <v>24880</v>
      </c>
      <c r="P316" s="41"/>
      <c r="Q316" s="41"/>
    </row>
    <row r="317" spans="1:17" ht="13.5" thickTop="1">
      <c r="A317" s="46"/>
      <c r="B317" s="37">
        <v>1.2</v>
      </c>
      <c r="C317" s="526">
        <v>1980</v>
      </c>
      <c r="D317" s="526">
        <v>2121</v>
      </c>
      <c r="E317" s="526">
        <v>2544</v>
      </c>
      <c r="F317" s="526">
        <v>2940</v>
      </c>
      <c r="G317" s="526">
        <v>3279</v>
      </c>
      <c r="H317" s="526">
        <v>79200</v>
      </c>
      <c r="I317" s="526">
        <v>90480</v>
      </c>
      <c r="J317" s="526">
        <v>101760</v>
      </c>
      <c r="K317" s="526">
        <v>113040</v>
      </c>
      <c r="L317" s="526">
        <v>122160</v>
      </c>
      <c r="M317" s="526">
        <v>131160</v>
      </c>
      <c r="N317" s="526">
        <v>140280</v>
      </c>
      <c r="O317" s="526">
        <v>149280</v>
      </c>
      <c r="P317" s="41"/>
      <c r="Q317" s="41"/>
    </row>
    <row r="318" spans="1:17">
      <c r="A318" s="38"/>
      <c r="B318" s="781">
        <v>1</v>
      </c>
      <c r="C318" s="778">
        <v>1650</v>
      </c>
      <c r="D318" s="778">
        <v>1767</v>
      </c>
      <c r="E318" s="778">
        <v>2120</v>
      </c>
      <c r="F318" s="778">
        <v>2450</v>
      </c>
      <c r="G318" s="778">
        <v>2732</v>
      </c>
      <c r="H318" s="778">
        <v>66000</v>
      </c>
      <c r="I318" s="778">
        <v>75400</v>
      </c>
      <c r="J318" s="778">
        <v>84800</v>
      </c>
      <c r="K318" s="778">
        <v>94200</v>
      </c>
      <c r="L318" s="778">
        <v>101800</v>
      </c>
      <c r="M318" s="778">
        <v>109300</v>
      </c>
      <c r="N318" s="778">
        <v>116900</v>
      </c>
      <c r="O318" s="778">
        <v>124400</v>
      </c>
      <c r="P318" s="41"/>
      <c r="Q318" s="41"/>
    </row>
    <row r="319" spans="1:17">
      <c r="A319" s="38" t="s">
        <v>1293</v>
      </c>
      <c r="B319" s="781">
        <v>0.8</v>
      </c>
      <c r="C319" s="778">
        <v>1320</v>
      </c>
      <c r="D319" s="778">
        <v>1414</v>
      </c>
      <c r="E319" s="778">
        <v>1696</v>
      </c>
      <c r="F319" s="778">
        <v>1960</v>
      </c>
      <c r="G319" s="778">
        <v>2186</v>
      </c>
      <c r="H319" s="779">
        <v>52800</v>
      </c>
      <c r="I319" s="779">
        <v>60320</v>
      </c>
      <c r="J319" s="779">
        <v>67840</v>
      </c>
      <c r="K319" s="779">
        <v>75360</v>
      </c>
      <c r="L319" s="779">
        <v>81440</v>
      </c>
      <c r="M319" s="779">
        <v>87440</v>
      </c>
      <c r="N319" s="779">
        <v>93520</v>
      </c>
      <c r="O319" s="779">
        <v>99520</v>
      </c>
      <c r="P319" s="41"/>
      <c r="Q319" s="41"/>
    </row>
    <row r="320" spans="1:17">
      <c r="A320" s="38"/>
      <c r="B320" s="781">
        <v>0.7</v>
      </c>
      <c r="C320" s="778">
        <v>1155</v>
      </c>
      <c r="D320" s="778">
        <v>1237</v>
      </c>
      <c r="E320" s="778">
        <v>1484</v>
      </c>
      <c r="F320" s="778">
        <v>1715</v>
      </c>
      <c r="G320" s="778">
        <v>1912</v>
      </c>
      <c r="H320" s="779">
        <v>46200</v>
      </c>
      <c r="I320" s="779">
        <v>52780</v>
      </c>
      <c r="J320" s="779">
        <v>59359.999999999993</v>
      </c>
      <c r="K320" s="779">
        <v>65940</v>
      </c>
      <c r="L320" s="779">
        <v>71260</v>
      </c>
      <c r="M320" s="779">
        <v>76510</v>
      </c>
      <c r="N320" s="779">
        <v>81830</v>
      </c>
      <c r="O320" s="779">
        <v>87080</v>
      </c>
      <c r="P320" s="41"/>
      <c r="Q320" s="41"/>
    </row>
    <row r="321" spans="1:17">
      <c r="A321" s="38"/>
      <c r="B321" s="781">
        <v>0.6</v>
      </c>
      <c r="C321" s="778">
        <v>990</v>
      </c>
      <c r="D321" s="778">
        <v>1060</v>
      </c>
      <c r="E321" s="778">
        <v>1272</v>
      </c>
      <c r="F321" s="778">
        <v>1470</v>
      </c>
      <c r="G321" s="778">
        <v>1639</v>
      </c>
      <c r="H321" s="778">
        <v>39600</v>
      </c>
      <c r="I321" s="778">
        <v>45240</v>
      </c>
      <c r="J321" s="778">
        <v>50880</v>
      </c>
      <c r="K321" s="778">
        <v>56520</v>
      </c>
      <c r="L321" s="778">
        <v>61080</v>
      </c>
      <c r="M321" s="780">
        <v>65580</v>
      </c>
      <c r="N321" s="780">
        <v>70140</v>
      </c>
      <c r="O321" s="780">
        <v>74640</v>
      </c>
      <c r="P321" s="41"/>
      <c r="Q321" s="41"/>
    </row>
    <row r="322" spans="1:17">
      <c r="A322" s="38"/>
      <c r="B322" s="781">
        <v>0.55000000000000004</v>
      </c>
      <c r="C322" s="778">
        <v>907</v>
      </c>
      <c r="D322" s="778">
        <v>972</v>
      </c>
      <c r="E322" s="778">
        <v>1166</v>
      </c>
      <c r="F322" s="778">
        <v>1347</v>
      </c>
      <c r="G322" s="778">
        <v>1502</v>
      </c>
      <c r="H322" s="778">
        <v>36300</v>
      </c>
      <c r="I322" s="778">
        <v>41470</v>
      </c>
      <c r="J322" s="778">
        <v>46640.000000000007</v>
      </c>
      <c r="K322" s="778">
        <v>51810.000000000007</v>
      </c>
      <c r="L322" s="778">
        <v>55990.000000000007</v>
      </c>
      <c r="M322" s="778">
        <v>60115.000000000007</v>
      </c>
      <c r="N322" s="778">
        <v>64295.000000000007</v>
      </c>
      <c r="O322" s="778">
        <v>68420</v>
      </c>
      <c r="P322" s="41"/>
      <c r="Q322" s="41"/>
    </row>
    <row r="323" spans="1:17">
      <c r="A323" s="38"/>
      <c r="B323" s="781">
        <v>0.5</v>
      </c>
      <c r="C323" s="778">
        <v>825</v>
      </c>
      <c r="D323" s="778">
        <v>883</v>
      </c>
      <c r="E323" s="778">
        <v>1060</v>
      </c>
      <c r="F323" s="778">
        <v>1225</v>
      </c>
      <c r="G323" s="778">
        <v>1366</v>
      </c>
      <c r="H323" s="779">
        <v>33000</v>
      </c>
      <c r="I323" s="779">
        <v>37700</v>
      </c>
      <c r="J323" s="779">
        <v>42400</v>
      </c>
      <c r="K323" s="779">
        <v>47100</v>
      </c>
      <c r="L323" s="779">
        <v>50900</v>
      </c>
      <c r="M323" s="779">
        <v>54650</v>
      </c>
      <c r="N323" s="779">
        <v>58450</v>
      </c>
      <c r="O323" s="779">
        <v>62200</v>
      </c>
      <c r="P323" s="41"/>
      <c r="Q323" s="41"/>
    </row>
    <row r="324" spans="1:17">
      <c r="A324" s="38"/>
      <c r="B324" s="781">
        <v>0.45</v>
      </c>
      <c r="C324" s="778">
        <v>742</v>
      </c>
      <c r="D324" s="778">
        <v>795</v>
      </c>
      <c r="E324" s="778">
        <v>954</v>
      </c>
      <c r="F324" s="778">
        <v>1102</v>
      </c>
      <c r="G324" s="778">
        <v>1229</v>
      </c>
      <c r="H324" s="778">
        <v>29700</v>
      </c>
      <c r="I324" s="778">
        <v>33930</v>
      </c>
      <c r="J324" s="778">
        <v>38160</v>
      </c>
      <c r="K324" s="778">
        <v>42390</v>
      </c>
      <c r="L324" s="778">
        <v>45810</v>
      </c>
      <c r="M324" s="780">
        <v>49185</v>
      </c>
      <c r="N324" s="780">
        <v>52605</v>
      </c>
      <c r="O324" s="780">
        <v>55980</v>
      </c>
      <c r="P324" s="41"/>
      <c r="Q324" s="41"/>
    </row>
    <row r="325" spans="1:17">
      <c r="A325" s="38"/>
      <c r="B325" s="781">
        <v>0.4</v>
      </c>
      <c r="C325" s="778">
        <v>660</v>
      </c>
      <c r="D325" s="778">
        <v>707</v>
      </c>
      <c r="E325" s="778">
        <v>848</v>
      </c>
      <c r="F325" s="778">
        <v>980</v>
      </c>
      <c r="G325" s="778">
        <v>1093</v>
      </c>
      <c r="H325" s="778">
        <v>26400</v>
      </c>
      <c r="I325" s="778">
        <v>30160</v>
      </c>
      <c r="J325" s="778">
        <v>33920</v>
      </c>
      <c r="K325" s="778">
        <v>37680</v>
      </c>
      <c r="L325" s="778">
        <v>40720</v>
      </c>
      <c r="M325" s="780">
        <v>43720</v>
      </c>
      <c r="N325" s="780">
        <v>46760</v>
      </c>
      <c r="O325" s="780">
        <v>49760</v>
      </c>
      <c r="P325" s="41"/>
      <c r="Q325" s="41"/>
    </row>
    <row r="326" spans="1:17">
      <c r="A326" s="38"/>
      <c r="B326" s="522">
        <v>0.3</v>
      </c>
      <c r="C326" s="778">
        <v>495</v>
      </c>
      <c r="D326" s="778">
        <v>530</v>
      </c>
      <c r="E326" s="778">
        <v>636</v>
      </c>
      <c r="F326" s="778">
        <v>735</v>
      </c>
      <c r="G326" s="778">
        <v>819</v>
      </c>
      <c r="H326" s="779">
        <v>19800</v>
      </c>
      <c r="I326" s="779">
        <v>22620</v>
      </c>
      <c r="J326" s="779">
        <v>25440</v>
      </c>
      <c r="K326" s="779">
        <v>28260</v>
      </c>
      <c r="L326" s="779">
        <v>30540</v>
      </c>
      <c r="M326" s="779">
        <v>32790</v>
      </c>
      <c r="N326" s="779">
        <v>35070</v>
      </c>
      <c r="O326" s="779">
        <v>37320</v>
      </c>
      <c r="P326" s="41"/>
      <c r="Q326" s="41"/>
    </row>
    <row r="327" spans="1:17" ht="13.5" thickBot="1">
      <c r="A327" s="782"/>
      <c r="B327" s="40">
        <v>0.2</v>
      </c>
      <c r="C327" s="524">
        <v>330</v>
      </c>
      <c r="D327" s="524">
        <v>353</v>
      </c>
      <c r="E327" s="524">
        <v>424</v>
      </c>
      <c r="F327" s="524">
        <v>490</v>
      </c>
      <c r="G327" s="524">
        <v>546</v>
      </c>
      <c r="H327" s="525">
        <v>13200</v>
      </c>
      <c r="I327" s="525">
        <v>15080</v>
      </c>
      <c r="J327" s="525">
        <v>16960</v>
      </c>
      <c r="K327" s="525">
        <v>18840</v>
      </c>
      <c r="L327" s="525">
        <v>20360</v>
      </c>
      <c r="M327" s="525">
        <v>21860</v>
      </c>
      <c r="N327" s="525">
        <v>23380</v>
      </c>
      <c r="O327" s="525">
        <v>24880</v>
      </c>
      <c r="P327" s="41"/>
      <c r="Q327" s="41"/>
    </row>
    <row r="328" spans="1:17" ht="13.5" thickTop="1">
      <c r="A328" s="46"/>
      <c r="B328" s="37">
        <v>1.2</v>
      </c>
      <c r="C328" s="526">
        <v>1980</v>
      </c>
      <c r="D328" s="526">
        <v>2121</v>
      </c>
      <c r="E328" s="526">
        <v>2544</v>
      </c>
      <c r="F328" s="526">
        <v>2940</v>
      </c>
      <c r="G328" s="526">
        <v>3279</v>
      </c>
      <c r="H328" s="526">
        <v>79200</v>
      </c>
      <c r="I328" s="526">
        <v>90480</v>
      </c>
      <c r="J328" s="526">
        <v>101760</v>
      </c>
      <c r="K328" s="526">
        <v>113040</v>
      </c>
      <c r="L328" s="526">
        <v>122160</v>
      </c>
      <c r="M328" s="526">
        <v>131160</v>
      </c>
      <c r="N328" s="526">
        <v>140280</v>
      </c>
      <c r="O328" s="526">
        <v>149280</v>
      </c>
      <c r="P328" s="41"/>
      <c r="Q328" s="41"/>
    </row>
    <row r="329" spans="1:17">
      <c r="A329" s="38"/>
      <c r="B329" s="781">
        <v>1</v>
      </c>
      <c r="C329" s="778">
        <v>1650</v>
      </c>
      <c r="D329" s="778">
        <v>1767</v>
      </c>
      <c r="E329" s="778">
        <v>2120</v>
      </c>
      <c r="F329" s="778">
        <v>2450</v>
      </c>
      <c r="G329" s="778">
        <v>2732</v>
      </c>
      <c r="H329" s="778">
        <v>66000</v>
      </c>
      <c r="I329" s="778">
        <v>75400</v>
      </c>
      <c r="J329" s="778">
        <v>84800</v>
      </c>
      <c r="K329" s="778">
        <v>94200</v>
      </c>
      <c r="L329" s="778">
        <v>101800</v>
      </c>
      <c r="M329" s="778">
        <v>109300</v>
      </c>
      <c r="N329" s="778">
        <v>116900</v>
      </c>
      <c r="O329" s="778">
        <v>124400</v>
      </c>
      <c r="P329" s="41"/>
      <c r="Q329" s="41"/>
    </row>
    <row r="330" spans="1:17">
      <c r="A330" s="38" t="s">
        <v>1294</v>
      </c>
      <c r="B330" s="781">
        <v>0.8</v>
      </c>
      <c r="C330" s="778">
        <v>1320</v>
      </c>
      <c r="D330" s="778">
        <v>1414</v>
      </c>
      <c r="E330" s="778">
        <v>1696</v>
      </c>
      <c r="F330" s="778">
        <v>1960</v>
      </c>
      <c r="G330" s="778">
        <v>2186</v>
      </c>
      <c r="H330" s="779">
        <v>52800</v>
      </c>
      <c r="I330" s="779">
        <v>60320</v>
      </c>
      <c r="J330" s="779">
        <v>67840</v>
      </c>
      <c r="K330" s="779">
        <v>75360</v>
      </c>
      <c r="L330" s="779">
        <v>81440</v>
      </c>
      <c r="M330" s="779">
        <v>87440</v>
      </c>
      <c r="N330" s="779">
        <v>93520</v>
      </c>
      <c r="O330" s="779">
        <v>99520</v>
      </c>
      <c r="P330" s="41"/>
      <c r="Q330" s="41"/>
    </row>
    <row r="331" spans="1:17">
      <c r="A331" s="38"/>
      <c r="B331" s="781">
        <v>0.7</v>
      </c>
      <c r="C331" s="778">
        <v>1155</v>
      </c>
      <c r="D331" s="778">
        <v>1237</v>
      </c>
      <c r="E331" s="778">
        <v>1484</v>
      </c>
      <c r="F331" s="778">
        <v>1715</v>
      </c>
      <c r="G331" s="778">
        <v>1912</v>
      </c>
      <c r="H331" s="779">
        <v>46200</v>
      </c>
      <c r="I331" s="779">
        <v>52780</v>
      </c>
      <c r="J331" s="779">
        <v>59359.999999999993</v>
      </c>
      <c r="K331" s="779">
        <v>65940</v>
      </c>
      <c r="L331" s="779">
        <v>71260</v>
      </c>
      <c r="M331" s="779">
        <v>76510</v>
      </c>
      <c r="N331" s="779">
        <v>81830</v>
      </c>
      <c r="O331" s="779">
        <v>87080</v>
      </c>
      <c r="P331" s="41"/>
      <c r="Q331" s="41"/>
    </row>
    <row r="332" spans="1:17">
      <c r="A332" s="38"/>
      <c r="B332" s="781">
        <v>0.6</v>
      </c>
      <c r="C332" s="778">
        <v>990</v>
      </c>
      <c r="D332" s="778">
        <v>1060</v>
      </c>
      <c r="E332" s="778">
        <v>1272</v>
      </c>
      <c r="F332" s="778">
        <v>1470</v>
      </c>
      <c r="G332" s="778">
        <v>1639</v>
      </c>
      <c r="H332" s="778">
        <v>39600</v>
      </c>
      <c r="I332" s="778">
        <v>45240</v>
      </c>
      <c r="J332" s="778">
        <v>50880</v>
      </c>
      <c r="K332" s="778">
        <v>56520</v>
      </c>
      <c r="L332" s="778">
        <v>61080</v>
      </c>
      <c r="M332" s="780">
        <v>65580</v>
      </c>
      <c r="N332" s="780">
        <v>70140</v>
      </c>
      <c r="O332" s="780">
        <v>74640</v>
      </c>
      <c r="P332" s="41"/>
      <c r="Q332" s="41"/>
    </row>
    <row r="333" spans="1:17">
      <c r="A333" s="38"/>
      <c r="B333" s="781">
        <v>0.55000000000000004</v>
      </c>
      <c r="C333" s="778">
        <v>907</v>
      </c>
      <c r="D333" s="778">
        <v>972</v>
      </c>
      <c r="E333" s="778">
        <v>1166</v>
      </c>
      <c r="F333" s="778">
        <v>1347</v>
      </c>
      <c r="G333" s="778">
        <v>1502</v>
      </c>
      <c r="H333" s="778">
        <v>36300</v>
      </c>
      <c r="I333" s="778">
        <v>41470</v>
      </c>
      <c r="J333" s="778">
        <v>46640.000000000007</v>
      </c>
      <c r="K333" s="778">
        <v>51810.000000000007</v>
      </c>
      <c r="L333" s="778">
        <v>55990.000000000007</v>
      </c>
      <c r="M333" s="778">
        <v>60115.000000000007</v>
      </c>
      <c r="N333" s="778">
        <v>64295.000000000007</v>
      </c>
      <c r="O333" s="778">
        <v>68420</v>
      </c>
      <c r="P333" s="41"/>
      <c r="Q333" s="41"/>
    </row>
    <row r="334" spans="1:17">
      <c r="A334" s="38"/>
      <c r="B334" s="781">
        <v>0.5</v>
      </c>
      <c r="C334" s="778">
        <v>825</v>
      </c>
      <c r="D334" s="778">
        <v>883</v>
      </c>
      <c r="E334" s="778">
        <v>1060</v>
      </c>
      <c r="F334" s="778">
        <v>1225</v>
      </c>
      <c r="G334" s="778">
        <v>1366</v>
      </c>
      <c r="H334" s="779">
        <v>33000</v>
      </c>
      <c r="I334" s="779">
        <v>37700</v>
      </c>
      <c r="J334" s="779">
        <v>42400</v>
      </c>
      <c r="K334" s="779">
        <v>47100</v>
      </c>
      <c r="L334" s="779">
        <v>50900</v>
      </c>
      <c r="M334" s="779">
        <v>54650</v>
      </c>
      <c r="N334" s="779">
        <v>58450</v>
      </c>
      <c r="O334" s="779">
        <v>62200</v>
      </c>
      <c r="P334" s="41"/>
      <c r="Q334" s="41"/>
    </row>
    <row r="335" spans="1:17">
      <c r="A335" s="38"/>
      <c r="B335" s="781">
        <v>0.45</v>
      </c>
      <c r="C335" s="778">
        <v>742</v>
      </c>
      <c r="D335" s="778">
        <v>795</v>
      </c>
      <c r="E335" s="778">
        <v>954</v>
      </c>
      <c r="F335" s="778">
        <v>1102</v>
      </c>
      <c r="G335" s="778">
        <v>1229</v>
      </c>
      <c r="H335" s="778">
        <v>29700</v>
      </c>
      <c r="I335" s="778">
        <v>33930</v>
      </c>
      <c r="J335" s="778">
        <v>38160</v>
      </c>
      <c r="K335" s="778">
        <v>42390</v>
      </c>
      <c r="L335" s="778">
        <v>45810</v>
      </c>
      <c r="M335" s="780">
        <v>49185</v>
      </c>
      <c r="N335" s="780">
        <v>52605</v>
      </c>
      <c r="O335" s="780">
        <v>55980</v>
      </c>
      <c r="P335" s="41"/>
      <c r="Q335" s="41"/>
    </row>
    <row r="336" spans="1:17">
      <c r="A336" s="38"/>
      <c r="B336" s="781">
        <v>0.4</v>
      </c>
      <c r="C336" s="778">
        <v>660</v>
      </c>
      <c r="D336" s="778">
        <v>707</v>
      </c>
      <c r="E336" s="778">
        <v>848</v>
      </c>
      <c r="F336" s="778">
        <v>980</v>
      </c>
      <c r="G336" s="778">
        <v>1093</v>
      </c>
      <c r="H336" s="778">
        <v>26400</v>
      </c>
      <c r="I336" s="778">
        <v>30160</v>
      </c>
      <c r="J336" s="778">
        <v>33920</v>
      </c>
      <c r="K336" s="778">
        <v>37680</v>
      </c>
      <c r="L336" s="778">
        <v>40720</v>
      </c>
      <c r="M336" s="780">
        <v>43720</v>
      </c>
      <c r="N336" s="780">
        <v>46760</v>
      </c>
      <c r="O336" s="780">
        <v>49760</v>
      </c>
      <c r="P336" s="41"/>
      <c r="Q336" s="41"/>
    </row>
    <row r="337" spans="1:17">
      <c r="A337" s="38"/>
      <c r="B337" s="522">
        <v>0.3</v>
      </c>
      <c r="C337" s="778">
        <v>495</v>
      </c>
      <c r="D337" s="778">
        <v>530</v>
      </c>
      <c r="E337" s="778">
        <v>636</v>
      </c>
      <c r="F337" s="778">
        <v>735</v>
      </c>
      <c r="G337" s="778">
        <v>819</v>
      </c>
      <c r="H337" s="779">
        <v>19800</v>
      </c>
      <c r="I337" s="779">
        <v>22620</v>
      </c>
      <c r="J337" s="779">
        <v>25440</v>
      </c>
      <c r="K337" s="779">
        <v>28260</v>
      </c>
      <c r="L337" s="779">
        <v>30540</v>
      </c>
      <c r="M337" s="779">
        <v>32790</v>
      </c>
      <c r="N337" s="779">
        <v>35070</v>
      </c>
      <c r="O337" s="779">
        <v>37320</v>
      </c>
      <c r="P337" s="41"/>
      <c r="Q337" s="41"/>
    </row>
    <row r="338" spans="1:17" ht="13.5" thickBot="1">
      <c r="A338" s="782"/>
      <c r="B338" s="40">
        <v>0.2</v>
      </c>
      <c r="C338" s="524">
        <v>330</v>
      </c>
      <c r="D338" s="524">
        <v>353</v>
      </c>
      <c r="E338" s="524">
        <v>424</v>
      </c>
      <c r="F338" s="524">
        <v>490</v>
      </c>
      <c r="G338" s="524">
        <v>546</v>
      </c>
      <c r="H338" s="525">
        <v>13200</v>
      </c>
      <c r="I338" s="525">
        <v>15080</v>
      </c>
      <c r="J338" s="525">
        <v>16960</v>
      </c>
      <c r="K338" s="525">
        <v>18840</v>
      </c>
      <c r="L338" s="525">
        <v>20360</v>
      </c>
      <c r="M338" s="525">
        <v>21860</v>
      </c>
      <c r="N338" s="525">
        <v>23380</v>
      </c>
      <c r="O338" s="525">
        <v>24880</v>
      </c>
      <c r="P338" s="41"/>
      <c r="Q338" s="41"/>
    </row>
    <row r="339" spans="1:17" ht="13.5" thickTop="1">
      <c r="A339" s="46"/>
      <c r="B339" s="37">
        <v>1.2</v>
      </c>
      <c r="C339" s="526">
        <v>2739</v>
      </c>
      <c r="D339" s="526">
        <v>2935</v>
      </c>
      <c r="E339" s="526">
        <v>3522</v>
      </c>
      <c r="F339" s="526">
        <v>4069</v>
      </c>
      <c r="G339" s="526">
        <v>4539</v>
      </c>
      <c r="H339" s="526">
        <v>109560</v>
      </c>
      <c r="I339" s="526">
        <v>125280</v>
      </c>
      <c r="J339" s="526">
        <v>140880</v>
      </c>
      <c r="K339" s="526">
        <v>156480</v>
      </c>
      <c r="L339" s="526">
        <v>169080</v>
      </c>
      <c r="M339" s="526">
        <v>181560</v>
      </c>
      <c r="N339" s="526">
        <v>194040</v>
      </c>
      <c r="O339" s="526">
        <v>206640</v>
      </c>
      <c r="P339" s="39"/>
      <c r="Q339" s="39"/>
    </row>
    <row r="340" spans="1:17">
      <c r="A340" s="38"/>
      <c r="B340" s="781">
        <v>1</v>
      </c>
      <c r="C340" s="778">
        <v>2282</v>
      </c>
      <c r="D340" s="778">
        <v>2446</v>
      </c>
      <c r="E340" s="778">
        <v>2935</v>
      </c>
      <c r="F340" s="778">
        <v>3391</v>
      </c>
      <c r="G340" s="778">
        <v>3782</v>
      </c>
      <c r="H340" s="778">
        <v>91300</v>
      </c>
      <c r="I340" s="778">
        <v>104400</v>
      </c>
      <c r="J340" s="778">
        <v>117400</v>
      </c>
      <c r="K340" s="778">
        <v>130400</v>
      </c>
      <c r="L340" s="778">
        <v>140900</v>
      </c>
      <c r="M340" s="778">
        <v>151300</v>
      </c>
      <c r="N340" s="778">
        <v>161700</v>
      </c>
      <c r="O340" s="778">
        <v>172200</v>
      </c>
      <c r="P340" s="39"/>
      <c r="Q340" s="39"/>
    </row>
    <row r="341" spans="1:17">
      <c r="A341" s="38" t="s">
        <v>1295</v>
      </c>
      <c r="B341" s="781">
        <v>0.8</v>
      </c>
      <c r="C341" s="778">
        <v>1826</v>
      </c>
      <c r="D341" s="778">
        <v>1957</v>
      </c>
      <c r="E341" s="778">
        <v>2348</v>
      </c>
      <c r="F341" s="778">
        <v>2713</v>
      </c>
      <c r="G341" s="778">
        <v>3026</v>
      </c>
      <c r="H341" s="779">
        <v>73040</v>
      </c>
      <c r="I341" s="779">
        <v>83520</v>
      </c>
      <c r="J341" s="779">
        <v>93920</v>
      </c>
      <c r="K341" s="779">
        <v>104320</v>
      </c>
      <c r="L341" s="779">
        <v>112720</v>
      </c>
      <c r="M341" s="779">
        <v>121040</v>
      </c>
      <c r="N341" s="779">
        <v>129360</v>
      </c>
      <c r="O341" s="779">
        <v>137760</v>
      </c>
      <c r="P341" s="39"/>
      <c r="Q341" s="39"/>
    </row>
    <row r="342" spans="1:17">
      <c r="A342" s="38"/>
      <c r="B342" s="781">
        <v>0.7</v>
      </c>
      <c r="C342" s="778">
        <v>1597</v>
      </c>
      <c r="D342" s="778">
        <v>1712</v>
      </c>
      <c r="E342" s="778">
        <v>2054</v>
      </c>
      <c r="F342" s="778">
        <v>2373</v>
      </c>
      <c r="G342" s="778">
        <v>2647</v>
      </c>
      <c r="H342" s="779">
        <v>63909.999999999993</v>
      </c>
      <c r="I342" s="779">
        <v>73080</v>
      </c>
      <c r="J342" s="779">
        <v>82180</v>
      </c>
      <c r="K342" s="779">
        <v>91280</v>
      </c>
      <c r="L342" s="779">
        <v>98630</v>
      </c>
      <c r="M342" s="779">
        <v>105910</v>
      </c>
      <c r="N342" s="779">
        <v>113190</v>
      </c>
      <c r="O342" s="779">
        <v>120539.99999999999</v>
      </c>
      <c r="P342" s="39"/>
      <c r="Q342" s="39"/>
    </row>
    <row r="343" spans="1:17">
      <c r="A343" s="38"/>
      <c r="B343" s="781">
        <v>0.6</v>
      </c>
      <c r="C343" s="778">
        <v>1369</v>
      </c>
      <c r="D343" s="778">
        <v>1467</v>
      </c>
      <c r="E343" s="778">
        <v>1761</v>
      </c>
      <c r="F343" s="778">
        <v>2034</v>
      </c>
      <c r="G343" s="778">
        <v>2269</v>
      </c>
      <c r="H343" s="778">
        <v>54780</v>
      </c>
      <c r="I343" s="778">
        <v>62640</v>
      </c>
      <c r="J343" s="778">
        <v>70440</v>
      </c>
      <c r="K343" s="778">
        <v>78240</v>
      </c>
      <c r="L343" s="778">
        <v>84540</v>
      </c>
      <c r="M343" s="780">
        <v>90780</v>
      </c>
      <c r="N343" s="780">
        <v>97020</v>
      </c>
      <c r="O343" s="780">
        <v>103320</v>
      </c>
      <c r="P343" s="39"/>
      <c r="Q343" s="39"/>
    </row>
    <row r="344" spans="1:17">
      <c r="A344" s="38"/>
      <c r="B344" s="781">
        <v>0.55000000000000004</v>
      </c>
      <c r="C344" s="778">
        <v>1255</v>
      </c>
      <c r="D344" s="778">
        <v>1345</v>
      </c>
      <c r="E344" s="778">
        <v>1614</v>
      </c>
      <c r="F344" s="778">
        <v>1865</v>
      </c>
      <c r="G344" s="778">
        <v>2080</v>
      </c>
      <c r="H344" s="778">
        <v>50215.000000000007</v>
      </c>
      <c r="I344" s="778">
        <v>57420.000000000007</v>
      </c>
      <c r="J344" s="778">
        <v>64570.000000000007</v>
      </c>
      <c r="K344" s="778">
        <v>71720</v>
      </c>
      <c r="L344" s="778">
        <v>77495</v>
      </c>
      <c r="M344" s="778">
        <v>83215</v>
      </c>
      <c r="N344" s="778">
        <v>88935</v>
      </c>
      <c r="O344" s="778">
        <v>94710.000000000015</v>
      </c>
      <c r="P344" s="39"/>
      <c r="Q344" s="39"/>
    </row>
    <row r="345" spans="1:17">
      <c r="A345" s="38"/>
      <c r="B345" s="781">
        <v>0.5</v>
      </c>
      <c r="C345" s="778">
        <v>1141</v>
      </c>
      <c r="D345" s="778">
        <v>1223</v>
      </c>
      <c r="E345" s="778">
        <v>1467</v>
      </c>
      <c r="F345" s="778">
        <v>1695</v>
      </c>
      <c r="G345" s="778">
        <v>1891</v>
      </c>
      <c r="H345" s="779">
        <v>45650</v>
      </c>
      <c r="I345" s="779">
        <v>52200</v>
      </c>
      <c r="J345" s="779">
        <v>58700</v>
      </c>
      <c r="K345" s="779">
        <v>65200</v>
      </c>
      <c r="L345" s="779">
        <v>70450</v>
      </c>
      <c r="M345" s="779">
        <v>75650</v>
      </c>
      <c r="N345" s="779">
        <v>80850</v>
      </c>
      <c r="O345" s="779">
        <v>86100</v>
      </c>
      <c r="P345" s="39"/>
      <c r="Q345" s="39"/>
    </row>
    <row r="346" spans="1:17">
      <c r="A346" s="38"/>
      <c r="B346" s="781">
        <v>0.45</v>
      </c>
      <c r="C346" s="778">
        <v>1027</v>
      </c>
      <c r="D346" s="778">
        <v>1100</v>
      </c>
      <c r="E346" s="778">
        <v>1320</v>
      </c>
      <c r="F346" s="778">
        <v>1526</v>
      </c>
      <c r="G346" s="778">
        <v>1702</v>
      </c>
      <c r="H346" s="778">
        <v>41085</v>
      </c>
      <c r="I346" s="778">
        <v>46980</v>
      </c>
      <c r="J346" s="778">
        <v>52830</v>
      </c>
      <c r="K346" s="778">
        <v>58680</v>
      </c>
      <c r="L346" s="778">
        <v>63405</v>
      </c>
      <c r="M346" s="780">
        <v>68085</v>
      </c>
      <c r="N346" s="780">
        <v>72765</v>
      </c>
      <c r="O346" s="780">
        <v>77490</v>
      </c>
      <c r="P346" s="39"/>
      <c r="Q346" s="39"/>
    </row>
    <row r="347" spans="1:17">
      <c r="A347" s="38"/>
      <c r="B347" s="781">
        <v>0.4</v>
      </c>
      <c r="C347" s="778">
        <v>913</v>
      </c>
      <c r="D347" s="778">
        <v>978</v>
      </c>
      <c r="E347" s="778">
        <v>1174</v>
      </c>
      <c r="F347" s="778">
        <v>1356</v>
      </c>
      <c r="G347" s="778">
        <v>1513</v>
      </c>
      <c r="H347" s="778">
        <v>36520</v>
      </c>
      <c r="I347" s="778">
        <v>41760</v>
      </c>
      <c r="J347" s="778">
        <v>46960</v>
      </c>
      <c r="K347" s="778">
        <v>52160</v>
      </c>
      <c r="L347" s="778">
        <v>56360</v>
      </c>
      <c r="M347" s="780">
        <v>60520</v>
      </c>
      <c r="N347" s="780">
        <v>64680</v>
      </c>
      <c r="O347" s="780">
        <v>68880</v>
      </c>
      <c r="P347" s="39"/>
      <c r="Q347" s="39"/>
    </row>
    <row r="348" spans="1:17">
      <c r="A348" s="38"/>
      <c r="B348" s="522">
        <v>0.3</v>
      </c>
      <c r="C348" s="778">
        <v>684</v>
      </c>
      <c r="D348" s="778">
        <v>733</v>
      </c>
      <c r="E348" s="778">
        <v>880</v>
      </c>
      <c r="F348" s="778">
        <v>1017</v>
      </c>
      <c r="G348" s="778">
        <v>1134</v>
      </c>
      <c r="H348" s="779">
        <v>27390</v>
      </c>
      <c r="I348" s="779">
        <v>31320</v>
      </c>
      <c r="J348" s="779">
        <v>35220</v>
      </c>
      <c r="K348" s="779">
        <v>39120</v>
      </c>
      <c r="L348" s="779">
        <v>42270</v>
      </c>
      <c r="M348" s="779">
        <v>45390</v>
      </c>
      <c r="N348" s="779">
        <v>48510</v>
      </c>
      <c r="O348" s="779">
        <v>51660</v>
      </c>
      <c r="P348" s="39"/>
      <c r="Q348" s="39"/>
    </row>
    <row r="349" spans="1:17" ht="13.5" thickBot="1">
      <c r="A349" s="782"/>
      <c r="B349" s="40">
        <v>0.2</v>
      </c>
      <c r="C349" s="524">
        <v>456</v>
      </c>
      <c r="D349" s="524">
        <v>489</v>
      </c>
      <c r="E349" s="524">
        <v>587</v>
      </c>
      <c r="F349" s="524">
        <v>678</v>
      </c>
      <c r="G349" s="524">
        <v>756</v>
      </c>
      <c r="H349" s="525">
        <v>18260</v>
      </c>
      <c r="I349" s="525">
        <v>20880</v>
      </c>
      <c r="J349" s="525">
        <v>23480</v>
      </c>
      <c r="K349" s="525">
        <v>26080</v>
      </c>
      <c r="L349" s="525">
        <v>28180</v>
      </c>
      <c r="M349" s="525">
        <v>30260</v>
      </c>
      <c r="N349" s="525">
        <v>32340</v>
      </c>
      <c r="O349" s="525">
        <v>34440</v>
      </c>
      <c r="P349" s="41"/>
      <c r="Q349" s="41"/>
    </row>
    <row r="350" spans="1:17" ht="13.5" thickTop="1">
      <c r="A350" s="46"/>
      <c r="B350" s="37">
        <v>1.2</v>
      </c>
      <c r="C350" s="526">
        <v>1980</v>
      </c>
      <c r="D350" s="526">
        <v>2121</v>
      </c>
      <c r="E350" s="526">
        <v>2544</v>
      </c>
      <c r="F350" s="526">
        <v>2940</v>
      </c>
      <c r="G350" s="526">
        <v>3279</v>
      </c>
      <c r="H350" s="526">
        <v>79200</v>
      </c>
      <c r="I350" s="526">
        <v>90480</v>
      </c>
      <c r="J350" s="526">
        <v>101760</v>
      </c>
      <c r="K350" s="526">
        <v>113040</v>
      </c>
      <c r="L350" s="526">
        <v>122160</v>
      </c>
      <c r="M350" s="526">
        <v>131160</v>
      </c>
      <c r="N350" s="526">
        <v>140280</v>
      </c>
      <c r="O350" s="526">
        <v>149280</v>
      </c>
      <c r="P350" s="39"/>
      <c r="Q350" s="39"/>
    </row>
    <row r="351" spans="1:17">
      <c r="A351" s="38"/>
      <c r="B351" s="781">
        <v>1</v>
      </c>
      <c r="C351" s="778">
        <v>1650</v>
      </c>
      <c r="D351" s="778">
        <v>1767</v>
      </c>
      <c r="E351" s="778">
        <v>2120</v>
      </c>
      <c r="F351" s="778">
        <v>2450</v>
      </c>
      <c r="G351" s="778">
        <v>2732</v>
      </c>
      <c r="H351" s="778">
        <v>66000</v>
      </c>
      <c r="I351" s="778">
        <v>75400</v>
      </c>
      <c r="J351" s="778">
        <v>84800</v>
      </c>
      <c r="K351" s="778">
        <v>94200</v>
      </c>
      <c r="L351" s="778">
        <v>101800</v>
      </c>
      <c r="M351" s="778">
        <v>109300</v>
      </c>
      <c r="N351" s="778">
        <v>116900</v>
      </c>
      <c r="O351" s="778">
        <v>124400</v>
      </c>
      <c r="P351" s="39"/>
      <c r="Q351" s="39"/>
    </row>
    <row r="352" spans="1:17">
      <c r="A352" s="38" t="s">
        <v>1296</v>
      </c>
      <c r="B352" s="781">
        <v>0.8</v>
      </c>
      <c r="C352" s="778">
        <v>1320</v>
      </c>
      <c r="D352" s="778">
        <v>1414</v>
      </c>
      <c r="E352" s="778">
        <v>1696</v>
      </c>
      <c r="F352" s="778">
        <v>1960</v>
      </c>
      <c r="G352" s="778">
        <v>2186</v>
      </c>
      <c r="H352" s="779">
        <v>52800</v>
      </c>
      <c r="I352" s="779">
        <v>60320</v>
      </c>
      <c r="J352" s="779">
        <v>67840</v>
      </c>
      <c r="K352" s="779">
        <v>75360</v>
      </c>
      <c r="L352" s="779">
        <v>81440</v>
      </c>
      <c r="M352" s="779">
        <v>87440</v>
      </c>
      <c r="N352" s="779">
        <v>93520</v>
      </c>
      <c r="O352" s="779">
        <v>99520</v>
      </c>
      <c r="P352" s="39"/>
      <c r="Q352" s="39"/>
    </row>
    <row r="353" spans="1:17">
      <c r="A353" s="38"/>
      <c r="B353" s="781">
        <v>0.7</v>
      </c>
      <c r="C353" s="778">
        <v>1155</v>
      </c>
      <c r="D353" s="778">
        <v>1237</v>
      </c>
      <c r="E353" s="778">
        <v>1484</v>
      </c>
      <c r="F353" s="778">
        <v>1715</v>
      </c>
      <c r="G353" s="778">
        <v>1912</v>
      </c>
      <c r="H353" s="779">
        <v>46200</v>
      </c>
      <c r="I353" s="779">
        <v>52780</v>
      </c>
      <c r="J353" s="779">
        <v>59359.999999999993</v>
      </c>
      <c r="K353" s="779">
        <v>65940</v>
      </c>
      <c r="L353" s="779">
        <v>71260</v>
      </c>
      <c r="M353" s="779">
        <v>76510</v>
      </c>
      <c r="N353" s="779">
        <v>81830</v>
      </c>
      <c r="O353" s="779">
        <v>87080</v>
      </c>
      <c r="P353" s="39"/>
      <c r="Q353" s="39"/>
    </row>
    <row r="354" spans="1:17">
      <c r="A354" s="38"/>
      <c r="B354" s="781">
        <v>0.6</v>
      </c>
      <c r="C354" s="778">
        <v>990</v>
      </c>
      <c r="D354" s="778">
        <v>1060</v>
      </c>
      <c r="E354" s="778">
        <v>1272</v>
      </c>
      <c r="F354" s="778">
        <v>1470</v>
      </c>
      <c r="G354" s="778">
        <v>1639</v>
      </c>
      <c r="H354" s="778">
        <v>39600</v>
      </c>
      <c r="I354" s="778">
        <v>45240</v>
      </c>
      <c r="J354" s="778">
        <v>50880</v>
      </c>
      <c r="K354" s="778">
        <v>56520</v>
      </c>
      <c r="L354" s="778">
        <v>61080</v>
      </c>
      <c r="M354" s="780">
        <v>65580</v>
      </c>
      <c r="N354" s="780">
        <v>70140</v>
      </c>
      <c r="O354" s="780">
        <v>74640</v>
      </c>
      <c r="P354" s="39"/>
      <c r="Q354" s="39"/>
    </row>
    <row r="355" spans="1:17">
      <c r="A355" s="38"/>
      <c r="B355" s="781">
        <v>0.55000000000000004</v>
      </c>
      <c r="C355" s="778">
        <v>907</v>
      </c>
      <c r="D355" s="778">
        <v>972</v>
      </c>
      <c r="E355" s="778">
        <v>1166</v>
      </c>
      <c r="F355" s="778">
        <v>1347</v>
      </c>
      <c r="G355" s="778">
        <v>1502</v>
      </c>
      <c r="H355" s="778">
        <v>36300</v>
      </c>
      <c r="I355" s="778">
        <v>41470</v>
      </c>
      <c r="J355" s="778">
        <v>46640.000000000007</v>
      </c>
      <c r="K355" s="778">
        <v>51810.000000000007</v>
      </c>
      <c r="L355" s="778">
        <v>55990.000000000007</v>
      </c>
      <c r="M355" s="778">
        <v>60115.000000000007</v>
      </c>
      <c r="N355" s="778">
        <v>64295.000000000007</v>
      </c>
      <c r="O355" s="778">
        <v>68420</v>
      </c>
      <c r="P355" s="39"/>
      <c r="Q355" s="39"/>
    </row>
    <row r="356" spans="1:17">
      <c r="A356" s="38"/>
      <c r="B356" s="781">
        <v>0.5</v>
      </c>
      <c r="C356" s="778">
        <v>825</v>
      </c>
      <c r="D356" s="778">
        <v>883</v>
      </c>
      <c r="E356" s="778">
        <v>1060</v>
      </c>
      <c r="F356" s="778">
        <v>1225</v>
      </c>
      <c r="G356" s="778">
        <v>1366</v>
      </c>
      <c r="H356" s="779">
        <v>33000</v>
      </c>
      <c r="I356" s="779">
        <v>37700</v>
      </c>
      <c r="J356" s="779">
        <v>42400</v>
      </c>
      <c r="K356" s="779">
        <v>47100</v>
      </c>
      <c r="L356" s="779">
        <v>50900</v>
      </c>
      <c r="M356" s="779">
        <v>54650</v>
      </c>
      <c r="N356" s="779">
        <v>58450</v>
      </c>
      <c r="O356" s="779">
        <v>62200</v>
      </c>
      <c r="P356" s="39"/>
      <c r="Q356" s="39"/>
    </row>
    <row r="357" spans="1:17">
      <c r="A357" s="38"/>
      <c r="B357" s="781">
        <v>0.45</v>
      </c>
      <c r="C357" s="778">
        <v>742</v>
      </c>
      <c r="D357" s="778">
        <v>795</v>
      </c>
      <c r="E357" s="778">
        <v>954</v>
      </c>
      <c r="F357" s="778">
        <v>1102</v>
      </c>
      <c r="G357" s="778">
        <v>1229</v>
      </c>
      <c r="H357" s="778">
        <v>29700</v>
      </c>
      <c r="I357" s="778">
        <v>33930</v>
      </c>
      <c r="J357" s="778">
        <v>38160</v>
      </c>
      <c r="K357" s="778">
        <v>42390</v>
      </c>
      <c r="L357" s="778">
        <v>45810</v>
      </c>
      <c r="M357" s="780">
        <v>49185</v>
      </c>
      <c r="N357" s="780">
        <v>52605</v>
      </c>
      <c r="O357" s="780">
        <v>55980</v>
      </c>
      <c r="P357" s="39"/>
      <c r="Q357" s="39"/>
    </row>
    <row r="358" spans="1:17">
      <c r="A358" s="38"/>
      <c r="B358" s="781">
        <v>0.4</v>
      </c>
      <c r="C358" s="778">
        <v>660</v>
      </c>
      <c r="D358" s="778">
        <v>707</v>
      </c>
      <c r="E358" s="778">
        <v>848</v>
      </c>
      <c r="F358" s="778">
        <v>980</v>
      </c>
      <c r="G358" s="778">
        <v>1093</v>
      </c>
      <c r="H358" s="778">
        <v>26400</v>
      </c>
      <c r="I358" s="778">
        <v>30160</v>
      </c>
      <c r="J358" s="778">
        <v>33920</v>
      </c>
      <c r="K358" s="778">
        <v>37680</v>
      </c>
      <c r="L358" s="778">
        <v>40720</v>
      </c>
      <c r="M358" s="780">
        <v>43720</v>
      </c>
      <c r="N358" s="780">
        <v>46760</v>
      </c>
      <c r="O358" s="780">
        <v>49760</v>
      </c>
      <c r="P358" s="39"/>
      <c r="Q358" s="39"/>
    </row>
    <row r="359" spans="1:17">
      <c r="A359" s="38"/>
      <c r="B359" s="522">
        <v>0.3</v>
      </c>
      <c r="C359" s="778">
        <v>495</v>
      </c>
      <c r="D359" s="778">
        <v>530</v>
      </c>
      <c r="E359" s="778">
        <v>636</v>
      </c>
      <c r="F359" s="778">
        <v>735</v>
      </c>
      <c r="G359" s="778">
        <v>819</v>
      </c>
      <c r="H359" s="779">
        <v>19800</v>
      </c>
      <c r="I359" s="779">
        <v>22620</v>
      </c>
      <c r="J359" s="779">
        <v>25440</v>
      </c>
      <c r="K359" s="779">
        <v>28260</v>
      </c>
      <c r="L359" s="779">
        <v>30540</v>
      </c>
      <c r="M359" s="779">
        <v>32790</v>
      </c>
      <c r="N359" s="779">
        <v>35070</v>
      </c>
      <c r="O359" s="779">
        <v>37320</v>
      </c>
      <c r="P359" s="39"/>
      <c r="Q359" s="39"/>
    </row>
    <row r="360" spans="1:17" ht="13.5" thickBot="1">
      <c r="A360" s="782"/>
      <c r="B360" s="40">
        <v>0.2</v>
      </c>
      <c r="C360" s="524">
        <v>330</v>
      </c>
      <c r="D360" s="524">
        <v>353</v>
      </c>
      <c r="E360" s="524">
        <v>424</v>
      </c>
      <c r="F360" s="524">
        <v>490</v>
      </c>
      <c r="G360" s="524">
        <v>546</v>
      </c>
      <c r="H360" s="525">
        <v>13200</v>
      </c>
      <c r="I360" s="525">
        <v>15080</v>
      </c>
      <c r="J360" s="525">
        <v>16960</v>
      </c>
      <c r="K360" s="525">
        <v>18840</v>
      </c>
      <c r="L360" s="525">
        <v>20360</v>
      </c>
      <c r="M360" s="525">
        <v>21860</v>
      </c>
      <c r="N360" s="525">
        <v>23380</v>
      </c>
      <c r="O360" s="525">
        <v>24880</v>
      </c>
      <c r="P360" s="45"/>
      <c r="Q360" s="45"/>
    </row>
    <row r="361" spans="1:17" ht="13.5" thickTop="1">
      <c r="A361" s="38"/>
      <c r="B361" s="37">
        <v>1.2</v>
      </c>
      <c r="C361" s="526">
        <v>1980</v>
      </c>
      <c r="D361" s="526">
        <v>2121</v>
      </c>
      <c r="E361" s="526">
        <v>2544</v>
      </c>
      <c r="F361" s="526">
        <v>2940</v>
      </c>
      <c r="G361" s="526">
        <v>3279</v>
      </c>
      <c r="H361" s="526">
        <v>79200</v>
      </c>
      <c r="I361" s="526">
        <v>90480</v>
      </c>
      <c r="J361" s="526">
        <v>101760</v>
      </c>
      <c r="K361" s="526">
        <v>113040</v>
      </c>
      <c r="L361" s="526">
        <v>122160</v>
      </c>
      <c r="M361" s="526">
        <v>131160</v>
      </c>
      <c r="N361" s="526">
        <v>140280</v>
      </c>
      <c r="O361" s="526">
        <v>149280</v>
      </c>
      <c r="P361" s="41"/>
      <c r="Q361" s="41"/>
    </row>
    <row r="362" spans="1:17">
      <c r="A362" s="38"/>
      <c r="B362" s="781">
        <v>1</v>
      </c>
      <c r="C362" s="778">
        <v>1650</v>
      </c>
      <c r="D362" s="778">
        <v>1767</v>
      </c>
      <c r="E362" s="778">
        <v>2120</v>
      </c>
      <c r="F362" s="778">
        <v>2450</v>
      </c>
      <c r="G362" s="778">
        <v>2732</v>
      </c>
      <c r="H362" s="778">
        <v>66000</v>
      </c>
      <c r="I362" s="778">
        <v>75400</v>
      </c>
      <c r="J362" s="778">
        <v>84800</v>
      </c>
      <c r="K362" s="778">
        <v>94200</v>
      </c>
      <c r="L362" s="778">
        <v>101800</v>
      </c>
      <c r="M362" s="778">
        <v>109300</v>
      </c>
      <c r="N362" s="778">
        <v>116900</v>
      </c>
      <c r="O362" s="778">
        <v>124400</v>
      </c>
      <c r="P362" s="41"/>
      <c r="Q362" s="41"/>
    </row>
    <row r="363" spans="1:17">
      <c r="A363" s="38" t="s">
        <v>1297</v>
      </c>
      <c r="B363" s="781">
        <v>0.8</v>
      </c>
      <c r="C363" s="778">
        <v>1320</v>
      </c>
      <c r="D363" s="778">
        <v>1414</v>
      </c>
      <c r="E363" s="778">
        <v>1696</v>
      </c>
      <c r="F363" s="778">
        <v>1960</v>
      </c>
      <c r="G363" s="778">
        <v>2186</v>
      </c>
      <c r="H363" s="779">
        <v>52800</v>
      </c>
      <c r="I363" s="779">
        <v>60320</v>
      </c>
      <c r="J363" s="779">
        <v>67840</v>
      </c>
      <c r="K363" s="779">
        <v>75360</v>
      </c>
      <c r="L363" s="779">
        <v>81440</v>
      </c>
      <c r="M363" s="779">
        <v>87440</v>
      </c>
      <c r="N363" s="779">
        <v>93520</v>
      </c>
      <c r="O363" s="779">
        <v>99520</v>
      </c>
      <c r="P363" s="41"/>
      <c r="Q363" s="41"/>
    </row>
    <row r="364" spans="1:17">
      <c r="A364" s="38"/>
      <c r="B364" s="781">
        <v>0.7</v>
      </c>
      <c r="C364" s="778">
        <v>1155</v>
      </c>
      <c r="D364" s="778">
        <v>1237</v>
      </c>
      <c r="E364" s="778">
        <v>1484</v>
      </c>
      <c r="F364" s="778">
        <v>1715</v>
      </c>
      <c r="G364" s="778">
        <v>1912</v>
      </c>
      <c r="H364" s="779">
        <v>46200</v>
      </c>
      <c r="I364" s="779">
        <v>52780</v>
      </c>
      <c r="J364" s="779">
        <v>59359.999999999993</v>
      </c>
      <c r="K364" s="779">
        <v>65940</v>
      </c>
      <c r="L364" s="779">
        <v>71260</v>
      </c>
      <c r="M364" s="779">
        <v>76510</v>
      </c>
      <c r="N364" s="779">
        <v>81830</v>
      </c>
      <c r="O364" s="779">
        <v>87080</v>
      </c>
      <c r="P364" s="41"/>
      <c r="Q364" s="41"/>
    </row>
    <row r="365" spans="1:17">
      <c r="A365" s="38"/>
      <c r="B365" s="781">
        <v>0.6</v>
      </c>
      <c r="C365" s="778">
        <v>990</v>
      </c>
      <c r="D365" s="778">
        <v>1060</v>
      </c>
      <c r="E365" s="778">
        <v>1272</v>
      </c>
      <c r="F365" s="778">
        <v>1470</v>
      </c>
      <c r="G365" s="778">
        <v>1639</v>
      </c>
      <c r="H365" s="778">
        <v>39600</v>
      </c>
      <c r="I365" s="778">
        <v>45240</v>
      </c>
      <c r="J365" s="778">
        <v>50880</v>
      </c>
      <c r="K365" s="778">
        <v>56520</v>
      </c>
      <c r="L365" s="778">
        <v>61080</v>
      </c>
      <c r="M365" s="780">
        <v>65580</v>
      </c>
      <c r="N365" s="780">
        <v>70140</v>
      </c>
      <c r="O365" s="780">
        <v>74640</v>
      </c>
      <c r="P365" s="41"/>
      <c r="Q365" s="41"/>
    </row>
    <row r="366" spans="1:17">
      <c r="A366" s="38"/>
      <c r="B366" s="781">
        <v>0.55000000000000004</v>
      </c>
      <c r="C366" s="778">
        <v>907</v>
      </c>
      <c r="D366" s="778">
        <v>972</v>
      </c>
      <c r="E366" s="778">
        <v>1166</v>
      </c>
      <c r="F366" s="778">
        <v>1347</v>
      </c>
      <c r="G366" s="778">
        <v>1502</v>
      </c>
      <c r="H366" s="778">
        <v>36300</v>
      </c>
      <c r="I366" s="778">
        <v>41470</v>
      </c>
      <c r="J366" s="778">
        <v>46640.000000000007</v>
      </c>
      <c r="K366" s="778">
        <v>51810.000000000007</v>
      </c>
      <c r="L366" s="778">
        <v>55990.000000000007</v>
      </c>
      <c r="M366" s="778">
        <v>60115.000000000007</v>
      </c>
      <c r="N366" s="778">
        <v>64295.000000000007</v>
      </c>
      <c r="O366" s="778">
        <v>68420</v>
      </c>
      <c r="P366" s="41"/>
      <c r="Q366" s="41"/>
    </row>
    <row r="367" spans="1:17">
      <c r="A367" s="38"/>
      <c r="B367" s="781">
        <v>0.5</v>
      </c>
      <c r="C367" s="778">
        <v>825</v>
      </c>
      <c r="D367" s="778">
        <v>883</v>
      </c>
      <c r="E367" s="778">
        <v>1060</v>
      </c>
      <c r="F367" s="778">
        <v>1225</v>
      </c>
      <c r="G367" s="778">
        <v>1366</v>
      </c>
      <c r="H367" s="779">
        <v>33000</v>
      </c>
      <c r="I367" s="779">
        <v>37700</v>
      </c>
      <c r="J367" s="779">
        <v>42400</v>
      </c>
      <c r="K367" s="779">
        <v>47100</v>
      </c>
      <c r="L367" s="779">
        <v>50900</v>
      </c>
      <c r="M367" s="779">
        <v>54650</v>
      </c>
      <c r="N367" s="779">
        <v>58450</v>
      </c>
      <c r="O367" s="779">
        <v>62200</v>
      </c>
      <c r="P367" s="41"/>
      <c r="Q367" s="41"/>
    </row>
    <row r="368" spans="1:17">
      <c r="A368" s="38"/>
      <c r="B368" s="781">
        <v>0.45</v>
      </c>
      <c r="C368" s="778">
        <v>742</v>
      </c>
      <c r="D368" s="778">
        <v>795</v>
      </c>
      <c r="E368" s="778">
        <v>954</v>
      </c>
      <c r="F368" s="778">
        <v>1102</v>
      </c>
      <c r="G368" s="778">
        <v>1229</v>
      </c>
      <c r="H368" s="778">
        <v>29700</v>
      </c>
      <c r="I368" s="778">
        <v>33930</v>
      </c>
      <c r="J368" s="778">
        <v>38160</v>
      </c>
      <c r="K368" s="778">
        <v>42390</v>
      </c>
      <c r="L368" s="778">
        <v>45810</v>
      </c>
      <c r="M368" s="780">
        <v>49185</v>
      </c>
      <c r="N368" s="780">
        <v>52605</v>
      </c>
      <c r="O368" s="780">
        <v>55980</v>
      </c>
      <c r="P368" s="41"/>
      <c r="Q368" s="41"/>
    </row>
    <row r="369" spans="1:17">
      <c r="A369" s="38"/>
      <c r="B369" s="781">
        <v>0.4</v>
      </c>
      <c r="C369" s="778">
        <v>660</v>
      </c>
      <c r="D369" s="778">
        <v>707</v>
      </c>
      <c r="E369" s="778">
        <v>848</v>
      </c>
      <c r="F369" s="778">
        <v>980</v>
      </c>
      <c r="G369" s="778">
        <v>1093</v>
      </c>
      <c r="H369" s="778">
        <v>26400</v>
      </c>
      <c r="I369" s="778">
        <v>30160</v>
      </c>
      <c r="J369" s="778">
        <v>33920</v>
      </c>
      <c r="K369" s="778">
        <v>37680</v>
      </c>
      <c r="L369" s="778">
        <v>40720</v>
      </c>
      <c r="M369" s="780">
        <v>43720</v>
      </c>
      <c r="N369" s="780">
        <v>46760</v>
      </c>
      <c r="O369" s="780">
        <v>49760</v>
      </c>
      <c r="P369" s="41"/>
      <c r="Q369" s="41"/>
    </row>
    <row r="370" spans="1:17">
      <c r="A370" s="38"/>
      <c r="B370" s="522">
        <v>0.3</v>
      </c>
      <c r="C370" s="778">
        <v>495</v>
      </c>
      <c r="D370" s="778">
        <v>530</v>
      </c>
      <c r="E370" s="778">
        <v>636</v>
      </c>
      <c r="F370" s="778">
        <v>735</v>
      </c>
      <c r="G370" s="778">
        <v>819</v>
      </c>
      <c r="H370" s="779">
        <v>19800</v>
      </c>
      <c r="I370" s="779">
        <v>22620</v>
      </c>
      <c r="J370" s="779">
        <v>25440</v>
      </c>
      <c r="K370" s="779">
        <v>28260</v>
      </c>
      <c r="L370" s="779">
        <v>30540</v>
      </c>
      <c r="M370" s="779">
        <v>32790</v>
      </c>
      <c r="N370" s="779">
        <v>35070</v>
      </c>
      <c r="O370" s="779">
        <v>37320</v>
      </c>
      <c r="P370" s="41"/>
      <c r="Q370" s="41"/>
    </row>
    <row r="371" spans="1:17" ht="13.5" thickBot="1">
      <c r="A371" s="782"/>
      <c r="B371" s="40">
        <v>0.2</v>
      </c>
      <c r="C371" s="524">
        <v>330</v>
      </c>
      <c r="D371" s="524">
        <v>353</v>
      </c>
      <c r="E371" s="524">
        <v>424</v>
      </c>
      <c r="F371" s="524">
        <v>490</v>
      </c>
      <c r="G371" s="524">
        <v>546</v>
      </c>
      <c r="H371" s="525">
        <v>13200</v>
      </c>
      <c r="I371" s="525">
        <v>15080</v>
      </c>
      <c r="J371" s="525">
        <v>16960</v>
      </c>
      <c r="K371" s="525">
        <v>18840</v>
      </c>
      <c r="L371" s="525">
        <v>20360</v>
      </c>
      <c r="M371" s="525">
        <v>21860</v>
      </c>
      <c r="N371" s="525">
        <v>23380</v>
      </c>
      <c r="O371" s="525">
        <v>24880</v>
      </c>
      <c r="P371" s="41"/>
      <c r="Q371" s="41"/>
    </row>
    <row r="372" spans="1:17" ht="13.5" thickTop="1">
      <c r="A372" s="38"/>
      <c r="B372" s="37">
        <v>1.2</v>
      </c>
      <c r="C372" s="526">
        <v>2322</v>
      </c>
      <c r="D372" s="526">
        <v>2487</v>
      </c>
      <c r="E372" s="526">
        <v>2985</v>
      </c>
      <c r="F372" s="526">
        <v>3448</v>
      </c>
      <c r="G372" s="526">
        <v>3846</v>
      </c>
      <c r="H372" s="526">
        <v>92880</v>
      </c>
      <c r="I372" s="526">
        <v>106080</v>
      </c>
      <c r="J372" s="526">
        <v>119400</v>
      </c>
      <c r="K372" s="526">
        <v>132600</v>
      </c>
      <c r="L372" s="526">
        <v>143280</v>
      </c>
      <c r="M372" s="526">
        <v>153840</v>
      </c>
      <c r="N372" s="526">
        <v>164520</v>
      </c>
      <c r="O372" s="526">
        <v>175080</v>
      </c>
      <c r="P372" s="39"/>
      <c r="Q372" s="39"/>
    </row>
    <row r="373" spans="1:17">
      <c r="A373" s="38"/>
      <c r="B373" s="781">
        <v>1</v>
      </c>
      <c r="C373" s="778">
        <v>1935</v>
      </c>
      <c r="D373" s="778">
        <v>2072</v>
      </c>
      <c r="E373" s="778">
        <v>2487</v>
      </c>
      <c r="F373" s="778">
        <v>2873</v>
      </c>
      <c r="G373" s="778">
        <v>3205</v>
      </c>
      <c r="H373" s="778">
        <v>77400</v>
      </c>
      <c r="I373" s="778">
        <v>88400</v>
      </c>
      <c r="J373" s="778">
        <v>99500</v>
      </c>
      <c r="K373" s="778">
        <v>110500</v>
      </c>
      <c r="L373" s="778">
        <v>119400</v>
      </c>
      <c r="M373" s="778">
        <v>128200</v>
      </c>
      <c r="N373" s="778">
        <v>137100</v>
      </c>
      <c r="O373" s="778">
        <v>145900</v>
      </c>
      <c r="P373" s="39"/>
      <c r="Q373" s="39"/>
    </row>
    <row r="374" spans="1:17">
      <c r="A374" s="38" t="s">
        <v>1298</v>
      </c>
      <c r="B374" s="781">
        <v>0.8</v>
      </c>
      <c r="C374" s="778">
        <v>1548</v>
      </c>
      <c r="D374" s="778">
        <v>1658</v>
      </c>
      <c r="E374" s="778">
        <v>1990</v>
      </c>
      <c r="F374" s="778">
        <v>2299</v>
      </c>
      <c r="G374" s="778">
        <v>2564</v>
      </c>
      <c r="H374" s="779">
        <v>61920</v>
      </c>
      <c r="I374" s="779">
        <v>70720</v>
      </c>
      <c r="J374" s="779">
        <v>79600</v>
      </c>
      <c r="K374" s="779">
        <v>88400</v>
      </c>
      <c r="L374" s="779">
        <v>95520</v>
      </c>
      <c r="M374" s="779">
        <v>102560</v>
      </c>
      <c r="N374" s="779">
        <v>109680</v>
      </c>
      <c r="O374" s="779">
        <v>116720</v>
      </c>
      <c r="P374" s="39"/>
      <c r="Q374" s="39"/>
    </row>
    <row r="375" spans="1:17">
      <c r="A375" s="38"/>
      <c r="B375" s="781">
        <v>0.7</v>
      </c>
      <c r="C375" s="778">
        <v>1354</v>
      </c>
      <c r="D375" s="778">
        <v>1450</v>
      </c>
      <c r="E375" s="778">
        <v>1741</v>
      </c>
      <c r="F375" s="778">
        <v>2011</v>
      </c>
      <c r="G375" s="778">
        <v>2243</v>
      </c>
      <c r="H375" s="779">
        <v>54180</v>
      </c>
      <c r="I375" s="779">
        <v>61879.999999999993</v>
      </c>
      <c r="J375" s="779">
        <v>69650</v>
      </c>
      <c r="K375" s="779">
        <v>77350</v>
      </c>
      <c r="L375" s="779">
        <v>83580</v>
      </c>
      <c r="M375" s="779">
        <v>89740</v>
      </c>
      <c r="N375" s="779">
        <v>95970</v>
      </c>
      <c r="O375" s="779">
        <v>102130</v>
      </c>
      <c r="P375" s="39"/>
      <c r="Q375" s="39"/>
    </row>
    <row r="376" spans="1:17">
      <c r="A376" s="38"/>
      <c r="B376" s="781">
        <v>0.6</v>
      </c>
      <c r="C376" s="778">
        <v>1161</v>
      </c>
      <c r="D376" s="778">
        <v>1243</v>
      </c>
      <c r="E376" s="778">
        <v>1492</v>
      </c>
      <c r="F376" s="778">
        <v>1724</v>
      </c>
      <c r="G376" s="778">
        <v>1923</v>
      </c>
      <c r="H376" s="778">
        <v>46440</v>
      </c>
      <c r="I376" s="778">
        <v>53040</v>
      </c>
      <c r="J376" s="778">
        <v>59700</v>
      </c>
      <c r="K376" s="778">
        <v>66300</v>
      </c>
      <c r="L376" s="778">
        <v>71640</v>
      </c>
      <c r="M376" s="780">
        <v>76920</v>
      </c>
      <c r="N376" s="780">
        <v>82260</v>
      </c>
      <c r="O376" s="780">
        <v>87540</v>
      </c>
      <c r="P376" s="39"/>
      <c r="Q376" s="39"/>
    </row>
    <row r="377" spans="1:17">
      <c r="A377" s="38"/>
      <c r="B377" s="781">
        <v>0.55000000000000004</v>
      </c>
      <c r="C377" s="778">
        <v>1064</v>
      </c>
      <c r="D377" s="778">
        <v>1139</v>
      </c>
      <c r="E377" s="778">
        <v>1368</v>
      </c>
      <c r="F377" s="778">
        <v>1580</v>
      </c>
      <c r="G377" s="778">
        <v>1762</v>
      </c>
      <c r="H377" s="778">
        <v>42570</v>
      </c>
      <c r="I377" s="778">
        <v>48620.000000000007</v>
      </c>
      <c r="J377" s="778">
        <v>54725.000000000007</v>
      </c>
      <c r="K377" s="778">
        <v>60775.000000000007</v>
      </c>
      <c r="L377" s="778">
        <v>65670</v>
      </c>
      <c r="M377" s="778">
        <v>70510</v>
      </c>
      <c r="N377" s="778">
        <v>75405</v>
      </c>
      <c r="O377" s="778">
        <v>80245</v>
      </c>
      <c r="P377" s="39"/>
      <c r="Q377" s="39"/>
    </row>
    <row r="378" spans="1:17">
      <c r="A378" s="38"/>
      <c r="B378" s="781">
        <v>0.5</v>
      </c>
      <c r="C378" s="778">
        <v>967</v>
      </c>
      <c r="D378" s="778">
        <v>1036</v>
      </c>
      <c r="E378" s="778">
        <v>1243</v>
      </c>
      <c r="F378" s="778">
        <v>1436</v>
      </c>
      <c r="G378" s="778">
        <v>1602</v>
      </c>
      <c r="H378" s="779">
        <v>38700</v>
      </c>
      <c r="I378" s="779">
        <v>44200</v>
      </c>
      <c r="J378" s="779">
        <v>49750</v>
      </c>
      <c r="K378" s="779">
        <v>55250</v>
      </c>
      <c r="L378" s="779">
        <v>59700</v>
      </c>
      <c r="M378" s="779">
        <v>64100</v>
      </c>
      <c r="N378" s="779">
        <v>68550</v>
      </c>
      <c r="O378" s="779">
        <v>72950</v>
      </c>
      <c r="P378" s="39"/>
      <c r="Q378" s="39"/>
    </row>
    <row r="379" spans="1:17">
      <c r="A379" s="38"/>
      <c r="B379" s="781">
        <v>0.45</v>
      </c>
      <c r="C379" s="778">
        <v>870</v>
      </c>
      <c r="D379" s="778">
        <v>932</v>
      </c>
      <c r="E379" s="778">
        <v>1119</v>
      </c>
      <c r="F379" s="778">
        <v>1293</v>
      </c>
      <c r="G379" s="778">
        <v>1442</v>
      </c>
      <c r="H379" s="778">
        <v>34830</v>
      </c>
      <c r="I379" s="778">
        <v>39780</v>
      </c>
      <c r="J379" s="778">
        <v>44775</v>
      </c>
      <c r="K379" s="778">
        <v>49725</v>
      </c>
      <c r="L379" s="778">
        <v>53730</v>
      </c>
      <c r="M379" s="780">
        <v>57690</v>
      </c>
      <c r="N379" s="780">
        <v>61695</v>
      </c>
      <c r="O379" s="780">
        <v>65655</v>
      </c>
      <c r="P379" s="39"/>
      <c r="Q379" s="39"/>
    </row>
    <row r="380" spans="1:17">
      <c r="A380" s="38"/>
      <c r="B380" s="781">
        <v>0.4</v>
      </c>
      <c r="C380" s="778">
        <v>774</v>
      </c>
      <c r="D380" s="778">
        <v>829</v>
      </c>
      <c r="E380" s="778">
        <v>995</v>
      </c>
      <c r="F380" s="778">
        <v>1149</v>
      </c>
      <c r="G380" s="778">
        <v>1282</v>
      </c>
      <c r="H380" s="778">
        <v>30960</v>
      </c>
      <c r="I380" s="778">
        <v>35360</v>
      </c>
      <c r="J380" s="778">
        <v>39800</v>
      </c>
      <c r="K380" s="778">
        <v>44200</v>
      </c>
      <c r="L380" s="778">
        <v>47760</v>
      </c>
      <c r="M380" s="780">
        <v>51280</v>
      </c>
      <c r="N380" s="780">
        <v>54840</v>
      </c>
      <c r="O380" s="780">
        <v>58360</v>
      </c>
      <c r="P380" s="39"/>
      <c r="Q380" s="39"/>
    </row>
    <row r="381" spans="1:17">
      <c r="A381" s="38"/>
      <c r="B381" s="522">
        <v>0.3</v>
      </c>
      <c r="C381" s="778">
        <v>580</v>
      </c>
      <c r="D381" s="778">
        <v>621</v>
      </c>
      <c r="E381" s="778">
        <v>746</v>
      </c>
      <c r="F381" s="778">
        <v>862</v>
      </c>
      <c r="G381" s="778">
        <v>961</v>
      </c>
      <c r="H381" s="779">
        <v>23220</v>
      </c>
      <c r="I381" s="779">
        <v>26520</v>
      </c>
      <c r="J381" s="779">
        <v>29850</v>
      </c>
      <c r="K381" s="779">
        <v>33150</v>
      </c>
      <c r="L381" s="779">
        <v>35820</v>
      </c>
      <c r="M381" s="779">
        <v>38460</v>
      </c>
      <c r="N381" s="779">
        <v>41130</v>
      </c>
      <c r="O381" s="779">
        <v>43770</v>
      </c>
      <c r="P381" s="39"/>
      <c r="Q381" s="39"/>
    </row>
    <row r="382" spans="1:17" ht="13.5" thickBot="1">
      <c r="A382" s="782"/>
      <c r="B382" s="40">
        <v>0.2</v>
      </c>
      <c r="C382" s="524">
        <v>387</v>
      </c>
      <c r="D382" s="524">
        <v>414</v>
      </c>
      <c r="E382" s="524">
        <v>497</v>
      </c>
      <c r="F382" s="524">
        <v>574</v>
      </c>
      <c r="G382" s="524">
        <v>641</v>
      </c>
      <c r="H382" s="525">
        <v>15480</v>
      </c>
      <c r="I382" s="525">
        <v>17680</v>
      </c>
      <c r="J382" s="525">
        <v>19900</v>
      </c>
      <c r="K382" s="525">
        <v>22100</v>
      </c>
      <c r="L382" s="525">
        <v>23880</v>
      </c>
      <c r="M382" s="525">
        <v>25640</v>
      </c>
      <c r="N382" s="525">
        <v>27420</v>
      </c>
      <c r="O382" s="525">
        <v>29180</v>
      </c>
      <c r="P382" s="41"/>
      <c r="Q382" s="41"/>
    </row>
    <row r="383" spans="1:17" ht="13.5" thickTop="1">
      <c r="A383" s="46"/>
      <c r="B383" s="37">
        <v>1.2</v>
      </c>
      <c r="C383" s="526">
        <v>2007</v>
      </c>
      <c r="D383" s="526">
        <v>2151</v>
      </c>
      <c r="E383" s="526">
        <v>2583</v>
      </c>
      <c r="F383" s="526">
        <v>2986</v>
      </c>
      <c r="G383" s="526">
        <v>3333</v>
      </c>
      <c r="H383" s="526">
        <v>80280</v>
      </c>
      <c r="I383" s="526">
        <v>91800</v>
      </c>
      <c r="J383" s="526">
        <v>103320</v>
      </c>
      <c r="K383" s="526">
        <v>114840</v>
      </c>
      <c r="L383" s="526">
        <v>124080</v>
      </c>
      <c r="M383" s="526">
        <v>133320</v>
      </c>
      <c r="N383" s="526">
        <v>142320</v>
      </c>
      <c r="O383" s="526">
        <v>151560</v>
      </c>
      <c r="P383" s="39"/>
      <c r="Q383" s="39"/>
    </row>
    <row r="384" spans="1:17">
      <c r="A384" s="38"/>
      <c r="B384" s="781">
        <v>1</v>
      </c>
      <c r="C384" s="778">
        <v>1672</v>
      </c>
      <c r="D384" s="778">
        <v>1792</v>
      </c>
      <c r="E384" s="778">
        <v>2152</v>
      </c>
      <c r="F384" s="778">
        <v>2488</v>
      </c>
      <c r="G384" s="778">
        <v>2777</v>
      </c>
      <c r="H384" s="778">
        <v>66900</v>
      </c>
      <c r="I384" s="778">
        <v>76500</v>
      </c>
      <c r="J384" s="778">
        <v>86100</v>
      </c>
      <c r="K384" s="778">
        <v>95700</v>
      </c>
      <c r="L384" s="778">
        <v>103400</v>
      </c>
      <c r="M384" s="778">
        <v>111100</v>
      </c>
      <c r="N384" s="778">
        <v>118600</v>
      </c>
      <c r="O384" s="778">
        <v>126300</v>
      </c>
      <c r="P384" s="39"/>
      <c r="Q384" s="39"/>
    </row>
    <row r="385" spans="1:17">
      <c r="A385" s="38" t="s">
        <v>1299</v>
      </c>
      <c r="B385" s="781">
        <v>0.8</v>
      </c>
      <c r="C385" s="778">
        <v>1338</v>
      </c>
      <c r="D385" s="778">
        <v>1434</v>
      </c>
      <c r="E385" s="778">
        <v>1722</v>
      </c>
      <c r="F385" s="778">
        <v>1991</v>
      </c>
      <c r="G385" s="778">
        <v>2222</v>
      </c>
      <c r="H385" s="779">
        <v>53520</v>
      </c>
      <c r="I385" s="779">
        <v>61200</v>
      </c>
      <c r="J385" s="779">
        <v>68880</v>
      </c>
      <c r="K385" s="779">
        <v>76560</v>
      </c>
      <c r="L385" s="779">
        <v>82720</v>
      </c>
      <c r="M385" s="779">
        <v>88880</v>
      </c>
      <c r="N385" s="779">
        <v>94880</v>
      </c>
      <c r="O385" s="779">
        <v>101040</v>
      </c>
      <c r="P385" s="39"/>
      <c r="Q385" s="39"/>
    </row>
    <row r="386" spans="1:17">
      <c r="A386" s="38"/>
      <c r="B386" s="781">
        <v>0.7</v>
      </c>
      <c r="C386" s="778">
        <v>1170</v>
      </c>
      <c r="D386" s="778">
        <v>1254</v>
      </c>
      <c r="E386" s="778">
        <v>1506</v>
      </c>
      <c r="F386" s="778">
        <v>1742</v>
      </c>
      <c r="G386" s="778">
        <v>1944</v>
      </c>
      <c r="H386" s="779">
        <v>46830</v>
      </c>
      <c r="I386" s="779">
        <v>53550</v>
      </c>
      <c r="J386" s="779">
        <v>60269.999999999993</v>
      </c>
      <c r="K386" s="779">
        <v>66990</v>
      </c>
      <c r="L386" s="779">
        <v>72380</v>
      </c>
      <c r="M386" s="779">
        <v>77770</v>
      </c>
      <c r="N386" s="779">
        <v>83020</v>
      </c>
      <c r="O386" s="779">
        <v>88410</v>
      </c>
      <c r="P386" s="39"/>
      <c r="Q386" s="39"/>
    </row>
    <row r="387" spans="1:17">
      <c r="A387" s="38"/>
      <c r="B387" s="781">
        <v>0.6</v>
      </c>
      <c r="C387" s="778">
        <v>1003</v>
      </c>
      <c r="D387" s="778">
        <v>1075</v>
      </c>
      <c r="E387" s="778">
        <v>1291</v>
      </c>
      <c r="F387" s="778">
        <v>1493</v>
      </c>
      <c r="G387" s="778">
        <v>1666</v>
      </c>
      <c r="H387" s="778">
        <v>40140</v>
      </c>
      <c r="I387" s="778">
        <v>45900</v>
      </c>
      <c r="J387" s="778">
        <v>51660</v>
      </c>
      <c r="K387" s="778">
        <v>57420</v>
      </c>
      <c r="L387" s="778">
        <v>62040</v>
      </c>
      <c r="M387" s="780">
        <v>66660</v>
      </c>
      <c r="N387" s="780">
        <v>71160</v>
      </c>
      <c r="O387" s="780">
        <v>75780</v>
      </c>
      <c r="P387" s="39"/>
      <c r="Q387" s="39"/>
    </row>
    <row r="388" spans="1:17">
      <c r="A388" s="38"/>
      <c r="B388" s="781">
        <v>0.55000000000000004</v>
      </c>
      <c r="C388" s="778">
        <v>919</v>
      </c>
      <c r="D388" s="778">
        <v>985</v>
      </c>
      <c r="E388" s="778">
        <v>1183</v>
      </c>
      <c r="F388" s="778">
        <v>1368</v>
      </c>
      <c r="G388" s="778">
        <v>1527</v>
      </c>
      <c r="H388" s="778">
        <v>36795</v>
      </c>
      <c r="I388" s="778">
        <v>42075</v>
      </c>
      <c r="J388" s="778">
        <v>47355.000000000007</v>
      </c>
      <c r="K388" s="778">
        <v>52635.000000000007</v>
      </c>
      <c r="L388" s="778">
        <v>56870.000000000007</v>
      </c>
      <c r="M388" s="778">
        <v>61105.000000000007</v>
      </c>
      <c r="N388" s="778">
        <v>65230.000000000007</v>
      </c>
      <c r="O388" s="778">
        <v>69465</v>
      </c>
      <c r="P388" s="39"/>
      <c r="Q388" s="39"/>
    </row>
    <row r="389" spans="1:17">
      <c r="A389" s="38"/>
      <c r="B389" s="781">
        <v>0.5</v>
      </c>
      <c r="C389" s="778">
        <v>836</v>
      </c>
      <c r="D389" s="778">
        <v>896</v>
      </c>
      <c r="E389" s="778">
        <v>1076</v>
      </c>
      <c r="F389" s="778">
        <v>1244</v>
      </c>
      <c r="G389" s="778">
        <v>1388</v>
      </c>
      <c r="H389" s="779">
        <v>33450</v>
      </c>
      <c r="I389" s="779">
        <v>38250</v>
      </c>
      <c r="J389" s="779">
        <v>43050</v>
      </c>
      <c r="K389" s="779">
        <v>47850</v>
      </c>
      <c r="L389" s="779">
        <v>51700</v>
      </c>
      <c r="M389" s="779">
        <v>55550</v>
      </c>
      <c r="N389" s="779">
        <v>59300</v>
      </c>
      <c r="O389" s="779">
        <v>63150</v>
      </c>
      <c r="P389" s="39"/>
      <c r="Q389" s="39"/>
    </row>
    <row r="390" spans="1:17">
      <c r="A390" s="38"/>
      <c r="B390" s="781">
        <v>0.45</v>
      </c>
      <c r="C390" s="778">
        <v>752</v>
      </c>
      <c r="D390" s="778">
        <v>806</v>
      </c>
      <c r="E390" s="778">
        <v>968</v>
      </c>
      <c r="F390" s="778">
        <v>1119</v>
      </c>
      <c r="G390" s="778">
        <v>1249</v>
      </c>
      <c r="H390" s="778">
        <v>30105</v>
      </c>
      <c r="I390" s="778">
        <v>34425</v>
      </c>
      <c r="J390" s="778">
        <v>38745</v>
      </c>
      <c r="K390" s="778">
        <v>43065</v>
      </c>
      <c r="L390" s="778">
        <v>46530</v>
      </c>
      <c r="M390" s="780">
        <v>49995</v>
      </c>
      <c r="N390" s="780">
        <v>53370</v>
      </c>
      <c r="O390" s="780">
        <v>56835</v>
      </c>
      <c r="P390" s="39"/>
      <c r="Q390" s="39"/>
    </row>
    <row r="391" spans="1:17">
      <c r="A391" s="38"/>
      <c r="B391" s="781">
        <v>0.4</v>
      </c>
      <c r="C391" s="778">
        <v>669</v>
      </c>
      <c r="D391" s="778">
        <v>717</v>
      </c>
      <c r="E391" s="778">
        <v>861</v>
      </c>
      <c r="F391" s="778">
        <v>995</v>
      </c>
      <c r="G391" s="778">
        <v>1111</v>
      </c>
      <c r="H391" s="778">
        <v>26760</v>
      </c>
      <c r="I391" s="778">
        <v>30600</v>
      </c>
      <c r="J391" s="778">
        <v>34440</v>
      </c>
      <c r="K391" s="778">
        <v>38280</v>
      </c>
      <c r="L391" s="778">
        <v>41360</v>
      </c>
      <c r="M391" s="780">
        <v>44440</v>
      </c>
      <c r="N391" s="780">
        <v>47440</v>
      </c>
      <c r="O391" s="780">
        <v>50520</v>
      </c>
      <c r="P391" s="39"/>
      <c r="Q391" s="39"/>
    </row>
    <row r="392" spans="1:17">
      <c r="A392" s="38"/>
      <c r="B392" s="522">
        <v>0.3</v>
      </c>
      <c r="C392" s="778">
        <v>501</v>
      </c>
      <c r="D392" s="778">
        <v>537</v>
      </c>
      <c r="E392" s="778">
        <v>645</v>
      </c>
      <c r="F392" s="778">
        <v>746</v>
      </c>
      <c r="G392" s="778">
        <v>833</v>
      </c>
      <c r="H392" s="779">
        <v>20070</v>
      </c>
      <c r="I392" s="779">
        <v>22950</v>
      </c>
      <c r="J392" s="779">
        <v>25830</v>
      </c>
      <c r="K392" s="779">
        <v>28710</v>
      </c>
      <c r="L392" s="779">
        <v>31020</v>
      </c>
      <c r="M392" s="779">
        <v>33330</v>
      </c>
      <c r="N392" s="779">
        <v>35580</v>
      </c>
      <c r="O392" s="779">
        <v>37890</v>
      </c>
      <c r="P392" s="39"/>
      <c r="Q392" s="39"/>
    </row>
    <row r="393" spans="1:17" ht="13.5" thickBot="1">
      <c r="A393" s="782"/>
      <c r="B393" s="40">
        <v>0.2</v>
      </c>
      <c r="C393" s="524">
        <v>334</v>
      </c>
      <c r="D393" s="524">
        <v>358</v>
      </c>
      <c r="E393" s="524">
        <v>430</v>
      </c>
      <c r="F393" s="524">
        <v>497</v>
      </c>
      <c r="G393" s="524">
        <v>555</v>
      </c>
      <c r="H393" s="525">
        <v>13380</v>
      </c>
      <c r="I393" s="525">
        <v>15300</v>
      </c>
      <c r="J393" s="525">
        <v>17220</v>
      </c>
      <c r="K393" s="525">
        <v>19140</v>
      </c>
      <c r="L393" s="525">
        <v>20680</v>
      </c>
      <c r="M393" s="525">
        <v>22220</v>
      </c>
      <c r="N393" s="525">
        <v>23720</v>
      </c>
      <c r="O393" s="525">
        <v>25260</v>
      </c>
      <c r="P393" s="41"/>
      <c r="Q393" s="41"/>
    </row>
    <row r="394" spans="1:17" ht="13.5" thickTop="1">
      <c r="A394" s="46"/>
      <c r="B394" s="37">
        <v>1.2</v>
      </c>
      <c r="C394" s="526">
        <v>2496</v>
      </c>
      <c r="D394" s="526">
        <v>2674</v>
      </c>
      <c r="E394" s="526">
        <v>3210</v>
      </c>
      <c r="F394" s="526">
        <v>3708</v>
      </c>
      <c r="G394" s="526">
        <v>4137</v>
      </c>
      <c r="H394" s="526">
        <v>99840</v>
      </c>
      <c r="I394" s="526">
        <v>114120</v>
      </c>
      <c r="J394" s="526">
        <v>128400</v>
      </c>
      <c r="K394" s="526">
        <v>142560</v>
      </c>
      <c r="L394" s="526">
        <v>154080</v>
      </c>
      <c r="M394" s="526">
        <v>165480</v>
      </c>
      <c r="N394" s="526">
        <v>176880</v>
      </c>
      <c r="O394" s="526">
        <v>188280</v>
      </c>
      <c r="P394" s="39"/>
      <c r="Q394" s="39"/>
    </row>
    <row r="395" spans="1:17">
      <c r="A395" s="38"/>
      <c r="B395" s="781">
        <v>1</v>
      </c>
      <c r="C395" s="778">
        <v>2080</v>
      </c>
      <c r="D395" s="778">
        <v>2228</v>
      </c>
      <c r="E395" s="778">
        <v>2675</v>
      </c>
      <c r="F395" s="778">
        <v>3090</v>
      </c>
      <c r="G395" s="778">
        <v>3447</v>
      </c>
      <c r="H395" s="778">
        <v>83200</v>
      </c>
      <c r="I395" s="778">
        <v>95100</v>
      </c>
      <c r="J395" s="778">
        <v>107000</v>
      </c>
      <c r="K395" s="778">
        <v>118800</v>
      </c>
      <c r="L395" s="778">
        <v>128400</v>
      </c>
      <c r="M395" s="778">
        <v>137900</v>
      </c>
      <c r="N395" s="778">
        <v>147400</v>
      </c>
      <c r="O395" s="778">
        <v>156900</v>
      </c>
      <c r="P395" s="39"/>
      <c r="Q395" s="39"/>
    </row>
    <row r="396" spans="1:17">
      <c r="A396" s="38" t="s">
        <v>1300</v>
      </c>
      <c r="B396" s="781">
        <v>0.8</v>
      </c>
      <c r="C396" s="778">
        <v>1664</v>
      </c>
      <c r="D396" s="778">
        <v>1783</v>
      </c>
      <c r="E396" s="778">
        <v>2140</v>
      </c>
      <c r="F396" s="778">
        <v>2472</v>
      </c>
      <c r="G396" s="778">
        <v>2758</v>
      </c>
      <c r="H396" s="779">
        <v>66560</v>
      </c>
      <c r="I396" s="779">
        <v>76080</v>
      </c>
      <c r="J396" s="779">
        <v>85600</v>
      </c>
      <c r="K396" s="779">
        <v>95040</v>
      </c>
      <c r="L396" s="779">
        <v>102720</v>
      </c>
      <c r="M396" s="779">
        <v>110320</v>
      </c>
      <c r="N396" s="779">
        <v>117920</v>
      </c>
      <c r="O396" s="779">
        <v>125520</v>
      </c>
      <c r="P396" s="39"/>
      <c r="Q396" s="39"/>
    </row>
    <row r="397" spans="1:17">
      <c r="A397" s="38"/>
      <c r="B397" s="781">
        <v>0.7</v>
      </c>
      <c r="C397" s="778">
        <v>1456</v>
      </c>
      <c r="D397" s="778">
        <v>1560</v>
      </c>
      <c r="E397" s="778">
        <v>1872</v>
      </c>
      <c r="F397" s="778">
        <v>2163</v>
      </c>
      <c r="G397" s="778">
        <v>2413</v>
      </c>
      <c r="H397" s="779">
        <v>58239.999999999993</v>
      </c>
      <c r="I397" s="779">
        <v>66570</v>
      </c>
      <c r="J397" s="779">
        <v>74900</v>
      </c>
      <c r="K397" s="779">
        <v>83160</v>
      </c>
      <c r="L397" s="779">
        <v>89880</v>
      </c>
      <c r="M397" s="779">
        <v>96530</v>
      </c>
      <c r="N397" s="779">
        <v>103180</v>
      </c>
      <c r="O397" s="779">
        <v>109830</v>
      </c>
      <c r="P397" s="39"/>
      <c r="Q397" s="39"/>
    </row>
    <row r="398" spans="1:17">
      <c r="A398" s="38"/>
      <c r="B398" s="781">
        <v>0.6</v>
      </c>
      <c r="C398" s="778">
        <v>1248</v>
      </c>
      <c r="D398" s="778">
        <v>1337</v>
      </c>
      <c r="E398" s="778">
        <v>1605</v>
      </c>
      <c r="F398" s="778">
        <v>1854</v>
      </c>
      <c r="G398" s="778">
        <v>2068</v>
      </c>
      <c r="H398" s="778">
        <v>49920</v>
      </c>
      <c r="I398" s="778">
        <v>57060</v>
      </c>
      <c r="J398" s="778">
        <v>64200</v>
      </c>
      <c r="K398" s="778">
        <v>71280</v>
      </c>
      <c r="L398" s="778">
        <v>77040</v>
      </c>
      <c r="M398" s="780">
        <v>82740</v>
      </c>
      <c r="N398" s="780">
        <v>88440</v>
      </c>
      <c r="O398" s="780">
        <v>94140</v>
      </c>
      <c r="P398" s="39"/>
      <c r="Q398" s="39"/>
    </row>
    <row r="399" spans="1:17">
      <c r="A399" s="38"/>
      <c r="B399" s="781">
        <v>0.55000000000000004</v>
      </c>
      <c r="C399" s="778">
        <v>1144</v>
      </c>
      <c r="D399" s="778">
        <v>1225</v>
      </c>
      <c r="E399" s="778">
        <v>1471</v>
      </c>
      <c r="F399" s="778">
        <v>1699</v>
      </c>
      <c r="G399" s="778">
        <v>1896</v>
      </c>
      <c r="H399" s="778">
        <v>45760.000000000007</v>
      </c>
      <c r="I399" s="778">
        <v>52305.000000000007</v>
      </c>
      <c r="J399" s="778">
        <v>58850.000000000007</v>
      </c>
      <c r="K399" s="778">
        <v>65340.000000000007</v>
      </c>
      <c r="L399" s="778">
        <v>70620</v>
      </c>
      <c r="M399" s="778">
        <v>75845</v>
      </c>
      <c r="N399" s="778">
        <v>81070</v>
      </c>
      <c r="O399" s="778">
        <v>86295</v>
      </c>
      <c r="P399" s="39"/>
      <c r="Q399" s="39"/>
    </row>
    <row r="400" spans="1:17">
      <c r="A400" s="38"/>
      <c r="B400" s="781">
        <v>0.5</v>
      </c>
      <c r="C400" s="778">
        <v>1040</v>
      </c>
      <c r="D400" s="778">
        <v>1114</v>
      </c>
      <c r="E400" s="778">
        <v>1337</v>
      </c>
      <c r="F400" s="778">
        <v>1545</v>
      </c>
      <c r="G400" s="778">
        <v>1723</v>
      </c>
      <c r="H400" s="779">
        <v>41600</v>
      </c>
      <c r="I400" s="779">
        <v>47550</v>
      </c>
      <c r="J400" s="779">
        <v>53500</v>
      </c>
      <c r="K400" s="779">
        <v>59400</v>
      </c>
      <c r="L400" s="779">
        <v>64200</v>
      </c>
      <c r="M400" s="779">
        <v>68950</v>
      </c>
      <c r="N400" s="779">
        <v>73700</v>
      </c>
      <c r="O400" s="779">
        <v>78450</v>
      </c>
      <c r="P400" s="39"/>
      <c r="Q400" s="39"/>
    </row>
    <row r="401" spans="1:17">
      <c r="A401" s="38"/>
      <c r="B401" s="781">
        <v>0.45</v>
      </c>
      <c r="C401" s="778">
        <v>936</v>
      </c>
      <c r="D401" s="778">
        <v>1002</v>
      </c>
      <c r="E401" s="778">
        <v>1203</v>
      </c>
      <c r="F401" s="778">
        <v>1390</v>
      </c>
      <c r="G401" s="778">
        <v>1551</v>
      </c>
      <c r="H401" s="778">
        <v>37440</v>
      </c>
      <c r="I401" s="778">
        <v>42795</v>
      </c>
      <c r="J401" s="778">
        <v>48150</v>
      </c>
      <c r="K401" s="778">
        <v>53460</v>
      </c>
      <c r="L401" s="778">
        <v>57780</v>
      </c>
      <c r="M401" s="780">
        <v>62055</v>
      </c>
      <c r="N401" s="780">
        <v>66330</v>
      </c>
      <c r="O401" s="780">
        <v>70605</v>
      </c>
      <c r="P401" s="39"/>
      <c r="Q401" s="39"/>
    </row>
    <row r="402" spans="1:17">
      <c r="A402" s="38"/>
      <c r="B402" s="781">
        <v>0.4</v>
      </c>
      <c r="C402" s="778">
        <v>832</v>
      </c>
      <c r="D402" s="778">
        <v>891</v>
      </c>
      <c r="E402" s="778">
        <v>1070</v>
      </c>
      <c r="F402" s="778">
        <v>1236</v>
      </c>
      <c r="G402" s="778">
        <v>1379</v>
      </c>
      <c r="H402" s="778">
        <v>33280</v>
      </c>
      <c r="I402" s="778">
        <v>38040</v>
      </c>
      <c r="J402" s="778">
        <v>42800</v>
      </c>
      <c r="K402" s="778">
        <v>47520</v>
      </c>
      <c r="L402" s="778">
        <v>51360</v>
      </c>
      <c r="M402" s="780">
        <v>55160</v>
      </c>
      <c r="N402" s="780">
        <v>58960</v>
      </c>
      <c r="O402" s="780">
        <v>62760</v>
      </c>
      <c r="P402" s="39"/>
      <c r="Q402" s="39"/>
    </row>
    <row r="403" spans="1:17">
      <c r="A403" s="38"/>
      <c r="B403" s="522">
        <v>0.3</v>
      </c>
      <c r="C403" s="778">
        <v>624</v>
      </c>
      <c r="D403" s="778">
        <v>668</v>
      </c>
      <c r="E403" s="778">
        <v>802</v>
      </c>
      <c r="F403" s="778">
        <v>927</v>
      </c>
      <c r="G403" s="778">
        <v>1034</v>
      </c>
      <c r="H403" s="779">
        <v>24960</v>
      </c>
      <c r="I403" s="779">
        <v>28530</v>
      </c>
      <c r="J403" s="779">
        <v>32100</v>
      </c>
      <c r="K403" s="779">
        <v>35640</v>
      </c>
      <c r="L403" s="779">
        <v>38520</v>
      </c>
      <c r="M403" s="779">
        <v>41370</v>
      </c>
      <c r="N403" s="779">
        <v>44220</v>
      </c>
      <c r="O403" s="779">
        <v>47070</v>
      </c>
      <c r="P403" s="39"/>
      <c r="Q403" s="39"/>
    </row>
    <row r="404" spans="1:17" ht="13.5" thickBot="1">
      <c r="A404" s="782"/>
      <c r="B404" s="40">
        <v>0.2</v>
      </c>
      <c r="C404" s="524">
        <v>416</v>
      </c>
      <c r="D404" s="524">
        <v>445</v>
      </c>
      <c r="E404" s="524">
        <v>535</v>
      </c>
      <c r="F404" s="524">
        <v>618</v>
      </c>
      <c r="G404" s="524">
        <v>689</v>
      </c>
      <c r="H404" s="525">
        <v>16640</v>
      </c>
      <c r="I404" s="525">
        <v>19020</v>
      </c>
      <c r="J404" s="525">
        <v>21400</v>
      </c>
      <c r="K404" s="525">
        <v>23760</v>
      </c>
      <c r="L404" s="525">
        <v>25680</v>
      </c>
      <c r="M404" s="525">
        <v>27580</v>
      </c>
      <c r="N404" s="525">
        <v>29480</v>
      </c>
      <c r="O404" s="525">
        <v>31380</v>
      </c>
      <c r="P404" s="45"/>
      <c r="Q404" s="45"/>
    </row>
    <row r="405" spans="1:17" ht="13.5" thickTop="1">
      <c r="A405" s="46"/>
      <c r="B405" s="37">
        <v>1.2</v>
      </c>
      <c r="C405" s="526">
        <v>1980</v>
      </c>
      <c r="D405" s="526">
        <v>2121</v>
      </c>
      <c r="E405" s="526">
        <v>2544</v>
      </c>
      <c r="F405" s="526">
        <v>2940</v>
      </c>
      <c r="G405" s="526">
        <v>3279</v>
      </c>
      <c r="H405" s="526">
        <v>79200</v>
      </c>
      <c r="I405" s="526">
        <v>90480</v>
      </c>
      <c r="J405" s="526">
        <v>101760</v>
      </c>
      <c r="K405" s="526">
        <v>113040</v>
      </c>
      <c r="L405" s="526">
        <v>122160</v>
      </c>
      <c r="M405" s="526">
        <v>131160</v>
      </c>
      <c r="N405" s="526">
        <v>140280</v>
      </c>
      <c r="O405" s="526">
        <v>149280</v>
      </c>
      <c r="P405" s="41"/>
      <c r="Q405" s="41"/>
    </row>
    <row r="406" spans="1:17">
      <c r="A406" s="38"/>
      <c r="B406" s="781">
        <v>1</v>
      </c>
      <c r="C406" s="778">
        <v>1650</v>
      </c>
      <c r="D406" s="778">
        <v>1767</v>
      </c>
      <c r="E406" s="778">
        <v>2120</v>
      </c>
      <c r="F406" s="778">
        <v>2450</v>
      </c>
      <c r="G406" s="778">
        <v>2732</v>
      </c>
      <c r="H406" s="778">
        <v>66000</v>
      </c>
      <c r="I406" s="778">
        <v>75400</v>
      </c>
      <c r="J406" s="778">
        <v>84800</v>
      </c>
      <c r="K406" s="778">
        <v>94200</v>
      </c>
      <c r="L406" s="778">
        <v>101800</v>
      </c>
      <c r="M406" s="778">
        <v>109300</v>
      </c>
      <c r="N406" s="778">
        <v>116900</v>
      </c>
      <c r="O406" s="778">
        <v>124400</v>
      </c>
      <c r="P406" s="41"/>
      <c r="Q406" s="41"/>
    </row>
    <row r="407" spans="1:17">
      <c r="A407" s="38" t="s">
        <v>1301</v>
      </c>
      <c r="B407" s="781">
        <v>0.8</v>
      </c>
      <c r="C407" s="778">
        <v>1320</v>
      </c>
      <c r="D407" s="778">
        <v>1414</v>
      </c>
      <c r="E407" s="778">
        <v>1696</v>
      </c>
      <c r="F407" s="778">
        <v>1960</v>
      </c>
      <c r="G407" s="778">
        <v>2186</v>
      </c>
      <c r="H407" s="779">
        <v>52800</v>
      </c>
      <c r="I407" s="779">
        <v>60320</v>
      </c>
      <c r="J407" s="779">
        <v>67840</v>
      </c>
      <c r="K407" s="779">
        <v>75360</v>
      </c>
      <c r="L407" s="779">
        <v>81440</v>
      </c>
      <c r="M407" s="779">
        <v>87440</v>
      </c>
      <c r="N407" s="779">
        <v>93520</v>
      </c>
      <c r="O407" s="779">
        <v>99520</v>
      </c>
      <c r="P407" s="41"/>
      <c r="Q407" s="41"/>
    </row>
    <row r="408" spans="1:17">
      <c r="A408" s="38"/>
      <c r="B408" s="781">
        <v>0.7</v>
      </c>
      <c r="C408" s="778">
        <v>1155</v>
      </c>
      <c r="D408" s="778">
        <v>1237</v>
      </c>
      <c r="E408" s="778">
        <v>1484</v>
      </c>
      <c r="F408" s="778">
        <v>1715</v>
      </c>
      <c r="G408" s="778">
        <v>1912</v>
      </c>
      <c r="H408" s="779">
        <v>46200</v>
      </c>
      <c r="I408" s="779">
        <v>52780</v>
      </c>
      <c r="J408" s="779">
        <v>59359.999999999993</v>
      </c>
      <c r="K408" s="779">
        <v>65940</v>
      </c>
      <c r="L408" s="779">
        <v>71260</v>
      </c>
      <c r="M408" s="779">
        <v>76510</v>
      </c>
      <c r="N408" s="779">
        <v>81830</v>
      </c>
      <c r="O408" s="779">
        <v>87080</v>
      </c>
      <c r="P408" s="41"/>
      <c r="Q408" s="41"/>
    </row>
    <row r="409" spans="1:17">
      <c r="A409" s="38"/>
      <c r="B409" s="781">
        <v>0.6</v>
      </c>
      <c r="C409" s="778">
        <v>990</v>
      </c>
      <c r="D409" s="778">
        <v>1060</v>
      </c>
      <c r="E409" s="778">
        <v>1272</v>
      </c>
      <c r="F409" s="778">
        <v>1470</v>
      </c>
      <c r="G409" s="778">
        <v>1639</v>
      </c>
      <c r="H409" s="778">
        <v>39600</v>
      </c>
      <c r="I409" s="778">
        <v>45240</v>
      </c>
      <c r="J409" s="778">
        <v>50880</v>
      </c>
      <c r="K409" s="778">
        <v>56520</v>
      </c>
      <c r="L409" s="778">
        <v>61080</v>
      </c>
      <c r="M409" s="780">
        <v>65580</v>
      </c>
      <c r="N409" s="780">
        <v>70140</v>
      </c>
      <c r="O409" s="780">
        <v>74640</v>
      </c>
      <c r="P409" s="41"/>
      <c r="Q409" s="41"/>
    </row>
    <row r="410" spans="1:17">
      <c r="A410" s="38"/>
      <c r="B410" s="781">
        <v>0.55000000000000004</v>
      </c>
      <c r="C410" s="778">
        <v>907</v>
      </c>
      <c r="D410" s="778">
        <v>972</v>
      </c>
      <c r="E410" s="778">
        <v>1166</v>
      </c>
      <c r="F410" s="778">
        <v>1347</v>
      </c>
      <c r="G410" s="778">
        <v>1502</v>
      </c>
      <c r="H410" s="778">
        <v>36300</v>
      </c>
      <c r="I410" s="778">
        <v>41470</v>
      </c>
      <c r="J410" s="778">
        <v>46640.000000000007</v>
      </c>
      <c r="K410" s="778">
        <v>51810.000000000007</v>
      </c>
      <c r="L410" s="778">
        <v>55990.000000000007</v>
      </c>
      <c r="M410" s="778">
        <v>60115.000000000007</v>
      </c>
      <c r="N410" s="778">
        <v>64295.000000000007</v>
      </c>
      <c r="O410" s="778">
        <v>68420</v>
      </c>
      <c r="P410" s="41"/>
      <c r="Q410" s="41"/>
    </row>
    <row r="411" spans="1:17">
      <c r="A411" s="38"/>
      <c r="B411" s="781">
        <v>0.5</v>
      </c>
      <c r="C411" s="778">
        <v>825</v>
      </c>
      <c r="D411" s="778">
        <v>883</v>
      </c>
      <c r="E411" s="778">
        <v>1060</v>
      </c>
      <c r="F411" s="778">
        <v>1225</v>
      </c>
      <c r="G411" s="778">
        <v>1366</v>
      </c>
      <c r="H411" s="779">
        <v>33000</v>
      </c>
      <c r="I411" s="779">
        <v>37700</v>
      </c>
      <c r="J411" s="779">
        <v>42400</v>
      </c>
      <c r="K411" s="779">
        <v>47100</v>
      </c>
      <c r="L411" s="779">
        <v>50900</v>
      </c>
      <c r="M411" s="779">
        <v>54650</v>
      </c>
      <c r="N411" s="779">
        <v>58450</v>
      </c>
      <c r="O411" s="779">
        <v>62200</v>
      </c>
      <c r="P411" s="41"/>
      <c r="Q411" s="41"/>
    </row>
    <row r="412" spans="1:17">
      <c r="A412" s="38"/>
      <c r="B412" s="781">
        <v>0.45</v>
      </c>
      <c r="C412" s="778">
        <v>742</v>
      </c>
      <c r="D412" s="778">
        <v>795</v>
      </c>
      <c r="E412" s="778">
        <v>954</v>
      </c>
      <c r="F412" s="778">
        <v>1102</v>
      </c>
      <c r="G412" s="778">
        <v>1229</v>
      </c>
      <c r="H412" s="778">
        <v>29700</v>
      </c>
      <c r="I412" s="778">
        <v>33930</v>
      </c>
      <c r="J412" s="778">
        <v>38160</v>
      </c>
      <c r="K412" s="778">
        <v>42390</v>
      </c>
      <c r="L412" s="778">
        <v>45810</v>
      </c>
      <c r="M412" s="780">
        <v>49185</v>
      </c>
      <c r="N412" s="780">
        <v>52605</v>
      </c>
      <c r="O412" s="780">
        <v>55980</v>
      </c>
      <c r="P412" s="41"/>
      <c r="Q412" s="41"/>
    </row>
    <row r="413" spans="1:17">
      <c r="A413" s="38"/>
      <c r="B413" s="781">
        <v>0.4</v>
      </c>
      <c r="C413" s="778">
        <v>660</v>
      </c>
      <c r="D413" s="778">
        <v>707</v>
      </c>
      <c r="E413" s="778">
        <v>848</v>
      </c>
      <c r="F413" s="778">
        <v>980</v>
      </c>
      <c r="G413" s="778">
        <v>1093</v>
      </c>
      <c r="H413" s="778">
        <v>26400</v>
      </c>
      <c r="I413" s="778">
        <v>30160</v>
      </c>
      <c r="J413" s="778">
        <v>33920</v>
      </c>
      <c r="K413" s="778">
        <v>37680</v>
      </c>
      <c r="L413" s="778">
        <v>40720</v>
      </c>
      <c r="M413" s="780">
        <v>43720</v>
      </c>
      <c r="N413" s="780">
        <v>46760</v>
      </c>
      <c r="O413" s="780">
        <v>49760</v>
      </c>
      <c r="P413" s="41"/>
      <c r="Q413" s="41"/>
    </row>
    <row r="414" spans="1:17">
      <c r="A414" s="38"/>
      <c r="B414" s="522">
        <v>0.3</v>
      </c>
      <c r="C414" s="778">
        <v>495</v>
      </c>
      <c r="D414" s="778">
        <v>530</v>
      </c>
      <c r="E414" s="778">
        <v>636</v>
      </c>
      <c r="F414" s="778">
        <v>735</v>
      </c>
      <c r="G414" s="778">
        <v>819</v>
      </c>
      <c r="H414" s="779">
        <v>19800</v>
      </c>
      <c r="I414" s="779">
        <v>22620</v>
      </c>
      <c r="J414" s="779">
        <v>25440</v>
      </c>
      <c r="K414" s="779">
        <v>28260</v>
      </c>
      <c r="L414" s="779">
        <v>30540</v>
      </c>
      <c r="M414" s="779">
        <v>32790</v>
      </c>
      <c r="N414" s="779">
        <v>35070</v>
      </c>
      <c r="O414" s="779">
        <v>37320</v>
      </c>
      <c r="P414" s="41"/>
      <c r="Q414" s="41"/>
    </row>
    <row r="415" spans="1:17" ht="13.5" thickBot="1">
      <c r="A415" s="782"/>
      <c r="B415" s="40">
        <v>0.2</v>
      </c>
      <c r="C415" s="524">
        <v>330</v>
      </c>
      <c r="D415" s="524">
        <v>353</v>
      </c>
      <c r="E415" s="524">
        <v>424</v>
      </c>
      <c r="F415" s="524">
        <v>490</v>
      </c>
      <c r="G415" s="524">
        <v>546</v>
      </c>
      <c r="H415" s="525">
        <v>13200</v>
      </c>
      <c r="I415" s="525">
        <v>15080</v>
      </c>
      <c r="J415" s="525">
        <v>16960</v>
      </c>
      <c r="K415" s="525">
        <v>18840</v>
      </c>
      <c r="L415" s="525">
        <v>20360</v>
      </c>
      <c r="M415" s="525">
        <v>21860</v>
      </c>
      <c r="N415" s="525">
        <v>23380</v>
      </c>
      <c r="O415" s="525">
        <v>24880</v>
      </c>
      <c r="P415" s="41"/>
      <c r="Q415" s="41"/>
    </row>
    <row r="416" spans="1:17" ht="13.5" thickTop="1">
      <c r="A416" s="46"/>
      <c r="B416" s="37">
        <v>1.2</v>
      </c>
      <c r="C416" s="526">
        <v>1995</v>
      </c>
      <c r="D416" s="526">
        <v>2137</v>
      </c>
      <c r="E416" s="526">
        <v>2565</v>
      </c>
      <c r="F416" s="526">
        <v>2964</v>
      </c>
      <c r="G416" s="526">
        <v>3306</v>
      </c>
      <c r="H416" s="526">
        <v>79800</v>
      </c>
      <c r="I416" s="526">
        <v>91200</v>
      </c>
      <c r="J416" s="526">
        <v>102600</v>
      </c>
      <c r="K416" s="526">
        <v>114000</v>
      </c>
      <c r="L416" s="526">
        <v>123120</v>
      </c>
      <c r="M416" s="526">
        <v>132240</v>
      </c>
      <c r="N416" s="526">
        <v>141360</v>
      </c>
      <c r="O416" s="526">
        <v>150480</v>
      </c>
      <c r="P416" s="41"/>
      <c r="Q416" s="41"/>
    </row>
    <row r="417" spans="1:17">
      <c r="A417" s="38"/>
      <c r="B417" s="781">
        <v>1</v>
      </c>
      <c r="C417" s="778">
        <v>1662</v>
      </c>
      <c r="D417" s="778">
        <v>1781</v>
      </c>
      <c r="E417" s="778">
        <v>2137</v>
      </c>
      <c r="F417" s="778">
        <v>2470</v>
      </c>
      <c r="G417" s="778">
        <v>2755</v>
      </c>
      <c r="H417" s="778">
        <v>66500</v>
      </c>
      <c r="I417" s="778">
        <v>76000</v>
      </c>
      <c r="J417" s="778">
        <v>85500</v>
      </c>
      <c r="K417" s="778">
        <v>95000</v>
      </c>
      <c r="L417" s="778">
        <v>102600</v>
      </c>
      <c r="M417" s="778">
        <v>110200</v>
      </c>
      <c r="N417" s="778">
        <v>117800</v>
      </c>
      <c r="O417" s="778">
        <v>125400</v>
      </c>
      <c r="P417" s="41"/>
      <c r="Q417" s="41"/>
    </row>
    <row r="418" spans="1:17">
      <c r="A418" s="38" t="s">
        <v>1302</v>
      </c>
      <c r="B418" s="781">
        <v>0.8</v>
      </c>
      <c r="C418" s="778">
        <v>1330</v>
      </c>
      <c r="D418" s="778">
        <v>1425</v>
      </c>
      <c r="E418" s="778">
        <v>1710</v>
      </c>
      <c r="F418" s="778">
        <v>1976</v>
      </c>
      <c r="G418" s="778">
        <v>2204</v>
      </c>
      <c r="H418" s="779">
        <v>53200</v>
      </c>
      <c r="I418" s="779">
        <v>60800</v>
      </c>
      <c r="J418" s="779">
        <v>68400</v>
      </c>
      <c r="K418" s="779">
        <v>76000</v>
      </c>
      <c r="L418" s="779">
        <v>82080</v>
      </c>
      <c r="M418" s="779">
        <v>88160</v>
      </c>
      <c r="N418" s="779">
        <v>94240</v>
      </c>
      <c r="O418" s="779">
        <v>100320</v>
      </c>
      <c r="P418" s="41"/>
      <c r="Q418" s="41"/>
    </row>
    <row r="419" spans="1:17">
      <c r="A419" s="38"/>
      <c r="B419" s="781">
        <v>0.7</v>
      </c>
      <c r="C419" s="778">
        <v>1163</v>
      </c>
      <c r="D419" s="778">
        <v>1246</v>
      </c>
      <c r="E419" s="778">
        <v>1496</v>
      </c>
      <c r="F419" s="778">
        <v>1729</v>
      </c>
      <c r="G419" s="778">
        <v>1928</v>
      </c>
      <c r="H419" s="779">
        <v>46550</v>
      </c>
      <c r="I419" s="779">
        <v>53200</v>
      </c>
      <c r="J419" s="779">
        <v>59849.999999999993</v>
      </c>
      <c r="K419" s="779">
        <v>66500</v>
      </c>
      <c r="L419" s="779">
        <v>71820</v>
      </c>
      <c r="M419" s="779">
        <v>77140</v>
      </c>
      <c r="N419" s="779">
        <v>82460</v>
      </c>
      <c r="O419" s="779">
        <v>87780</v>
      </c>
      <c r="P419" s="41"/>
      <c r="Q419" s="41"/>
    </row>
    <row r="420" spans="1:17">
      <c r="A420" s="38"/>
      <c r="B420" s="781">
        <v>0.6</v>
      </c>
      <c r="C420" s="778">
        <v>997</v>
      </c>
      <c r="D420" s="778">
        <v>1068</v>
      </c>
      <c r="E420" s="778">
        <v>1282</v>
      </c>
      <c r="F420" s="778">
        <v>1482</v>
      </c>
      <c r="G420" s="778">
        <v>1653</v>
      </c>
      <c r="H420" s="778">
        <v>39900</v>
      </c>
      <c r="I420" s="778">
        <v>45600</v>
      </c>
      <c r="J420" s="778">
        <v>51300</v>
      </c>
      <c r="K420" s="778">
        <v>57000</v>
      </c>
      <c r="L420" s="778">
        <v>61560</v>
      </c>
      <c r="M420" s="780">
        <v>66120</v>
      </c>
      <c r="N420" s="780">
        <v>70680</v>
      </c>
      <c r="O420" s="780">
        <v>75240</v>
      </c>
      <c r="P420" s="41"/>
      <c r="Q420" s="41"/>
    </row>
    <row r="421" spans="1:17">
      <c r="A421" s="38"/>
      <c r="B421" s="781">
        <v>0.55000000000000004</v>
      </c>
      <c r="C421" s="778">
        <v>914</v>
      </c>
      <c r="D421" s="778">
        <v>979</v>
      </c>
      <c r="E421" s="778">
        <v>1175</v>
      </c>
      <c r="F421" s="778">
        <v>1358</v>
      </c>
      <c r="G421" s="778">
        <v>1515</v>
      </c>
      <c r="H421" s="778">
        <v>36575</v>
      </c>
      <c r="I421" s="778">
        <v>41800</v>
      </c>
      <c r="J421" s="778">
        <v>47025.000000000007</v>
      </c>
      <c r="K421" s="778">
        <v>52250.000000000007</v>
      </c>
      <c r="L421" s="778">
        <v>56430.000000000007</v>
      </c>
      <c r="M421" s="778">
        <v>60610.000000000007</v>
      </c>
      <c r="N421" s="778">
        <v>64790.000000000007</v>
      </c>
      <c r="O421" s="778">
        <v>68970</v>
      </c>
      <c r="P421" s="41"/>
      <c r="Q421" s="41"/>
    </row>
    <row r="422" spans="1:17">
      <c r="A422" s="38"/>
      <c r="B422" s="781">
        <v>0.5</v>
      </c>
      <c r="C422" s="778">
        <v>831</v>
      </c>
      <c r="D422" s="778">
        <v>890</v>
      </c>
      <c r="E422" s="778">
        <v>1068</v>
      </c>
      <c r="F422" s="778">
        <v>1235</v>
      </c>
      <c r="G422" s="778">
        <v>1377</v>
      </c>
      <c r="H422" s="779">
        <v>33250</v>
      </c>
      <c r="I422" s="779">
        <v>38000</v>
      </c>
      <c r="J422" s="779">
        <v>42750</v>
      </c>
      <c r="K422" s="779">
        <v>47500</v>
      </c>
      <c r="L422" s="779">
        <v>51300</v>
      </c>
      <c r="M422" s="779">
        <v>55100</v>
      </c>
      <c r="N422" s="779">
        <v>58900</v>
      </c>
      <c r="O422" s="779">
        <v>62700</v>
      </c>
      <c r="P422" s="41"/>
      <c r="Q422" s="41"/>
    </row>
    <row r="423" spans="1:17">
      <c r="A423" s="38"/>
      <c r="B423" s="781">
        <v>0.45</v>
      </c>
      <c r="C423" s="778">
        <v>748</v>
      </c>
      <c r="D423" s="778">
        <v>801</v>
      </c>
      <c r="E423" s="778">
        <v>961</v>
      </c>
      <c r="F423" s="778">
        <v>1111</v>
      </c>
      <c r="G423" s="778">
        <v>1239</v>
      </c>
      <c r="H423" s="778">
        <v>29925</v>
      </c>
      <c r="I423" s="778">
        <v>34200</v>
      </c>
      <c r="J423" s="778">
        <v>38475</v>
      </c>
      <c r="K423" s="778">
        <v>42750</v>
      </c>
      <c r="L423" s="778">
        <v>46170</v>
      </c>
      <c r="M423" s="780">
        <v>49590</v>
      </c>
      <c r="N423" s="780">
        <v>53010</v>
      </c>
      <c r="O423" s="780">
        <v>56430</v>
      </c>
      <c r="P423" s="41"/>
      <c r="Q423" s="41"/>
    </row>
    <row r="424" spans="1:17">
      <c r="A424" s="38"/>
      <c r="B424" s="781">
        <v>0.4</v>
      </c>
      <c r="C424" s="778">
        <v>665</v>
      </c>
      <c r="D424" s="778">
        <v>712</v>
      </c>
      <c r="E424" s="778">
        <v>855</v>
      </c>
      <c r="F424" s="778">
        <v>988</v>
      </c>
      <c r="G424" s="778">
        <v>1102</v>
      </c>
      <c r="H424" s="778">
        <v>26600</v>
      </c>
      <c r="I424" s="778">
        <v>30400</v>
      </c>
      <c r="J424" s="778">
        <v>34200</v>
      </c>
      <c r="K424" s="778">
        <v>38000</v>
      </c>
      <c r="L424" s="778">
        <v>41040</v>
      </c>
      <c r="M424" s="780">
        <v>44080</v>
      </c>
      <c r="N424" s="780">
        <v>47120</v>
      </c>
      <c r="O424" s="780">
        <v>50160</v>
      </c>
      <c r="P424" s="41"/>
      <c r="Q424" s="41"/>
    </row>
    <row r="425" spans="1:17">
      <c r="A425" s="38"/>
      <c r="B425" s="522">
        <v>0.3</v>
      </c>
      <c r="C425" s="778">
        <v>498</v>
      </c>
      <c r="D425" s="778">
        <v>534</v>
      </c>
      <c r="E425" s="778">
        <v>641</v>
      </c>
      <c r="F425" s="778">
        <v>741</v>
      </c>
      <c r="G425" s="778">
        <v>826</v>
      </c>
      <c r="H425" s="779">
        <v>19950</v>
      </c>
      <c r="I425" s="779">
        <v>22800</v>
      </c>
      <c r="J425" s="779">
        <v>25650</v>
      </c>
      <c r="K425" s="779">
        <v>28500</v>
      </c>
      <c r="L425" s="779">
        <v>30780</v>
      </c>
      <c r="M425" s="779">
        <v>33060</v>
      </c>
      <c r="N425" s="779">
        <v>35340</v>
      </c>
      <c r="O425" s="779">
        <v>37620</v>
      </c>
      <c r="P425" s="41"/>
      <c r="Q425" s="41"/>
    </row>
    <row r="426" spans="1:17" ht="13.5" thickBot="1">
      <c r="A426" s="782"/>
      <c r="B426" s="40">
        <v>0.2</v>
      </c>
      <c r="C426" s="524">
        <v>332</v>
      </c>
      <c r="D426" s="524">
        <v>356</v>
      </c>
      <c r="E426" s="524">
        <v>427</v>
      </c>
      <c r="F426" s="524">
        <v>494</v>
      </c>
      <c r="G426" s="524">
        <v>551</v>
      </c>
      <c r="H426" s="525">
        <v>13300</v>
      </c>
      <c r="I426" s="525">
        <v>15200</v>
      </c>
      <c r="J426" s="525">
        <v>17100</v>
      </c>
      <c r="K426" s="525">
        <v>19000</v>
      </c>
      <c r="L426" s="525">
        <v>20520</v>
      </c>
      <c r="M426" s="525">
        <v>22040</v>
      </c>
      <c r="N426" s="525">
        <v>23560</v>
      </c>
      <c r="O426" s="525">
        <v>25080</v>
      </c>
      <c r="P426" s="41"/>
      <c r="Q426" s="41"/>
    </row>
    <row r="427" spans="1:17" ht="13.5" thickTop="1">
      <c r="A427" s="46"/>
      <c r="B427" s="37">
        <v>1.2</v>
      </c>
      <c r="C427" s="526">
        <v>1980</v>
      </c>
      <c r="D427" s="526">
        <v>2121</v>
      </c>
      <c r="E427" s="526">
        <v>2544</v>
      </c>
      <c r="F427" s="526">
        <v>2940</v>
      </c>
      <c r="G427" s="526">
        <v>3279</v>
      </c>
      <c r="H427" s="526">
        <v>79200</v>
      </c>
      <c r="I427" s="526">
        <v>90480</v>
      </c>
      <c r="J427" s="526">
        <v>101760</v>
      </c>
      <c r="K427" s="526">
        <v>113040</v>
      </c>
      <c r="L427" s="526">
        <v>122160</v>
      </c>
      <c r="M427" s="526">
        <v>131160</v>
      </c>
      <c r="N427" s="526">
        <v>140280</v>
      </c>
      <c r="O427" s="526">
        <v>149280</v>
      </c>
      <c r="P427" s="41"/>
      <c r="Q427" s="41"/>
    </row>
    <row r="428" spans="1:17">
      <c r="A428" s="38"/>
      <c r="B428" s="781">
        <v>1</v>
      </c>
      <c r="C428" s="778">
        <v>1650</v>
      </c>
      <c r="D428" s="778">
        <v>1767</v>
      </c>
      <c r="E428" s="778">
        <v>2120</v>
      </c>
      <c r="F428" s="778">
        <v>2450</v>
      </c>
      <c r="G428" s="778">
        <v>2732</v>
      </c>
      <c r="H428" s="778">
        <v>66000</v>
      </c>
      <c r="I428" s="778">
        <v>75400</v>
      </c>
      <c r="J428" s="778">
        <v>84800</v>
      </c>
      <c r="K428" s="778">
        <v>94200</v>
      </c>
      <c r="L428" s="778">
        <v>101800</v>
      </c>
      <c r="M428" s="778">
        <v>109300</v>
      </c>
      <c r="N428" s="778">
        <v>116900</v>
      </c>
      <c r="O428" s="778">
        <v>124400</v>
      </c>
      <c r="P428" s="41"/>
      <c r="Q428" s="41"/>
    </row>
    <row r="429" spans="1:17">
      <c r="A429" s="38" t="s">
        <v>1303</v>
      </c>
      <c r="B429" s="781">
        <v>0.8</v>
      </c>
      <c r="C429" s="778">
        <v>1320</v>
      </c>
      <c r="D429" s="778">
        <v>1414</v>
      </c>
      <c r="E429" s="778">
        <v>1696</v>
      </c>
      <c r="F429" s="778">
        <v>1960</v>
      </c>
      <c r="G429" s="778">
        <v>2186</v>
      </c>
      <c r="H429" s="779">
        <v>52800</v>
      </c>
      <c r="I429" s="779">
        <v>60320</v>
      </c>
      <c r="J429" s="779">
        <v>67840</v>
      </c>
      <c r="K429" s="779">
        <v>75360</v>
      </c>
      <c r="L429" s="779">
        <v>81440</v>
      </c>
      <c r="M429" s="779">
        <v>87440</v>
      </c>
      <c r="N429" s="779">
        <v>93520</v>
      </c>
      <c r="O429" s="779">
        <v>99520</v>
      </c>
      <c r="P429" s="41"/>
      <c r="Q429" s="41"/>
    </row>
    <row r="430" spans="1:17">
      <c r="A430" s="38"/>
      <c r="B430" s="781">
        <v>0.7</v>
      </c>
      <c r="C430" s="778">
        <v>1155</v>
      </c>
      <c r="D430" s="778">
        <v>1237</v>
      </c>
      <c r="E430" s="778">
        <v>1484</v>
      </c>
      <c r="F430" s="778">
        <v>1715</v>
      </c>
      <c r="G430" s="778">
        <v>1912</v>
      </c>
      <c r="H430" s="779">
        <v>46200</v>
      </c>
      <c r="I430" s="779">
        <v>52780</v>
      </c>
      <c r="J430" s="779">
        <v>59359.999999999993</v>
      </c>
      <c r="K430" s="779">
        <v>65940</v>
      </c>
      <c r="L430" s="779">
        <v>71260</v>
      </c>
      <c r="M430" s="779">
        <v>76510</v>
      </c>
      <c r="N430" s="779">
        <v>81830</v>
      </c>
      <c r="O430" s="779">
        <v>87080</v>
      </c>
      <c r="P430" s="41"/>
      <c r="Q430" s="41"/>
    </row>
    <row r="431" spans="1:17">
      <c r="A431" s="38"/>
      <c r="B431" s="781">
        <v>0.6</v>
      </c>
      <c r="C431" s="778">
        <v>990</v>
      </c>
      <c r="D431" s="778">
        <v>1060</v>
      </c>
      <c r="E431" s="778">
        <v>1272</v>
      </c>
      <c r="F431" s="778">
        <v>1470</v>
      </c>
      <c r="G431" s="778">
        <v>1639</v>
      </c>
      <c r="H431" s="778">
        <v>39600</v>
      </c>
      <c r="I431" s="778">
        <v>45240</v>
      </c>
      <c r="J431" s="778">
        <v>50880</v>
      </c>
      <c r="K431" s="778">
        <v>56520</v>
      </c>
      <c r="L431" s="778">
        <v>61080</v>
      </c>
      <c r="M431" s="780">
        <v>65580</v>
      </c>
      <c r="N431" s="780">
        <v>70140</v>
      </c>
      <c r="O431" s="780">
        <v>74640</v>
      </c>
      <c r="P431" s="41"/>
      <c r="Q431" s="41"/>
    </row>
    <row r="432" spans="1:17">
      <c r="A432" s="38"/>
      <c r="B432" s="781">
        <v>0.55000000000000004</v>
      </c>
      <c r="C432" s="778">
        <v>907</v>
      </c>
      <c r="D432" s="778">
        <v>972</v>
      </c>
      <c r="E432" s="778">
        <v>1166</v>
      </c>
      <c r="F432" s="778">
        <v>1347</v>
      </c>
      <c r="G432" s="778">
        <v>1502</v>
      </c>
      <c r="H432" s="778">
        <v>36300</v>
      </c>
      <c r="I432" s="778">
        <v>41470</v>
      </c>
      <c r="J432" s="778">
        <v>46640.000000000007</v>
      </c>
      <c r="K432" s="778">
        <v>51810.000000000007</v>
      </c>
      <c r="L432" s="778">
        <v>55990.000000000007</v>
      </c>
      <c r="M432" s="778">
        <v>60115.000000000007</v>
      </c>
      <c r="N432" s="778">
        <v>64295.000000000007</v>
      </c>
      <c r="O432" s="778">
        <v>68420</v>
      </c>
      <c r="P432" s="41"/>
      <c r="Q432" s="41"/>
    </row>
    <row r="433" spans="1:17">
      <c r="A433" s="38"/>
      <c r="B433" s="781">
        <v>0.5</v>
      </c>
      <c r="C433" s="778">
        <v>825</v>
      </c>
      <c r="D433" s="778">
        <v>883</v>
      </c>
      <c r="E433" s="778">
        <v>1060</v>
      </c>
      <c r="F433" s="778">
        <v>1225</v>
      </c>
      <c r="G433" s="778">
        <v>1366</v>
      </c>
      <c r="H433" s="779">
        <v>33000</v>
      </c>
      <c r="I433" s="779">
        <v>37700</v>
      </c>
      <c r="J433" s="779">
        <v>42400</v>
      </c>
      <c r="K433" s="779">
        <v>47100</v>
      </c>
      <c r="L433" s="779">
        <v>50900</v>
      </c>
      <c r="M433" s="779">
        <v>54650</v>
      </c>
      <c r="N433" s="779">
        <v>58450</v>
      </c>
      <c r="O433" s="779">
        <v>62200</v>
      </c>
      <c r="P433" s="41"/>
      <c r="Q433" s="41"/>
    </row>
    <row r="434" spans="1:17">
      <c r="A434" s="38"/>
      <c r="B434" s="781">
        <v>0.45</v>
      </c>
      <c r="C434" s="778">
        <v>742</v>
      </c>
      <c r="D434" s="778">
        <v>795</v>
      </c>
      <c r="E434" s="778">
        <v>954</v>
      </c>
      <c r="F434" s="778">
        <v>1102</v>
      </c>
      <c r="G434" s="778">
        <v>1229</v>
      </c>
      <c r="H434" s="778">
        <v>29700</v>
      </c>
      <c r="I434" s="778">
        <v>33930</v>
      </c>
      <c r="J434" s="778">
        <v>38160</v>
      </c>
      <c r="K434" s="778">
        <v>42390</v>
      </c>
      <c r="L434" s="778">
        <v>45810</v>
      </c>
      <c r="M434" s="780">
        <v>49185</v>
      </c>
      <c r="N434" s="780">
        <v>52605</v>
      </c>
      <c r="O434" s="780">
        <v>55980</v>
      </c>
      <c r="P434" s="41"/>
      <c r="Q434" s="41"/>
    </row>
    <row r="435" spans="1:17">
      <c r="A435" s="38"/>
      <c r="B435" s="781">
        <v>0.4</v>
      </c>
      <c r="C435" s="778">
        <v>660</v>
      </c>
      <c r="D435" s="778">
        <v>707</v>
      </c>
      <c r="E435" s="778">
        <v>848</v>
      </c>
      <c r="F435" s="778">
        <v>980</v>
      </c>
      <c r="G435" s="778">
        <v>1093</v>
      </c>
      <c r="H435" s="778">
        <v>26400</v>
      </c>
      <c r="I435" s="778">
        <v>30160</v>
      </c>
      <c r="J435" s="778">
        <v>33920</v>
      </c>
      <c r="K435" s="778">
        <v>37680</v>
      </c>
      <c r="L435" s="778">
        <v>40720</v>
      </c>
      <c r="M435" s="780">
        <v>43720</v>
      </c>
      <c r="N435" s="780">
        <v>46760</v>
      </c>
      <c r="O435" s="780">
        <v>49760</v>
      </c>
      <c r="P435" s="41"/>
      <c r="Q435" s="41"/>
    </row>
    <row r="436" spans="1:17">
      <c r="A436" s="38"/>
      <c r="B436" s="522">
        <v>0.3</v>
      </c>
      <c r="C436" s="778">
        <v>495</v>
      </c>
      <c r="D436" s="778">
        <v>530</v>
      </c>
      <c r="E436" s="778">
        <v>636</v>
      </c>
      <c r="F436" s="778">
        <v>735</v>
      </c>
      <c r="G436" s="778">
        <v>819</v>
      </c>
      <c r="H436" s="779">
        <v>19800</v>
      </c>
      <c r="I436" s="779">
        <v>22620</v>
      </c>
      <c r="J436" s="779">
        <v>25440</v>
      </c>
      <c r="K436" s="779">
        <v>28260</v>
      </c>
      <c r="L436" s="779">
        <v>30540</v>
      </c>
      <c r="M436" s="779">
        <v>32790</v>
      </c>
      <c r="N436" s="779">
        <v>35070</v>
      </c>
      <c r="O436" s="779">
        <v>37320</v>
      </c>
      <c r="P436" s="41"/>
      <c r="Q436" s="41"/>
    </row>
    <row r="437" spans="1:17" ht="13.5" thickBot="1">
      <c r="A437" s="782"/>
      <c r="B437" s="40">
        <v>0.2</v>
      </c>
      <c r="C437" s="524">
        <v>330</v>
      </c>
      <c r="D437" s="524">
        <v>353</v>
      </c>
      <c r="E437" s="524">
        <v>424</v>
      </c>
      <c r="F437" s="524">
        <v>490</v>
      </c>
      <c r="G437" s="524">
        <v>546</v>
      </c>
      <c r="H437" s="525">
        <v>13200</v>
      </c>
      <c r="I437" s="525">
        <v>15080</v>
      </c>
      <c r="J437" s="525">
        <v>16960</v>
      </c>
      <c r="K437" s="525">
        <v>18840</v>
      </c>
      <c r="L437" s="525">
        <v>20360</v>
      </c>
      <c r="M437" s="525">
        <v>21860</v>
      </c>
      <c r="N437" s="525">
        <v>23380</v>
      </c>
      <c r="O437" s="525">
        <v>24880</v>
      </c>
      <c r="P437" s="41"/>
      <c r="Q437" s="41"/>
    </row>
    <row r="438" spans="1:17" ht="13.5" thickTop="1">
      <c r="A438" s="46"/>
      <c r="B438" s="37">
        <v>1.2</v>
      </c>
      <c r="C438" s="526">
        <v>1980</v>
      </c>
      <c r="D438" s="526">
        <v>2121</v>
      </c>
      <c r="E438" s="526">
        <v>2544</v>
      </c>
      <c r="F438" s="526">
        <v>2940</v>
      </c>
      <c r="G438" s="526">
        <v>3279</v>
      </c>
      <c r="H438" s="526">
        <v>79200</v>
      </c>
      <c r="I438" s="526">
        <v>90480</v>
      </c>
      <c r="J438" s="526">
        <v>101760</v>
      </c>
      <c r="K438" s="526">
        <v>113040</v>
      </c>
      <c r="L438" s="526">
        <v>122160</v>
      </c>
      <c r="M438" s="526">
        <v>131160</v>
      </c>
      <c r="N438" s="526">
        <v>140280</v>
      </c>
      <c r="O438" s="526">
        <v>149280</v>
      </c>
      <c r="P438" s="39"/>
      <c r="Q438" s="39"/>
    </row>
    <row r="439" spans="1:17">
      <c r="A439" s="38"/>
      <c r="B439" s="781">
        <v>1</v>
      </c>
      <c r="C439" s="778">
        <v>1650</v>
      </c>
      <c r="D439" s="778">
        <v>1767</v>
      </c>
      <c r="E439" s="778">
        <v>2120</v>
      </c>
      <c r="F439" s="778">
        <v>2450</v>
      </c>
      <c r="G439" s="778">
        <v>2732</v>
      </c>
      <c r="H439" s="778">
        <v>66000</v>
      </c>
      <c r="I439" s="778">
        <v>75400</v>
      </c>
      <c r="J439" s="778">
        <v>84800</v>
      </c>
      <c r="K439" s="778">
        <v>94200</v>
      </c>
      <c r="L439" s="778">
        <v>101800</v>
      </c>
      <c r="M439" s="778">
        <v>109300</v>
      </c>
      <c r="N439" s="778">
        <v>116900</v>
      </c>
      <c r="O439" s="778">
        <v>124400</v>
      </c>
      <c r="P439" s="39"/>
      <c r="Q439" s="39"/>
    </row>
    <row r="440" spans="1:17">
      <c r="A440" s="38" t="s">
        <v>1304</v>
      </c>
      <c r="B440" s="781">
        <v>0.8</v>
      </c>
      <c r="C440" s="778">
        <v>1320</v>
      </c>
      <c r="D440" s="778">
        <v>1414</v>
      </c>
      <c r="E440" s="778">
        <v>1696</v>
      </c>
      <c r="F440" s="778">
        <v>1960</v>
      </c>
      <c r="G440" s="778">
        <v>2186</v>
      </c>
      <c r="H440" s="779">
        <v>52800</v>
      </c>
      <c r="I440" s="779">
        <v>60320</v>
      </c>
      <c r="J440" s="779">
        <v>67840</v>
      </c>
      <c r="K440" s="779">
        <v>75360</v>
      </c>
      <c r="L440" s="779">
        <v>81440</v>
      </c>
      <c r="M440" s="779">
        <v>87440</v>
      </c>
      <c r="N440" s="779">
        <v>93520</v>
      </c>
      <c r="O440" s="779">
        <v>99520</v>
      </c>
      <c r="P440" s="39"/>
      <c r="Q440" s="39"/>
    </row>
    <row r="441" spans="1:17">
      <c r="A441" s="38"/>
      <c r="B441" s="781">
        <v>0.7</v>
      </c>
      <c r="C441" s="778">
        <v>1155</v>
      </c>
      <c r="D441" s="778">
        <v>1237</v>
      </c>
      <c r="E441" s="778">
        <v>1484</v>
      </c>
      <c r="F441" s="778">
        <v>1715</v>
      </c>
      <c r="G441" s="778">
        <v>1912</v>
      </c>
      <c r="H441" s="779">
        <v>46200</v>
      </c>
      <c r="I441" s="779">
        <v>52780</v>
      </c>
      <c r="J441" s="779">
        <v>59359.999999999993</v>
      </c>
      <c r="K441" s="779">
        <v>65940</v>
      </c>
      <c r="L441" s="779">
        <v>71260</v>
      </c>
      <c r="M441" s="779">
        <v>76510</v>
      </c>
      <c r="N441" s="779">
        <v>81830</v>
      </c>
      <c r="O441" s="779">
        <v>87080</v>
      </c>
      <c r="P441" s="39"/>
      <c r="Q441" s="39"/>
    </row>
    <row r="442" spans="1:17">
      <c r="A442" s="38"/>
      <c r="B442" s="781">
        <v>0.6</v>
      </c>
      <c r="C442" s="778">
        <v>990</v>
      </c>
      <c r="D442" s="778">
        <v>1060</v>
      </c>
      <c r="E442" s="778">
        <v>1272</v>
      </c>
      <c r="F442" s="778">
        <v>1470</v>
      </c>
      <c r="G442" s="778">
        <v>1639</v>
      </c>
      <c r="H442" s="778">
        <v>39600</v>
      </c>
      <c r="I442" s="778">
        <v>45240</v>
      </c>
      <c r="J442" s="778">
        <v>50880</v>
      </c>
      <c r="K442" s="778">
        <v>56520</v>
      </c>
      <c r="L442" s="778">
        <v>61080</v>
      </c>
      <c r="M442" s="780">
        <v>65580</v>
      </c>
      <c r="N442" s="780">
        <v>70140</v>
      </c>
      <c r="O442" s="780">
        <v>74640</v>
      </c>
      <c r="P442" s="39"/>
      <c r="Q442" s="39"/>
    </row>
    <row r="443" spans="1:17">
      <c r="A443" s="38"/>
      <c r="B443" s="781">
        <v>0.55000000000000004</v>
      </c>
      <c r="C443" s="778">
        <v>907</v>
      </c>
      <c r="D443" s="778">
        <v>972</v>
      </c>
      <c r="E443" s="778">
        <v>1166</v>
      </c>
      <c r="F443" s="778">
        <v>1347</v>
      </c>
      <c r="G443" s="778">
        <v>1502</v>
      </c>
      <c r="H443" s="778">
        <v>36300</v>
      </c>
      <c r="I443" s="778">
        <v>41470</v>
      </c>
      <c r="J443" s="778">
        <v>46640.000000000007</v>
      </c>
      <c r="K443" s="778">
        <v>51810.000000000007</v>
      </c>
      <c r="L443" s="778">
        <v>55990.000000000007</v>
      </c>
      <c r="M443" s="778">
        <v>60115.000000000007</v>
      </c>
      <c r="N443" s="778">
        <v>64295.000000000007</v>
      </c>
      <c r="O443" s="778">
        <v>68420</v>
      </c>
      <c r="P443" s="39"/>
      <c r="Q443" s="39"/>
    </row>
    <row r="444" spans="1:17">
      <c r="A444" s="38" t="s">
        <v>476</v>
      </c>
      <c r="B444" s="781">
        <v>0.5</v>
      </c>
      <c r="C444" s="778">
        <v>825</v>
      </c>
      <c r="D444" s="778">
        <v>883</v>
      </c>
      <c r="E444" s="778">
        <v>1060</v>
      </c>
      <c r="F444" s="778">
        <v>1225</v>
      </c>
      <c r="G444" s="778">
        <v>1366</v>
      </c>
      <c r="H444" s="779">
        <v>33000</v>
      </c>
      <c r="I444" s="779">
        <v>37700</v>
      </c>
      <c r="J444" s="779">
        <v>42400</v>
      </c>
      <c r="K444" s="779">
        <v>47100</v>
      </c>
      <c r="L444" s="779">
        <v>50900</v>
      </c>
      <c r="M444" s="779">
        <v>54650</v>
      </c>
      <c r="N444" s="779">
        <v>58450</v>
      </c>
      <c r="O444" s="779">
        <v>62200</v>
      </c>
      <c r="P444" s="39"/>
      <c r="Q444" s="39"/>
    </row>
    <row r="445" spans="1:17">
      <c r="A445" s="38"/>
      <c r="B445" s="781">
        <v>0.45</v>
      </c>
      <c r="C445" s="778">
        <v>742</v>
      </c>
      <c r="D445" s="778">
        <v>795</v>
      </c>
      <c r="E445" s="778">
        <v>954</v>
      </c>
      <c r="F445" s="778">
        <v>1102</v>
      </c>
      <c r="G445" s="778">
        <v>1229</v>
      </c>
      <c r="H445" s="778">
        <v>29700</v>
      </c>
      <c r="I445" s="778">
        <v>33930</v>
      </c>
      <c r="J445" s="778">
        <v>38160</v>
      </c>
      <c r="K445" s="778">
        <v>42390</v>
      </c>
      <c r="L445" s="778">
        <v>45810</v>
      </c>
      <c r="M445" s="780">
        <v>49185</v>
      </c>
      <c r="N445" s="780">
        <v>52605</v>
      </c>
      <c r="O445" s="780">
        <v>55980</v>
      </c>
      <c r="P445" s="39"/>
      <c r="Q445" s="39"/>
    </row>
    <row r="446" spans="1:17">
      <c r="A446" s="38"/>
      <c r="B446" s="781">
        <v>0.4</v>
      </c>
      <c r="C446" s="778">
        <v>660</v>
      </c>
      <c r="D446" s="778">
        <v>707</v>
      </c>
      <c r="E446" s="778">
        <v>848</v>
      </c>
      <c r="F446" s="778">
        <v>980</v>
      </c>
      <c r="G446" s="778">
        <v>1093</v>
      </c>
      <c r="H446" s="778">
        <v>26400</v>
      </c>
      <c r="I446" s="778">
        <v>30160</v>
      </c>
      <c r="J446" s="778">
        <v>33920</v>
      </c>
      <c r="K446" s="778">
        <v>37680</v>
      </c>
      <c r="L446" s="778">
        <v>40720</v>
      </c>
      <c r="M446" s="780">
        <v>43720</v>
      </c>
      <c r="N446" s="780">
        <v>46760</v>
      </c>
      <c r="O446" s="780">
        <v>49760</v>
      </c>
      <c r="P446" s="39"/>
      <c r="Q446" s="39"/>
    </row>
    <row r="447" spans="1:17">
      <c r="A447" s="38"/>
      <c r="B447" s="522">
        <v>0.3</v>
      </c>
      <c r="C447" s="778">
        <v>495</v>
      </c>
      <c r="D447" s="778">
        <v>530</v>
      </c>
      <c r="E447" s="778">
        <v>636</v>
      </c>
      <c r="F447" s="778">
        <v>735</v>
      </c>
      <c r="G447" s="778">
        <v>819</v>
      </c>
      <c r="H447" s="779">
        <v>19800</v>
      </c>
      <c r="I447" s="779">
        <v>22620</v>
      </c>
      <c r="J447" s="779">
        <v>25440</v>
      </c>
      <c r="K447" s="779">
        <v>28260</v>
      </c>
      <c r="L447" s="779">
        <v>30540</v>
      </c>
      <c r="M447" s="779">
        <v>32790</v>
      </c>
      <c r="N447" s="779">
        <v>35070</v>
      </c>
      <c r="O447" s="779">
        <v>37320</v>
      </c>
      <c r="P447" s="39"/>
      <c r="Q447" s="39"/>
    </row>
    <row r="448" spans="1:17" ht="13.5" thickBot="1">
      <c r="A448" s="782"/>
      <c r="B448" s="40">
        <v>0.2</v>
      </c>
      <c r="C448" s="524">
        <v>330</v>
      </c>
      <c r="D448" s="524">
        <v>353</v>
      </c>
      <c r="E448" s="524">
        <v>424</v>
      </c>
      <c r="F448" s="524">
        <v>490</v>
      </c>
      <c r="G448" s="524">
        <v>546</v>
      </c>
      <c r="H448" s="525">
        <v>13200</v>
      </c>
      <c r="I448" s="525">
        <v>15080</v>
      </c>
      <c r="J448" s="525">
        <v>16960</v>
      </c>
      <c r="K448" s="525">
        <v>18840</v>
      </c>
      <c r="L448" s="525">
        <v>20360</v>
      </c>
      <c r="M448" s="525">
        <v>21860</v>
      </c>
      <c r="N448" s="525">
        <v>23380</v>
      </c>
      <c r="O448" s="525">
        <v>24880</v>
      </c>
      <c r="P448" s="41"/>
      <c r="Q448" s="41"/>
    </row>
    <row r="449" spans="1:17" ht="13.5" thickTop="1">
      <c r="A449" s="38"/>
      <c r="B449" s="37">
        <v>1.2</v>
      </c>
      <c r="C449" s="526">
        <v>1980</v>
      </c>
      <c r="D449" s="526">
        <v>2121</v>
      </c>
      <c r="E449" s="526">
        <v>2544</v>
      </c>
      <c r="F449" s="526">
        <v>2940</v>
      </c>
      <c r="G449" s="526">
        <v>3279</v>
      </c>
      <c r="H449" s="526">
        <v>79200</v>
      </c>
      <c r="I449" s="526">
        <v>90480</v>
      </c>
      <c r="J449" s="526">
        <v>101760</v>
      </c>
      <c r="K449" s="526">
        <v>113040</v>
      </c>
      <c r="L449" s="526">
        <v>122160</v>
      </c>
      <c r="M449" s="526">
        <v>131160</v>
      </c>
      <c r="N449" s="526">
        <v>140280</v>
      </c>
      <c r="O449" s="526">
        <v>149280</v>
      </c>
      <c r="P449" s="39"/>
      <c r="Q449" s="39"/>
    </row>
    <row r="450" spans="1:17">
      <c r="A450" s="38"/>
      <c r="B450" s="781">
        <v>1</v>
      </c>
      <c r="C450" s="778">
        <v>1650</v>
      </c>
      <c r="D450" s="778">
        <v>1767</v>
      </c>
      <c r="E450" s="778">
        <v>2120</v>
      </c>
      <c r="F450" s="778">
        <v>2450</v>
      </c>
      <c r="G450" s="778">
        <v>2732</v>
      </c>
      <c r="H450" s="778">
        <v>66000</v>
      </c>
      <c r="I450" s="778">
        <v>75400</v>
      </c>
      <c r="J450" s="778">
        <v>84800</v>
      </c>
      <c r="K450" s="778">
        <v>94200</v>
      </c>
      <c r="L450" s="778">
        <v>101800</v>
      </c>
      <c r="M450" s="778">
        <v>109300</v>
      </c>
      <c r="N450" s="778">
        <v>116900</v>
      </c>
      <c r="O450" s="778">
        <v>124400</v>
      </c>
      <c r="P450" s="39"/>
      <c r="Q450" s="39"/>
    </row>
    <row r="451" spans="1:17">
      <c r="A451" s="38" t="s">
        <v>1305</v>
      </c>
      <c r="B451" s="781">
        <v>0.8</v>
      </c>
      <c r="C451" s="778">
        <v>1320</v>
      </c>
      <c r="D451" s="778">
        <v>1414</v>
      </c>
      <c r="E451" s="778">
        <v>1696</v>
      </c>
      <c r="F451" s="778">
        <v>1960</v>
      </c>
      <c r="G451" s="778">
        <v>2186</v>
      </c>
      <c r="H451" s="779">
        <v>52800</v>
      </c>
      <c r="I451" s="779">
        <v>60320</v>
      </c>
      <c r="J451" s="779">
        <v>67840</v>
      </c>
      <c r="K451" s="779">
        <v>75360</v>
      </c>
      <c r="L451" s="779">
        <v>81440</v>
      </c>
      <c r="M451" s="779">
        <v>87440</v>
      </c>
      <c r="N451" s="779">
        <v>93520</v>
      </c>
      <c r="O451" s="779">
        <v>99520</v>
      </c>
      <c r="P451" s="39"/>
      <c r="Q451" s="39"/>
    </row>
    <row r="452" spans="1:17">
      <c r="A452" s="38"/>
      <c r="B452" s="781">
        <v>0.7</v>
      </c>
      <c r="C452" s="778">
        <v>1155</v>
      </c>
      <c r="D452" s="778">
        <v>1237</v>
      </c>
      <c r="E452" s="778">
        <v>1484</v>
      </c>
      <c r="F452" s="778">
        <v>1715</v>
      </c>
      <c r="G452" s="778">
        <v>1912</v>
      </c>
      <c r="H452" s="779">
        <v>46200</v>
      </c>
      <c r="I452" s="779">
        <v>52780</v>
      </c>
      <c r="J452" s="779">
        <v>59359.999999999993</v>
      </c>
      <c r="K452" s="779">
        <v>65940</v>
      </c>
      <c r="L452" s="779">
        <v>71260</v>
      </c>
      <c r="M452" s="779">
        <v>76510</v>
      </c>
      <c r="N452" s="779">
        <v>81830</v>
      </c>
      <c r="O452" s="779">
        <v>87080</v>
      </c>
      <c r="P452" s="39"/>
      <c r="Q452" s="39"/>
    </row>
    <row r="453" spans="1:17">
      <c r="A453" s="38"/>
      <c r="B453" s="781">
        <v>0.6</v>
      </c>
      <c r="C453" s="778">
        <v>990</v>
      </c>
      <c r="D453" s="778">
        <v>1060</v>
      </c>
      <c r="E453" s="778">
        <v>1272</v>
      </c>
      <c r="F453" s="778">
        <v>1470</v>
      </c>
      <c r="G453" s="778">
        <v>1639</v>
      </c>
      <c r="H453" s="778">
        <v>39600</v>
      </c>
      <c r="I453" s="778">
        <v>45240</v>
      </c>
      <c r="J453" s="778">
        <v>50880</v>
      </c>
      <c r="K453" s="778">
        <v>56520</v>
      </c>
      <c r="L453" s="778">
        <v>61080</v>
      </c>
      <c r="M453" s="780">
        <v>65580</v>
      </c>
      <c r="N453" s="780">
        <v>70140</v>
      </c>
      <c r="O453" s="780">
        <v>74640</v>
      </c>
      <c r="P453" s="39"/>
      <c r="Q453" s="39"/>
    </row>
    <row r="454" spans="1:17">
      <c r="A454" s="38"/>
      <c r="B454" s="781">
        <v>0.55000000000000004</v>
      </c>
      <c r="C454" s="778">
        <v>907</v>
      </c>
      <c r="D454" s="778">
        <v>972</v>
      </c>
      <c r="E454" s="778">
        <v>1166</v>
      </c>
      <c r="F454" s="778">
        <v>1347</v>
      </c>
      <c r="G454" s="778">
        <v>1502</v>
      </c>
      <c r="H454" s="778">
        <v>36300</v>
      </c>
      <c r="I454" s="778">
        <v>41470</v>
      </c>
      <c r="J454" s="778">
        <v>46640.000000000007</v>
      </c>
      <c r="K454" s="778">
        <v>51810.000000000007</v>
      </c>
      <c r="L454" s="778">
        <v>55990.000000000007</v>
      </c>
      <c r="M454" s="778">
        <v>60115.000000000007</v>
      </c>
      <c r="N454" s="778">
        <v>64295.000000000007</v>
      </c>
      <c r="O454" s="778">
        <v>68420</v>
      </c>
      <c r="P454" s="39"/>
      <c r="Q454" s="39"/>
    </row>
    <row r="455" spans="1:17">
      <c r="A455" s="38"/>
      <c r="B455" s="781">
        <v>0.5</v>
      </c>
      <c r="C455" s="778">
        <v>825</v>
      </c>
      <c r="D455" s="778">
        <v>883</v>
      </c>
      <c r="E455" s="778">
        <v>1060</v>
      </c>
      <c r="F455" s="778">
        <v>1225</v>
      </c>
      <c r="G455" s="778">
        <v>1366</v>
      </c>
      <c r="H455" s="779">
        <v>33000</v>
      </c>
      <c r="I455" s="779">
        <v>37700</v>
      </c>
      <c r="J455" s="779">
        <v>42400</v>
      </c>
      <c r="K455" s="779">
        <v>47100</v>
      </c>
      <c r="L455" s="779">
        <v>50900</v>
      </c>
      <c r="M455" s="779">
        <v>54650</v>
      </c>
      <c r="N455" s="779">
        <v>58450</v>
      </c>
      <c r="O455" s="779">
        <v>62200</v>
      </c>
      <c r="P455" s="39"/>
      <c r="Q455" s="39"/>
    </row>
    <row r="456" spans="1:17">
      <c r="A456" s="38"/>
      <c r="B456" s="781">
        <v>0.45</v>
      </c>
      <c r="C456" s="778">
        <v>742</v>
      </c>
      <c r="D456" s="778">
        <v>795</v>
      </c>
      <c r="E456" s="778">
        <v>954</v>
      </c>
      <c r="F456" s="778">
        <v>1102</v>
      </c>
      <c r="G456" s="778">
        <v>1229</v>
      </c>
      <c r="H456" s="778">
        <v>29700</v>
      </c>
      <c r="I456" s="778">
        <v>33930</v>
      </c>
      <c r="J456" s="778">
        <v>38160</v>
      </c>
      <c r="K456" s="778">
        <v>42390</v>
      </c>
      <c r="L456" s="778">
        <v>45810</v>
      </c>
      <c r="M456" s="780">
        <v>49185</v>
      </c>
      <c r="N456" s="780">
        <v>52605</v>
      </c>
      <c r="O456" s="780">
        <v>55980</v>
      </c>
      <c r="P456" s="39"/>
      <c r="Q456" s="39"/>
    </row>
    <row r="457" spans="1:17">
      <c r="A457" s="38"/>
      <c r="B457" s="781">
        <v>0.4</v>
      </c>
      <c r="C457" s="778">
        <v>660</v>
      </c>
      <c r="D457" s="778">
        <v>707</v>
      </c>
      <c r="E457" s="778">
        <v>848</v>
      </c>
      <c r="F457" s="778">
        <v>980</v>
      </c>
      <c r="G457" s="778">
        <v>1093</v>
      </c>
      <c r="H457" s="778">
        <v>26400</v>
      </c>
      <c r="I457" s="778">
        <v>30160</v>
      </c>
      <c r="J457" s="778">
        <v>33920</v>
      </c>
      <c r="K457" s="778">
        <v>37680</v>
      </c>
      <c r="L457" s="778">
        <v>40720</v>
      </c>
      <c r="M457" s="780">
        <v>43720</v>
      </c>
      <c r="N457" s="780">
        <v>46760</v>
      </c>
      <c r="O457" s="780">
        <v>49760</v>
      </c>
      <c r="P457" s="39"/>
      <c r="Q457" s="39"/>
    </row>
    <row r="458" spans="1:17">
      <c r="A458" s="38"/>
      <c r="B458" s="522">
        <v>0.3</v>
      </c>
      <c r="C458" s="778">
        <v>495</v>
      </c>
      <c r="D458" s="778">
        <v>530</v>
      </c>
      <c r="E458" s="778">
        <v>636</v>
      </c>
      <c r="F458" s="778">
        <v>735</v>
      </c>
      <c r="G458" s="778">
        <v>819</v>
      </c>
      <c r="H458" s="779">
        <v>19800</v>
      </c>
      <c r="I458" s="779">
        <v>22620</v>
      </c>
      <c r="J458" s="779">
        <v>25440</v>
      </c>
      <c r="K458" s="779">
        <v>28260</v>
      </c>
      <c r="L458" s="779">
        <v>30540</v>
      </c>
      <c r="M458" s="779">
        <v>32790</v>
      </c>
      <c r="N458" s="779">
        <v>35070</v>
      </c>
      <c r="O458" s="779">
        <v>37320</v>
      </c>
      <c r="P458" s="39"/>
      <c r="Q458" s="39"/>
    </row>
    <row r="459" spans="1:17" ht="13.5" thickBot="1">
      <c r="A459" s="782"/>
      <c r="B459" s="40">
        <v>0.2</v>
      </c>
      <c r="C459" s="524">
        <v>330</v>
      </c>
      <c r="D459" s="524">
        <v>353</v>
      </c>
      <c r="E459" s="524">
        <v>424</v>
      </c>
      <c r="F459" s="524">
        <v>490</v>
      </c>
      <c r="G459" s="524">
        <v>546</v>
      </c>
      <c r="H459" s="525">
        <v>13200</v>
      </c>
      <c r="I459" s="525">
        <v>15080</v>
      </c>
      <c r="J459" s="525">
        <v>16960</v>
      </c>
      <c r="K459" s="525">
        <v>18840</v>
      </c>
      <c r="L459" s="525">
        <v>20360</v>
      </c>
      <c r="M459" s="525">
        <v>21860</v>
      </c>
      <c r="N459" s="525">
        <v>23380</v>
      </c>
      <c r="O459" s="525">
        <v>24880</v>
      </c>
      <c r="P459" s="45"/>
      <c r="Q459" s="45"/>
    </row>
    <row r="460" spans="1:17" ht="13.5" thickTop="1">
      <c r="A460" s="38"/>
      <c r="B460" s="37">
        <v>1.2</v>
      </c>
      <c r="C460" s="526">
        <v>1980</v>
      </c>
      <c r="D460" s="526">
        <v>2121</v>
      </c>
      <c r="E460" s="526">
        <v>2544</v>
      </c>
      <c r="F460" s="526">
        <v>2940</v>
      </c>
      <c r="G460" s="526">
        <v>3279</v>
      </c>
      <c r="H460" s="526">
        <v>79200</v>
      </c>
      <c r="I460" s="526">
        <v>90480</v>
      </c>
      <c r="J460" s="526">
        <v>101760</v>
      </c>
      <c r="K460" s="526">
        <v>113040</v>
      </c>
      <c r="L460" s="526">
        <v>122160</v>
      </c>
      <c r="M460" s="526">
        <v>131160</v>
      </c>
      <c r="N460" s="526">
        <v>140280</v>
      </c>
      <c r="O460" s="526">
        <v>149280</v>
      </c>
      <c r="P460" s="39"/>
      <c r="Q460" s="39"/>
    </row>
    <row r="461" spans="1:17">
      <c r="A461" s="38"/>
      <c r="B461" s="781">
        <v>1</v>
      </c>
      <c r="C461" s="778">
        <v>1650</v>
      </c>
      <c r="D461" s="778">
        <v>1767</v>
      </c>
      <c r="E461" s="778">
        <v>2120</v>
      </c>
      <c r="F461" s="778">
        <v>2450</v>
      </c>
      <c r="G461" s="778">
        <v>2732</v>
      </c>
      <c r="H461" s="778">
        <v>66000</v>
      </c>
      <c r="I461" s="778">
        <v>75400</v>
      </c>
      <c r="J461" s="778">
        <v>84800</v>
      </c>
      <c r="K461" s="778">
        <v>94200</v>
      </c>
      <c r="L461" s="778">
        <v>101800</v>
      </c>
      <c r="M461" s="778">
        <v>109300</v>
      </c>
      <c r="N461" s="778">
        <v>116900</v>
      </c>
      <c r="O461" s="778">
        <v>124400</v>
      </c>
      <c r="P461" s="39"/>
      <c r="Q461" s="39"/>
    </row>
    <row r="462" spans="1:17">
      <c r="A462" s="38" t="s">
        <v>1306</v>
      </c>
      <c r="B462" s="781">
        <v>0.8</v>
      </c>
      <c r="C462" s="778">
        <v>1320</v>
      </c>
      <c r="D462" s="778">
        <v>1414</v>
      </c>
      <c r="E462" s="778">
        <v>1696</v>
      </c>
      <c r="F462" s="778">
        <v>1960</v>
      </c>
      <c r="G462" s="778">
        <v>2186</v>
      </c>
      <c r="H462" s="779">
        <v>52800</v>
      </c>
      <c r="I462" s="779">
        <v>60320</v>
      </c>
      <c r="J462" s="779">
        <v>67840</v>
      </c>
      <c r="K462" s="779">
        <v>75360</v>
      </c>
      <c r="L462" s="779">
        <v>81440</v>
      </c>
      <c r="M462" s="779">
        <v>87440</v>
      </c>
      <c r="N462" s="779">
        <v>93520</v>
      </c>
      <c r="O462" s="779">
        <v>99520</v>
      </c>
      <c r="P462" s="39"/>
      <c r="Q462" s="39"/>
    </row>
    <row r="463" spans="1:17">
      <c r="A463" s="38"/>
      <c r="B463" s="781">
        <v>0.7</v>
      </c>
      <c r="C463" s="778">
        <v>1155</v>
      </c>
      <c r="D463" s="778">
        <v>1237</v>
      </c>
      <c r="E463" s="778">
        <v>1484</v>
      </c>
      <c r="F463" s="778">
        <v>1715</v>
      </c>
      <c r="G463" s="778">
        <v>1912</v>
      </c>
      <c r="H463" s="779">
        <v>46200</v>
      </c>
      <c r="I463" s="779">
        <v>52780</v>
      </c>
      <c r="J463" s="779">
        <v>59359.999999999993</v>
      </c>
      <c r="K463" s="779">
        <v>65940</v>
      </c>
      <c r="L463" s="779">
        <v>71260</v>
      </c>
      <c r="M463" s="779">
        <v>76510</v>
      </c>
      <c r="N463" s="779">
        <v>81830</v>
      </c>
      <c r="O463" s="779">
        <v>87080</v>
      </c>
      <c r="P463" s="39"/>
      <c r="Q463" s="39"/>
    </row>
    <row r="464" spans="1:17">
      <c r="A464" s="38"/>
      <c r="B464" s="781">
        <v>0.6</v>
      </c>
      <c r="C464" s="778">
        <v>990</v>
      </c>
      <c r="D464" s="778">
        <v>1060</v>
      </c>
      <c r="E464" s="778">
        <v>1272</v>
      </c>
      <c r="F464" s="778">
        <v>1470</v>
      </c>
      <c r="G464" s="778">
        <v>1639</v>
      </c>
      <c r="H464" s="778">
        <v>39600</v>
      </c>
      <c r="I464" s="778">
        <v>45240</v>
      </c>
      <c r="J464" s="778">
        <v>50880</v>
      </c>
      <c r="K464" s="778">
        <v>56520</v>
      </c>
      <c r="L464" s="778">
        <v>61080</v>
      </c>
      <c r="M464" s="780">
        <v>65580</v>
      </c>
      <c r="N464" s="780">
        <v>70140</v>
      </c>
      <c r="O464" s="780">
        <v>74640</v>
      </c>
      <c r="P464" s="39"/>
      <c r="Q464" s="39"/>
    </row>
    <row r="465" spans="1:17">
      <c r="A465" s="38"/>
      <c r="B465" s="781">
        <v>0.55000000000000004</v>
      </c>
      <c r="C465" s="778">
        <v>907</v>
      </c>
      <c r="D465" s="778">
        <v>972</v>
      </c>
      <c r="E465" s="778">
        <v>1166</v>
      </c>
      <c r="F465" s="778">
        <v>1347</v>
      </c>
      <c r="G465" s="778">
        <v>1502</v>
      </c>
      <c r="H465" s="778">
        <v>36300</v>
      </c>
      <c r="I465" s="778">
        <v>41470</v>
      </c>
      <c r="J465" s="778">
        <v>46640.000000000007</v>
      </c>
      <c r="K465" s="778">
        <v>51810.000000000007</v>
      </c>
      <c r="L465" s="778">
        <v>55990.000000000007</v>
      </c>
      <c r="M465" s="778">
        <v>60115.000000000007</v>
      </c>
      <c r="N465" s="778">
        <v>64295.000000000007</v>
      </c>
      <c r="O465" s="778">
        <v>68420</v>
      </c>
      <c r="P465" s="39"/>
      <c r="Q465" s="39"/>
    </row>
    <row r="466" spans="1:17">
      <c r="A466" s="38"/>
      <c r="B466" s="781">
        <v>0.5</v>
      </c>
      <c r="C466" s="778">
        <v>825</v>
      </c>
      <c r="D466" s="778">
        <v>883</v>
      </c>
      <c r="E466" s="778">
        <v>1060</v>
      </c>
      <c r="F466" s="778">
        <v>1225</v>
      </c>
      <c r="G466" s="778">
        <v>1366</v>
      </c>
      <c r="H466" s="779">
        <v>33000</v>
      </c>
      <c r="I466" s="779">
        <v>37700</v>
      </c>
      <c r="J466" s="779">
        <v>42400</v>
      </c>
      <c r="K466" s="779">
        <v>47100</v>
      </c>
      <c r="L466" s="779">
        <v>50900</v>
      </c>
      <c r="M466" s="779">
        <v>54650</v>
      </c>
      <c r="N466" s="779">
        <v>58450</v>
      </c>
      <c r="O466" s="779">
        <v>62200</v>
      </c>
      <c r="P466" s="39"/>
      <c r="Q466" s="39"/>
    </row>
    <row r="467" spans="1:17">
      <c r="A467" s="38"/>
      <c r="B467" s="781">
        <v>0.45</v>
      </c>
      <c r="C467" s="778">
        <v>742</v>
      </c>
      <c r="D467" s="778">
        <v>795</v>
      </c>
      <c r="E467" s="778">
        <v>954</v>
      </c>
      <c r="F467" s="778">
        <v>1102</v>
      </c>
      <c r="G467" s="778">
        <v>1229</v>
      </c>
      <c r="H467" s="778">
        <v>29700</v>
      </c>
      <c r="I467" s="778">
        <v>33930</v>
      </c>
      <c r="J467" s="778">
        <v>38160</v>
      </c>
      <c r="K467" s="778">
        <v>42390</v>
      </c>
      <c r="L467" s="778">
        <v>45810</v>
      </c>
      <c r="M467" s="780">
        <v>49185</v>
      </c>
      <c r="N467" s="780">
        <v>52605</v>
      </c>
      <c r="O467" s="780">
        <v>55980</v>
      </c>
      <c r="P467" s="39"/>
      <c r="Q467" s="39"/>
    </row>
    <row r="468" spans="1:17">
      <c r="A468" s="38"/>
      <c r="B468" s="781">
        <v>0.4</v>
      </c>
      <c r="C468" s="778">
        <v>660</v>
      </c>
      <c r="D468" s="778">
        <v>707</v>
      </c>
      <c r="E468" s="778">
        <v>848</v>
      </c>
      <c r="F468" s="778">
        <v>980</v>
      </c>
      <c r="G468" s="778">
        <v>1093</v>
      </c>
      <c r="H468" s="778">
        <v>26400</v>
      </c>
      <c r="I468" s="778">
        <v>30160</v>
      </c>
      <c r="J468" s="778">
        <v>33920</v>
      </c>
      <c r="K468" s="778">
        <v>37680</v>
      </c>
      <c r="L468" s="778">
        <v>40720</v>
      </c>
      <c r="M468" s="780">
        <v>43720</v>
      </c>
      <c r="N468" s="780">
        <v>46760</v>
      </c>
      <c r="O468" s="780">
        <v>49760</v>
      </c>
      <c r="P468" s="39"/>
      <c r="Q468" s="39"/>
    </row>
    <row r="469" spans="1:17">
      <c r="A469" s="38"/>
      <c r="B469" s="522">
        <v>0.3</v>
      </c>
      <c r="C469" s="778">
        <v>495</v>
      </c>
      <c r="D469" s="778">
        <v>530</v>
      </c>
      <c r="E469" s="778">
        <v>636</v>
      </c>
      <c r="F469" s="778">
        <v>735</v>
      </c>
      <c r="G469" s="778">
        <v>819</v>
      </c>
      <c r="H469" s="779">
        <v>19800</v>
      </c>
      <c r="I469" s="779">
        <v>22620</v>
      </c>
      <c r="J469" s="779">
        <v>25440</v>
      </c>
      <c r="K469" s="779">
        <v>28260</v>
      </c>
      <c r="L469" s="779">
        <v>30540</v>
      </c>
      <c r="M469" s="779">
        <v>32790</v>
      </c>
      <c r="N469" s="779">
        <v>35070</v>
      </c>
      <c r="O469" s="779">
        <v>37320</v>
      </c>
      <c r="P469" s="39"/>
      <c r="Q469" s="39"/>
    </row>
    <row r="470" spans="1:17" ht="13.5" thickBot="1">
      <c r="A470" s="782"/>
      <c r="B470" s="40">
        <v>0.2</v>
      </c>
      <c r="C470" s="524">
        <v>330</v>
      </c>
      <c r="D470" s="524">
        <v>353</v>
      </c>
      <c r="E470" s="524">
        <v>424</v>
      </c>
      <c r="F470" s="524">
        <v>490</v>
      </c>
      <c r="G470" s="524">
        <v>546</v>
      </c>
      <c r="H470" s="525">
        <v>13200</v>
      </c>
      <c r="I470" s="525">
        <v>15080</v>
      </c>
      <c r="J470" s="525">
        <v>16960</v>
      </c>
      <c r="K470" s="525">
        <v>18840</v>
      </c>
      <c r="L470" s="525">
        <v>20360</v>
      </c>
      <c r="M470" s="525">
        <v>21860</v>
      </c>
      <c r="N470" s="525">
        <v>23380</v>
      </c>
      <c r="O470" s="525">
        <v>24880</v>
      </c>
      <c r="P470" s="45"/>
      <c r="Q470" s="45"/>
    </row>
    <row r="471" spans="1:17" ht="13.5" thickTop="1">
      <c r="A471" s="38"/>
      <c r="B471" s="37">
        <v>1.2</v>
      </c>
      <c r="C471" s="526">
        <v>1980</v>
      </c>
      <c r="D471" s="526">
        <v>2121</v>
      </c>
      <c r="E471" s="526">
        <v>2544</v>
      </c>
      <c r="F471" s="526">
        <v>2940</v>
      </c>
      <c r="G471" s="526">
        <v>3279</v>
      </c>
      <c r="H471" s="526">
        <v>79200</v>
      </c>
      <c r="I471" s="526">
        <v>90480</v>
      </c>
      <c r="J471" s="526">
        <v>101760</v>
      </c>
      <c r="K471" s="526">
        <v>113040</v>
      </c>
      <c r="L471" s="526">
        <v>122160</v>
      </c>
      <c r="M471" s="526">
        <v>131160</v>
      </c>
      <c r="N471" s="526">
        <v>140280</v>
      </c>
      <c r="O471" s="526">
        <v>149280</v>
      </c>
      <c r="P471" s="41"/>
      <c r="Q471" s="41"/>
    </row>
    <row r="472" spans="1:17">
      <c r="A472" s="38"/>
      <c r="B472" s="781">
        <v>1</v>
      </c>
      <c r="C472" s="778">
        <v>1650</v>
      </c>
      <c r="D472" s="778">
        <v>1767</v>
      </c>
      <c r="E472" s="778">
        <v>2120</v>
      </c>
      <c r="F472" s="778">
        <v>2450</v>
      </c>
      <c r="G472" s="778">
        <v>2732</v>
      </c>
      <c r="H472" s="778">
        <v>66000</v>
      </c>
      <c r="I472" s="778">
        <v>75400</v>
      </c>
      <c r="J472" s="778">
        <v>84800</v>
      </c>
      <c r="K472" s="778">
        <v>94200</v>
      </c>
      <c r="L472" s="778">
        <v>101800</v>
      </c>
      <c r="M472" s="778">
        <v>109300</v>
      </c>
      <c r="N472" s="778">
        <v>116900</v>
      </c>
      <c r="O472" s="778">
        <v>124400</v>
      </c>
      <c r="P472" s="41"/>
      <c r="Q472" s="41"/>
    </row>
    <row r="473" spans="1:17">
      <c r="A473" s="38" t="s">
        <v>1307</v>
      </c>
      <c r="B473" s="781">
        <v>0.8</v>
      </c>
      <c r="C473" s="778">
        <v>1320</v>
      </c>
      <c r="D473" s="778">
        <v>1414</v>
      </c>
      <c r="E473" s="778">
        <v>1696</v>
      </c>
      <c r="F473" s="778">
        <v>1960</v>
      </c>
      <c r="G473" s="778">
        <v>2186</v>
      </c>
      <c r="H473" s="779">
        <v>52800</v>
      </c>
      <c r="I473" s="779">
        <v>60320</v>
      </c>
      <c r="J473" s="779">
        <v>67840</v>
      </c>
      <c r="K473" s="779">
        <v>75360</v>
      </c>
      <c r="L473" s="779">
        <v>81440</v>
      </c>
      <c r="M473" s="779">
        <v>87440</v>
      </c>
      <c r="N473" s="779">
        <v>93520</v>
      </c>
      <c r="O473" s="779">
        <v>99520</v>
      </c>
      <c r="P473" s="41"/>
      <c r="Q473" s="41"/>
    </row>
    <row r="474" spans="1:17">
      <c r="A474" s="38"/>
      <c r="B474" s="781">
        <v>0.7</v>
      </c>
      <c r="C474" s="778">
        <v>1155</v>
      </c>
      <c r="D474" s="778">
        <v>1237</v>
      </c>
      <c r="E474" s="778">
        <v>1484</v>
      </c>
      <c r="F474" s="778">
        <v>1715</v>
      </c>
      <c r="G474" s="778">
        <v>1912</v>
      </c>
      <c r="H474" s="779">
        <v>46200</v>
      </c>
      <c r="I474" s="779">
        <v>52780</v>
      </c>
      <c r="J474" s="779">
        <v>59359.999999999993</v>
      </c>
      <c r="K474" s="779">
        <v>65940</v>
      </c>
      <c r="L474" s="779">
        <v>71260</v>
      </c>
      <c r="M474" s="779">
        <v>76510</v>
      </c>
      <c r="N474" s="779">
        <v>81830</v>
      </c>
      <c r="O474" s="779">
        <v>87080</v>
      </c>
      <c r="P474" s="41"/>
      <c r="Q474" s="41"/>
    </row>
    <row r="475" spans="1:17">
      <c r="A475" s="38"/>
      <c r="B475" s="781">
        <v>0.6</v>
      </c>
      <c r="C475" s="778">
        <v>990</v>
      </c>
      <c r="D475" s="778">
        <v>1060</v>
      </c>
      <c r="E475" s="778">
        <v>1272</v>
      </c>
      <c r="F475" s="778">
        <v>1470</v>
      </c>
      <c r="G475" s="778">
        <v>1639</v>
      </c>
      <c r="H475" s="778">
        <v>39600</v>
      </c>
      <c r="I475" s="778">
        <v>45240</v>
      </c>
      <c r="J475" s="778">
        <v>50880</v>
      </c>
      <c r="K475" s="778">
        <v>56520</v>
      </c>
      <c r="L475" s="778">
        <v>61080</v>
      </c>
      <c r="M475" s="780">
        <v>65580</v>
      </c>
      <c r="N475" s="780">
        <v>70140</v>
      </c>
      <c r="O475" s="780">
        <v>74640</v>
      </c>
      <c r="P475" s="41"/>
      <c r="Q475" s="41"/>
    </row>
    <row r="476" spans="1:17">
      <c r="A476" s="38"/>
      <c r="B476" s="781">
        <v>0.55000000000000004</v>
      </c>
      <c r="C476" s="778">
        <v>907</v>
      </c>
      <c r="D476" s="778">
        <v>972</v>
      </c>
      <c r="E476" s="778">
        <v>1166</v>
      </c>
      <c r="F476" s="778">
        <v>1347</v>
      </c>
      <c r="G476" s="778">
        <v>1502</v>
      </c>
      <c r="H476" s="778">
        <v>36300</v>
      </c>
      <c r="I476" s="778">
        <v>41470</v>
      </c>
      <c r="J476" s="778">
        <v>46640.000000000007</v>
      </c>
      <c r="K476" s="778">
        <v>51810.000000000007</v>
      </c>
      <c r="L476" s="778">
        <v>55990.000000000007</v>
      </c>
      <c r="M476" s="778">
        <v>60115.000000000007</v>
      </c>
      <c r="N476" s="778">
        <v>64295.000000000007</v>
      </c>
      <c r="O476" s="778">
        <v>68420</v>
      </c>
      <c r="P476" s="41"/>
      <c r="Q476" s="41"/>
    </row>
    <row r="477" spans="1:17">
      <c r="A477" s="38"/>
      <c r="B477" s="781">
        <v>0.5</v>
      </c>
      <c r="C477" s="778">
        <v>825</v>
      </c>
      <c r="D477" s="778">
        <v>883</v>
      </c>
      <c r="E477" s="778">
        <v>1060</v>
      </c>
      <c r="F477" s="778">
        <v>1225</v>
      </c>
      <c r="G477" s="778">
        <v>1366</v>
      </c>
      <c r="H477" s="779">
        <v>33000</v>
      </c>
      <c r="I477" s="779">
        <v>37700</v>
      </c>
      <c r="J477" s="779">
        <v>42400</v>
      </c>
      <c r="K477" s="779">
        <v>47100</v>
      </c>
      <c r="L477" s="779">
        <v>50900</v>
      </c>
      <c r="M477" s="779">
        <v>54650</v>
      </c>
      <c r="N477" s="779">
        <v>58450</v>
      </c>
      <c r="O477" s="779">
        <v>62200</v>
      </c>
      <c r="P477" s="41"/>
      <c r="Q477" s="41"/>
    </row>
    <row r="478" spans="1:17">
      <c r="A478" s="38"/>
      <c r="B478" s="781">
        <v>0.45</v>
      </c>
      <c r="C478" s="778">
        <v>742</v>
      </c>
      <c r="D478" s="778">
        <v>795</v>
      </c>
      <c r="E478" s="778">
        <v>954</v>
      </c>
      <c r="F478" s="778">
        <v>1102</v>
      </c>
      <c r="G478" s="778">
        <v>1229</v>
      </c>
      <c r="H478" s="778">
        <v>29700</v>
      </c>
      <c r="I478" s="778">
        <v>33930</v>
      </c>
      <c r="J478" s="778">
        <v>38160</v>
      </c>
      <c r="K478" s="778">
        <v>42390</v>
      </c>
      <c r="L478" s="778">
        <v>45810</v>
      </c>
      <c r="M478" s="780">
        <v>49185</v>
      </c>
      <c r="N478" s="780">
        <v>52605</v>
      </c>
      <c r="O478" s="780">
        <v>55980</v>
      </c>
      <c r="P478" s="41"/>
      <c r="Q478" s="41"/>
    </row>
    <row r="479" spans="1:17">
      <c r="A479" s="38"/>
      <c r="B479" s="781">
        <v>0.4</v>
      </c>
      <c r="C479" s="778">
        <v>660</v>
      </c>
      <c r="D479" s="778">
        <v>707</v>
      </c>
      <c r="E479" s="778">
        <v>848</v>
      </c>
      <c r="F479" s="778">
        <v>980</v>
      </c>
      <c r="G479" s="778">
        <v>1093</v>
      </c>
      <c r="H479" s="778">
        <v>26400</v>
      </c>
      <c r="I479" s="778">
        <v>30160</v>
      </c>
      <c r="J479" s="778">
        <v>33920</v>
      </c>
      <c r="K479" s="778">
        <v>37680</v>
      </c>
      <c r="L479" s="778">
        <v>40720</v>
      </c>
      <c r="M479" s="780">
        <v>43720</v>
      </c>
      <c r="N479" s="780">
        <v>46760</v>
      </c>
      <c r="O479" s="780">
        <v>49760</v>
      </c>
      <c r="P479" s="41"/>
      <c r="Q479" s="41"/>
    </row>
    <row r="480" spans="1:17">
      <c r="A480" s="38"/>
      <c r="B480" s="522">
        <v>0.3</v>
      </c>
      <c r="C480" s="778">
        <v>495</v>
      </c>
      <c r="D480" s="778">
        <v>530</v>
      </c>
      <c r="E480" s="778">
        <v>636</v>
      </c>
      <c r="F480" s="778">
        <v>735</v>
      </c>
      <c r="G480" s="778">
        <v>819</v>
      </c>
      <c r="H480" s="779">
        <v>19800</v>
      </c>
      <c r="I480" s="779">
        <v>22620</v>
      </c>
      <c r="J480" s="779">
        <v>25440</v>
      </c>
      <c r="K480" s="779">
        <v>28260</v>
      </c>
      <c r="L480" s="779">
        <v>30540</v>
      </c>
      <c r="M480" s="779">
        <v>32790</v>
      </c>
      <c r="N480" s="779">
        <v>35070</v>
      </c>
      <c r="O480" s="779">
        <v>37320</v>
      </c>
      <c r="P480" s="41"/>
      <c r="Q480" s="41"/>
    </row>
    <row r="481" spans="1:17" ht="13.5" thickBot="1">
      <c r="A481" s="782"/>
      <c r="B481" s="40">
        <v>0.2</v>
      </c>
      <c r="C481" s="524">
        <v>330</v>
      </c>
      <c r="D481" s="524">
        <v>353</v>
      </c>
      <c r="E481" s="524">
        <v>424</v>
      </c>
      <c r="F481" s="524">
        <v>490</v>
      </c>
      <c r="G481" s="524">
        <v>546</v>
      </c>
      <c r="H481" s="525">
        <v>13200</v>
      </c>
      <c r="I481" s="525">
        <v>15080</v>
      </c>
      <c r="J481" s="525">
        <v>16960</v>
      </c>
      <c r="K481" s="525">
        <v>18840</v>
      </c>
      <c r="L481" s="525">
        <v>20360</v>
      </c>
      <c r="M481" s="525">
        <v>21860</v>
      </c>
      <c r="N481" s="525">
        <v>23380</v>
      </c>
      <c r="O481" s="525">
        <v>24880</v>
      </c>
      <c r="P481" s="41"/>
      <c r="Q481" s="41"/>
    </row>
    <row r="482" spans="1:17" ht="13.5" thickTop="1">
      <c r="A482" s="38"/>
      <c r="B482" s="37">
        <v>1.2</v>
      </c>
      <c r="C482" s="526">
        <v>1980</v>
      </c>
      <c r="D482" s="526">
        <v>2121</v>
      </c>
      <c r="E482" s="526">
        <v>2544</v>
      </c>
      <c r="F482" s="526">
        <v>2940</v>
      </c>
      <c r="G482" s="526">
        <v>3279</v>
      </c>
      <c r="H482" s="526">
        <v>79200</v>
      </c>
      <c r="I482" s="526">
        <v>90480</v>
      </c>
      <c r="J482" s="526">
        <v>101760</v>
      </c>
      <c r="K482" s="526">
        <v>113040</v>
      </c>
      <c r="L482" s="526">
        <v>122160</v>
      </c>
      <c r="M482" s="526">
        <v>131160</v>
      </c>
      <c r="N482" s="526">
        <v>140280</v>
      </c>
      <c r="O482" s="526">
        <v>149280</v>
      </c>
      <c r="P482" s="41"/>
      <c r="Q482" s="41"/>
    </row>
    <row r="483" spans="1:17">
      <c r="A483" s="38"/>
      <c r="B483" s="781">
        <v>1</v>
      </c>
      <c r="C483" s="778">
        <v>1650</v>
      </c>
      <c r="D483" s="778">
        <v>1767</v>
      </c>
      <c r="E483" s="778">
        <v>2120</v>
      </c>
      <c r="F483" s="778">
        <v>2450</v>
      </c>
      <c r="G483" s="778">
        <v>2732</v>
      </c>
      <c r="H483" s="778">
        <v>66000</v>
      </c>
      <c r="I483" s="778">
        <v>75400</v>
      </c>
      <c r="J483" s="778">
        <v>84800</v>
      </c>
      <c r="K483" s="778">
        <v>94200</v>
      </c>
      <c r="L483" s="778">
        <v>101800</v>
      </c>
      <c r="M483" s="778">
        <v>109300</v>
      </c>
      <c r="N483" s="778">
        <v>116900</v>
      </c>
      <c r="O483" s="778">
        <v>124400</v>
      </c>
      <c r="P483" s="41"/>
      <c r="Q483" s="41"/>
    </row>
    <row r="484" spans="1:17">
      <c r="A484" s="38" t="s">
        <v>1308</v>
      </c>
      <c r="B484" s="781">
        <v>0.8</v>
      </c>
      <c r="C484" s="778">
        <v>1320</v>
      </c>
      <c r="D484" s="778">
        <v>1414</v>
      </c>
      <c r="E484" s="778">
        <v>1696</v>
      </c>
      <c r="F484" s="778">
        <v>1960</v>
      </c>
      <c r="G484" s="778">
        <v>2186</v>
      </c>
      <c r="H484" s="779">
        <v>52800</v>
      </c>
      <c r="I484" s="779">
        <v>60320</v>
      </c>
      <c r="J484" s="779">
        <v>67840</v>
      </c>
      <c r="K484" s="779">
        <v>75360</v>
      </c>
      <c r="L484" s="779">
        <v>81440</v>
      </c>
      <c r="M484" s="779">
        <v>87440</v>
      </c>
      <c r="N484" s="779">
        <v>93520</v>
      </c>
      <c r="O484" s="779">
        <v>99520</v>
      </c>
      <c r="P484" s="41"/>
      <c r="Q484" s="41"/>
    </row>
    <row r="485" spans="1:17">
      <c r="A485" s="38"/>
      <c r="B485" s="781">
        <v>0.7</v>
      </c>
      <c r="C485" s="778">
        <v>1155</v>
      </c>
      <c r="D485" s="778">
        <v>1237</v>
      </c>
      <c r="E485" s="778">
        <v>1484</v>
      </c>
      <c r="F485" s="778">
        <v>1715</v>
      </c>
      <c r="G485" s="778">
        <v>1912</v>
      </c>
      <c r="H485" s="779">
        <v>46200</v>
      </c>
      <c r="I485" s="779">
        <v>52780</v>
      </c>
      <c r="J485" s="779">
        <v>59359.999999999993</v>
      </c>
      <c r="K485" s="779">
        <v>65940</v>
      </c>
      <c r="L485" s="779">
        <v>71260</v>
      </c>
      <c r="M485" s="779">
        <v>76510</v>
      </c>
      <c r="N485" s="779">
        <v>81830</v>
      </c>
      <c r="O485" s="779">
        <v>87080</v>
      </c>
      <c r="P485" s="41"/>
      <c r="Q485" s="41"/>
    </row>
    <row r="486" spans="1:17">
      <c r="A486" s="38"/>
      <c r="B486" s="781">
        <v>0.6</v>
      </c>
      <c r="C486" s="778">
        <v>990</v>
      </c>
      <c r="D486" s="778">
        <v>1060</v>
      </c>
      <c r="E486" s="778">
        <v>1272</v>
      </c>
      <c r="F486" s="778">
        <v>1470</v>
      </c>
      <c r="G486" s="778">
        <v>1639</v>
      </c>
      <c r="H486" s="778">
        <v>39600</v>
      </c>
      <c r="I486" s="778">
        <v>45240</v>
      </c>
      <c r="J486" s="778">
        <v>50880</v>
      </c>
      <c r="K486" s="778">
        <v>56520</v>
      </c>
      <c r="L486" s="778">
        <v>61080</v>
      </c>
      <c r="M486" s="780">
        <v>65580</v>
      </c>
      <c r="N486" s="780">
        <v>70140</v>
      </c>
      <c r="O486" s="780">
        <v>74640</v>
      </c>
      <c r="P486" s="41"/>
      <c r="Q486" s="41"/>
    </row>
    <row r="487" spans="1:17">
      <c r="A487" s="38"/>
      <c r="B487" s="781">
        <v>0.55000000000000004</v>
      </c>
      <c r="C487" s="778">
        <v>907</v>
      </c>
      <c r="D487" s="778">
        <v>972</v>
      </c>
      <c r="E487" s="778">
        <v>1166</v>
      </c>
      <c r="F487" s="778">
        <v>1347</v>
      </c>
      <c r="G487" s="778">
        <v>1502</v>
      </c>
      <c r="H487" s="778">
        <v>36300</v>
      </c>
      <c r="I487" s="778">
        <v>41470</v>
      </c>
      <c r="J487" s="778">
        <v>46640.000000000007</v>
      </c>
      <c r="K487" s="778">
        <v>51810.000000000007</v>
      </c>
      <c r="L487" s="778">
        <v>55990.000000000007</v>
      </c>
      <c r="M487" s="778">
        <v>60115.000000000007</v>
      </c>
      <c r="N487" s="778">
        <v>64295.000000000007</v>
      </c>
      <c r="O487" s="778">
        <v>68420</v>
      </c>
      <c r="P487" s="41"/>
      <c r="Q487" s="41"/>
    </row>
    <row r="488" spans="1:17">
      <c r="A488" s="38"/>
      <c r="B488" s="781">
        <v>0.5</v>
      </c>
      <c r="C488" s="778">
        <v>825</v>
      </c>
      <c r="D488" s="778">
        <v>883</v>
      </c>
      <c r="E488" s="778">
        <v>1060</v>
      </c>
      <c r="F488" s="778">
        <v>1225</v>
      </c>
      <c r="G488" s="778">
        <v>1366</v>
      </c>
      <c r="H488" s="779">
        <v>33000</v>
      </c>
      <c r="I488" s="779">
        <v>37700</v>
      </c>
      <c r="J488" s="779">
        <v>42400</v>
      </c>
      <c r="K488" s="779">
        <v>47100</v>
      </c>
      <c r="L488" s="779">
        <v>50900</v>
      </c>
      <c r="M488" s="779">
        <v>54650</v>
      </c>
      <c r="N488" s="779">
        <v>58450</v>
      </c>
      <c r="O488" s="779">
        <v>62200</v>
      </c>
      <c r="P488" s="41"/>
      <c r="Q488" s="41"/>
    </row>
    <row r="489" spans="1:17">
      <c r="A489" s="38"/>
      <c r="B489" s="781">
        <v>0.45</v>
      </c>
      <c r="C489" s="778">
        <v>742</v>
      </c>
      <c r="D489" s="778">
        <v>795</v>
      </c>
      <c r="E489" s="778">
        <v>954</v>
      </c>
      <c r="F489" s="778">
        <v>1102</v>
      </c>
      <c r="G489" s="778">
        <v>1229</v>
      </c>
      <c r="H489" s="778">
        <v>29700</v>
      </c>
      <c r="I489" s="778">
        <v>33930</v>
      </c>
      <c r="J489" s="778">
        <v>38160</v>
      </c>
      <c r="K489" s="778">
        <v>42390</v>
      </c>
      <c r="L489" s="778">
        <v>45810</v>
      </c>
      <c r="M489" s="780">
        <v>49185</v>
      </c>
      <c r="N489" s="780">
        <v>52605</v>
      </c>
      <c r="O489" s="780">
        <v>55980</v>
      </c>
      <c r="P489" s="41"/>
      <c r="Q489" s="41"/>
    </row>
    <row r="490" spans="1:17">
      <c r="A490" s="38"/>
      <c r="B490" s="781">
        <v>0.4</v>
      </c>
      <c r="C490" s="778">
        <v>660</v>
      </c>
      <c r="D490" s="778">
        <v>707</v>
      </c>
      <c r="E490" s="778">
        <v>848</v>
      </c>
      <c r="F490" s="778">
        <v>980</v>
      </c>
      <c r="G490" s="778">
        <v>1093</v>
      </c>
      <c r="H490" s="778">
        <v>26400</v>
      </c>
      <c r="I490" s="778">
        <v>30160</v>
      </c>
      <c r="J490" s="778">
        <v>33920</v>
      </c>
      <c r="K490" s="778">
        <v>37680</v>
      </c>
      <c r="L490" s="778">
        <v>40720</v>
      </c>
      <c r="M490" s="780">
        <v>43720</v>
      </c>
      <c r="N490" s="780">
        <v>46760</v>
      </c>
      <c r="O490" s="780">
        <v>49760</v>
      </c>
      <c r="P490" s="41"/>
      <c r="Q490" s="41"/>
    </row>
    <row r="491" spans="1:17">
      <c r="A491" s="38"/>
      <c r="B491" s="522">
        <v>0.3</v>
      </c>
      <c r="C491" s="778">
        <v>495</v>
      </c>
      <c r="D491" s="778">
        <v>530</v>
      </c>
      <c r="E491" s="778">
        <v>636</v>
      </c>
      <c r="F491" s="778">
        <v>735</v>
      </c>
      <c r="G491" s="778">
        <v>819</v>
      </c>
      <c r="H491" s="779">
        <v>19800</v>
      </c>
      <c r="I491" s="779">
        <v>22620</v>
      </c>
      <c r="J491" s="779">
        <v>25440</v>
      </c>
      <c r="K491" s="779">
        <v>28260</v>
      </c>
      <c r="L491" s="779">
        <v>30540</v>
      </c>
      <c r="M491" s="779">
        <v>32790</v>
      </c>
      <c r="N491" s="779">
        <v>35070</v>
      </c>
      <c r="O491" s="779">
        <v>37320</v>
      </c>
      <c r="P491" s="41"/>
      <c r="Q491" s="41"/>
    </row>
    <row r="492" spans="1:17" ht="13.5" thickBot="1">
      <c r="A492" s="782"/>
      <c r="B492" s="40">
        <v>0.2</v>
      </c>
      <c r="C492" s="524">
        <v>330</v>
      </c>
      <c r="D492" s="524">
        <v>353</v>
      </c>
      <c r="E492" s="524">
        <v>424</v>
      </c>
      <c r="F492" s="524">
        <v>490</v>
      </c>
      <c r="G492" s="524">
        <v>546</v>
      </c>
      <c r="H492" s="525">
        <v>13200</v>
      </c>
      <c r="I492" s="525">
        <v>15080</v>
      </c>
      <c r="J492" s="525">
        <v>16960</v>
      </c>
      <c r="K492" s="525">
        <v>18840</v>
      </c>
      <c r="L492" s="525">
        <v>20360</v>
      </c>
      <c r="M492" s="525">
        <v>21860</v>
      </c>
      <c r="N492" s="525">
        <v>23380</v>
      </c>
      <c r="O492" s="525">
        <v>24880</v>
      </c>
      <c r="P492" s="41"/>
      <c r="Q492" s="41"/>
    </row>
    <row r="493" spans="1:17" ht="13.5" thickTop="1">
      <c r="A493" s="38"/>
      <c r="B493" s="37">
        <v>1.2</v>
      </c>
      <c r="C493" s="526">
        <v>1980</v>
      </c>
      <c r="D493" s="526">
        <v>2121</v>
      </c>
      <c r="E493" s="526">
        <v>2544</v>
      </c>
      <c r="F493" s="526">
        <v>2940</v>
      </c>
      <c r="G493" s="526">
        <v>3279</v>
      </c>
      <c r="H493" s="526">
        <v>79200</v>
      </c>
      <c r="I493" s="526">
        <v>90480</v>
      </c>
      <c r="J493" s="526">
        <v>101760</v>
      </c>
      <c r="K493" s="526">
        <v>113040</v>
      </c>
      <c r="L493" s="526">
        <v>122160</v>
      </c>
      <c r="M493" s="526">
        <v>131160</v>
      </c>
      <c r="N493" s="526">
        <v>140280</v>
      </c>
      <c r="O493" s="526">
        <v>149280</v>
      </c>
      <c r="P493" s="41"/>
      <c r="Q493" s="41"/>
    </row>
    <row r="494" spans="1:17">
      <c r="A494" s="38"/>
      <c r="B494" s="781">
        <v>1</v>
      </c>
      <c r="C494" s="778">
        <v>1650</v>
      </c>
      <c r="D494" s="778">
        <v>1767</v>
      </c>
      <c r="E494" s="778">
        <v>2120</v>
      </c>
      <c r="F494" s="778">
        <v>2450</v>
      </c>
      <c r="G494" s="778">
        <v>2732</v>
      </c>
      <c r="H494" s="778">
        <v>66000</v>
      </c>
      <c r="I494" s="778">
        <v>75400</v>
      </c>
      <c r="J494" s="778">
        <v>84800</v>
      </c>
      <c r="K494" s="778">
        <v>94200</v>
      </c>
      <c r="L494" s="778">
        <v>101800</v>
      </c>
      <c r="M494" s="778">
        <v>109300</v>
      </c>
      <c r="N494" s="778">
        <v>116900</v>
      </c>
      <c r="O494" s="778">
        <v>124400</v>
      </c>
      <c r="P494" s="41"/>
      <c r="Q494" s="41"/>
    </row>
    <row r="495" spans="1:17">
      <c r="A495" s="38" t="s">
        <v>1309</v>
      </c>
      <c r="B495" s="781">
        <v>0.8</v>
      </c>
      <c r="C495" s="778">
        <v>1320</v>
      </c>
      <c r="D495" s="778">
        <v>1414</v>
      </c>
      <c r="E495" s="778">
        <v>1696</v>
      </c>
      <c r="F495" s="778">
        <v>1960</v>
      </c>
      <c r="G495" s="778">
        <v>2186</v>
      </c>
      <c r="H495" s="779">
        <v>52800</v>
      </c>
      <c r="I495" s="779">
        <v>60320</v>
      </c>
      <c r="J495" s="779">
        <v>67840</v>
      </c>
      <c r="K495" s="779">
        <v>75360</v>
      </c>
      <c r="L495" s="779">
        <v>81440</v>
      </c>
      <c r="M495" s="779">
        <v>87440</v>
      </c>
      <c r="N495" s="779">
        <v>93520</v>
      </c>
      <c r="O495" s="779">
        <v>99520</v>
      </c>
      <c r="P495" s="41"/>
      <c r="Q495" s="41"/>
    </row>
    <row r="496" spans="1:17">
      <c r="A496" s="38"/>
      <c r="B496" s="781">
        <v>0.7</v>
      </c>
      <c r="C496" s="778">
        <v>1155</v>
      </c>
      <c r="D496" s="778">
        <v>1237</v>
      </c>
      <c r="E496" s="778">
        <v>1484</v>
      </c>
      <c r="F496" s="778">
        <v>1715</v>
      </c>
      <c r="G496" s="778">
        <v>1912</v>
      </c>
      <c r="H496" s="779">
        <v>46200</v>
      </c>
      <c r="I496" s="779">
        <v>52780</v>
      </c>
      <c r="J496" s="779">
        <v>59359.999999999993</v>
      </c>
      <c r="K496" s="779">
        <v>65940</v>
      </c>
      <c r="L496" s="779">
        <v>71260</v>
      </c>
      <c r="M496" s="779">
        <v>76510</v>
      </c>
      <c r="N496" s="779">
        <v>81830</v>
      </c>
      <c r="O496" s="779">
        <v>87080</v>
      </c>
      <c r="P496" s="41"/>
      <c r="Q496" s="41"/>
    </row>
    <row r="497" spans="1:17">
      <c r="A497" s="38"/>
      <c r="B497" s="781">
        <v>0.6</v>
      </c>
      <c r="C497" s="778">
        <v>990</v>
      </c>
      <c r="D497" s="778">
        <v>1060</v>
      </c>
      <c r="E497" s="778">
        <v>1272</v>
      </c>
      <c r="F497" s="778">
        <v>1470</v>
      </c>
      <c r="G497" s="778">
        <v>1639</v>
      </c>
      <c r="H497" s="778">
        <v>39600</v>
      </c>
      <c r="I497" s="778">
        <v>45240</v>
      </c>
      <c r="J497" s="778">
        <v>50880</v>
      </c>
      <c r="K497" s="778">
        <v>56520</v>
      </c>
      <c r="L497" s="778">
        <v>61080</v>
      </c>
      <c r="M497" s="780">
        <v>65580</v>
      </c>
      <c r="N497" s="780">
        <v>70140</v>
      </c>
      <c r="O497" s="780">
        <v>74640</v>
      </c>
      <c r="P497" s="41"/>
      <c r="Q497" s="41"/>
    </row>
    <row r="498" spans="1:17">
      <c r="A498" s="38"/>
      <c r="B498" s="781">
        <v>0.55000000000000004</v>
      </c>
      <c r="C498" s="778">
        <v>907</v>
      </c>
      <c r="D498" s="778">
        <v>972</v>
      </c>
      <c r="E498" s="778">
        <v>1166</v>
      </c>
      <c r="F498" s="778">
        <v>1347</v>
      </c>
      <c r="G498" s="778">
        <v>1502</v>
      </c>
      <c r="H498" s="778">
        <v>36300</v>
      </c>
      <c r="I498" s="778">
        <v>41470</v>
      </c>
      <c r="J498" s="778">
        <v>46640.000000000007</v>
      </c>
      <c r="K498" s="778">
        <v>51810.000000000007</v>
      </c>
      <c r="L498" s="778">
        <v>55990.000000000007</v>
      </c>
      <c r="M498" s="778">
        <v>60115.000000000007</v>
      </c>
      <c r="N498" s="778">
        <v>64295.000000000007</v>
      </c>
      <c r="O498" s="778">
        <v>68420</v>
      </c>
      <c r="P498" s="41"/>
      <c r="Q498" s="41"/>
    </row>
    <row r="499" spans="1:17">
      <c r="A499" s="38"/>
      <c r="B499" s="781">
        <v>0.5</v>
      </c>
      <c r="C499" s="778">
        <v>825</v>
      </c>
      <c r="D499" s="778">
        <v>883</v>
      </c>
      <c r="E499" s="778">
        <v>1060</v>
      </c>
      <c r="F499" s="778">
        <v>1225</v>
      </c>
      <c r="G499" s="778">
        <v>1366</v>
      </c>
      <c r="H499" s="779">
        <v>33000</v>
      </c>
      <c r="I499" s="779">
        <v>37700</v>
      </c>
      <c r="J499" s="779">
        <v>42400</v>
      </c>
      <c r="K499" s="779">
        <v>47100</v>
      </c>
      <c r="L499" s="779">
        <v>50900</v>
      </c>
      <c r="M499" s="779">
        <v>54650</v>
      </c>
      <c r="N499" s="779">
        <v>58450</v>
      </c>
      <c r="O499" s="779">
        <v>62200</v>
      </c>
      <c r="P499" s="41"/>
      <c r="Q499" s="41"/>
    </row>
    <row r="500" spans="1:17">
      <c r="A500" s="38"/>
      <c r="B500" s="781">
        <v>0.45</v>
      </c>
      <c r="C500" s="778">
        <v>742</v>
      </c>
      <c r="D500" s="778">
        <v>795</v>
      </c>
      <c r="E500" s="778">
        <v>954</v>
      </c>
      <c r="F500" s="778">
        <v>1102</v>
      </c>
      <c r="G500" s="778">
        <v>1229</v>
      </c>
      <c r="H500" s="778">
        <v>29700</v>
      </c>
      <c r="I500" s="778">
        <v>33930</v>
      </c>
      <c r="J500" s="778">
        <v>38160</v>
      </c>
      <c r="K500" s="778">
        <v>42390</v>
      </c>
      <c r="L500" s="778">
        <v>45810</v>
      </c>
      <c r="M500" s="780">
        <v>49185</v>
      </c>
      <c r="N500" s="780">
        <v>52605</v>
      </c>
      <c r="O500" s="780">
        <v>55980</v>
      </c>
      <c r="P500" s="41"/>
      <c r="Q500" s="41"/>
    </row>
    <row r="501" spans="1:17">
      <c r="A501" s="38"/>
      <c r="B501" s="781">
        <v>0.4</v>
      </c>
      <c r="C501" s="778">
        <v>660</v>
      </c>
      <c r="D501" s="778">
        <v>707</v>
      </c>
      <c r="E501" s="778">
        <v>848</v>
      </c>
      <c r="F501" s="778">
        <v>980</v>
      </c>
      <c r="G501" s="778">
        <v>1093</v>
      </c>
      <c r="H501" s="778">
        <v>26400</v>
      </c>
      <c r="I501" s="778">
        <v>30160</v>
      </c>
      <c r="J501" s="778">
        <v>33920</v>
      </c>
      <c r="K501" s="778">
        <v>37680</v>
      </c>
      <c r="L501" s="778">
        <v>40720</v>
      </c>
      <c r="M501" s="780">
        <v>43720</v>
      </c>
      <c r="N501" s="780">
        <v>46760</v>
      </c>
      <c r="O501" s="780">
        <v>49760</v>
      </c>
      <c r="P501" s="41"/>
      <c r="Q501" s="41"/>
    </row>
    <row r="502" spans="1:17">
      <c r="A502" s="38"/>
      <c r="B502" s="522">
        <v>0.3</v>
      </c>
      <c r="C502" s="778">
        <v>495</v>
      </c>
      <c r="D502" s="778">
        <v>530</v>
      </c>
      <c r="E502" s="778">
        <v>636</v>
      </c>
      <c r="F502" s="778">
        <v>735</v>
      </c>
      <c r="G502" s="778">
        <v>819</v>
      </c>
      <c r="H502" s="779">
        <v>19800</v>
      </c>
      <c r="I502" s="779">
        <v>22620</v>
      </c>
      <c r="J502" s="779">
        <v>25440</v>
      </c>
      <c r="K502" s="779">
        <v>28260</v>
      </c>
      <c r="L502" s="779">
        <v>30540</v>
      </c>
      <c r="M502" s="779">
        <v>32790</v>
      </c>
      <c r="N502" s="779">
        <v>35070</v>
      </c>
      <c r="O502" s="779">
        <v>37320</v>
      </c>
      <c r="P502" s="41"/>
      <c r="Q502" s="41"/>
    </row>
    <row r="503" spans="1:17" ht="13.5" thickBot="1">
      <c r="A503" s="782"/>
      <c r="B503" s="40">
        <v>0.2</v>
      </c>
      <c r="C503" s="524">
        <v>330</v>
      </c>
      <c r="D503" s="524">
        <v>353</v>
      </c>
      <c r="E503" s="524">
        <v>424</v>
      </c>
      <c r="F503" s="524">
        <v>490</v>
      </c>
      <c r="G503" s="524">
        <v>546</v>
      </c>
      <c r="H503" s="525">
        <v>13200</v>
      </c>
      <c r="I503" s="525">
        <v>15080</v>
      </c>
      <c r="J503" s="525">
        <v>16960</v>
      </c>
      <c r="K503" s="525">
        <v>18840</v>
      </c>
      <c r="L503" s="525">
        <v>20360</v>
      </c>
      <c r="M503" s="525">
        <v>21860</v>
      </c>
      <c r="N503" s="525">
        <v>23380</v>
      </c>
      <c r="O503" s="525">
        <v>24880</v>
      </c>
      <c r="P503" s="41"/>
      <c r="Q503" s="41"/>
    </row>
    <row r="504" spans="1:17" ht="13.5" thickTop="1">
      <c r="A504" s="38"/>
      <c r="B504" s="37">
        <v>1.2</v>
      </c>
      <c r="C504" s="526">
        <v>1980</v>
      </c>
      <c r="D504" s="526">
        <v>2121</v>
      </c>
      <c r="E504" s="526">
        <v>2544</v>
      </c>
      <c r="F504" s="526">
        <v>2940</v>
      </c>
      <c r="G504" s="526">
        <v>3279</v>
      </c>
      <c r="H504" s="526">
        <v>79200</v>
      </c>
      <c r="I504" s="526">
        <v>90480</v>
      </c>
      <c r="J504" s="526">
        <v>101760</v>
      </c>
      <c r="K504" s="526">
        <v>113040</v>
      </c>
      <c r="L504" s="526">
        <v>122160</v>
      </c>
      <c r="M504" s="526">
        <v>131160</v>
      </c>
      <c r="N504" s="526">
        <v>140280</v>
      </c>
      <c r="O504" s="526">
        <v>149280</v>
      </c>
      <c r="P504" s="41"/>
      <c r="Q504" s="41"/>
    </row>
    <row r="505" spans="1:17">
      <c r="A505" s="38"/>
      <c r="B505" s="781">
        <v>1</v>
      </c>
      <c r="C505" s="778">
        <v>1650</v>
      </c>
      <c r="D505" s="778">
        <v>1767</v>
      </c>
      <c r="E505" s="778">
        <v>2120</v>
      </c>
      <c r="F505" s="778">
        <v>2450</v>
      </c>
      <c r="G505" s="778">
        <v>2732</v>
      </c>
      <c r="H505" s="778">
        <v>66000</v>
      </c>
      <c r="I505" s="778">
        <v>75400</v>
      </c>
      <c r="J505" s="778">
        <v>84800</v>
      </c>
      <c r="K505" s="778">
        <v>94200</v>
      </c>
      <c r="L505" s="778">
        <v>101800</v>
      </c>
      <c r="M505" s="778">
        <v>109300</v>
      </c>
      <c r="N505" s="778">
        <v>116900</v>
      </c>
      <c r="O505" s="778">
        <v>124400</v>
      </c>
      <c r="P505" s="41"/>
      <c r="Q505" s="41"/>
    </row>
    <row r="506" spans="1:17">
      <c r="A506" s="38" t="s">
        <v>1310</v>
      </c>
      <c r="B506" s="781">
        <v>0.8</v>
      </c>
      <c r="C506" s="778">
        <v>1320</v>
      </c>
      <c r="D506" s="778">
        <v>1414</v>
      </c>
      <c r="E506" s="778">
        <v>1696</v>
      </c>
      <c r="F506" s="778">
        <v>1960</v>
      </c>
      <c r="G506" s="778">
        <v>2186</v>
      </c>
      <c r="H506" s="779">
        <v>52800</v>
      </c>
      <c r="I506" s="779">
        <v>60320</v>
      </c>
      <c r="J506" s="779">
        <v>67840</v>
      </c>
      <c r="K506" s="779">
        <v>75360</v>
      </c>
      <c r="L506" s="779">
        <v>81440</v>
      </c>
      <c r="M506" s="779">
        <v>87440</v>
      </c>
      <c r="N506" s="779">
        <v>93520</v>
      </c>
      <c r="O506" s="779">
        <v>99520</v>
      </c>
      <c r="P506" s="41"/>
      <c r="Q506" s="41"/>
    </row>
    <row r="507" spans="1:17">
      <c r="A507" s="38"/>
      <c r="B507" s="781">
        <v>0.7</v>
      </c>
      <c r="C507" s="778">
        <v>1155</v>
      </c>
      <c r="D507" s="778">
        <v>1237</v>
      </c>
      <c r="E507" s="778">
        <v>1484</v>
      </c>
      <c r="F507" s="778">
        <v>1715</v>
      </c>
      <c r="G507" s="778">
        <v>1912</v>
      </c>
      <c r="H507" s="779">
        <v>46200</v>
      </c>
      <c r="I507" s="779">
        <v>52780</v>
      </c>
      <c r="J507" s="779">
        <v>59359.999999999993</v>
      </c>
      <c r="K507" s="779">
        <v>65940</v>
      </c>
      <c r="L507" s="779">
        <v>71260</v>
      </c>
      <c r="M507" s="779">
        <v>76510</v>
      </c>
      <c r="N507" s="779">
        <v>81830</v>
      </c>
      <c r="O507" s="779">
        <v>87080</v>
      </c>
      <c r="P507" s="41"/>
      <c r="Q507" s="41"/>
    </row>
    <row r="508" spans="1:17">
      <c r="A508" s="38"/>
      <c r="B508" s="781">
        <v>0.6</v>
      </c>
      <c r="C508" s="778">
        <v>990</v>
      </c>
      <c r="D508" s="778">
        <v>1060</v>
      </c>
      <c r="E508" s="778">
        <v>1272</v>
      </c>
      <c r="F508" s="778">
        <v>1470</v>
      </c>
      <c r="G508" s="778">
        <v>1639</v>
      </c>
      <c r="H508" s="778">
        <v>39600</v>
      </c>
      <c r="I508" s="778">
        <v>45240</v>
      </c>
      <c r="J508" s="778">
        <v>50880</v>
      </c>
      <c r="K508" s="778">
        <v>56520</v>
      </c>
      <c r="L508" s="778">
        <v>61080</v>
      </c>
      <c r="M508" s="780">
        <v>65580</v>
      </c>
      <c r="N508" s="780">
        <v>70140</v>
      </c>
      <c r="O508" s="780">
        <v>74640</v>
      </c>
      <c r="P508" s="41"/>
      <c r="Q508" s="41"/>
    </row>
    <row r="509" spans="1:17">
      <c r="A509" s="38"/>
      <c r="B509" s="781">
        <v>0.55000000000000004</v>
      </c>
      <c r="C509" s="778">
        <v>907</v>
      </c>
      <c r="D509" s="778">
        <v>972</v>
      </c>
      <c r="E509" s="778">
        <v>1166</v>
      </c>
      <c r="F509" s="778">
        <v>1347</v>
      </c>
      <c r="G509" s="778">
        <v>1502</v>
      </c>
      <c r="H509" s="778">
        <v>36300</v>
      </c>
      <c r="I509" s="778">
        <v>41470</v>
      </c>
      <c r="J509" s="778">
        <v>46640.000000000007</v>
      </c>
      <c r="K509" s="778">
        <v>51810.000000000007</v>
      </c>
      <c r="L509" s="778">
        <v>55990.000000000007</v>
      </c>
      <c r="M509" s="778">
        <v>60115.000000000007</v>
      </c>
      <c r="N509" s="778">
        <v>64295.000000000007</v>
      </c>
      <c r="O509" s="778">
        <v>68420</v>
      </c>
      <c r="P509" s="41"/>
      <c r="Q509" s="41"/>
    </row>
    <row r="510" spans="1:17">
      <c r="A510" s="38"/>
      <c r="B510" s="781">
        <v>0.5</v>
      </c>
      <c r="C510" s="778">
        <v>825</v>
      </c>
      <c r="D510" s="778">
        <v>883</v>
      </c>
      <c r="E510" s="778">
        <v>1060</v>
      </c>
      <c r="F510" s="778">
        <v>1225</v>
      </c>
      <c r="G510" s="778">
        <v>1366</v>
      </c>
      <c r="H510" s="779">
        <v>33000</v>
      </c>
      <c r="I510" s="779">
        <v>37700</v>
      </c>
      <c r="J510" s="779">
        <v>42400</v>
      </c>
      <c r="K510" s="779">
        <v>47100</v>
      </c>
      <c r="L510" s="779">
        <v>50900</v>
      </c>
      <c r="M510" s="779">
        <v>54650</v>
      </c>
      <c r="N510" s="779">
        <v>58450</v>
      </c>
      <c r="O510" s="779">
        <v>62200</v>
      </c>
      <c r="P510" s="41"/>
      <c r="Q510" s="41"/>
    </row>
    <row r="511" spans="1:17">
      <c r="A511" s="38"/>
      <c r="B511" s="781">
        <v>0.45</v>
      </c>
      <c r="C511" s="778">
        <v>742</v>
      </c>
      <c r="D511" s="778">
        <v>795</v>
      </c>
      <c r="E511" s="778">
        <v>954</v>
      </c>
      <c r="F511" s="778">
        <v>1102</v>
      </c>
      <c r="G511" s="778">
        <v>1229</v>
      </c>
      <c r="H511" s="778">
        <v>29700</v>
      </c>
      <c r="I511" s="778">
        <v>33930</v>
      </c>
      <c r="J511" s="778">
        <v>38160</v>
      </c>
      <c r="K511" s="778">
        <v>42390</v>
      </c>
      <c r="L511" s="778">
        <v>45810</v>
      </c>
      <c r="M511" s="780">
        <v>49185</v>
      </c>
      <c r="N511" s="780">
        <v>52605</v>
      </c>
      <c r="O511" s="780">
        <v>55980</v>
      </c>
      <c r="P511" s="41"/>
      <c r="Q511" s="41"/>
    </row>
    <row r="512" spans="1:17">
      <c r="A512" s="38"/>
      <c r="B512" s="781">
        <v>0.4</v>
      </c>
      <c r="C512" s="778">
        <v>660</v>
      </c>
      <c r="D512" s="778">
        <v>707</v>
      </c>
      <c r="E512" s="778">
        <v>848</v>
      </c>
      <c r="F512" s="778">
        <v>980</v>
      </c>
      <c r="G512" s="778">
        <v>1093</v>
      </c>
      <c r="H512" s="778">
        <v>26400</v>
      </c>
      <c r="I512" s="778">
        <v>30160</v>
      </c>
      <c r="J512" s="778">
        <v>33920</v>
      </c>
      <c r="K512" s="778">
        <v>37680</v>
      </c>
      <c r="L512" s="778">
        <v>40720</v>
      </c>
      <c r="M512" s="780">
        <v>43720</v>
      </c>
      <c r="N512" s="780">
        <v>46760</v>
      </c>
      <c r="O512" s="780">
        <v>49760</v>
      </c>
      <c r="P512" s="41"/>
      <c r="Q512" s="41"/>
    </row>
    <row r="513" spans="1:17">
      <c r="A513" s="38"/>
      <c r="B513" s="522">
        <v>0.3</v>
      </c>
      <c r="C513" s="778">
        <v>495</v>
      </c>
      <c r="D513" s="778">
        <v>530</v>
      </c>
      <c r="E513" s="778">
        <v>636</v>
      </c>
      <c r="F513" s="778">
        <v>735</v>
      </c>
      <c r="G513" s="778">
        <v>819</v>
      </c>
      <c r="H513" s="779">
        <v>19800</v>
      </c>
      <c r="I513" s="779">
        <v>22620</v>
      </c>
      <c r="J513" s="779">
        <v>25440</v>
      </c>
      <c r="K513" s="779">
        <v>28260</v>
      </c>
      <c r="L513" s="779">
        <v>30540</v>
      </c>
      <c r="M513" s="779">
        <v>32790</v>
      </c>
      <c r="N513" s="779">
        <v>35070</v>
      </c>
      <c r="O513" s="779">
        <v>37320</v>
      </c>
      <c r="P513" s="41"/>
      <c r="Q513" s="41"/>
    </row>
    <row r="514" spans="1:17" ht="13.5" thickBot="1">
      <c r="A514" s="782"/>
      <c r="B514" s="40">
        <v>0.2</v>
      </c>
      <c r="C514" s="524">
        <v>330</v>
      </c>
      <c r="D514" s="524">
        <v>353</v>
      </c>
      <c r="E514" s="524">
        <v>424</v>
      </c>
      <c r="F514" s="524">
        <v>490</v>
      </c>
      <c r="G514" s="524">
        <v>546</v>
      </c>
      <c r="H514" s="525">
        <v>13200</v>
      </c>
      <c r="I514" s="525">
        <v>15080</v>
      </c>
      <c r="J514" s="525">
        <v>16960</v>
      </c>
      <c r="K514" s="525">
        <v>18840</v>
      </c>
      <c r="L514" s="525">
        <v>20360</v>
      </c>
      <c r="M514" s="525">
        <v>21860</v>
      </c>
      <c r="N514" s="525">
        <v>23380</v>
      </c>
      <c r="O514" s="525">
        <v>24880</v>
      </c>
      <c r="P514" s="41"/>
      <c r="Q514" s="41"/>
    </row>
    <row r="515" spans="1:17" ht="13.5" thickTop="1">
      <c r="A515" s="38"/>
      <c r="B515" s="37">
        <v>1.2</v>
      </c>
      <c r="C515" s="526">
        <v>2151</v>
      </c>
      <c r="D515" s="526">
        <v>2304</v>
      </c>
      <c r="E515" s="526">
        <v>2763</v>
      </c>
      <c r="F515" s="526">
        <v>3195</v>
      </c>
      <c r="G515" s="526">
        <v>3564</v>
      </c>
      <c r="H515" s="526">
        <v>86040</v>
      </c>
      <c r="I515" s="526">
        <v>98280</v>
      </c>
      <c r="J515" s="526">
        <v>110520</v>
      </c>
      <c r="K515" s="526">
        <v>122880</v>
      </c>
      <c r="L515" s="526">
        <v>132720</v>
      </c>
      <c r="M515" s="526">
        <v>142560</v>
      </c>
      <c r="N515" s="526">
        <v>152400</v>
      </c>
      <c r="O515" s="526">
        <v>162120</v>
      </c>
      <c r="P515" s="39"/>
      <c r="Q515" s="39"/>
    </row>
    <row r="516" spans="1:17">
      <c r="A516" s="38"/>
      <c r="B516" s="781">
        <v>1</v>
      </c>
      <c r="C516" s="778">
        <v>1792</v>
      </c>
      <c r="D516" s="778">
        <v>1920</v>
      </c>
      <c r="E516" s="778">
        <v>2302</v>
      </c>
      <c r="F516" s="778">
        <v>2662</v>
      </c>
      <c r="G516" s="778">
        <v>2970</v>
      </c>
      <c r="H516" s="778">
        <v>71700</v>
      </c>
      <c r="I516" s="778">
        <v>81900</v>
      </c>
      <c r="J516" s="778">
        <v>92100</v>
      </c>
      <c r="K516" s="778">
        <v>102400</v>
      </c>
      <c r="L516" s="778">
        <v>110600</v>
      </c>
      <c r="M516" s="778">
        <v>118800</v>
      </c>
      <c r="N516" s="778">
        <v>127000</v>
      </c>
      <c r="O516" s="778">
        <v>135100</v>
      </c>
      <c r="P516" s="39"/>
      <c r="Q516" s="39"/>
    </row>
    <row r="517" spans="1:17">
      <c r="A517" s="38" t="s">
        <v>1311</v>
      </c>
      <c r="B517" s="781">
        <v>0.8</v>
      </c>
      <c r="C517" s="778">
        <v>1434</v>
      </c>
      <c r="D517" s="778">
        <v>1536</v>
      </c>
      <c r="E517" s="778">
        <v>1842</v>
      </c>
      <c r="F517" s="778">
        <v>2130</v>
      </c>
      <c r="G517" s="778">
        <v>2376</v>
      </c>
      <c r="H517" s="779">
        <v>57360</v>
      </c>
      <c r="I517" s="779">
        <v>65520</v>
      </c>
      <c r="J517" s="779">
        <v>73680</v>
      </c>
      <c r="K517" s="779">
        <v>81920</v>
      </c>
      <c r="L517" s="779">
        <v>88480</v>
      </c>
      <c r="M517" s="779">
        <v>95040</v>
      </c>
      <c r="N517" s="779">
        <v>101600</v>
      </c>
      <c r="O517" s="779">
        <v>108080</v>
      </c>
      <c r="P517" s="39"/>
      <c r="Q517" s="39"/>
    </row>
    <row r="518" spans="1:17">
      <c r="A518" s="38"/>
      <c r="B518" s="781">
        <v>0.7</v>
      </c>
      <c r="C518" s="778">
        <v>1254</v>
      </c>
      <c r="D518" s="778">
        <v>1344</v>
      </c>
      <c r="E518" s="778">
        <v>1611</v>
      </c>
      <c r="F518" s="778">
        <v>1863</v>
      </c>
      <c r="G518" s="778">
        <v>2079</v>
      </c>
      <c r="H518" s="779">
        <v>50190</v>
      </c>
      <c r="I518" s="779">
        <v>57330</v>
      </c>
      <c r="J518" s="779">
        <v>64469.999999999993</v>
      </c>
      <c r="K518" s="779">
        <v>71680</v>
      </c>
      <c r="L518" s="779">
        <v>77420</v>
      </c>
      <c r="M518" s="779">
        <v>83160</v>
      </c>
      <c r="N518" s="779">
        <v>88900</v>
      </c>
      <c r="O518" s="779">
        <v>94570</v>
      </c>
      <c r="P518" s="39"/>
      <c r="Q518" s="39"/>
    </row>
    <row r="519" spans="1:17">
      <c r="A519" s="38"/>
      <c r="B519" s="781">
        <v>0.6</v>
      </c>
      <c r="C519" s="778">
        <v>1075</v>
      </c>
      <c r="D519" s="778">
        <v>1152</v>
      </c>
      <c r="E519" s="778">
        <v>1381</v>
      </c>
      <c r="F519" s="778">
        <v>1597</v>
      </c>
      <c r="G519" s="778">
        <v>1782</v>
      </c>
      <c r="H519" s="778">
        <v>43020</v>
      </c>
      <c r="I519" s="778">
        <v>49140</v>
      </c>
      <c r="J519" s="778">
        <v>55260</v>
      </c>
      <c r="K519" s="778">
        <v>61440</v>
      </c>
      <c r="L519" s="778">
        <v>66360</v>
      </c>
      <c r="M519" s="780">
        <v>71280</v>
      </c>
      <c r="N519" s="780">
        <v>76200</v>
      </c>
      <c r="O519" s="780">
        <v>81060</v>
      </c>
      <c r="P519" s="39"/>
      <c r="Q519" s="39"/>
    </row>
    <row r="520" spans="1:17">
      <c r="A520" s="38"/>
      <c r="B520" s="781">
        <v>0.55000000000000004</v>
      </c>
      <c r="C520" s="778">
        <v>985</v>
      </c>
      <c r="D520" s="778">
        <v>1056</v>
      </c>
      <c r="E520" s="778">
        <v>1266</v>
      </c>
      <c r="F520" s="778">
        <v>1464</v>
      </c>
      <c r="G520" s="778">
        <v>1633</v>
      </c>
      <c r="H520" s="778">
        <v>39435</v>
      </c>
      <c r="I520" s="778">
        <v>45045</v>
      </c>
      <c r="J520" s="778">
        <v>50655.000000000007</v>
      </c>
      <c r="K520" s="778">
        <v>56320.000000000007</v>
      </c>
      <c r="L520" s="778">
        <v>60830.000000000007</v>
      </c>
      <c r="M520" s="778">
        <v>65340.000000000007</v>
      </c>
      <c r="N520" s="778">
        <v>69850</v>
      </c>
      <c r="O520" s="778">
        <v>74305</v>
      </c>
      <c r="P520" s="39"/>
      <c r="Q520" s="39"/>
    </row>
    <row r="521" spans="1:17">
      <c r="A521" s="38"/>
      <c r="B521" s="781">
        <v>0.5</v>
      </c>
      <c r="C521" s="778">
        <v>896</v>
      </c>
      <c r="D521" s="778">
        <v>960</v>
      </c>
      <c r="E521" s="778">
        <v>1151</v>
      </c>
      <c r="F521" s="778">
        <v>1331</v>
      </c>
      <c r="G521" s="778">
        <v>1485</v>
      </c>
      <c r="H521" s="779">
        <v>35850</v>
      </c>
      <c r="I521" s="779">
        <v>40950</v>
      </c>
      <c r="J521" s="779">
        <v>46050</v>
      </c>
      <c r="K521" s="779">
        <v>51200</v>
      </c>
      <c r="L521" s="779">
        <v>55300</v>
      </c>
      <c r="M521" s="779">
        <v>59400</v>
      </c>
      <c r="N521" s="779">
        <v>63500</v>
      </c>
      <c r="O521" s="779">
        <v>67550</v>
      </c>
      <c r="P521" s="39"/>
      <c r="Q521" s="39"/>
    </row>
    <row r="522" spans="1:17">
      <c r="A522" s="38"/>
      <c r="B522" s="781">
        <v>0.45</v>
      </c>
      <c r="C522" s="778">
        <v>806</v>
      </c>
      <c r="D522" s="778">
        <v>864</v>
      </c>
      <c r="E522" s="778">
        <v>1036</v>
      </c>
      <c r="F522" s="778">
        <v>1198</v>
      </c>
      <c r="G522" s="778">
        <v>1336</v>
      </c>
      <c r="H522" s="778">
        <v>32265</v>
      </c>
      <c r="I522" s="778">
        <v>36855</v>
      </c>
      <c r="J522" s="778">
        <v>41445</v>
      </c>
      <c r="K522" s="778">
        <v>46080</v>
      </c>
      <c r="L522" s="778">
        <v>49770</v>
      </c>
      <c r="M522" s="780">
        <v>53460</v>
      </c>
      <c r="N522" s="780">
        <v>57150</v>
      </c>
      <c r="O522" s="780">
        <v>60795</v>
      </c>
      <c r="P522" s="39"/>
      <c r="Q522" s="39"/>
    </row>
    <row r="523" spans="1:17">
      <c r="A523" s="38"/>
      <c r="B523" s="781">
        <v>0.4</v>
      </c>
      <c r="C523" s="778">
        <v>717</v>
      </c>
      <c r="D523" s="778">
        <v>768</v>
      </c>
      <c r="E523" s="778">
        <v>921</v>
      </c>
      <c r="F523" s="778">
        <v>1065</v>
      </c>
      <c r="G523" s="778">
        <v>1188</v>
      </c>
      <c r="H523" s="778">
        <v>28680</v>
      </c>
      <c r="I523" s="778">
        <v>32760</v>
      </c>
      <c r="J523" s="778">
        <v>36840</v>
      </c>
      <c r="K523" s="778">
        <v>40960</v>
      </c>
      <c r="L523" s="778">
        <v>44240</v>
      </c>
      <c r="M523" s="780">
        <v>47520</v>
      </c>
      <c r="N523" s="780">
        <v>50800</v>
      </c>
      <c r="O523" s="780">
        <v>54040</v>
      </c>
      <c r="P523" s="39"/>
      <c r="Q523" s="39"/>
    </row>
    <row r="524" spans="1:17">
      <c r="A524" s="38"/>
      <c r="B524" s="522">
        <v>0.3</v>
      </c>
      <c r="C524" s="778">
        <v>537</v>
      </c>
      <c r="D524" s="778">
        <v>576</v>
      </c>
      <c r="E524" s="778">
        <v>690</v>
      </c>
      <c r="F524" s="778">
        <v>798</v>
      </c>
      <c r="G524" s="778">
        <v>891</v>
      </c>
      <c r="H524" s="779">
        <v>21510</v>
      </c>
      <c r="I524" s="779">
        <v>24570</v>
      </c>
      <c r="J524" s="779">
        <v>27630</v>
      </c>
      <c r="K524" s="779">
        <v>30720</v>
      </c>
      <c r="L524" s="779">
        <v>33180</v>
      </c>
      <c r="M524" s="779">
        <v>35640</v>
      </c>
      <c r="N524" s="779">
        <v>38100</v>
      </c>
      <c r="O524" s="779">
        <v>40530</v>
      </c>
      <c r="P524" s="39"/>
      <c r="Q524" s="39"/>
    </row>
    <row r="525" spans="1:17" ht="13.5" thickBot="1">
      <c r="A525" s="782"/>
      <c r="B525" s="40">
        <v>0.2</v>
      </c>
      <c r="C525" s="524">
        <v>358</v>
      </c>
      <c r="D525" s="524">
        <v>384</v>
      </c>
      <c r="E525" s="524">
        <v>460</v>
      </c>
      <c r="F525" s="524">
        <v>532</v>
      </c>
      <c r="G525" s="524">
        <v>594</v>
      </c>
      <c r="H525" s="525">
        <v>14340</v>
      </c>
      <c r="I525" s="525">
        <v>16380</v>
      </c>
      <c r="J525" s="525">
        <v>18420</v>
      </c>
      <c r="K525" s="525">
        <v>20480</v>
      </c>
      <c r="L525" s="525">
        <v>22120</v>
      </c>
      <c r="M525" s="525">
        <v>23760</v>
      </c>
      <c r="N525" s="525">
        <v>25400</v>
      </c>
      <c r="O525" s="525">
        <v>27020</v>
      </c>
      <c r="P525" s="41"/>
      <c r="Q525" s="41"/>
    </row>
    <row r="526" spans="1:17" ht="13.5" thickTop="1">
      <c r="A526" s="38"/>
      <c r="B526" s="37">
        <v>1.2</v>
      </c>
      <c r="C526" s="526">
        <v>2739</v>
      </c>
      <c r="D526" s="526">
        <v>2935</v>
      </c>
      <c r="E526" s="526">
        <v>3522</v>
      </c>
      <c r="F526" s="526">
        <v>4069</v>
      </c>
      <c r="G526" s="526">
        <v>4539</v>
      </c>
      <c r="H526" s="526">
        <v>109560</v>
      </c>
      <c r="I526" s="526">
        <v>125280</v>
      </c>
      <c r="J526" s="526">
        <v>140880</v>
      </c>
      <c r="K526" s="526">
        <v>156480</v>
      </c>
      <c r="L526" s="526">
        <v>169080</v>
      </c>
      <c r="M526" s="526">
        <v>181560</v>
      </c>
      <c r="N526" s="526">
        <v>194040</v>
      </c>
      <c r="O526" s="526">
        <v>206640</v>
      </c>
      <c r="P526" s="39"/>
      <c r="Q526" s="39"/>
    </row>
    <row r="527" spans="1:17">
      <c r="A527" s="38"/>
      <c r="B527" s="781">
        <v>1</v>
      </c>
      <c r="C527" s="778">
        <v>2282</v>
      </c>
      <c r="D527" s="778">
        <v>2446</v>
      </c>
      <c r="E527" s="778">
        <v>2935</v>
      </c>
      <c r="F527" s="778">
        <v>3391</v>
      </c>
      <c r="G527" s="778">
        <v>3782</v>
      </c>
      <c r="H527" s="778">
        <v>91300</v>
      </c>
      <c r="I527" s="778">
        <v>104400</v>
      </c>
      <c r="J527" s="778">
        <v>117400</v>
      </c>
      <c r="K527" s="778">
        <v>130400</v>
      </c>
      <c r="L527" s="778">
        <v>140900</v>
      </c>
      <c r="M527" s="778">
        <v>151300</v>
      </c>
      <c r="N527" s="778">
        <v>161700</v>
      </c>
      <c r="O527" s="778">
        <v>172200</v>
      </c>
      <c r="P527" s="39"/>
      <c r="Q527" s="39"/>
    </row>
    <row r="528" spans="1:17">
      <c r="A528" s="38" t="s">
        <v>1312</v>
      </c>
      <c r="B528" s="781">
        <v>0.8</v>
      </c>
      <c r="C528" s="778">
        <v>1826</v>
      </c>
      <c r="D528" s="778">
        <v>1957</v>
      </c>
      <c r="E528" s="778">
        <v>2348</v>
      </c>
      <c r="F528" s="778">
        <v>2713</v>
      </c>
      <c r="G528" s="778">
        <v>3026</v>
      </c>
      <c r="H528" s="779">
        <v>73040</v>
      </c>
      <c r="I528" s="779">
        <v>83520</v>
      </c>
      <c r="J528" s="779">
        <v>93920</v>
      </c>
      <c r="K528" s="779">
        <v>104320</v>
      </c>
      <c r="L528" s="779">
        <v>112720</v>
      </c>
      <c r="M528" s="779">
        <v>121040</v>
      </c>
      <c r="N528" s="779">
        <v>129360</v>
      </c>
      <c r="O528" s="779">
        <v>137760</v>
      </c>
      <c r="P528" s="39"/>
      <c r="Q528" s="39"/>
    </row>
    <row r="529" spans="1:17">
      <c r="A529" s="38"/>
      <c r="B529" s="781">
        <v>0.7</v>
      </c>
      <c r="C529" s="778">
        <v>1597</v>
      </c>
      <c r="D529" s="778">
        <v>1712</v>
      </c>
      <c r="E529" s="778">
        <v>2054</v>
      </c>
      <c r="F529" s="778">
        <v>2373</v>
      </c>
      <c r="G529" s="778">
        <v>2647</v>
      </c>
      <c r="H529" s="779">
        <v>63909.999999999993</v>
      </c>
      <c r="I529" s="779">
        <v>73080</v>
      </c>
      <c r="J529" s="779">
        <v>82180</v>
      </c>
      <c r="K529" s="779">
        <v>91280</v>
      </c>
      <c r="L529" s="779">
        <v>98630</v>
      </c>
      <c r="M529" s="779">
        <v>105910</v>
      </c>
      <c r="N529" s="779">
        <v>113190</v>
      </c>
      <c r="O529" s="779">
        <v>120539.99999999999</v>
      </c>
      <c r="P529" s="39"/>
      <c r="Q529" s="39"/>
    </row>
    <row r="530" spans="1:17">
      <c r="A530" s="38"/>
      <c r="B530" s="781">
        <v>0.6</v>
      </c>
      <c r="C530" s="778">
        <v>1369</v>
      </c>
      <c r="D530" s="778">
        <v>1467</v>
      </c>
      <c r="E530" s="778">
        <v>1761</v>
      </c>
      <c r="F530" s="778">
        <v>2034</v>
      </c>
      <c r="G530" s="778">
        <v>2269</v>
      </c>
      <c r="H530" s="778">
        <v>54780</v>
      </c>
      <c r="I530" s="778">
        <v>62640</v>
      </c>
      <c r="J530" s="778">
        <v>70440</v>
      </c>
      <c r="K530" s="778">
        <v>78240</v>
      </c>
      <c r="L530" s="778">
        <v>84540</v>
      </c>
      <c r="M530" s="780">
        <v>90780</v>
      </c>
      <c r="N530" s="780">
        <v>97020</v>
      </c>
      <c r="O530" s="780">
        <v>103320</v>
      </c>
      <c r="P530" s="39"/>
      <c r="Q530" s="39"/>
    </row>
    <row r="531" spans="1:17">
      <c r="A531" s="38"/>
      <c r="B531" s="781">
        <v>0.55000000000000004</v>
      </c>
      <c r="C531" s="778">
        <v>1255</v>
      </c>
      <c r="D531" s="778">
        <v>1345</v>
      </c>
      <c r="E531" s="778">
        <v>1614</v>
      </c>
      <c r="F531" s="778">
        <v>1865</v>
      </c>
      <c r="G531" s="778">
        <v>2080</v>
      </c>
      <c r="H531" s="778">
        <v>50215.000000000007</v>
      </c>
      <c r="I531" s="778">
        <v>57420.000000000007</v>
      </c>
      <c r="J531" s="778">
        <v>64570.000000000007</v>
      </c>
      <c r="K531" s="778">
        <v>71720</v>
      </c>
      <c r="L531" s="778">
        <v>77495</v>
      </c>
      <c r="M531" s="778">
        <v>83215</v>
      </c>
      <c r="N531" s="778">
        <v>88935</v>
      </c>
      <c r="O531" s="778">
        <v>94710.000000000015</v>
      </c>
      <c r="P531" s="39"/>
      <c r="Q531" s="39"/>
    </row>
    <row r="532" spans="1:17">
      <c r="A532" s="38"/>
      <c r="B532" s="781">
        <v>0.5</v>
      </c>
      <c r="C532" s="778">
        <v>1141</v>
      </c>
      <c r="D532" s="778">
        <v>1223</v>
      </c>
      <c r="E532" s="778">
        <v>1467</v>
      </c>
      <c r="F532" s="778">
        <v>1695</v>
      </c>
      <c r="G532" s="778">
        <v>1891</v>
      </c>
      <c r="H532" s="779">
        <v>45650</v>
      </c>
      <c r="I532" s="779">
        <v>52200</v>
      </c>
      <c r="J532" s="779">
        <v>58700</v>
      </c>
      <c r="K532" s="779">
        <v>65200</v>
      </c>
      <c r="L532" s="779">
        <v>70450</v>
      </c>
      <c r="M532" s="779">
        <v>75650</v>
      </c>
      <c r="N532" s="779">
        <v>80850</v>
      </c>
      <c r="O532" s="779">
        <v>86100</v>
      </c>
      <c r="P532" s="39"/>
      <c r="Q532" s="39"/>
    </row>
    <row r="533" spans="1:17">
      <c r="A533" s="38"/>
      <c r="B533" s="781">
        <v>0.45</v>
      </c>
      <c r="C533" s="778">
        <v>1027</v>
      </c>
      <c r="D533" s="778">
        <v>1100</v>
      </c>
      <c r="E533" s="778">
        <v>1320</v>
      </c>
      <c r="F533" s="778">
        <v>1526</v>
      </c>
      <c r="G533" s="778">
        <v>1702</v>
      </c>
      <c r="H533" s="778">
        <v>41085</v>
      </c>
      <c r="I533" s="778">
        <v>46980</v>
      </c>
      <c r="J533" s="778">
        <v>52830</v>
      </c>
      <c r="K533" s="778">
        <v>58680</v>
      </c>
      <c r="L533" s="778">
        <v>63405</v>
      </c>
      <c r="M533" s="780">
        <v>68085</v>
      </c>
      <c r="N533" s="780">
        <v>72765</v>
      </c>
      <c r="O533" s="780">
        <v>77490</v>
      </c>
      <c r="P533" s="39"/>
      <c r="Q533" s="39"/>
    </row>
    <row r="534" spans="1:17">
      <c r="A534" s="38"/>
      <c r="B534" s="781">
        <v>0.4</v>
      </c>
      <c r="C534" s="778">
        <v>913</v>
      </c>
      <c r="D534" s="778">
        <v>978</v>
      </c>
      <c r="E534" s="778">
        <v>1174</v>
      </c>
      <c r="F534" s="778">
        <v>1356</v>
      </c>
      <c r="G534" s="778">
        <v>1513</v>
      </c>
      <c r="H534" s="778">
        <v>36520</v>
      </c>
      <c r="I534" s="778">
        <v>41760</v>
      </c>
      <c r="J534" s="778">
        <v>46960</v>
      </c>
      <c r="K534" s="778">
        <v>52160</v>
      </c>
      <c r="L534" s="778">
        <v>56360</v>
      </c>
      <c r="M534" s="780">
        <v>60520</v>
      </c>
      <c r="N534" s="780">
        <v>64680</v>
      </c>
      <c r="O534" s="780">
        <v>68880</v>
      </c>
      <c r="P534" s="39"/>
      <c r="Q534" s="39"/>
    </row>
    <row r="535" spans="1:17">
      <c r="A535" s="38"/>
      <c r="B535" s="522">
        <v>0.3</v>
      </c>
      <c r="C535" s="778">
        <v>684</v>
      </c>
      <c r="D535" s="778">
        <v>733</v>
      </c>
      <c r="E535" s="778">
        <v>880</v>
      </c>
      <c r="F535" s="778">
        <v>1017</v>
      </c>
      <c r="G535" s="778">
        <v>1134</v>
      </c>
      <c r="H535" s="779">
        <v>27390</v>
      </c>
      <c r="I535" s="779">
        <v>31320</v>
      </c>
      <c r="J535" s="779">
        <v>35220</v>
      </c>
      <c r="K535" s="779">
        <v>39120</v>
      </c>
      <c r="L535" s="779">
        <v>42270</v>
      </c>
      <c r="M535" s="779">
        <v>45390</v>
      </c>
      <c r="N535" s="779">
        <v>48510</v>
      </c>
      <c r="O535" s="779">
        <v>51660</v>
      </c>
      <c r="P535" s="39"/>
      <c r="Q535" s="39"/>
    </row>
    <row r="536" spans="1:17" ht="13.5" thickBot="1">
      <c r="A536" s="782"/>
      <c r="B536" s="40">
        <v>0.2</v>
      </c>
      <c r="C536" s="524">
        <v>456</v>
      </c>
      <c r="D536" s="524">
        <v>489</v>
      </c>
      <c r="E536" s="524">
        <v>587</v>
      </c>
      <c r="F536" s="524">
        <v>678</v>
      </c>
      <c r="G536" s="524">
        <v>756</v>
      </c>
      <c r="H536" s="525">
        <v>18260</v>
      </c>
      <c r="I536" s="525">
        <v>20880</v>
      </c>
      <c r="J536" s="525">
        <v>23480</v>
      </c>
      <c r="K536" s="525">
        <v>26080</v>
      </c>
      <c r="L536" s="525">
        <v>28180</v>
      </c>
      <c r="M536" s="525">
        <v>30260</v>
      </c>
      <c r="N536" s="525">
        <v>32340</v>
      </c>
      <c r="O536" s="525">
        <v>34440</v>
      </c>
      <c r="P536" s="45"/>
      <c r="Q536" s="45"/>
    </row>
    <row r="537" spans="1:17" ht="13.5" thickTop="1">
      <c r="A537" s="38"/>
      <c r="B537" s="37">
        <v>1.2</v>
      </c>
      <c r="C537" s="526">
        <v>1980</v>
      </c>
      <c r="D537" s="526">
        <v>2121</v>
      </c>
      <c r="E537" s="526">
        <v>2544</v>
      </c>
      <c r="F537" s="526">
        <v>2940</v>
      </c>
      <c r="G537" s="526">
        <v>3279</v>
      </c>
      <c r="H537" s="526">
        <v>79200</v>
      </c>
      <c r="I537" s="526">
        <v>90480</v>
      </c>
      <c r="J537" s="526">
        <v>101760</v>
      </c>
      <c r="K537" s="526">
        <v>113040</v>
      </c>
      <c r="L537" s="526">
        <v>122160</v>
      </c>
      <c r="M537" s="526">
        <v>131160</v>
      </c>
      <c r="N537" s="526">
        <v>140280</v>
      </c>
      <c r="O537" s="526">
        <v>149280</v>
      </c>
      <c r="P537" s="41"/>
      <c r="Q537" s="41"/>
    </row>
    <row r="538" spans="1:17">
      <c r="A538" s="38"/>
      <c r="B538" s="781">
        <v>1</v>
      </c>
      <c r="C538" s="778">
        <v>1650</v>
      </c>
      <c r="D538" s="778">
        <v>1767</v>
      </c>
      <c r="E538" s="778">
        <v>2120</v>
      </c>
      <c r="F538" s="778">
        <v>2450</v>
      </c>
      <c r="G538" s="778">
        <v>2732</v>
      </c>
      <c r="H538" s="778">
        <v>66000</v>
      </c>
      <c r="I538" s="778">
        <v>75400</v>
      </c>
      <c r="J538" s="778">
        <v>84800</v>
      </c>
      <c r="K538" s="778">
        <v>94200</v>
      </c>
      <c r="L538" s="778">
        <v>101800</v>
      </c>
      <c r="M538" s="778">
        <v>109300</v>
      </c>
      <c r="N538" s="778">
        <v>116900</v>
      </c>
      <c r="O538" s="778">
        <v>124400</v>
      </c>
      <c r="P538" s="41"/>
      <c r="Q538" s="41"/>
    </row>
    <row r="539" spans="1:17">
      <c r="A539" s="38" t="s">
        <v>1313</v>
      </c>
      <c r="B539" s="781">
        <v>0.8</v>
      </c>
      <c r="C539" s="778">
        <v>1320</v>
      </c>
      <c r="D539" s="778">
        <v>1414</v>
      </c>
      <c r="E539" s="778">
        <v>1696</v>
      </c>
      <c r="F539" s="778">
        <v>1960</v>
      </c>
      <c r="G539" s="778">
        <v>2186</v>
      </c>
      <c r="H539" s="779">
        <v>52800</v>
      </c>
      <c r="I539" s="779">
        <v>60320</v>
      </c>
      <c r="J539" s="779">
        <v>67840</v>
      </c>
      <c r="K539" s="779">
        <v>75360</v>
      </c>
      <c r="L539" s="779">
        <v>81440</v>
      </c>
      <c r="M539" s="779">
        <v>87440</v>
      </c>
      <c r="N539" s="779">
        <v>93520</v>
      </c>
      <c r="O539" s="779">
        <v>99520</v>
      </c>
      <c r="P539" s="41"/>
      <c r="Q539" s="41"/>
    </row>
    <row r="540" spans="1:17">
      <c r="A540" s="38"/>
      <c r="B540" s="781">
        <v>0.7</v>
      </c>
      <c r="C540" s="778">
        <v>1155</v>
      </c>
      <c r="D540" s="778">
        <v>1237</v>
      </c>
      <c r="E540" s="778">
        <v>1484</v>
      </c>
      <c r="F540" s="778">
        <v>1715</v>
      </c>
      <c r="G540" s="778">
        <v>1912</v>
      </c>
      <c r="H540" s="779">
        <v>46200</v>
      </c>
      <c r="I540" s="779">
        <v>52780</v>
      </c>
      <c r="J540" s="779">
        <v>59359.999999999993</v>
      </c>
      <c r="K540" s="779">
        <v>65940</v>
      </c>
      <c r="L540" s="779">
        <v>71260</v>
      </c>
      <c r="M540" s="779">
        <v>76510</v>
      </c>
      <c r="N540" s="779">
        <v>81830</v>
      </c>
      <c r="O540" s="779">
        <v>87080</v>
      </c>
      <c r="P540" s="41"/>
      <c r="Q540" s="41"/>
    </row>
    <row r="541" spans="1:17">
      <c r="A541" s="38"/>
      <c r="B541" s="781">
        <v>0.6</v>
      </c>
      <c r="C541" s="778">
        <v>990</v>
      </c>
      <c r="D541" s="778">
        <v>1060</v>
      </c>
      <c r="E541" s="778">
        <v>1272</v>
      </c>
      <c r="F541" s="778">
        <v>1470</v>
      </c>
      <c r="G541" s="778">
        <v>1639</v>
      </c>
      <c r="H541" s="778">
        <v>39600</v>
      </c>
      <c r="I541" s="778">
        <v>45240</v>
      </c>
      <c r="J541" s="778">
        <v>50880</v>
      </c>
      <c r="K541" s="778">
        <v>56520</v>
      </c>
      <c r="L541" s="778">
        <v>61080</v>
      </c>
      <c r="M541" s="780">
        <v>65580</v>
      </c>
      <c r="N541" s="780">
        <v>70140</v>
      </c>
      <c r="O541" s="780">
        <v>74640</v>
      </c>
      <c r="P541" s="41"/>
      <c r="Q541" s="41"/>
    </row>
    <row r="542" spans="1:17">
      <c r="A542" s="38"/>
      <c r="B542" s="781">
        <v>0.55000000000000004</v>
      </c>
      <c r="C542" s="778">
        <v>907</v>
      </c>
      <c r="D542" s="778">
        <v>972</v>
      </c>
      <c r="E542" s="778">
        <v>1166</v>
      </c>
      <c r="F542" s="778">
        <v>1347</v>
      </c>
      <c r="G542" s="778">
        <v>1502</v>
      </c>
      <c r="H542" s="778">
        <v>36300</v>
      </c>
      <c r="I542" s="778">
        <v>41470</v>
      </c>
      <c r="J542" s="778">
        <v>46640.000000000007</v>
      </c>
      <c r="K542" s="778">
        <v>51810.000000000007</v>
      </c>
      <c r="L542" s="778">
        <v>55990.000000000007</v>
      </c>
      <c r="M542" s="778">
        <v>60115.000000000007</v>
      </c>
      <c r="N542" s="778">
        <v>64295.000000000007</v>
      </c>
      <c r="O542" s="778">
        <v>68420</v>
      </c>
      <c r="P542" s="41"/>
      <c r="Q542" s="41"/>
    </row>
    <row r="543" spans="1:17">
      <c r="A543" s="38"/>
      <c r="B543" s="781">
        <v>0.5</v>
      </c>
      <c r="C543" s="778">
        <v>825</v>
      </c>
      <c r="D543" s="778">
        <v>883</v>
      </c>
      <c r="E543" s="778">
        <v>1060</v>
      </c>
      <c r="F543" s="778">
        <v>1225</v>
      </c>
      <c r="G543" s="778">
        <v>1366</v>
      </c>
      <c r="H543" s="779">
        <v>33000</v>
      </c>
      <c r="I543" s="779">
        <v>37700</v>
      </c>
      <c r="J543" s="779">
        <v>42400</v>
      </c>
      <c r="K543" s="779">
        <v>47100</v>
      </c>
      <c r="L543" s="779">
        <v>50900</v>
      </c>
      <c r="M543" s="779">
        <v>54650</v>
      </c>
      <c r="N543" s="779">
        <v>58450</v>
      </c>
      <c r="O543" s="779">
        <v>62200</v>
      </c>
      <c r="P543" s="41"/>
      <c r="Q543" s="41"/>
    </row>
    <row r="544" spans="1:17">
      <c r="A544" s="38"/>
      <c r="B544" s="781">
        <v>0.45</v>
      </c>
      <c r="C544" s="778">
        <v>742</v>
      </c>
      <c r="D544" s="778">
        <v>795</v>
      </c>
      <c r="E544" s="778">
        <v>954</v>
      </c>
      <c r="F544" s="778">
        <v>1102</v>
      </c>
      <c r="G544" s="778">
        <v>1229</v>
      </c>
      <c r="H544" s="778">
        <v>29700</v>
      </c>
      <c r="I544" s="778">
        <v>33930</v>
      </c>
      <c r="J544" s="778">
        <v>38160</v>
      </c>
      <c r="K544" s="778">
        <v>42390</v>
      </c>
      <c r="L544" s="778">
        <v>45810</v>
      </c>
      <c r="M544" s="780">
        <v>49185</v>
      </c>
      <c r="N544" s="780">
        <v>52605</v>
      </c>
      <c r="O544" s="780">
        <v>55980</v>
      </c>
      <c r="P544" s="41"/>
      <c r="Q544" s="41"/>
    </row>
    <row r="545" spans="1:17">
      <c r="A545" s="38"/>
      <c r="B545" s="781">
        <v>0.4</v>
      </c>
      <c r="C545" s="778">
        <v>660</v>
      </c>
      <c r="D545" s="778">
        <v>707</v>
      </c>
      <c r="E545" s="778">
        <v>848</v>
      </c>
      <c r="F545" s="778">
        <v>980</v>
      </c>
      <c r="G545" s="778">
        <v>1093</v>
      </c>
      <c r="H545" s="778">
        <v>26400</v>
      </c>
      <c r="I545" s="778">
        <v>30160</v>
      </c>
      <c r="J545" s="778">
        <v>33920</v>
      </c>
      <c r="K545" s="778">
        <v>37680</v>
      </c>
      <c r="L545" s="778">
        <v>40720</v>
      </c>
      <c r="M545" s="780">
        <v>43720</v>
      </c>
      <c r="N545" s="780">
        <v>46760</v>
      </c>
      <c r="O545" s="780">
        <v>49760</v>
      </c>
      <c r="P545" s="41"/>
      <c r="Q545" s="41"/>
    </row>
    <row r="546" spans="1:17">
      <c r="A546" s="38"/>
      <c r="B546" s="522">
        <v>0.3</v>
      </c>
      <c r="C546" s="778">
        <v>495</v>
      </c>
      <c r="D546" s="778">
        <v>530</v>
      </c>
      <c r="E546" s="778">
        <v>636</v>
      </c>
      <c r="F546" s="778">
        <v>735</v>
      </c>
      <c r="G546" s="778">
        <v>819</v>
      </c>
      <c r="H546" s="779">
        <v>19800</v>
      </c>
      <c r="I546" s="779">
        <v>22620</v>
      </c>
      <c r="J546" s="779">
        <v>25440</v>
      </c>
      <c r="K546" s="779">
        <v>28260</v>
      </c>
      <c r="L546" s="779">
        <v>30540</v>
      </c>
      <c r="M546" s="779">
        <v>32790</v>
      </c>
      <c r="N546" s="779">
        <v>35070</v>
      </c>
      <c r="O546" s="779">
        <v>37320</v>
      </c>
      <c r="P546" s="41"/>
      <c r="Q546" s="41"/>
    </row>
    <row r="547" spans="1:17" ht="13.5" thickBot="1">
      <c r="A547" s="782"/>
      <c r="B547" s="40">
        <v>0.2</v>
      </c>
      <c r="C547" s="524">
        <v>330</v>
      </c>
      <c r="D547" s="524">
        <v>353</v>
      </c>
      <c r="E547" s="524">
        <v>424</v>
      </c>
      <c r="F547" s="524">
        <v>490</v>
      </c>
      <c r="G547" s="524">
        <v>546</v>
      </c>
      <c r="H547" s="525">
        <v>13200</v>
      </c>
      <c r="I547" s="525">
        <v>15080</v>
      </c>
      <c r="J547" s="525">
        <v>16960</v>
      </c>
      <c r="K547" s="525">
        <v>18840</v>
      </c>
      <c r="L547" s="525">
        <v>20360</v>
      </c>
      <c r="M547" s="525">
        <v>21860</v>
      </c>
      <c r="N547" s="525">
        <v>23380</v>
      </c>
      <c r="O547" s="525">
        <v>24880</v>
      </c>
      <c r="P547" s="41"/>
      <c r="Q547" s="41"/>
    </row>
    <row r="548" spans="1:17" ht="13.5" thickTop="1">
      <c r="A548" s="38"/>
      <c r="B548" s="37">
        <v>1.2</v>
      </c>
      <c r="C548" s="526">
        <v>2640</v>
      </c>
      <c r="D548" s="526">
        <v>2829</v>
      </c>
      <c r="E548" s="526">
        <v>3393</v>
      </c>
      <c r="F548" s="526">
        <v>3922</v>
      </c>
      <c r="G548" s="526">
        <v>4374</v>
      </c>
      <c r="H548" s="526">
        <v>105600</v>
      </c>
      <c r="I548" s="526">
        <v>120720</v>
      </c>
      <c r="J548" s="526">
        <v>135720</v>
      </c>
      <c r="K548" s="526">
        <v>150840</v>
      </c>
      <c r="L548" s="526">
        <v>162960</v>
      </c>
      <c r="M548" s="526">
        <v>174960</v>
      </c>
      <c r="N548" s="526">
        <v>187080</v>
      </c>
      <c r="O548" s="526">
        <v>199080</v>
      </c>
      <c r="P548" s="39"/>
      <c r="Q548" s="39"/>
    </row>
    <row r="549" spans="1:17">
      <c r="A549" s="38"/>
      <c r="B549" s="781">
        <v>1</v>
      </c>
      <c r="C549" s="778">
        <v>2200</v>
      </c>
      <c r="D549" s="778">
        <v>2357</v>
      </c>
      <c r="E549" s="778">
        <v>2827</v>
      </c>
      <c r="F549" s="778">
        <v>3268</v>
      </c>
      <c r="G549" s="778">
        <v>3645</v>
      </c>
      <c r="H549" s="778">
        <v>88000</v>
      </c>
      <c r="I549" s="778">
        <v>100600</v>
      </c>
      <c r="J549" s="778">
        <v>113100</v>
      </c>
      <c r="K549" s="778">
        <v>125700</v>
      </c>
      <c r="L549" s="778">
        <v>135800</v>
      </c>
      <c r="M549" s="778">
        <v>145800</v>
      </c>
      <c r="N549" s="778">
        <v>155900</v>
      </c>
      <c r="O549" s="778">
        <v>165900</v>
      </c>
      <c r="P549" s="39"/>
      <c r="Q549" s="39"/>
    </row>
    <row r="550" spans="1:17">
      <c r="A550" s="38" t="s">
        <v>1314</v>
      </c>
      <c r="B550" s="781">
        <v>0.8</v>
      </c>
      <c r="C550" s="778">
        <v>1760</v>
      </c>
      <c r="D550" s="778">
        <v>1886</v>
      </c>
      <c r="E550" s="778">
        <v>2262</v>
      </c>
      <c r="F550" s="778">
        <v>2615</v>
      </c>
      <c r="G550" s="778">
        <v>2916</v>
      </c>
      <c r="H550" s="779">
        <v>70400</v>
      </c>
      <c r="I550" s="779">
        <v>80480</v>
      </c>
      <c r="J550" s="779">
        <v>90480</v>
      </c>
      <c r="K550" s="779">
        <v>100560</v>
      </c>
      <c r="L550" s="779">
        <v>108640</v>
      </c>
      <c r="M550" s="779">
        <v>116640</v>
      </c>
      <c r="N550" s="779">
        <v>124720</v>
      </c>
      <c r="O550" s="779">
        <v>132720</v>
      </c>
      <c r="P550" s="39"/>
      <c r="Q550" s="39"/>
    </row>
    <row r="551" spans="1:17">
      <c r="A551" s="38"/>
      <c r="B551" s="781">
        <v>0.7</v>
      </c>
      <c r="C551" s="778">
        <v>1540</v>
      </c>
      <c r="D551" s="778">
        <v>1650</v>
      </c>
      <c r="E551" s="778">
        <v>1979</v>
      </c>
      <c r="F551" s="778">
        <v>2288</v>
      </c>
      <c r="G551" s="778">
        <v>2551</v>
      </c>
      <c r="H551" s="779">
        <v>61599.999999999993</v>
      </c>
      <c r="I551" s="779">
        <v>70420</v>
      </c>
      <c r="J551" s="779">
        <v>79170</v>
      </c>
      <c r="K551" s="779">
        <v>87990</v>
      </c>
      <c r="L551" s="779">
        <v>95060</v>
      </c>
      <c r="M551" s="779">
        <v>102060</v>
      </c>
      <c r="N551" s="779">
        <v>109130</v>
      </c>
      <c r="O551" s="779">
        <v>116129.99999999999</v>
      </c>
      <c r="P551" s="39"/>
      <c r="Q551" s="39"/>
    </row>
    <row r="552" spans="1:17">
      <c r="A552" s="38"/>
      <c r="B552" s="781">
        <v>0.6</v>
      </c>
      <c r="C552" s="778">
        <v>1320</v>
      </c>
      <c r="D552" s="778">
        <v>1414</v>
      </c>
      <c r="E552" s="778">
        <v>1696</v>
      </c>
      <c r="F552" s="778">
        <v>1961</v>
      </c>
      <c r="G552" s="778">
        <v>2187</v>
      </c>
      <c r="H552" s="778">
        <v>52800</v>
      </c>
      <c r="I552" s="778">
        <v>60360</v>
      </c>
      <c r="J552" s="778">
        <v>67860</v>
      </c>
      <c r="K552" s="778">
        <v>75420</v>
      </c>
      <c r="L552" s="778">
        <v>81480</v>
      </c>
      <c r="M552" s="780">
        <v>87480</v>
      </c>
      <c r="N552" s="780">
        <v>93540</v>
      </c>
      <c r="O552" s="780">
        <v>99540</v>
      </c>
      <c r="P552" s="39"/>
      <c r="Q552" s="39"/>
    </row>
    <row r="553" spans="1:17">
      <c r="A553" s="38"/>
      <c r="B553" s="781">
        <v>0.55000000000000004</v>
      </c>
      <c r="C553" s="778">
        <v>1210</v>
      </c>
      <c r="D553" s="778">
        <v>1296</v>
      </c>
      <c r="E553" s="778">
        <v>1555</v>
      </c>
      <c r="F553" s="778">
        <v>1797</v>
      </c>
      <c r="G553" s="778">
        <v>2004</v>
      </c>
      <c r="H553" s="778">
        <v>48400.000000000007</v>
      </c>
      <c r="I553" s="778">
        <v>55330.000000000007</v>
      </c>
      <c r="J553" s="778">
        <v>62205.000000000007</v>
      </c>
      <c r="K553" s="778">
        <v>69135</v>
      </c>
      <c r="L553" s="778">
        <v>74690</v>
      </c>
      <c r="M553" s="778">
        <v>80190</v>
      </c>
      <c r="N553" s="778">
        <v>85745</v>
      </c>
      <c r="O553" s="778">
        <v>91245.000000000015</v>
      </c>
      <c r="P553" s="39"/>
      <c r="Q553" s="39"/>
    </row>
    <row r="554" spans="1:17">
      <c r="A554" s="38"/>
      <c r="B554" s="781">
        <v>0.5</v>
      </c>
      <c r="C554" s="778">
        <v>1100</v>
      </c>
      <c r="D554" s="778">
        <v>1178</v>
      </c>
      <c r="E554" s="778">
        <v>1413</v>
      </c>
      <c r="F554" s="778">
        <v>1634</v>
      </c>
      <c r="G554" s="778">
        <v>1822</v>
      </c>
      <c r="H554" s="779">
        <v>44000</v>
      </c>
      <c r="I554" s="779">
        <v>50300</v>
      </c>
      <c r="J554" s="779">
        <v>56550</v>
      </c>
      <c r="K554" s="779">
        <v>62850</v>
      </c>
      <c r="L554" s="779">
        <v>67900</v>
      </c>
      <c r="M554" s="779">
        <v>72900</v>
      </c>
      <c r="N554" s="779">
        <v>77950</v>
      </c>
      <c r="O554" s="779">
        <v>82950</v>
      </c>
      <c r="P554" s="39"/>
      <c r="Q554" s="39"/>
    </row>
    <row r="555" spans="1:17">
      <c r="A555" s="38"/>
      <c r="B555" s="781">
        <v>0.45</v>
      </c>
      <c r="C555" s="778">
        <v>990</v>
      </c>
      <c r="D555" s="778">
        <v>1060</v>
      </c>
      <c r="E555" s="778">
        <v>1272</v>
      </c>
      <c r="F555" s="778">
        <v>1470</v>
      </c>
      <c r="G555" s="778">
        <v>1640</v>
      </c>
      <c r="H555" s="778">
        <v>39600</v>
      </c>
      <c r="I555" s="778">
        <v>45270</v>
      </c>
      <c r="J555" s="778">
        <v>50895</v>
      </c>
      <c r="K555" s="778">
        <v>56565</v>
      </c>
      <c r="L555" s="778">
        <v>61110</v>
      </c>
      <c r="M555" s="780">
        <v>65610</v>
      </c>
      <c r="N555" s="780">
        <v>70155</v>
      </c>
      <c r="O555" s="780">
        <v>74655</v>
      </c>
      <c r="P555" s="39"/>
      <c r="Q555" s="39"/>
    </row>
    <row r="556" spans="1:17">
      <c r="A556" s="38"/>
      <c r="B556" s="781">
        <v>0.4</v>
      </c>
      <c r="C556" s="778">
        <v>880</v>
      </c>
      <c r="D556" s="778">
        <v>943</v>
      </c>
      <c r="E556" s="778">
        <v>1131</v>
      </c>
      <c r="F556" s="778">
        <v>1307</v>
      </c>
      <c r="G556" s="778">
        <v>1458</v>
      </c>
      <c r="H556" s="778">
        <v>35200</v>
      </c>
      <c r="I556" s="778">
        <v>40240</v>
      </c>
      <c r="J556" s="778">
        <v>45240</v>
      </c>
      <c r="K556" s="778">
        <v>50280</v>
      </c>
      <c r="L556" s="778">
        <v>54320</v>
      </c>
      <c r="M556" s="780">
        <v>58320</v>
      </c>
      <c r="N556" s="780">
        <v>62360</v>
      </c>
      <c r="O556" s="780">
        <v>66360</v>
      </c>
      <c r="P556" s="39"/>
      <c r="Q556" s="39"/>
    </row>
    <row r="557" spans="1:17">
      <c r="A557" s="38"/>
      <c r="B557" s="522">
        <v>0.3</v>
      </c>
      <c r="C557" s="778">
        <v>660</v>
      </c>
      <c r="D557" s="778">
        <v>707</v>
      </c>
      <c r="E557" s="778">
        <v>848</v>
      </c>
      <c r="F557" s="778">
        <v>980</v>
      </c>
      <c r="G557" s="778">
        <v>1093</v>
      </c>
      <c r="H557" s="779">
        <v>26400</v>
      </c>
      <c r="I557" s="779">
        <v>30180</v>
      </c>
      <c r="J557" s="779">
        <v>33930</v>
      </c>
      <c r="K557" s="779">
        <v>37710</v>
      </c>
      <c r="L557" s="779">
        <v>40740</v>
      </c>
      <c r="M557" s="779">
        <v>43740</v>
      </c>
      <c r="N557" s="779">
        <v>46770</v>
      </c>
      <c r="O557" s="779">
        <v>49770</v>
      </c>
      <c r="P557" s="39"/>
      <c r="Q557" s="39"/>
    </row>
    <row r="558" spans="1:17" ht="13.5" thickBot="1">
      <c r="A558" s="782"/>
      <c r="B558" s="40">
        <v>0.2</v>
      </c>
      <c r="C558" s="524">
        <v>440</v>
      </c>
      <c r="D558" s="524">
        <v>471</v>
      </c>
      <c r="E558" s="524">
        <v>565</v>
      </c>
      <c r="F558" s="524">
        <v>653</v>
      </c>
      <c r="G558" s="524">
        <v>729</v>
      </c>
      <c r="H558" s="525">
        <v>17600</v>
      </c>
      <c r="I558" s="525">
        <v>20120</v>
      </c>
      <c r="J558" s="525">
        <v>22620</v>
      </c>
      <c r="K558" s="525">
        <v>25140</v>
      </c>
      <c r="L558" s="525">
        <v>27160</v>
      </c>
      <c r="M558" s="525">
        <v>29160</v>
      </c>
      <c r="N558" s="525">
        <v>31180</v>
      </c>
      <c r="O558" s="525">
        <v>33180</v>
      </c>
      <c r="P558" s="39"/>
      <c r="Q558" s="39"/>
    </row>
    <row r="559" spans="1:17" ht="13.5" thickTop="1">
      <c r="A559" s="38"/>
      <c r="B559" s="37">
        <v>1.2</v>
      </c>
      <c r="C559" s="526">
        <v>1980</v>
      </c>
      <c r="D559" s="526">
        <v>2121</v>
      </c>
      <c r="E559" s="526">
        <v>2544</v>
      </c>
      <c r="F559" s="526">
        <v>2940</v>
      </c>
      <c r="G559" s="526">
        <v>3279</v>
      </c>
      <c r="H559" s="526">
        <v>79200</v>
      </c>
      <c r="I559" s="526">
        <v>90480</v>
      </c>
      <c r="J559" s="526">
        <v>101760</v>
      </c>
      <c r="K559" s="526">
        <v>113040</v>
      </c>
      <c r="L559" s="526">
        <v>122160</v>
      </c>
      <c r="M559" s="526">
        <v>131160</v>
      </c>
      <c r="N559" s="526">
        <v>140280</v>
      </c>
      <c r="O559" s="526">
        <v>149280</v>
      </c>
      <c r="P559" s="39"/>
      <c r="Q559" s="39"/>
    </row>
    <row r="560" spans="1:17">
      <c r="A560" s="38"/>
      <c r="B560" s="781">
        <v>1</v>
      </c>
      <c r="C560" s="778">
        <v>1650</v>
      </c>
      <c r="D560" s="778">
        <v>1767</v>
      </c>
      <c r="E560" s="778">
        <v>2120</v>
      </c>
      <c r="F560" s="778">
        <v>2450</v>
      </c>
      <c r="G560" s="778">
        <v>2732</v>
      </c>
      <c r="H560" s="778">
        <v>66000</v>
      </c>
      <c r="I560" s="778">
        <v>75400</v>
      </c>
      <c r="J560" s="778">
        <v>84800</v>
      </c>
      <c r="K560" s="778">
        <v>94200</v>
      </c>
      <c r="L560" s="778">
        <v>101800</v>
      </c>
      <c r="M560" s="778">
        <v>109300</v>
      </c>
      <c r="N560" s="778">
        <v>116900</v>
      </c>
      <c r="O560" s="778">
        <v>124400</v>
      </c>
      <c r="P560" s="39"/>
      <c r="Q560" s="39"/>
    </row>
    <row r="561" spans="1:17">
      <c r="A561" s="38" t="s">
        <v>1315</v>
      </c>
      <c r="B561" s="781">
        <v>0.8</v>
      </c>
      <c r="C561" s="778">
        <v>1320</v>
      </c>
      <c r="D561" s="778">
        <v>1414</v>
      </c>
      <c r="E561" s="778">
        <v>1696</v>
      </c>
      <c r="F561" s="778">
        <v>1960</v>
      </c>
      <c r="G561" s="778">
        <v>2186</v>
      </c>
      <c r="H561" s="779">
        <v>52800</v>
      </c>
      <c r="I561" s="779">
        <v>60320</v>
      </c>
      <c r="J561" s="779">
        <v>67840</v>
      </c>
      <c r="K561" s="779">
        <v>75360</v>
      </c>
      <c r="L561" s="779">
        <v>81440</v>
      </c>
      <c r="M561" s="779">
        <v>87440</v>
      </c>
      <c r="N561" s="779">
        <v>93520</v>
      </c>
      <c r="O561" s="779">
        <v>99520</v>
      </c>
      <c r="P561" s="39"/>
      <c r="Q561" s="39"/>
    </row>
    <row r="562" spans="1:17">
      <c r="A562" s="38"/>
      <c r="B562" s="781">
        <v>0.7</v>
      </c>
      <c r="C562" s="778">
        <v>1155</v>
      </c>
      <c r="D562" s="778">
        <v>1237</v>
      </c>
      <c r="E562" s="778">
        <v>1484</v>
      </c>
      <c r="F562" s="778">
        <v>1715</v>
      </c>
      <c r="G562" s="778">
        <v>1912</v>
      </c>
      <c r="H562" s="779">
        <v>46200</v>
      </c>
      <c r="I562" s="779">
        <v>52780</v>
      </c>
      <c r="J562" s="779">
        <v>59359.999999999993</v>
      </c>
      <c r="K562" s="779">
        <v>65940</v>
      </c>
      <c r="L562" s="779">
        <v>71260</v>
      </c>
      <c r="M562" s="779">
        <v>76510</v>
      </c>
      <c r="N562" s="779">
        <v>81830</v>
      </c>
      <c r="O562" s="779">
        <v>87080</v>
      </c>
      <c r="P562" s="39"/>
      <c r="Q562" s="39"/>
    </row>
    <row r="563" spans="1:17">
      <c r="A563" s="38"/>
      <c r="B563" s="781">
        <v>0.6</v>
      </c>
      <c r="C563" s="778">
        <v>990</v>
      </c>
      <c r="D563" s="778">
        <v>1060</v>
      </c>
      <c r="E563" s="778">
        <v>1272</v>
      </c>
      <c r="F563" s="778">
        <v>1470</v>
      </c>
      <c r="G563" s="778">
        <v>1639</v>
      </c>
      <c r="H563" s="778">
        <v>39600</v>
      </c>
      <c r="I563" s="778">
        <v>45240</v>
      </c>
      <c r="J563" s="778">
        <v>50880</v>
      </c>
      <c r="K563" s="778">
        <v>56520</v>
      </c>
      <c r="L563" s="778">
        <v>61080</v>
      </c>
      <c r="M563" s="780">
        <v>65580</v>
      </c>
      <c r="N563" s="780">
        <v>70140</v>
      </c>
      <c r="O563" s="780">
        <v>74640</v>
      </c>
      <c r="P563" s="39"/>
      <c r="Q563" s="39"/>
    </row>
    <row r="564" spans="1:17">
      <c r="A564" s="38"/>
      <c r="B564" s="781">
        <v>0.55000000000000004</v>
      </c>
      <c r="C564" s="778">
        <v>907</v>
      </c>
      <c r="D564" s="778">
        <v>972</v>
      </c>
      <c r="E564" s="778">
        <v>1166</v>
      </c>
      <c r="F564" s="778">
        <v>1347</v>
      </c>
      <c r="G564" s="778">
        <v>1502</v>
      </c>
      <c r="H564" s="778">
        <v>36300</v>
      </c>
      <c r="I564" s="778">
        <v>41470</v>
      </c>
      <c r="J564" s="778">
        <v>46640.000000000007</v>
      </c>
      <c r="K564" s="778">
        <v>51810.000000000007</v>
      </c>
      <c r="L564" s="778">
        <v>55990.000000000007</v>
      </c>
      <c r="M564" s="778">
        <v>60115.000000000007</v>
      </c>
      <c r="N564" s="778">
        <v>64295.000000000007</v>
      </c>
      <c r="O564" s="778">
        <v>68420</v>
      </c>
      <c r="P564" s="39"/>
      <c r="Q564" s="39"/>
    </row>
    <row r="565" spans="1:17">
      <c r="A565" s="38"/>
      <c r="B565" s="781">
        <v>0.5</v>
      </c>
      <c r="C565" s="778">
        <v>825</v>
      </c>
      <c r="D565" s="778">
        <v>883</v>
      </c>
      <c r="E565" s="778">
        <v>1060</v>
      </c>
      <c r="F565" s="778">
        <v>1225</v>
      </c>
      <c r="G565" s="778">
        <v>1366</v>
      </c>
      <c r="H565" s="779">
        <v>33000</v>
      </c>
      <c r="I565" s="779">
        <v>37700</v>
      </c>
      <c r="J565" s="779">
        <v>42400</v>
      </c>
      <c r="K565" s="779">
        <v>47100</v>
      </c>
      <c r="L565" s="779">
        <v>50900</v>
      </c>
      <c r="M565" s="779">
        <v>54650</v>
      </c>
      <c r="N565" s="779">
        <v>58450</v>
      </c>
      <c r="O565" s="779">
        <v>62200</v>
      </c>
      <c r="P565" s="39"/>
      <c r="Q565" s="39"/>
    </row>
    <row r="566" spans="1:17">
      <c r="A566" s="38"/>
      <c r="B566" s="781">
        <v>0.45</v>
      </c>
      <c r="C566" s="778">
        <v>742</v>
      </c>
      <c r="D566" s="778">
        <v>795</v>
      </c>
      <c r="E566" s="778">
        <v>954</v>
      </c>
      <c r="F566" s="778">
        <v>1102</v>
      </c>
      <c r="G566" s="778">
        <v>1229</v>
      </c>
      <c r="H566" s="778">
        <v>29700</v>
      </c>
      <c r="I566" s="778">
        <v>33930</v>
      </c>
      <c r="J566" s="778">
        <v>38160</v>
      </c>
      <c r="K566" s="778">
        <v>42390</v>
      </c>
      <c r="L566" s="778">
        <v>45810</v>
      </c>
      <c r="M566" s="780">
        <v>49185</v>
      </c>
      <c r="N566" s="780">
        <v>52605</v>
      </c>
      <c r="O566" s="780">
        <v>55980</v>
      </c>
      <c r="P566" s="39"/>
      <c r="Q566" s="39"/>
    </row>
    <row r="567" spans="1:17">
      <c r="A567" s="38"/>
      <c r="B567" s="781">
        <v>0.4</v>
      </c>
      <c r="C567" s="778">
        <v>660</v>
      </c>
      <c r="D567" s="778">
        <v>707</v>
      </c>
      <c r="E567" s="778">
        <v>848</v>
      </c>
      <c r="F567" s="778">
        <v>980</v>
      </c>
      <c r="G567" s="778">
        <v>1093</v>
      </c>
      <c r="H567" s="778">
        <v>26400</v>
      </c>
      <c r="I567" s="778">
        <v>30160</v>
      </c>
      <c r="J567" s="778">
        <v>33920</v>
      </c>
      <c r="K567" s="778">
        <v>37680</v>
      </c>
      <c r="L567" s="778">
        <v>40720</v>
      </c>
      <c r="M567" s="780">
        <v>43720</v>
      </c>
      <c r="N567" s="780">
        <v>46760</v>
      </c>
      <c r="O567" s="780">
        <v>49760</v>
      </c>
      <c r="P567" s="39"/>
      <c r="Q567" s="39"/>
    </row>
    <row r="568" spans="1:17">
      <c r="A568" s="38"/>
      <c r="B568" s="522">
        <v>0.3</v>
      </c>
      <c r="C568" s="778">
        <v>495</v>
      </c>
      <c r="D568" s="778">
        <v>530</v>
      </c>
      <c r="E568" s="778">
        <v>636</v>
      </c>
      <c r="F568" s="778">
        <v>735</v>
      </c>
      <c r="G568" s="778">
        <v>819</v>
      </c>
      <c r="H568" s="779">
        <v>19800</v>
      </c>
      <c r="I568" s="779">
        <v>22620</v>
      </c>
      <c r="J568" s="779">
        <v>25440</v>
      </c>
      <c r="K568" s="779">
        <v>28260</v>
      </c>
      <c r="L568" s="779">
        <v>30540</v>
      </c>
      <c r="M568" s="779">
        <v>32790</v>
      </c>
      <c r="N568" s="779">
        <v>35070</v>
      </c>
      <c r="O568" s="779">
        <v>37320</v>
      </c>
      <c r="P568" s="39"/>
      <c r="Q568" s="39"/>
    </row>
    <row r="569" spans="1:17" ht="13.5" thickBot="1">
      <c r="A569" s="782"/>
      <c r="B569" s="40">
        <v>0.2</v>
      </c>
      <c r="C569" s="524">
        <v>330</v>
      </c>
      <c r="D569" s="524">
        <v>353</v>
      </c>
      <c r="E569" s="524">
        <v>424</v>
      </c>
      <c r="F569" s="524">
        <v>490</v>
      </c>
      <c r="G569" s="524">
        <v>546</v>
      </c>
      <c r="H569" s="525">
        <v>13200</v>
      </c>
      <c r="I569" s="525">
        <v>15080</v>
      </c>
      <c r="J569" s="525">
        <v>16960</v>
      </c>
      <c r="K569" s="525">
        <v>18840</v>
      </c>
      <c r="L569" s="525">
        <v>20360</v>
      </c>
      <c r="M569" s="525">
        <v>21860</v>
      </c>
      <c r="N569" s="525">
        <v>23380</v>
      </c>
      <c r="O569" s="525">
        <v>24880</v>
      </c>
      <c r="P569" s="39"/>
      <c r="Q569" s="39"/>
    </row>
    <row r="570" spans="1:17" ht="13.5" thickTop="1">
      <c r="A570" s="46"/>
      <c r="B570" s="37">
        <v>1.2</v>
      </c>
      <c r="C570" s="526">
        <v>1980</v>
      </c>
      <c r="D570" s="526">
        <v>2121</v>
      </c>
      <c r="E570" s="526">
        <v>2544</v>
      </c>
      <c r="F570" s="526">
        <v>2940</v>
      </c>
      <c r="G570" s="526">
        <v>3279</v>
      </c>
      <c r="H570" s="526">
        <v>79200</v>
      </c>
      <c r="I570" s="526">
        <v>90480</v>
      </c>
      <c r="J570" s="526">
        <v>101760</v>
      </c>
      <c r="K570" s="526">
        <v>113040</v>
      </c>
      <c r="L570" s="526">
        <v>122160</v>
      </c>
      <c r="M570" s="526">
        <v>131160</v>
      </c>
      <c r="N570" s="526">
        <v>140280</v>
      </c>
      <c r="O570" s="526">
        <v>149280</v>
      </c>
      <c r="P570" s="45"/>
      <c r="Q570" s="45"/>
    </row>
    <row r="571" spans="1:17">
      <c r="A571" s="38"/>
      <c r="B571" s="781">
        <v>1</v>
      </c>
      <c r="C571" s="778">
        <v>1650</v>
      </c>
      <c r="D571" s="778">
        <v>1767</v>
      </c>
      <c r="E571" s="778">
        <v>2120</v>
      </c>
      <c r="F571" s="778">
        <v>2450</v>
      </c>
      <c r="G571" s="778">
        <v>2732</v>
      </c>
      <c r="H571" s="778">
        <v>66000</v>
      </c>
      <c r="I571" s="778">
        <v>75400</v>
      </c>
      <c r="J571" s="778">
        <v>84800</v>
      </c>
      <c r="K571" s="778">
        <v>94200</v>
      </c>
      <c r="L571" s="778">
        <v>101800</v>
      </c>
      <c r="M571" s="778">
        <v>109300</v>
      </c>
      <c r="N571" s="778">
        <v>116900</v>
      </c>
      <c r="O571" s="778">
        <v>124400</v>
      </c>
      <c r="P571" s="39"/>
      <c r="Q571" s="39"/>
    </row>
    <row r="572" spans="1:17">
      <c r="A572" s="43" t="s">
        <v>1316</v>
      </c>
      <c r="B572" s="781">
        <v>0.8</v>
      </c>
      <c r="C572" s="778">
        <v>1320</v>
      </c>
      <c r="D572" s="778">
        <v>1414</v>
      </c>
      <c r="E572" s="778">
        <v>1696</v>
      </c>
      <c r="F572" s="778">
        <v>1960</v>
      </c>
      <c r="G572" s="778">
        <v>2186</v>
      </c>
      <c r="H572" s="779">
        <v>52800</v>
      </c>
      <c r="I572" s="779">
        <v>60320</v>
      </c>
      <c r="J572" s="779">
        <v>67840</v>
      </c>
      <c r="K572" s="779">
        <v>75360</v>
      </c>
      <c r="L572" s="779">
        <v>81440</v>
      </c>
      <c r="M572" s="779">
        <v>87440</v>
      </c>
      <c r="N572" s="779">
        <v>93520</v>
      </c>
      <c r="O572" s="779">
        <v>99520</v>
      </c>
      <c r="P572" s="39"/>
      <c r="Q572" s="39"/>
    </row>
    <row r="573" spans="1:17">
      <c r="A573" s="43"/>
      <c r="B573" s="781">
        <v>0.7</v>
      </c>
      <c r="C573" s="778">
        <v>1155</v>
      </c>
      <c r="D573" s="778">
        <v>1237</v>
      </c>
      <c r="E573" s="778">
        <v>1484</v>
      </c>
      <c r="F573" s="778">
        <v>1715</v>
      </c>
      <c r="G573" s="778">
        <v>1912</v>
      </c>
      <c r="H573" s="779">
        <v>46200</v>
      </c>
      <c r="I573" s="779">
        <v>52780</v>
      </c>
      <c r="J573" s="779">
        <v>59359.999999999993</v>
      </c>
      <c r="K573" s="779">
        <v>65940</v>
      </c>
      <c r="L573" s="779">
        <v>71260</v>
      </c>
      <c r="M573" s="779">
        <v>76510</v>
      </c>
      <c r="N573" s="779">
        <v>81830</v>
      </c>
      <c r="O573" s="779">
        <v>87080</v>
      </c>
      <c r="P573" s="39"/>
      <c r="Q573" s="39"/>
    </row>
    <row r="574" spans="1:17">
      <c r="A574" s="38"/>
      <c r="B574" s="781">
        <v>0.6</v>
      </c>
      <c r="C574" s="778">
        <v>990</v>
      </c>
      <c r="D574" s="778">
        <v>1060</v>
      </c>
      <c r="E574" s="778">
        <v>1272</v>
      </c>
      <c r="F574" s="778">
        <v>1470</v>
      </c>
      <c r="G574" s="778">
        <v>1639</v>
      </c>
      <c r="H574" s="778">
        <v>39600</v>
      </c>
      <c r="I574" s="778">
        <v>45240</v>
      </c>
      <c r="J574" s="778">
        <v>50880</v>
      </c>
      <c r="K574" s="778">
        <v>56520</v>
      </c>
      <c r="L574" s="778">
        <v>61080</v>
      </c>
      <c r="M574" s="780">
        <v>65580</v>
      </c>
      <c r="N574" s="780">
        <v>70140</v>
      </c>
      <c r="O574" s="780">
        <v>74640</v>
      </c>
      <c r="P574" s="39"/>
      <c r="Q574" s="39"/>
    </row>
    <row r="575" spans="1:17">
      <c r="A575" s="38"/>
      <c r="B575" s="781">
        <v>0.55000000000000004</v>
      </c>
      <c r="C575" s="778">
        <v>907</v>
      </c>
      <c r="D575" s="778">
        <v>972</v>
      </c>
      <c r="E575" s="778">
        <v>1166</v>
      </c>
      <c r="F575" s="778">
        <v>1347</v>
      </c>
      <c r="G575" s="778">
        <v>1502</v>
      </c>
      <c r="H575" s="778">
        <v>36300</v>
      </c>
      <c r="I575" s="778">
        <v>41470</v>
      </c>
      <c r="J575" s="778">
        <v>46640.000000000007</v>
      </c>
      <c r="K575" s="778">
        <v>51810.000000000007</v>
      </c>
      <c r="L575" s="778">
        <v>55990.000000000007</v>
      </c>
      <c r="M575" s="778">
        <v>60115.000000000007</v>
      </c>
      <c r="N575" s="778">
        <v>64295.000000000007</v>
      </c>
      <c r="O575" s="778">
        <v>68420</v>
      </c>
      <c r="P575" s="39"/>
      <c r="Q575" s="39"/>
    </row>
    <row r="576" spans="1:17">
      <c r="A576" s="38"/>
      <c r="B576" s="781">
        <v>0.5</v>
      </c>
      <c r="C576" s="778">
        <v>825</v>
      </c>
      <c r="D576" s="778">
        <v>883</v>
      </c>
      <c r="E576" s="778">
        <v>1060</v>
      </c>
      <c r="F576" s="778">
        <v>1225</v>
      </c>
      <c r="G576" s="778">
        <v>1366</v>
      </c>
      <c r="H576" s="779">
        <v>33000</v>
      </c>
      <c r="I576" s="779">
        <v>37700</v>
      </c>
      <c r="J576" s="779">
        <v>42400</v>
      </c>
      <c r="K576" s="779">
        <v>47100</v>
      </c>
      <c r="L576" s="779">
        <v>50900</v>
      </c>
      <c r="M576" s="779">
        <v>54650</v>
      </c>
      <c r="N576" s="779">
        <v>58450</v>
      </c>
      <c r="O576" s="779">
        <v>62200</v>
      </c>
      <c r="P576" s="39"/>
      <c r="Q576" s="39"/>
    </row>
    <row r="577" spans="1:17">
      <c r="A577" s="38"/>
      <c r="B577" s="781">
        <v>0.45</v>
      </c>
      <c r="C577" s="778">
        <v>742</v>
      </c>
      <c r="D577" s="778">
        <v>795</v>
      </c>
      <c r="E577" s="778">
        <v>954</v>
      </c>
      <c r="F577" s="778">
        <v>1102</v>
      </c>
      <c r="G577" s="778">
        <v>1229</v>
      </c>
      <c r="H577" s="778">
        <v>29700</v>
      </c>
      <c r="I577" s="778">
        <v>33930</v>
      </c>
      <c r="J577" s="778">
        <v>38160</v>
      </c>
      <c r="K577" s="778">
        <v>42390</v>
      </c>
      <c r="L577" s="778">
        <v>45810</v>
      </c>
      <c r="M577" s="780">
        <v>49185</v>
      </c>
      <c r="N577" s="780">
        <v>52605</v>
      </c>
      <c r="O577" s="780">
        <v>55980</v>
      </c>
      <c r="P577" s="39"/>
      <c r="Q577" s="39"/>
    </row>
    <row r="578" spans="1:17">
      <c r="A578" s="38"/>
      <c r="B578" s="781">
        <v>0.4</v>
      </c>
      <c r="C578" s="778">
        <v>660</v>
      </c>
      <c r="D578" s="778">
        <v>707</v>
      </c>
      <c r="E578" s="778">
        <v>848</v>
      </c>
      <c r="F578" s="778">
        <v>980</v>
      </c>
      <c r="G578" s="778">
        <v>1093</v>
      </c>
      <c r="H578" s="778">
        <v>26400</v>
      </c>
      <c r="I578" s="778">
        <v>30160</v>
      </c>
      <c r="J578" s="778">
        <v>33920</v>
      </c>
      <c r="K578" s="778">
        <v>37680</v>
      </c>
      <c r="L578" s="778">
        <v>40720</v>
      </c>
      <c r="M578" s="780">
        <v>43720</v>
      </c>
      <c r="N578" s="780">
        <v>46760</v>
      </c>
      <c r="O578" s="780">
        <v>49760</v>
      </c>
      <c r="P578" s="39"/>
      <c r="Q578" s="39"/>
    </row>
    <row r="579" spans="1:17">
      <c r="A579" s="38"/>
      <c r="B579" s="522">
        <v>0.3</v>
      </c>
      <c r="C579" s="778">
        <v>495</v>
      </c>
      <c r="D579" s="778">
        <v>530</v>
      </c>
      <c r="E579" s="778">
        <v>636</v>
      </c>
      <c r="F579" s="778">
        <v>735</v>
      </c>
      <c r="G579" s="778">
        <v>819</v>
      </c>
      <c r="H579" s="779">
        <v>19800</v>
      </c>
      <c r="I579" s="779">
        <v>22620</v>
      </c>
      <c r="J579" s="779">
        <v>25440</v>
      </c>
      <c r="K579" s="779">
        <v>28260</v>
      </c>
      <c r="L579" s="779">
        <v>30540</v>
      </c>
      <c r="M579" s="779">
        <v>32790</v>
      </c>
      <c r="N579" s="779">
        <v>35070</v>
      </c>
      <c r="O579" s="779">
        <v>37320</v>
      </c>
      <c r="P579" s="39"/>
      <c r="Q579" s="39"/>
    </row>
    <row r="580" spans="1:17" ht="13.5" thickBot="1">
      <c r="A580" s="782"/>
      <c r="B580" s="40">
        <v>0.2</v>
      </c>
      <c r="C580" s="524">
        <v>330</v>
      </c>
      <c r="D580" s="524">
        <v>353</v>
      </c>
      <c r="E580" s="524">
        <v>424</v>
      </c>
      <c r="F580" s="524">
        <v>490</v>
      </c>
      <c r="G580" s="524">
        <v>546</v>
      </c>
      <c r="H580" s="525">
        <v>13200</v>
      </c>
      <c r="I580" s="525">
        <v>15080</v>
      </c>
      <c r="J580" s="525">
        <v>16960</v>
      </c>
      <c r="K580" s="525">
        <v>18840</v>
      </c>
      <c r="L580" s="525">
        <v>20360</v>
      </c>
      <c r="M580" s="525">
        <v>21860</v>
      </c>
      <c r="N580" s="525">
        <v>23380</v>
      </c>
      <c r="O580" s="525">
        <v>24880</v>
      </c>
      <c r="P580" s="39"/>
      <c r="Q580" s="39"/>
    </row>
    <row r="581" spans="1:17" ht="13.5" thickTop="1">
      <c r="A581" s="38"/>
      <c r="B581" s="37">
        <v>1.2</v>
      </c>
      <c r="C581" s="526">
        <v>1980</v>
      </c>
      <c r="D581" s="526">
        <v>2121</v>
      </c>
      <c r="E581" s="526">
        <v>2544</v>
      </c>
      <c r="F581" s="526">
        <v>2940</v>
      </c>
      <c r="G581" s="526">
        <v>3279</v>
      </c>
      <c r="H581" s="526">
        <v>79200</v>
      </c>
      <c r="I581" s="526">
        <v>90480</v>
      </c>
      <c r="J581" s="526">
        <v>101760</v>
      </c>
      <c r="K581" s="526">
        <v>113040</v>
      </c>
      <c r="L581" s="526">
        <v>122160</v>
      </c>
      <c r="M581" s="526">
        <v>131160</v>
      </c>
      <c r="N581" s="526">
        <v>140280</v>
      </c>
      <c r="O581" s="526">
        <v>149280</v>
      </c>
      <c r="P581" s="45"/>
      <c r="Q581" s="45"/>
    </row>
    <row r="582" spans="1:17">
      <c r="A582" s="38"/>
      <c r="B582" s="781">
        <v>1</v>
      </c>
      <c r="C582" s="778">
        <v>1650</v>
      </c>
      <c r="D582" s="778">
        <v>1767</v>
      </c>
      <c r="E582" s="778">
        <v>2120</v>
      </c>
      <c r="F582" s="778">
        <v>2450</v>
      </c>
      <c r="G582" s="778">
        <v>2732</v>
      </c>
      <c r="H582" s="778">
        <v>66000</v>
      </c>
      <c r="I582" s="778">
        <v>75400</v>
      </c>
      <c r="J582" s="778">
        <v>84800</v>
      </c>
      <c r="K582" s="778">
        <v>94200</v>
      </c>
      <c r="L582" s="778">
        <v>101800</v>
      </c>
      <c r="M582" s="778">
        <v>109300</v>
      </c>
      <c r="N582" s="778">
        <v>116900</v>
      </c>
      <c r="O582" s="778">
        <v>124400</v>
      </c>
      <c r="P582" s="39"/>
      <c r="Q582" s="39"/>
    </row>
    <row r="583" spans="1:17">
      <c r="A583" s="38" t="s">
        <v>1317</v>
      </c>
      <c r="B583" s="781">
        <v>0.8</v>
      </c>
      <c r="C583" s="778">
        <v>1320</v>
      </c>
      <c r="D583" s="778">
        <v>1414</v>
      </c>
      <c r="E583" s="778">
        <v>1696</v>
      </c>
      <c r="F583" s="778">
        <v>1960</v>
      </c>
      <c r="G583" s="778">
        <v>2186</v>
      </c>
      <c r="H583" s="779">
        <v>52800</v>
      </c>
      <c r="I583" s="779">
        <v>60320</v>
      </c>
      <c r="J583" s="779">
        <v>67840</v>
      </c>
      <c r="K583" s="779">
        <v>75360</v>
      </c>
      <c r="L583" s="779">
        <v>81440</v>
      </c>
      <c r="M583" s="779">
        <v>87440</v>
      </c>
      <c r="N583" s="779">
        <v>93520</v>
      </c>
      <c r="O583" s="779">
        <v>99520</v>
      </c>
      <c r="P583" s="39"/>
      <c r="Q583" s="39"/>
    </row>
    <row r="584" spans="1:17">
      <c r="A584" s="38"/>
      <c r="B584" s="781">
        <v>0.7</v>
      </c>
      <c r="C584" s="778">
        <v>1155</v>
      </c>
      <c r="D584" s="778">
        <v>1237</v>
      </c>
      <c r="E584" s="778">
        <v>1484</v>
      </c>
      <c r="F584" s="778">
        <v>1715</v>
      </c>
      <c r="G584" s="778">
        <v>1912</v>
      </c>
      <c r="H584" s="779">
        <v>46200</v>
      </c>
      <c r="I584" s="779">
        <v>52780</v>
      </c>
      <c r="J584" s="779">
        <v>59359.999999999993</v>
      </c>
      <c r="K584" s="779">
        <v>65940</v>
      </c>
      <c r="L584" s="779">
        <v>71260</v>
      </c>
      <c r="M584" s="779">
        <v>76510</v>
      </c>
      <c r="N584" s="779">
        <v>81830</v>
      </c>
      <c r="O584" s="779">
        <v>87080</v>
      </c>
      <c r="P584" s="39"/>
      <c r="Q584" s="39"/>
    </row>
    <row r="585" spans="1:17">
      <c r="A585" s="38"/>
      <c r="B585" s="781">
        <v>0.6</v>
      </c>
      <c r="C585" s="778">
        <v>990</v>
      </c>
      <c r="D585" s="778">
        <v>1060</v>
      </c>
      <c r="E585" s="778">
        <v>1272</v>
      </c>
      <c r="F585" s="778">
        <v>1470</v>
      </c>
      <c r="G585" s="778">
        <v>1639</v>
      </c>
      <c r="H585" s="778">
        <v>39600</v>
      </c>
      <c r="I585" s="778">
        <v>45240</v>
      </c>
      <c r="J585" s="778">
        <v>50880</v>
      </c>
      <c r="K585" s="778">
        <v>56520</v>
      </c>
      <c r="L585" s="778">
        <v>61080</v>
      </c>
      <c r="M585" s="780">
        <v>65580</v>
      </c>
      <c r="N585" s="780">
        <v>70140</v>
      </c>
      <c r="O585" s="780">
        <v>74640</v>
      </c>
      <c r="P585" s="39"/>
      <c r="Q585" s="39"/>
    </row>
    <row r="586" spans="1:17">
      <c r="A586" s="38"/>
      <c r="B586" s="781">
        <v>0.55000000000000004</v>
      </c>
      <c r="C586" s="778">
        <v>907</v>
      </c>
      <c r="D586" s="778">
        <v>972</v>
      </c>
      <c r="E586" s="778">
        <v>1166</v>
      </c>
      <c r="F586" s="778">
        <v>1347</v>
      </c>
      <c r="G586" s="778">
        <v>1502</v>
      </c>
      <c r="H586" s="778">
        <v>36300</v>
      </c>
      <c r="I586" s="778">
        <v>41470</v>
      </c>
      <c r="J586" s="778">
        <v>46640.000000000007</v>
      </c>
      <c r="K586" s="778">
        <v>51810.000000000007</v>
      </c>
      <c r="L586" s="778">
        <v>55990.000000000007</v>
      </c>
      <c r="M586" s="778">
        <v>60115.000000000007</v>
      </c>
      <c r="N586" s="778">
        <v>64295.000000000007</v>
      </c>
      <c r="O586" s="778">
        <v>68420</v>
      </c>
      <c r="P586" s="39"/>
      <c r="Q586" s="39"/>
    </row>
    <row r="587" spans="1:17">
      <c r="A587" s="38"/>
      <c r="B587" s="781">
        <v>0.5</v>
      </c>
      <c r="C587" s="778">
        <v>825</v>
      </c>
      <c r="D587" s="778">
        <v>883</v>
      </c>
      <c r="E587" s="778">
        <v>1060</v>
      </c>
      <c r="F587" s="778">
        <v>1225</v>
      </c>
      <c r="G587" s="778">
        <v>1366</v>
      </c>
      <c r="H587" s="779">
        <v>33000</v>
      </c>
      <c r="I587" s="779">
        <v>37700</v>
      </c>
      <c r="J587" s="779">
        <v>42400</v>
      </c>
      <c r="K587" s="779">
        <v>47100</v>
      </c>
      <c r="L587" s="779">
        <v>50900</v>
      </c>
      <c r="M587" s="779">
        <v>54650</v>
      </c>
      <c r="N587" s="779">
        <v>58450</v>
      </c>
      <c r="O587" s="779">
        <v>62200</v>
      </c>
      <c r="P587" s="39"/>
      <c r="Q587" s="39"/>
    </row>
    <row r="588" spans="1:17">
      <c r="A588" s="38"/>
      <c r="B588" s="781">
        <v>0.45</v>
      </c>
      <c r="C588" s="778">
        <v>742</v>
      </c>
      <c r="D588" s="778">
        <v>795</v>
      </c>
      <c r="E588" s="778">
        <v>954</v>
      </c>
      <c r="F588" s="778">
        <v>1102</v>
      </c>
      <c r="G588" s="778">
        <v>1229</v>
      </c>
      <c r="H588" s="778">
        <v>29700</v>
      </c>
      <c r="I588" s="778">
        <v>33930</v>
      </c>
      <c r="J588" s="778">
        <v>38160</v>
      </c>
      <c r="K588" s="778">
        <v>42390</v>
      </c>
      <c r="L588" s="778">
        <v>45810</v>
      </c>
      <c r="M588" s="780">
        <v>49185</v>
      </c>
      <c r="N588" s="780">
        <v>52605</v>
      </c>
      <c r="O588" s="780">
        <v>55980</v>
      </c>
      <c r="P588" s="39"/>
      <c r="Q588" s="39"/>
    </row>
    <row r="589" spans="1:17">
      <c r="A589" s="38"/>
      <c r="B589" s="781">
        <v>0.4</v>
      </c>
      <c r="C589" s="778">
        <v>660</v>
      </c>
      <c r="D589" s="778">
        <v>707</v>
      </c>
      <c r="E589" s="778">
        <v>848</v>
      </c>
      <c r="F589" s="778">
        <v>980</v>
      </c>
      <c r="G589" s="778">
        <v>1093</v>
      </c>
      <c r="H589" s="778">
        <v>26400</v>
      </c>
      <c r="I589" s="778">
        <v>30160</v>
      </c>
      <c r="J589" s="778">
        <v>33920</v>
      </c>
      <c r="K589" s="778">
        <v>37680</v>
      </c>
      <c r="L589" s="778">
        <v>40720</v>
      </c>
      <c r="M589" s="780">
        <v>43720</v>
      </c>
      <c r="N589" s="780">
        <v>46760</v>
      </c>
      <c r="O589" s="780">
        <v>49760</v>
      </c>
      <c r="P589" s="39"/>
      <c r="Q589" s="39"/>
    </row>
    <row r="590" spans="1:17">
      <c r="A590" s="38"/>
      <c r="B590" s="522">
        <v>0.3</v>
      </c>
      <c r="C590" s="778">
        <v>495</v>
      </c>
      <c r="D590" s="778">
        <v>530</v>
      </c>
      <c r="E590" s="778">
        <v>636</v>
      </c>
      <c r="F590" s="778">
        <v>735</v>
      </c>
      <c r="G590" s="778">
        <v>819</v>
      </c>
      <c r="H590" s="779">
        <v>19800</v>
      </c>
      <c r="I590" s="779">
        <v>22620</v>
      </c>
      <c r="J590" s="779">
        <v>25440</v>
      </c>
      <c r="K590" s="779">
        <v>28260</v>
      </c>
      <c r="L590" s="779">
        <v>30540</v>
      </c>
      <c r="M590" s="779">
        <v>32790</v>
      </c>
      <c r="N590" s="779">
        <v>35070</v>
      </c>
      <c r="O590" s="779">
        <v>37320</v>
      </c>
      <c r="P590" s="39"/>
      <c r="Q590" s="39"/>
    </row>
    <row r="591" spans="1:17" ht="13.5" thickBot="1">
      <c r="A591" s="782"/>
      <c r="B591" s="40">
        <v>0.2</v>
      </c>
      <c r="C591" s="524">
        <v>330</v>
      </c>
      <c r="D591" s="524">
        <v>353</v>
      </c>
      <c r="E591" s="524">
        <v>424</v>
      </c>
      <c r="F591" s="524">
        <v>490</v>
      </c>
      <c r="G591" s="524">
        <v>546</v>
      </c>
      <c r="H591" s="525">
        <v>13200</v>
      </c>
      <c r="I591" s="525">
        <v>15080</v>
      </c>
      <c r="J591" s="525">
        <v>16960</v>
      </c>
      <c r="K591" s="525">
        <v>18840</v>
      </c>
      <c r="L591" s="525">
        <v>20360</v>
      </c>
      <c r="M591" s="525">
        <v>21860</v>
      </c>
      <c r="N591" s="525">
        <v>23380</v>
      </c>
      <c r="O591" s="525">
        <v>24880</v>
      </c>
      <c r="P591" s="39"/>
      <c r="Q591" s="39"/>
    </row>
    <row r="592" spans="1:17" ht="13.5" thickTop="1">
      <c r="A592" s="38"/>
      <c r="B592" s="37">
        <v>1.2</v>
      </c>
      <c r="C592" s="526">
        <v>1980</v>
      </c>
      <c r="D592" s="526">
        <v>2121</v>
      </c>
      <c r="E592" s="526">
        <v>2544</v>
      </c>
      <c r="F592" s="526">
        <v>2940</v>
      </c>
      <c r="G592" s="526">
        <v>3279</v>
      </c>
      <c r="H592" s="526">
        <v>79200</v>
      </c>
      <c r="I592" s="526">
        <v>90480</v>
      </c>
      <c r="J592" s="526">
        <v>101760</v>
      </c>
      <c r="K592" s="526">
        <v>113040</v>
      </c>
      <c r="L592" s="526">
        <v>122160</v>
      </c>
      <c r="M592" s="526">
        <v>131160</v>
      </c>
      <c r="N592" s="526">
        <v>140280</v>
      </c>
      <c r="O592" s="526">
        <v>149280</v>
      </c>
      <c r="P592" s="39"/>
      <c r="Q592" s="39"/>
    </row>
    <row r="593" spans="1:17">
      <c r="A593" s="38"/>
      <c r="B593" s="781">
        <v>1</v>
      </c>
      <c r="C593" s="778">
        <v>1650</v>
      </c>
      <c r="D593" s="778">
        <v>1767</v>
      </c>
      <c r="E593" s="778">
        <v>2120</v>
      </c>
      <c r="F593" s="778">
        <v>2450</v>
      </c>
      <c r="G593" s="778">
        <v>2732</v>
      </c>
      <c r="H593" s="778">
        <v>66000</v>
      </c>
      <c r="I593" s="778">
        <v>75400</v>
      </c>
      <c r="J593" s="778">
        <v>84800</v>
      </c>
      <c r="K593" s="778">
        <v>94200</v>
      </c>
      <c r="L593" s="778">
        <v>101800</v>
      </c>
      <c r="M593" s="778">
        <v>109300</v>
      </c>
      <c r="N593" s="778">
        <v>116900</v>
      </c>
      <c r="O593" s="778">
        <v>124400</v>
      </c>
      <c r="P593" s="39"/>
      <c r="Q593" s="39"/>
    </row>
    <row r="594" spans="1:17">
      <c r="A594" s="38" t="s">
        <v>1318</v>
      </c>
      <c r="B594" s="781">
        <v>0.8</v>
      </c>
      <c r="C594" s="778">
        <v>1320</v>
      </c>
      <c r="D594" s="778">
        <v>1414</v>
      </c>
      <c r="E594" s="778">
        <v>1696</v>
      </c>
      <c r="F594" s="778">
        <v>1960</v>
      </c>
      <c r="G594" s="778">
        <v>2186</v>
      </c>
      <c r="H594" s="779">
        <v>52800</v>
      </c>
      <c r="I594" s="779">
        <v>60320</v>
      </c>
      <c r="J594" s="779">
        <v>67840</v>
      </c>
      <c r="K594" s="779">
        <v>75360</v>
      </c>
      <c r="L594" s="779">
        <v>81440</v>
      </c>
      <c r="M594" s="779">
        <v>87440</v>
      </c>
      <c r="N594" s="779">
        <v>93520</v>
      </c>
      <c r="O594" s="779">
        <v>99520</v>
      </c>
      <c r="P594" s="39"/>
      <c r="Q594" s="39"/>
    </row>
    <row r="595" spans="1:17">
      <c r="A595" s="38"/>
      <c r="B595" s="781">
        <v>0.7</v>
      </c>
      <c r="C595" s="778">
        <v>1155</v>
      </c>
      <c r="D595" s="778">
        <v>1237</v>
      </c>
      <c r="E595" s="778">
        <v>1484</v>
      </c>
      <c r="F595" s="778">
        <v>1715</v>
      </c>
      <c r="G595" s="778">
        <v>1912</v>
      </c>
      <c r="H595" s="779">
        <v>46200</v>
      </c>
      <c r="I595" s="779">
        <v>52780</v>
      </c>
      <c r="J595" s="779">
        <v>59359.999999999993</v>
      </c>
      <c r="K595" s="779">
        <v>65940</v>
      </c>
      <c r="L595" s="779">
        <v>71260</v>
      </c>
      <c r="M595" s="779">
        <v>76510</v>
      </c>
      <c r="N595" s="779">
        <v>81830</v>
      </c>
      <c r="O595" s="779">
        <v>87080</v>
      </c>
      <c r="P595" s="39"/>
      <c r="Q595" s="39"/>
    </row>
    <row r="596" spans="1:17">
      <c r="A596" s="38"/>
      <c r="B596" s="781">
        <v>0.6</v>
      </c>
      <c r="C596" s="778">
        <v>990</v>
      </c>
      <c r="D596" s="778">
        <v>1060</v>
      </c>
      <c r="E596" s="778">
        <v>1272</v>
      </c>
      <c r="F596" s="778">
        <v>1470</v>
      </c>
      <c r="G596" s="778">
        <v>1639</v>
      </c>
      <c r="H596" s="778">
        <v>39600</v>
      </c>
      <c r="I596" s="778">
        <v>45240</v>
      </c>
      <c r="J596" s="778">
        <v>50880</v>
      </c>
      <c r="K596" s="778">
        <v>56520</v>
      </c>
      <c r="L596" s="778">
        <v>61080</v>
      </c>
      <c r="M596" s="780">
        <v>65580</v>
      </c>
      <c r="N596" s="780">
        <v>70140</v>
      </c>
      <c r="O596" s="780">
        <v>74640</v>
      </c>
      <c r="P596" s="39"/>
      <c r="Q596" s="39"/>
    </row>
    <row r="597" spans="1:17">
      <c r="A597" s="38"/>
      <c r="B597" s="781">
        <v>0.55000000000000004</v>
      </c>
      <c r="C597" s="778">
        <v>907</v>
      </c>
      <c r="D597" s="778">
        <v>972</v>
      </c>
      <c r="E597" s="778">
        <v>1166</v>
      </c>
      <c r="F597" s="778">
        <v>1347</v>
      </c>
      <c r="G597" s="778">
        <v>1502</v>
      </c>
      <c r="H597" s="778">
        <v>36300</v>
      </c>
      <c r="I597" s="778">
        <v>41470</v>
      </c>
      <c r="J597" s="778">
        <v>46640.000000000007</v>
      </c>
      <c r="K597" s="778">
        <v>51810.000000000007</v>
      </c>
      <c r="L597" s="778">
        <v>55990.000000000007</v>
      </c>
      <c r="M597" s="778">
        <v>60115.000000000007</v>
      </c>
      <c r="N597" s="778">
        <v>64295.000000000007</v>
      </c>
      <c r="O597" s="778">
        <v>68420</v>
      </c>
      <c r="P597" s="39"/>
      <c r="Q597" s="39"/>
    </row>
    <row r="598" spans="1:17">
      <c r="A598" s="38"/>
      <c r="B598" s="781">
        <v>0.5</v>
      </c>
      <c r="C598" s="778">
        <v>825</v>
      </c>
      <c r="D598" s="778">
        <v>883</v>
      </c>
      <c r="E598" s="778">
        <v>1060</v>
      </c>
      <c r="F598" s="778">
        <v>1225</v>
      </c>
      <c r="G598" s="778">
        <v>1366</v>
      </c>
      <c r="H598" s="779">
        <v>33000</v>
      </c>
      <c r="I598" s="779">
        <v>37700</v>
      </c>
      <c r="J598" s="779">
        <v>42400</v>
      </c>
      <c r="K598" s="779">
        <v>47100</v>
      </c>
      <c r="L598" s="779">
        <v>50900</v>
      </c>
      <c r="M598" s="779">
        <v>54650</v>
      </c>
      <c r="N598" s="779">
        <v>58450</v>
      </c>
      <c r="O598" s="779">
        <v>62200</v>
      </c>
      <c r="P598" s="39"/>
      <c r="Q598" s="39"/>
    </row>
    <row r="599" spans="1:17">
      <c r="A599" s="38"/>
      <c r="B599" s="781">
        <v>0.45</v>
      </c>
      <c r="C599" s="778">
        <v>742</v>
      </c>
      <c r="D599" s="778">
        <v>795</v>
      </c>
      <c r="E599" s="778">
        <v>954</v>
      </c>
      <c r="F599" s="778">
        <v>1102</v>
      </c>
      <c r="G599" s="778">
        <v>1229</v>
      </c>
      <c r="H599" s="778">
        <v>29700</v>
      </c>
      <c r="I599" s="778">
        <v>33930</v>
      </c>
      <c r="J599" s="778">
        <v>38160</v>
      </c>
      <c r="K599" s="778">
        <v>42390</v>
      </c>
      <c r="L599" s="778">
        <v>45810</v>
      </c>
      <c r="M599" s="780">
        <v>49185</v>
      </c>
      <c r="N599" s="780">
        <v>52605</v>
      </c>
      <c r="O599" s="780">
        <v>55980</v>
      </c>
      <c r="P599" s="39"/>
      <c r="Q599" s="39"/>
    </row>
    <row r="600" spans="1:17">
      <c r="A600" s="38"/>
      <c r="B600" s="781">
        <v>0.4</v>
      </c>
      <c r="C600" s="778">
        <v>660</v>
      </c>
      <c r="D600" s="778">
        <v>707</v>
      </c>
      <c r="E600" s="778">
        <v>848</v>
      </c>
      <c r="F600" s="778">
        <v>980</v>
      </c>
      <c r="G600" s="778">
        <v>1093</v>
      </c>
      <c r="H600" s="778">
        <v>26400</v>
      </c>
      <c r="I600" s="778">
        <v>30160</v>
      </c>
      <c r="J600" s="778">
        <v>33920</v>
      </c>
      <c r="K600" s="778">
        <v>37680</v>
      </c>
      <c r="L600" s="778">
        <v>40720</v>
      </c>
      <c r="M600" s="780">
        <v>43720</v>
      </c>
      <c r="N600" s="780">
        <v>46760</v>
      </c>
      <c r="O600" s="780">
        <v>49760</v>
      </c>
      <c r="P600" s="39"/>
      <c r="Q600" s="39"/>
    </row>
    <row r="601" spans="1:17">
      <c r="A601" s="38"/>
      <c r="B601" s="522">
        <v>0.3</v>
      </c>
      <c r="C601" s="778">
        <v>495</v>
      </c>
      <c r="D601" s="778">
        <v>530</v>
      </c>
      <c r="E601" s="778">
        <v>636</v>
      </c>
      <c r="F601" s="778">
        <v>735</v>
      </c>
      <c r="G601" s="778">
        <v>819</v>
      </c>
      <c r="H601" s="779">
        <v>19800</v>
      </c>
      <c r="I601" s="779">
        <v>22620</v>
      </c>
      <c r="J601" s="779">
        <v>25440</v>
      </c>
      <c r="K601" s="779">
        <v>28260</v>
      </c>
      <c r="L601" s="779">
        <v>30540</v>
      </c>
      <c r="M601" s="779">
        <v>32790</v>
      </c>
      <c r="N601" s="779">
        <v>35070</v>
      </c>
      <c r="O601" s="779">
        <v>37320</v>
      </c>
      <c r="P601" s="39"/>
      <c r="Q601" s="39"/>
    </row>
    <row r="602" spans="1:17" ht="13.5" thickBot="1">
      <c r="A602" s="782"/>
      <c r="B602" s="40">
        <v>0.2</v>
      </c>
      <c r="C602" s="524">
        <v>330</v>
      </c>
      <c r="D602" s="524">
        <v>353</v>
      </c>
      <c r="E602" s="524">
        <v>424</v>
      </c>
      <c r="F602" s="524">
        <v>490</v>
      </c>
      <c r="G602" s="524">
        <v>546</v>
      </c>
      <c r="H602" s="525">
        <v>13200</v>
      </c>
      <c r="I602" s="525">
        <v>15080</v>
      </c>
      <c r="J602" s="525">
        <v>16960</v>
      </c>
      <c r="K602" s="525">
        <v>18840</v>
      </c>
      <c r="L602" s="525">
        <v>20360</v>
      </c>
      <c r="M602" s="525">
        <v>21860</v>
      </c>
      <c r="N602" s="525">
        <v>23380</v>
      </c>
      <c r="O602" s="525">
        <v>24880</v>
      </c>
      <c r="P602" s="39"/>
      <c r="Q602" s="39"/>
    </row>
    <row r="603" spans="1:17" ht="13.5" thickTop="1">
      <c r="A603" s="38"/>
      <c r="B603" s="37">
        <v>1.2</v>
      </c>
      <c r="C603" s="526">
        <v>2502</v>
      </c>
      <c r="D603" s="526">
        <v>2680</v>
      </c>
      <c r="E603" s="526">
        <v>3216</v>
      </c>
      <c r="F603" s="526">
        <v>3717</v>
      </c>
      <c r="G603" s="526">
        <v>4146</v>
      </c>
      <c r="H603" s="526">
        <v>100080</v>
      </c>
      <c r="I603" s="526">
        <v>114360</v>
      </c>
      <c r="J603" s="526">
        <v>128640</v>
      </c>
      <c r="K603" s="526">
        <v>142920</v>
      </c>
      <c r="L603" s="526">
        <v>154440</v>
      </c>
      <c r="M603" s="526">
        <v>165840</v>
      </c>
      <c r="N603" s="526">
        <v>177240</v>
      </c>
      <c r="O603" s="526">
        <v>188760</v>
      </c>
      <c r="P603" s="45"/>
      <c r="Q603" s="45"/>
    </row>
    <row r="604" spans="1:17">
      <c r="A604" s="38"/>
      <c r="B604" s="781">
        <v>1</v>
      </c>
      <c r="C604" s="778">
        <v>2085</v>
      </c>
      <c r="D604" s="778">
        <v>2233</v>
      </c>
      <c r="E604" s="778">
        <v>2680</v>
      </c>
      <c r="F604" s="778">
        <v>3097</v>
      </c>
      <c r="G604" s="778">
        <v>3455</v>
      </c>
      <c r="H604" s="778">
        <v>83400</v>
      </c>
      <c r="I604" s="778">
        <v>95300</v>
      </c>
      <c r="J604" s="778">
        <v>107200</v>
      </c>
      <c r="K604" s="778">
        <v>119100</v>
      </c>
      <c r="L604" s="778">
        <v>128700</v>
      </c>
      <c r="M604" s="778">
        <v>138200</v>
      </c>
      <c r="N604" s="778">
        <v>147700</v>
      </c>
      <c r="O604" s="778">
        <v>157300</v>
      </c>
      <c r="P604" s="39"/>
      <c r="Q604" s="39"/>
    </row>
    <row r="605" spans="1:17">
      <c r="A605" s="38" t="s">
        <v>1319</v>
      </c>
      <c r="B605" s="781">
        <v>0.8</v>
      </c>
      <c r="C605" s="778">
        <v>1668</v>
      </c>
      <c r="D605" s="778">
        <v>1787</v>
      </c>
      <c r="E605" s="778">
        <v>2144</v>
      </c>
      <c r="F605" s="778">
        <v>2478</v>
      </c>
      <c r="G605" s="778">
        <v>2764</v>
      </c>
      <c r="H605" s="779">
        <v>66720</v>
      </c>
      <c r="I605" s="779">
        <v>76240</v>
      </c>
      <c r="J605" s="779">
        <v>85760</v>
      </c>
      <c r="K605" s="779">
        <v>95280</v>
      </c>
      <c r="L605" s="779">
        <v>102960</v>
      </c>
      <c r="M605" s="779">
        <v>110560</v>
      </c>
      <c r="N605" s="779">
        <v>118160</v>
      </c>
      <c r="O605" s="779">
        <v>125840</v>
      </c>
      <c r="P605" s="39"/>
      <c r="Q605" s="39"/>
    </row>
    <row r="606" spans="1:17">
      <c r="A606" s="38"/>
      <c r="B606" s="781">
        <v>0.7</v>
      </c>
      <c r="C606" s="778">
        <v>1459</v>
      </c>
      <c r="D606" s="778">
        <v>1563</v>
      </c>
      <c r="E606" s="778">
        <v>1876</v>
      </c>
      <c r="F606" s="778">
        <v>2168</v>
      </c>
      <c r="G606" s="778">
        <v>2418</v>
      </c>
      <c r="H606" s="779">
        <v>58379.999999999993</v>
      </c>
      <c r="I606" s="779">
        <v>66710</v>
      </c>
      <c r="J606" s="779">
        <v>75040</v>
      </c>
      <c r="K606" s="779">
        <v>83370</v>
      </c>
      <c r="L606" s="779">
        <v>90090</v>
      </c>
      <c r="M606" s="779">
        <v>96740</v>
      </c>
      <c r="N606" s="779">
        <v>103390</v>
      </c>
      <c r="O606" s="779">
        <v>110110</v>
      </c>
      <c r="P606" s="39"/>
      <c r="Q606" s="39"/>
    </row>
    <row r="607" spans="1:17">
      <c r="A607" s="38"/>
      <c r="B607" s="781">
        <v>0.6</v>
      </c>
      <c r="C607" s="778">
        <v>1251</v>
      </c>
      <c r="D607" s="778">
        <v>1340</v>
      </c>
      <c r="E607" s="778">
        <v>1608</v>
      </c>
      <c r="F607" s="778">
        <v>1858</v>
      </c>
      <c r="G607" s="778">
        <v>2073</v>
      </c>
      <c r="H607" s="778">
        <v>50040</v>
      </c>
      <c r="I607" s="778">
        <v>57180</v>
      </c>
      <c r="J607" s="778">
        <v>64320</v>
      </c>
      <c r="K607" s="778">
        <v>71460</v>
      </c>
      <c r="L607" s="778">
        <v>77220</v>
      </c>
      <c r="M607" s="780">
        <v>82920</v>
      </c>
      <c r="N607" s="780">
        <v>88620</v>
      </c>
      <c r="O607" s="780">
        <v>94380</v>
      </c>
      <c r="P607" s="39"/>
      <c r="Q607" s="39"/>
    </row>
    <row r="608" spans="1:17">
      <c r="A608" s="38"/>
      <c r="B608" s="781">
        <v>0.55000000000000004</v>
      </c>
      <c r="C608" s="778">
        <v>1146</v>
      </c>
      <c r="D608" s="778">
        <v>1228</v>
      </c>
      <c r="E608" s="778">
        <v>1474</v>
      </c>
      <c r="F608" s="778">
        <v>1703</v>
      </c>
      <c r="G608" s="778">
        <v>1900</v>
      </c>
      <c r="H608" s="778">
        <v>45870.000000000007</v>
      </c>
      <c r="I608" s="778">
        <v>52415.000000000007</v>
      </c>
      <c r="J608" s="778">
        <v>58960.000000000007</v>
      </c>
      <c r="K608" s="778">
        <v>65505.000000000007</v>
      </c>
      <c r="L608" s="778">
        <v>70785</v>
      </c>
      <c r="M608" s="778">
        <v>76010</v>
      </c>
      <c r="N608" s="778">
        <v>81235</v>
      </c>
      <c r="O608" s="778">
        <v>86515</v>
      </c>
      <c r="P608" s="39"/>
      <c r="Q608" s="39"/>
    </row>
    <row r="609" spans="1:17">
      <c r="A609" s="38"/>
      <c r="B609" s="781">
        <v>0.5</v>
      </c>
      <c r="C609" s="778">
        <v>1042</v>
      </c>
      <c r="D609" s="778">
        <v>1116</v>
      </c>
      <c r="E609" s="778">
        <v>1340</v>
      </c>
      <c r="F609" s="778">
        <v>1548</v>
      </c>
      <c r="G609" s="778">
        <v>1727</v>
      </c>
      <c r="H609" s="779">
        <v>41700</v>
      </c>
      <c r="I609" s="779">
        <v>47650</v>
      </c>
      <c r="J609" s="779">
        <v>53600</v>
      </c>
      <c r="K609" s="779">
        <v>59550</v>
      </c>
      <c r="L609" s="779">
        <v>64350</v>
      </c>
      <c r="M609" s="779">
        <v>69100</v>
      </c>
      <c r="N609" s="779">
        <v>73850</v>
      </c>
      <c r="O609" s="779">
        <v>78650</v>
      </c>
      <c r="P609" s="39"/>
      <c r="Q609" s="39"/>
    </row>
    <row r="610" spans="1:17">
      <c r="A610" s="38"/>
      <c r="B610" s="781">
        <v>0.45</v>
      </c>
      <c r="C610" s="778">
        <v>938</v>
      </c>
      <c r="D610" s="778">
        <v>1005</v>
      </c>
      <c r="E610" s="778">
        <v>1206</v>
      </c>
      <c r="F610" s="778">
        <v>1393</v>
      </c>
      <c r="G610" s="778">
        <v>1554</v>
      </c>
      <c r="H610" s="778">
        <v>37530</v>
      </c>
      <c r="I610" s="778">
        <v>42885</v>
      </c>
      <c r="J610" s="778">
        <v>48240</v>
      </c>
      <c r="K610" s="778">
        <v>53595</v>
      </c>
      <c r="L610" s="778">
        <v>57915</v>
      </c>
      <c r="M610" s="780">
        <v>62190</v>
      </c>
      <c r="N610" s="780">
        <v>66465</v>
      </c>
      <c r="O610" s="780">
        <v>70785</v>
      </c>
      <c r="P610" s="39"/>
      <c r="Q610" s="39"/>
    </row>
    <row r="611" spans="1:17">
      <c r="A611" s="38"/>
      <c r="B611" s="781">
        <v>0.4</v>
      </c>
      <c r="C611" s="778">
        <v>834</v>
      </c>
      <c r="D611" s="778">
        <v>893</v>
      </c>
      <c r="E611" s="778">
        <v>1072</v>
      </c>
      <c r="F611" s="778">
        <v>1239</v>
      </c>
      <c r="G611" s="778">
        <v>1382</v>
      </c>
      <c r="H611" s="778">
        <v>33360</v>
      </c>
      <c r="I611" s="778">
        <v>38120</v>
      </c>
      <c r="J611" s="778">
        <v>42880</v>
      </c>
      <c r="K611" s="778">
        <v>47640</v>
      </c>
      <c r="L611" s="778">
        <v>51480</v>
      </c>
      <c r="M611" s="780">
        <v>55280</v>
      </c>
      <c r="N611" s="780">
        <v>59080</v>
      </c>
      <c r="O611" s="780">
        <v>62920</v>
      </c>
      <c r="P611" s="39"/>
      <c r="Q611" s="39"/>
    </row>
    <row r="612" spans="1:17">
      <c r="A612" s="38"/>
      <c r="B612" s="522">
        <v>0.3</v>
      </c>
      <c r="C612" s="778">
        <v>625</v>
      </c>
      <c r="D612" s="778">
        <v>670</v>
      </c>
      <c r="E612" s="778">
        <v>804</v>
      </c>
      <c r="F612" s="778">
        <v>929</v>
      </c>
      <c r="G612" s="778">
        <v>1036</v>
      </c>
      <c r="H612" s="779">
        <v>25020</v>
      </c>
      <c r="I612" s="779">
        <v>28590</v>
      </c>
      <c r="J612" s="779">
        <v>32160</v>
      </c>
      <c r="K612" s="779">
        <v>35730</v>
      </c>
      <c r="L612" s="779">
        <v>38610</v>
      </c>
      <c r="M612" s="779">
        <v>41460</v>
      </c>
      <c r="N612" s="779">
        <v>44310</v>
      </c>
      <c r="O612" s="779">
        <v>47190</v>
      </c>
      <c r="P612" s="39"/>
      <c r="Q612" s="39"/>
    </row>
    <row r="613" spans="1:17" ht="13.5" thickBot="1">
      <c r="A613" s="782"/>
      <c r="B613" s="40">
        <v>0.2</v>
      </c>
      <c r="C613" s="524">
        <v>417</v>
      </c>
      <c r="D613" s="524">
        <v>446</v>
      </c>
      <c r="E613" s="524">
        <v>536</v>
      </c>
      <c r="F613" s="524">
        <v>619</v>
      </c>
      <c r="G613" s="524">
        <v>691</v>
      </c>
      <c r="H613" s="525">
        <v>16680</v>
      </c>
      <c r="I613" s="525">
        <v>19060</v>
      </c>
      <c r="J613" s="525">
        <v>21440</v>
      </c>
      <c r="K613" s="525">
        <v>23820</v>
      </c>
      <c r="L613" s="525">
        <v>25740</v>
      </c>
      <c r="M613" s="525">
        <v>27640</v>
      </c>
      <c r="N613" s="525">
        <v>29540</v>
      </c>
      <c r="O613" s="525">
        <v>31460</v>
      </c>
      <c r="P613" s="39"/>
      <c r="Q613" s="39"/>
    </row>
    <row r="614" spans="1:17" ht="13.5" thickTop="1">
      <c r="A614" s="38"/>
      <c r="B614" s="37">
        <v>1.2</v>
      </c>
      <c r="C614" s="526">
        <v>1980</v>
      </c>
      <c r="D614" s="526">
        <v>2121</v>
      </c>
      <c r="E614" s="526">
        <v>2544</v>
      </c>
      <c r="F614" s="526">
        <v>2940</v>
      </c>
      <c r="G614" s="526">
        <v>3279</v>
      </c>
      <c r="H614" s="526">
        <v>79200</v>
      </c>
      <c r="I614" s="526">
        <v>90480</v>
      </c>
      <c r="J614" s="526">
        <v>101760</v>
      </c>
      <c r="K614" s="526">
        <v>113040</v>
      </c>
      <c r="L614" s="526">
        <v>122160</v>
      </c>
      <c r="M614" s="526">
        <v>131160</v>
      </c>
      <c r="N614" s="526">
        <v>140280</v>
      </c>
      <c r="O614" s="526">
        <v>149280</v>
      </c>
      <c r="P614" s="39"/>
      <c r="Q614" s="39"/>
    </row>
    <row r="615" spans="1:17">
      <c r="A615" s="38"/>
      <c r="B615" s="781">
        <v>1</v>
      </c>
      <c r="C615" s="778">
        <v>1650</v>
      </c>
      <c r="D615" s="778">
        <v>1767</v>
      </c>
      <c r="E615" s="778">
        <v>2120</v>
      </c>
      <c r="F615" s="778">
        <v>2450</v>
      </c>
      <c r="G615" s="778">
        <v>2732</v>
      </c>
      <c r="H615" s="778">
        <v>66000</v>
      </c>
      <c r="I615" s="778">
        <v>75400</v>
      </c>
      <c r="J615" s="778">
        <v>84800</v>
      </c>
      <c r="K615" s="778">
        <v>94200</v>
      </c>
      <c r="L615" s="778">
        <v>101800</v>
      </c>
      <c r="M615" s="778">
        <v>109300</v>
      </c>
      <c r="N615" s="778">
        <v>116900</v>
      </c>
      <c r="O615" s="778">
        <v>124400</v>
      </c>
      <c r="P615" s="39"/>
      <c r="Q615" s="39"/>
    </row>
    <row r="616" spans="1:17">
      <c r="A616" s="38" t="s">
        <v>1320</v>
      </c>
      <c r="B616" s="781">
        <v>0.8</v>
      </c>
      <c r="C616" s="778">
        <v>1320</v>
      </c>
      <c r="D616" s="778">
        <v>1414</v>
      </c>
      <c r="E616" s="778">
        <v>1696</v>
      </c>
      <c r="F616" s="778">
        <v>1960</v>
      </c>
      <c r="G616" s="778">
        <v>2186</v>
      </c>
      <c r="H616" s="779">
        <v>52800</v>
      </c>
      <c r="I616" s="779">
        <v>60320</v>
      </c>
      <c r="J616" s="779">
        <v>67840</v>
      </c>
      <c r="K616" s="779">
        <v>75360</v>
      </c>
      <c r="L616" s="779">
        <v>81440</v>
      </c>
      <c r="M616" s="779">
        <v>87440</v>
      </c>
      <c r="N616" s="779">
        <v>93520</v>
      </c>
      <c r="O616" s="779">
        <v>99520</v>
      </c>
      <c r="P616" s="39"/>
      <c r="Q616" s="39"/>
    </row>
    <row r="617" spans="1:17">
      <c r="A617" s="38"/>
      <c r="B617" s="781">
        <v>0.7</v>
      </c>
      <c r="C617" s="778">
        <v>1155</v>
      </c>
      <c r="D617" s="778">
        <v>1237</v>
      </c>
      <c r="E617" s="778">
        <v>1484</v>
      </c>
      <c r="F617" s="778">
        <v>1715</v>
      </c>
      <c r="G617" s="778">
        <v>1912</v>
      </c>
      <c r="H617" s="779">
        <v>46200</v>
      </c>
      <c r="I617" s="779">
        <v>52780</v>
      </c>
      <c r="J617" s="779">
        <v>59359.999999999993</v>
      </c>
      <c r="K617" s="779">
        <v>65940</v>
      </c>
      <c r="L617" s="779">
        <v>71260</v>
      </c>
      <c r="M617" s="779">
        <v>76510</v>
      </c>
      <c r="N617" s="779">
        <v>81830</v>
      </c>
      <c r="O617" s="779">
        <v>87080</v>
      </c>
      <c r="P617" s="39"/>
      <c r="Q617" s="39"/>
    </row>
    <row r="618" spans="1:17">
      <c r="A618" s="38"/>
      <c r="B618" s="781">
        <v>0.6</v>
      </c>
      <c r="C618" s="778">
        <v>990</v>
      </c>
      <c r="D618" s="778">
        <v>1060</v>
      </c>
      <c r="E618" s="778">
        <v>1272</v>
      </c>
      <c r="F618" s="778">
        <v>1470</v>
      </c>
      <c r="G618" s="778">
        <v>1639</v>
      </c>
      <c r="H618" s="778">
        <v>39600</v>
      </c>
      <c r="I618" s="778">
        <v>45240</v>
      </c>
      <c r="J618" s="778">
        <v>50880</v>
      </c>
      <c r="K618" s="778">
        <v>56520</v>
      </c>
      <c r="L618" s="778">
        <v>61080</v>
      </c>
      <c r="M618" s="780">
        <v>65580</v>
      </c>
      <c r="N618" s="780">
        <v>70140</v>
      </c>
      <c r="O618" s="780">
        <v>74640</v>
      </c>
      <c r="P618" s="39"/>
      <c r="Q618" s="39"/>
    </row>
    <row r="619" spans="1:17">
      <c r="A619" s="38"/>
      <c r="B619" s="781">
        <v>0.55000000000000004</v>
      </c>
      <c r="C619" s="778">
        <v>907</v>
      </c>
      <c r="D619" s="778">
        <v>972</v>
      </c>
      <c r="E619" s="778">
        <v>1166</v>
      </c>
      <c r="F619" s="778">
        <v>1347</v>
      </c>
      <c r="G619" s="778">
        <v>1502</v>
      </c>
      <c r="H619" s="778">
        <v>36300</v>
      </c>
      <c r="I619" s="778">
        <v>41470</v>
      </c>
      <c r="J619" s="778">
        <v>46640.000000000007</v>
      </c>
      <c r="K619" s="778">
        <v>51810.000000000007</v>
      </c>
      <c r="L619" s="778">
        <v>55990.000000000007</v>
      </c>
      <c r="M619" s="778">
        <v>60115.000000000007</v>
      </c>
      <c r="N619" s="778">
        <v>64295.000000000007</v>
      </c>
      <c r="O619" s="778">
        <v>68420</v>
      </c>
      <c r="P619" s="39"/>
      <c r="Q619" s="39"/>
    </row>
    <row r="620" spans="1:17">
      <c r="A620" s="38"/>
      <c r="B620" s="781">
        <v>0.5</v>
      </c>
      <c r="C620" s="778">
        <v>825</v>
      </c>
      <c r="D620" s="778">
        <v>883</v>
      </c>
      <c r="E620" s="778">
        <v>1060</v>
      </c>
      <c r="F620" s="778">
        <v>1225</v>
      </c>
      <c r="G620" s="778">
        <v>1366</v>
      </c>
      <c r="H620" s="779">
        <v>33000</v>
      </c>
      <c r="I620" s="779">
        <v>37700</v>
      </c>
      <c r="J620" s="779">
        <v>42400</v>
      </c>
      <c r="K620" s="779">
        <v>47100</v>
      </c>
      <c r="L620" s="779">
        <v>50900</v>
      </c>
      <c r="M620" s="779">
        <v>54650</v>
      </c>
      <c r="N620" s="779">
        <v>58450</v>
      </c>
      <c r="O620" s="779">
        <v>62200</v>
      </c>
      <c r="P620" s="39"/>
      <c r="Q620" s="39"/>
    </row>
    <row r="621" spans="1:17">
      <c r="A621" s="38"/>
      <c r="B621" s="781">
        <v>0.45</v>
      </c>
      <c r="C621" s="778">
        <v>742</v>
      </c>
      <c r="D621" s="778">
        <v>795</v>
      </c>
      <c r="E621" s="778">
        <v>954</v>
      </c>
      <c r="F621" s="778">
        <v>1102</v>
      </c>
      <c r="G621" s="778">
        <v>1229</v>
      </c>
      <c r="H621" s="778">
        <v>29700</v>
      </c>
      <c r="I621" s="778">
        <v>33930</v>
      </c>
      <c r="J621" s="778">
        <v>38160</v>
      </c>
      <c r="K621" s="778">
        <v>42390</v>
      </c>
      <c r="L621" s="778">
        <v>45810</v>
      </c>
      <c r="M621" s="780">
        <v>49185</v>
      </c>
      <c r="N621" s="780">
        <v>52605</v>
      </c>
      <c r="O621" s="780">
        <v>55980</v>
      </c>
      <c r="P621" s="39"/>
      <c r="Q621" s="39"/>
    </row>
    <row r="622" spans="1:17">
      <c r="A622" s="38"/>
      <c r="B622" s="781">
        <v>0.4</v>
      </c>
      <c r="C622" s="778">
        <v>660</v>
      </c>
      <c r="D622" s="778">
        <v>707</v>
      </c>
      <c r="E622" s="778">
        <v>848</v>
      </c>
      <c r="F622" s="778">
        <v>980</v>
      </c>
      <c r="G622" s="778">
        <v>1093</v>
      </c>
      <c r="H622" s="778">
        <v>26400</v>
      </c>
      <c r="I622" s="778">
        <v>30160</v>
      </c>
      <c r="J622" s="778">
        <v>33920</v>
      </c>
      <c r="K622" s="778">
        <v>37680</v>
      </c>
      <c r="L622" s="778">
        <v>40720</v>
      </c>
      <c r="M622" s="780">
        <v>43720</v>
      </c>
      <c r="N622" s="780">
        <v>46760</v>
      </c>
      <c r="O622" s="780">
        <v>49760</v>
      </c>
      <c r="P622" s="39"/>
      <c r="Q622" s="39"/>
    </row>
    <row r="623" spans="1:17">
      <c r="A623" s="38"/>
      <c r="B623" s="522">
        <v>0.3</v>
      </c>
      <c r="C623" s="778">
        <v>495</v>
      </c>
      <c r="D623" s="778">
        <v>530</v>
      </c>
      <c r="E623" s="778">
        <v>636</v>
      </c>
      <c r="F623" s="778">
        <v>735</v>
      </c>
      <c r="G623" s="778">
        <v>819</v>
      </c>
      <c r="H623" s="779">
        <v>19800</v>
      </c>
      <c r="I623" s="779">
        <v>22620</v>
      </c>
      <c r="J623" s="779">
        <v>25440</v>
      </c>
      <c r="K623" s="779">
        <v>28260</v>
      </c>
      <c r="L623" s="779">
        <v>30540</v>
      </c>
      <c r="M623" s="779">
        <v>32790</v>
      </c>
      <c r="N623" s="779">
        <v>35070</v>
      </c>
      <c r="O623" s="779">
        <v>37320</v>
      </c>
      <c r="P623" s="39"/>
      <c r="Q623" s="39"/>
    </row>
    <row r="624" spans="1:17" ht="13.5" thickBot="1">
      <c r="A624" s="782"/>
      <c r="B624" s="40">
        <v>0.2</v>
      </c>
      <c r="C624" s="524">
        <v>330</v>
      </c>
      <c r="D624" s="524">
        <v>353</v>
      </c>
      <c r="E624" s="524">
        <v>424</v>
      </c>
      <c r="F624" s="524">
        <v>490</v>
      </c>
      <c r="G624" s="524">
        <v>546</v>
      </c>
      <c r="H624" s="525">
        <v>13200</v>
      </c>
      <c r="I624" s="525">
        <v>15080</v>
      </c>
      <c r="J624" s="525">
        <v>16960</v>
      </c>
      <c r="K624" s="525">
        <v>18840</v>
      </c>
      <c r="L624" s="525">
        <v>20360</v>
      </c>
      <c r="M624" s="525">
        <v>21860</v>
      </c>
      <c r="N624" s="525">
        <v>23380</v>
      </c>
      <c r="O624" s="525">
        <v>24880</v>
      </c>
      <c r="P624" s="39"/>
      <c r="Q624" s="39"/>
    </row>
    <row r="625" spans="1:17" ht="13.5" thickTop="1">
      <c r="A625" s="38"/>
      <c r="B625" s="37">
        <v>1.2</v>
      </c>
      <c r="C625" s="526">
        <v>1980</v>
      </c>
      <c r="D625" s="526">
        <v>2121</v>
      </c>
      <c r="E625" s="526">
        <v>2544</v>
      </c>
      <c r="F625" s="526">
        <v>2940</v>
      </c>
      <c r="G625" s="526">
        <v>3279</v>
      </c>
      <c r="H625" s="526">
        <v>79200</v>
      </c>
      <c r="I625" s="526">
        <v>90480</v>
      </c>
      <c r="J625" s="526">
        <v>101760</v>
      </c>
      <c r="K625" s="526">
        <v>113040</v>
      </c>
      <c r="L625" s="526">
        <v>122160</v>
      </c>
      <c r="M625" s="526">
        <v>131160</v>
      </c>
      <c r="N625" s="526">
        <v>140280</v>
      </c>
      <c r="O625" s="526">
        <v>149280</v>
      </c>
      <c r="P625" s="45"/>
      <c r="Q625" s="45"/>
    </row>
    <row r="626" spans="1:17">
      <c r="A626" s="38"/>
      <c r="B626" s="781">
        <v>1</v>
      </c>
      <c r="C626" s="778">
        <v>1650</v>
      </c>
      <c r="D626" s="778">
        <v>1767</v>
      </c>
      <c r="E626" s="778">
        <v>2120</v>
      </c>
      <c r="F626" s="778">
        <v>2450</v>
      </c>
      <c r="G626" s="778">
        <v>2732</v>
      </c>
      <c r="H626" s="778">
        <v>66000</v>
      </c>
      <c r="I626" s="778">
        <v>75400</v>
      </c>
      <c r="J626" s="778">
        <v>84800</v>
      </c>
      <c r="K626" s="778">
        <v>94200</v>
      </c>
      <c r="L626" s="778">
        <v>101800</v>
      </c>
      <c r="M626" s="778">
        <v>109300</v>
      </c>
      <c r="N626" s="778">
        <v>116900</v>
      </c>
      <c r="O626" s="778">
        <v>124400</v>
      </c>
      <c r="P626" s="39"/>
      <c r="Q626" s="39"/>
    </row>
    <row r="627" spans="1:17">
      <c r="A627" s="38" t="s">
        <v>1321</v>
      </c>
      <c r="B627" s="781">
        <v>0.8</v>
      </c>
      <c r="C627" s="778">
        <v>1320</v>
      </c>
      <c r="D627" s="778">
        <v>1414</v>
      </c>
      <c r="E627" s="778">
        <v>1696</v>
      </c>
      <c r="F627" s="778">
        <v>1960</v>
      </c>
      <c r="G627" s="778">
        <v>2186</v>
      </c>
      <c r="H627" s="779">
        <v>52800</v>
      </c>
      <c r="I627" s="779">
        <v>60320</v>
      </c>
      <c r="J627" s="779">
        <v>67840</v>
      </c>
      <c r="K627" s="779">
        <v>75360</v>
      </c>
      <c r="L627" s="779">
        <v>81440</v>
      </c>
      <c r="M627" s="779">
        <v>87440</v>
      </c>
      <c r="N627" s="779">
        <v>93520</v>
      </c>
      <c r="O627" s="779">
        <v>99520</v>
      </c>
      <c r="P627" s="39"/>
      <c r="Q627" s="39"/>
    </row>
    <row r="628" spans="1:17">
      <c r="A628" s="38"/>
      <c r="B628" s="781">
        <v>0.7</v>
      </c>
      <c r="C628" s="778">
        <v>1155</v>
      </c>
      <c r="D628" s="778">
        <v>1237</v>
      </c>
      <c r="E628" s="778">
        <v>1484</v>
      </c>
      <c r="F628" s="778">
        <v>1715</v>
      </c>
      <c r="G628" s="778">
        <v>1912</v>
      </c>
      <c r="H628" s="779">
        <v>46200</v>
      </c>
      <c r="I628" s="779">
        <v>52780</v>
      </c>
      <c r="J628" s="779">
        <v>59359.999999999993</v>
      </c>
      <c r="K628" s="779">
        <v>65940</v>
      </c>
      <c r="L628" s="779">
        <v>71260</v>
      </c>
      <c r="M628" s="779">
        <v>76510</v>
      </c>
      <c r="N628" s="779">
        <v>81830</v>
      </c>
      <c r="O628" s="779">
        <v>87080</v>
      </c>
      <c r="P628" s="39"/>
      <c r="Q628" s="39"/>
    </row>
    <row r="629" spans="1:17">
      <c r="A629" s="38"/>
      <c r="B629" s="781">
        <v>0.6</v>
      </c>
      <c r="C629" s="778">
        <v>990</v>
      </c>
      <c r="D629" s="778">
        <v>1060</v>
      </c>
      <c r="E629" s="778">
        <v>1272</v>
      </c>
      <c r="F629" s="778">
        <v>1470</v>
      </c>
      <c r="G629" s="778">
        <v>1639</v>
      </c>
      <c r="H629" s="778">
        <v>39600</v>
      </c>
      <c r="I629" s="778">
        <v>45240</v>
      </c>
      <c r="J629" s="778">
        <v>50880</v>
      </c>
      <c r="K629" s="778">
        <v>56520</v>
      </c>
      <c r="L629" s="778">
        <v>61080</v>
      </c>
      <c r="M629" s="780">
        <v>65580</v>
      </c>
      <c r="N629" s="780">
        <v>70140</v>
      </c>
      <c r="O629" s="780">
        <v>74640</v>
      </c>
      <c r="P629" s="39"/>
      <c r="Q629" s="39"/>
    </row>
    <row r="630" spans="1:17">
      <c r="A630" s="38"/>
      <c r="B630" s="781">
        <v>0.55000000000000004</v>
      </c>
      <c r="C630" s="778">
        <v>907</v>
      </c>
      <c r="D630" s="778">
        <v>972</v>
      </c>
      <c r="E630" s="778">
        <v>1166</v>
      </c>
      <c r="F630" s="778">
        <v>1347</v>
      </c>
      <c r="G630" s="778">
        <v>1502</v>
      </c>
      <c r="H630" s="778">
        <v>36300</v>
      </c>
      <c r="I630" s="778">
        <v>41470</v>
      </c>
      <c r="J630" s="778">
        <v>46640.000000000007</v>
      </c>
      <c r="K630" s="778">
        <v>51810.000000000007</v>
      </c>
      <c r="L630" s="778">
        <v>55990.000000000007</v>
      </c>
      <c r="M630" s="778">
        <v>60115.000000000007</v>
      </c>
      <c r="N630" s="778">
        <v>64295.000000000007</v>
      </c>
      <c r="O630" s="778">
        <v>68420</v>
      </c>
      <c r="P630" s="39"/>
      <c r="Q630" s="39"/>
    </row>
    <row r="631" spans="1:17">
      <c r="A631" s="38"/>
      <c r="B631" s="781">
        <v>0.5</v>
      </c>
      <c r="C631" s="778">
        <v>825</v>
      </c>
      <c r="D631" s="778">
        <v>883</v>
      </c>
      <c r="E631" s="778">
        <v>1060</v>
      </c>
      <c r="F631" s="778">
        <v>1225</v>
      </c>
      <c r="G631" s="778">
        <v>1366</v>
      </c>
      <c r="H631" s="779">
        <v>33000</v>
      </c>
      <c r="I631" s="779">
        <v>37700</v>
      </c>
      <c r="J631" s="779">
        <v>42400</v>
      </c>
      <c r="K631" s="779">
        <v>47100</v>
      </c>
      <c r="L631" s="779">
        <v>50900</v>
      </c>
      <c r="M631" s="779">
        <v>54650</v>
      </c>
      <c r="N631" s="779">
        <v>58450</v>
      </c>
      <c r="O631" s="779">
        <v>62200</v>
      </c>
      <c r="P631" s="39"/>
      <c r="Q631" s="39"/>
    </row>
    <row r="632" spans="1:17">
      <c r="A632" s="38"/>
      <c r="B632" s="781">
        <v>0.45</v>
      </c>
      <c r="C632" s="778">
        <v>742</v>
      </c>
      <c r="D632" s="778">
        <v>795</v>
      </c>
      <c r="E632" s="778">
        <v>954</v>
      </c>
      <c r="F632" s="778">
        <v>1102</v>
      </c>
      <c r="G632" s="778">
        <v>1229</v>
      </c>
      <c r="H632" s="778">
        <v>29700</v>
      </c>
      <c r="I632" s="778">
        <v>33930</v>
      </c>
      <c r="J632" s="778">
        <v>38160</v>
      </c>
      <c r="K632" s="778">
        <v>42390</v>
      </c>
      <c r="L632" s="778">
        <v>45810</v>
      </c>
      <c r="M632" s="780">
        <v>49185</v>
      </c>
      <c r="N632" s="780">
        <v>52605</v>
      </c>
      <c r="O632" s="780">
        <v>55980</v>
      </c>
      <c r="P632" s="39"/>
      <c r="Q632" s="39"/>
    </row>
    <row r="633" spans="1:17">
      <c r="A633" s="38"/>
      <c r="B633" s="781">
        <v>0.4</v>
      </c>
      <c r="C633" s="778">
        <v>660</v>
      </c>
      <c r="D633" s="778">
        <v>707</v>
      </c>
      <c r="E633" s="778">
        <v>848</v>
      </c>
      <c r="F633" s="778">
        <v>980</v>
      </c>
      <c r="G633" s="778">
        <v>1093</v>
      </c>
      <c r="H633" s="778">
        <v>26400</v>
      </c>
      <c r="I633" s="778">
        <v>30160</v>
      </c>
      <c r="J633" s="778">
        <v>33920</v>
      </c>
      <c r="K633" s="778">
        <v>37680</v>
      </c>
      <c r="L633" s="778">
        <v>40720</v>
      </c>
      <c r="M633" s="780">
        <v>43720</v>
      </c>
      <c r="N633" s="780">
        <v>46760</v>
      </c>
      <c r="O633" s="780">
        <v>49760</v>
      </c>
      <c r="P633" s="39"/>
      <c r="Q633" s="39"/>
    </row>
    <row r="634" spans="1:17">
      <c r="A634" s="38"/>
      <c r="B634" s="522">
        <v>0.3</v>
      </c>
      <c r="C634" s="778">
        <v>495</v>
      </c>
      <c r="D634" s="778">
        <v>530</v>
      </c>
      <c r="E634" s="778">
        <v>636</v>
      </c>
      <c r="F634" s="778">
        <v>735</v>
      </c>
      <c r="G634" s="778">
        <v>819</v>
      </c>
      <c r="H634" s="779">
        <v>19800</v>
      </c>
      <c r="I634" s="779">
        <v>22620</v>
      </c>
      <c r="J634" s="779">
        <v>25440</v>
      </c>
      <c r="K634" s="779">
        <v>28260</v>
      </c>
      <c r="L634" s="779">
        <v>30540</v>
      </c>
      <c r="M634" s="779">
        <v>32790</v>
      </c>
      <c r="N634" s="779">
        <v>35070</v>
      </c>
      <c r="O634" s="779">
        <v>37320</v>
      </c>
      <c r="P634" s="39"/>
      <c r="Q634" s="39"/>
    </row>
    <row r="635" spans="1:17" ht="13.5" thickBot="1">
      <c r="A635" s="782"/>
      <c r="B635" s="40">
        <v>0.2</v>
      </c>
      <c r="C635" s="524">
        <v>330</v>
      </c>
      <c r="D635" s="524">
        <v>353</v>
      </c>
      <c r="E635" s="524">
        <v>424</v>
      </c>
      <c r="F635" s="524">
        <v>490</v>
      </c>
      <c r="G635" s="524">
        <v>546</v>
      </c>
      <c r="H635" s="525">
        <v>13200</v>
      </c>
      <c r="I635" s="525">
        <v>15080</v>
      </c>
      <c r="J635" s="525">
        <v>16960</v>
      </c>
      <c r="K635" s="525">
        <v>18840</v>
      </c>
      <c r="L635" s="525">
        <v>20360</v>
      </c>
      <c r="M635" s="525">
        <v>21860</v>
      </c>
      <c r="N635" s="525">
        <v>23380</v>
      </c>
      <c r="O635" s="525">
        <v>24880</v>
      </c>
      <c r="P635" s="39"/>
      <c r="Q635" s="39"/>
    </row>
    <row r="636" spans="1:17" ht="13.5" thickTop="1">
      <c r="A636" s="38"/>
      <c r="B636" s="37">
        <v>1.2</v>
      </c>
      <c r="C636" s="526">
        <v>2301</v>
      </c>
      <c r="D636" s="526">
        <v>2466</v>
      </c>
      <c r="E636" s="526">
        <v>2961</v>
      </c>
      <c r="F636" s="526">
        <v>3420</v>
      </c>
      <c r="G636" s="526">
        <v>3816</v>
      </c>
      <c r="H636" s="526">
        <v>92040</v>
      </c>
      <c r="I636" s="526">
        <v>105240</v>
      </c>
      <c r="J636" s="526">
        <v>118440</v>
      </c>
      <c r="K636" s="526">
        <v>131520</v>
      </c>
      <c r="L636" s="526">
        <v>142080</v>
      </c>
      <c r="M636" s="526">
        <v>152640</v>
      </c>
      <c r="N636" s="526">
        <v>163200</v>
      </c>
      <c r="O636" s="526">
        <v>173640</v>
      </c>
      <c r="P636" s="39"/>
      <c r="Q636" s="39"/>
    </row>
    <row r="637" spans="1:17">
      <c r="A637" s="38"/>
      <c r="B637" s="781">
        <v>1</v>
      </c>
      <c r="C637" s="778">
        <v>1917</v>
      </c>
      <c r="D637" s="778">
        <v>2055</v>
      </c>
      <c r="E637" s="778">
        <v>2467</v>
      </c>
      <c r="F637" s="778">
        <v>2850</v>
      </c>
      <c r="G637" s="778">
        <v>3180</v>
      </c>
      <c r="H637" s="778">
        <v>76700</v>
      </c>
      <c r="I637" s="778">
        <v>87700</v>
      </c>
      <c r="J637" s="778">
        <v>98700</v>
      </c>
      <c r="K637" s="778">
        <v>109600</v>
      </c>
      <c r="L637" s="778">
        <v>118400</v>
      </c>
      <c r="M637" s="778">
        <v>127200</v>
      </c>
      <c r="N637" s="778">
        <v>136000</v>
      </c>
      <c r="O637" s="778">
        <v>144700</v>
      </c>
      <c r="P637" s="39"/>
      <c r="Q637" s="39"/>
    </row>
    <row r="638" spans="1:17">
      <c r="A638" s="38" t="s">
        <v>1322</v>
      </c>
      <c r="B638" s="781">
        <v>0.8</v>
      </c>
      <c r="C638" s="778">
        <v>1534</v>
      </c>
      <c r="D638" s="778">
        <v>1644</v>
      </c>
      <c r="E638" s="778">
        <v>1974</v>
      </c>
      <c r="F638" s="778">
        <v>2280</v>
      </c>
      <c r="G638" s="778">
        <v>2544</v>
      </c>
      <c r="H638" s="779">
        <v>61360</v>
      </c>
      <c r="I638" s="779">
        <v>70160</v>
      </c>
      <c r="J638" s="779">
        <v>78960</v>
      </c>
      <c r="K638" s="779">
        <v>87680</v>
      </c>
      <c r="L638" s="779">
        <v>94720</v>
      </c>
      <c r="M638" s="779">
        <v>101760</v>
      </c>
      <c r="N638" s="779">
        <v>108800</v>
      </c>
      <c r="O638" s="779">
        <v>115760</v>
      </c>
      <c r="P638" s="39"/>
      <c r="Q638" s="39"/>
    </row>
    <row r="639" spans="1:17">
      <c r="A639" s="38"/>
      <c r="B639" s="781">
        <v>0.7</v>
      </c>
      <c r="C639" s="778">
        <v>1342</v>
      </c>
      <c r="D639" s="778">
        <v>1438</v>
      </c>
      <c r="E639" s="778">
        <v>1727</v>
      </c>
      <c r="F639" s="778">
        <v>1995</v>
      </c>
      <c r="G639" s="778">
        <v>2226</v>
      </c>
      <c r="H639" s="779">
        <v>53690</v>
      </c>
      <c r="I639" s="779">
        <v>61389.999999999993</v>
      </c>
      <c r="J639" s="779">
        <v>69090</v>
      </c>
      <c r="K639" s="779">
        <v>76720</v>
      </c>
      <c r="L639" s="779">
        <v>82880</v>
      </c>
      <c r="M639" s="779">
        <v>89040</v>
      </c>
      <c r="N639" s="779">
        <v>95200</v>
      </c>
      <c r="O639" s="779">
        <v>101290</v>
      </c>
      <c r="P639" s="39"/>
      <c r="Q639" s="39"/>
    </row>
    <row r="640" spans="1:17">
      <c r="A640" s="38"/>
      <c r="B640" s="781">
        <v>0.6</v>
      </c>
      <c r="C640" s="778">
        <v>1150</v>
      </c>
      <c r="D640" s="778">
        <v>1233</v>
      </c>
      <c r="E640" s="778">
        <v>1480</v>
      </c>
      <c r="F640" s="778">
        <v>1710</v>
      </c>
      <c r="G640" s="778">
        <v>1908</v>
      </c>
      <c r="H640" s="778">
        <v>46020</v>
      </c>
      <c r="I640" s="778">
        <v>52620</v>
      </c>
      <c r="J640" s="778">
        <v>59220</v>
      </c>
      <c r="K640" s="778">
        <v>65760</v>
      </c>
      <c r="L640" s="778">
        <v>71040</v>
      </c>
      <c r="M640" s="780">
        <v>76320</v>
      </c>
      <c r="N640" s="780">
        <v>81600</v>
      </c>
      <c r="O640" s="780">
        <v>86820</v>
      </c>
      <c r="P640" s="39"/>
      <c r="Q640" s="39"/>
    </row>
    <row r="641" spans="1:17">
      <c r="A641" s="38"/>
      <c r="B641" s="781">
        <v>0.55000000000000004</v>
      </c>
      <c r="C641" s="778">
        <v>1054</v>
      </c>
      <c r="D641" s="778">
        <v>1130</v>
      </c>
      <c r="E641" s="778">
        <v>1357</v>
      </c>
      <c r="F641" s="778">
        <v>1567</v>
      </c>
      <c r="G641" s="778">
        <v>1749</v>
      </c>
      <c r="H641" s="778">
        <v>42185</v>
      </c>
      <c r="I641" s="778">
        <v>48235.000000000007</v>
      </c>
      <c r="J641" s="778">
        <v>54285.000000000007</v>
      </c>
      <c r="K641" s="778">
        <v>60280.000000000007</v>
      </c>
      <c r="L641" s="778">
        <v>65120.000000000007</v>
      </c>
      <c r="M641" s="778">
        <v>69960</v>
      </c>
      <c r="N641" s="778">
        <v>74800</v>
      </c>
      <c r="O641" s="778">
        <v>79585</v>
      </c>
      <c r="P641" s="39"/>
      <c r="Q641" s="39"/>
    </row>
    <row r="642" spans="1:17">
      <c r="A642" s="38"/>
      <c r="B642" s="781">
        <v>0.5</v>
      </c>
      <c r="C642" s="778">
        <v>958</v>
      </c>
      <c r="D642" s="778">
        <v>1027</v>
      </c>
      <c r="E642" s="778">
        <v>1233</v>
      </c>
      <c r="F642" s="778">
        <v>1425</v>
      </c>
      <c r="G642" s="778">
        <v>1590</v>
      </c>
      <c r="H642" s="779">
        <v>38350</v>
      </c>
      <c r="I642" s="779">
        <v>43850</v>
      </c>
      <c r="J642" s="779">
        <v>49350</v>
      </c>
      <c r="K642" s="779">
        <v>54800</v>
      </c>
      <c r="L642" s="779">
        <v>59200</v>
      </c>
      <c r="M642" s="779">
        <v>63600</v>
      </c>
      <c r="N642" s="779">
        <v>68000</v>
      </c>
      <c r="O642" s="779">
        <v>72350</v>
      </c>
      <c r="P642" s="39"/>
      <c r="Q642" s="39"/>
    </row>
    <row r="643" spans="1:17">
      <c r="A643" s="38"/>
      <c r="B643" s="781">
        <v>0.45</v>
      </c>
      <c r="C643" s="778">
        <v>862</v>
      </c>
      <c r="D643" s="778">
        <v>924</v>
      </c>
      <c r="E643" s="778">
        <v>1110</v>
      </c>
      <c r="F643" s="778">
        <v>1282</v>
      </c>
      <c r="G643" s="778">
        <v>1431</v>
      </c>
      <c r="H643" s="778">
        <v>34515</v>
      </c>
      <c r="I643" s="778">
        <v>39465</v>
      </c>
      <c r="J643" s="778">
        <v>44415</v>
      </c>
      <c r="K643" s="778">
        <v>49320</v>
      </c>
      <c r="L643" s="778">
        <v>53280</v>
      </c>
      <c r="M643" s="780">
        <v>57240</v>
      </c>
      <c r="N643" s="780">
        <v>61200</v>
      </c>
      <c r="O643" s="780">
        <v>65115</v>
      </c>
      <c r="P643" s="39"/>
      <c r="Q643" s="39"/>
    </row>
    <row r="644" spans="1:17">
      <c r="A644" s="38"/>
      <c r="B644" s="781">
        <v>0.4</v>
      </c>
      <c r="C644" s="778">
        <v>767</v>
      </c>
      <c r="D644" s="778">
        <v>822</v>
      </c>
      <c r="E644" s="778">
        <v>987</v>
      </c>
      <c r="F644" s="778">
        <v>1140</v>
      </c>
      <c r="G644" s="778">
        <v>1272</v>
      </c>
      <c r="H644" s="778">
        <v>30680</v>
      </c>
      <c r="I644" s="778">
        <v>35080</v>
      </c>
      <c r="J644" s="778">
        <v>39480</v>
      </c>
      <c r="K644" s="778">
        <v>43840</v>
      </c>
      <c r="L644" s="778">
        <v>47360</v>
      </c>
      <c r="M644" s="780">
        <v>50880</v>
      </c>
      <c r="N644" s="780">
        <v>54400</v>
      </c>
      <c r="O644" s="780">
        <v>57880</v>
      </c>
      <c r="P644" s="39"/>
      <c r="Q644" s="39"/>
    </row>
    <row r="645" spans="1:17">
      <c r="A645" s="38"/>
      <c r="B645" s="522">
        <v>0.3</v>
      </c>
      <c r="C645" s="778">
        <v>575</v>
      </c>
      <c r="D645" s="778">
        <v>616</v>
      </c>
      <c r="E645" s="778">
        <v>740</v>
      </c>
      <c r="F645" s="778">
        <v>855</v>
      </c>
      <c r="G645" s="778">
        <v>954</v>
      </c>
      <c r="H645" s="779">
        <v>23010</v>
      </c>
      <c r="I645" s="779">
        <v>26310</v>
      </c>
      <c r="J645" s="779">
        <v>29610</v>
      </c>
      <c r="K645" s="779">
        <v>32880</v>
      </c>
      <c r="L645" s="779">
        <v>35520</v>
      </c>
      <c r="M645" s="779">
        <v>38160</v>
      </c>
      <c r="N645" s="779">
        <v>40800</v>
      </c>
      <c r="O645" s="779">
        <v>43410</v>
      </c>
      <c r="P645" s="39"/>
      <c r="Q645" s="39"/>
    </row>
    <row r="646" spans="1:17" ht="13.5" thickBot="1">
      <c r="A646" s="782"/>
      <c r="B646" s="40">
        <v>0.2</v>
      </c>
      <c r="C646" s="524">
        <v>383</v>
      </c>
      <c r="D646" s="524">
        <v>411</v>
      </c>
      <c r="E646" s="524">
        <v>493</v>
      </c>
      <c r="F646" s="524">
        <v>570</v>
      </c>
      <c r="G646" s="524">
        <v>636</v>
      </c>
      <c r="H646" s="525">
        <v>15340</v>
      </c>
      <c r="I646" s="525">
        <v>17540</v>
      </c>
      <c r="J646" s="525">
        <v>19740</v>
      </c>
      <c r="K646" s="525">
        <v>21920</v>
      </c>
      <c r="L646" s="525">
        <v>23680</v>
      </c>
      <c r="M646" s="525">
        <v>25440</v>
      </c>
      <c r="N646" s="525">
        <v>27200</v>
      </c>
      <c r="O646" s="525">
        <v>28940</v>
      </c>
      <c r="P646" s="39"/>
      <c r="Q646" s="39"/>
    </row>
    <row r="647" spans="1:17" ht="13.5" thickTop="1">
      <c r="A647" s="38"/>
      <c r="B647" s="37">
        <v>1.2</v>
      </c>
      <c r="C647" s="526">
        <v>1980</v>
      </c>
      <c r="D647" s="526">
        <v>2121</v>
      </c>
      <c r="E647" s="526">
        <v>2544</v>
      </c>
      <c r="F647" s="526">
        <v>2940</v>
      </c>
      <c r="G647" s="526">
        <v>3279</v>
      </c>
      <c r="H647" s="526">
        <v>79200</v>
      </c>
      <c r="I647" s="526">
        <v>90480</v>
      </c>
      <c r="J647" s="526">
        <v>101760</v>
      </c>
      <c r="K647" s="526">
        <v>113040</v>
      </c>
      <c r="L647" s="526">
        <v>122160</v>
      </c>
      <c r="M647" s="526">
        <v>131160</v>
      </c>
      <c r="N647" s="526">
        <v>140280</v>
      </c>
      <c r="O647" s="526">
        <v>149280</v>
      </c>
      <c r="P647" s="39"/>
      <c r="Q647" s="39"/>
    </row>
    <row r="648" spans="1:17">
      <c r="A648" s="38"/>
      <c r="B648" s="781">
        <v>1</v>
      </c>
      <c r="C648" s="778">
        <v>1650</v>
      </c>
      <c r="D648" s="778">
        <v>1767</v>
      </c>
      <c r="E648" s="778">
        <v>2120</v>
      </c>
      <c r="F648" s="778">
        <v>2450</v>
      </c>
      <c r="G648" s="778">
        <v>2732</v>
      </c>
      <c r="H648" s="778">
        <v>66000</v>
      </c>
      <c r="I648" s="778">
        <v>75400</v>
      </c>
      <c r="J648" s="778">
        <v>84800</v>
      </c>
      <c r="K648" s="778">
        <v>94200</v>
      </c>
      <c r="L648" s="778">
        <v>101800</v>
      </c>
      <c r="M648" s="778">
        <v>109300</v>
      </c>
      <c r="N648" s="778">
        <v>116900</v>
      </c>
      <c r="O648" s="778">
        <v>124400</v>
      </c>
      <c r="P648" s="39"/>
      <c r="Q648" s="39"/>
    </row>
    <row r="649" spans="1:17">
      <c r="A649" s="38" t="s">
        <v>1323</v>
      </c>
      <c r="B649" s="781">
        <v>0.8</v>
      </c>
      <c r="C649" s="778">
        <v>1320</v>
      </c>
      <c r="D649" s="778">
        <v>1414</v>
      </c>
      <c r="E649" s="778">
        <v>1696</v>
      </c>
      <c r="F649" s="778">
        <v>1960</v>
      </c>
      <c r="G649" s="778">
        <v>2186</v>
      </c>
      <c r="H649" s="779">
        <v>52800</v>
      </c>
      <c r="I649" s="779">
        <v>60320</v>
      </c>
      <c r="J649" s="779">
        <v>67840</v>
      </c>
      <c r="K649" s="779">
        <v>75360</v>
      </c>
      <c r="L649" s="779">
        <v>81440</v>
      </c>
      <c r="M649" s="779">
        <v>87440</v>
      </c>
      <c r="N649" s="779">
        <v>93520</v>
      </c>
      <c r="O649" s="779">
        <v>99520</v>
      </c>
      <c r="P649" s="39"/>
      <c r="Q649" s="39"/>
    </row>
    <row r="650" spans="1:17">
      <c r="A650" s="38"/>
      <c r="B650" s="781">
        <v>0.7</v>
      </c>
      <c r="C650" s="778">
        <v>1155</v>
      </c>
      <c r="D650" s="778">
        <v>1237</v>
      </c>
      <c r="E650" s="778">
        <v>1484</v>
      </c>
      <c r="F650" s="778">
        <v>1715</v>
      </c>
      <c r="G650" s="778">
        <v>1912</v>
      </c>
      <c r="H650" s="779">
        <v>46200</v>
      </c>
      <c r="I650" s="779">
        <v>52780</v>
      </c>
      <c r="J650" s="779">
        <v>59359.999999999993</v>
      </c>
      <c r="K650" s="779">
        <v>65940</v>
      </c>
      <c r="L650" s="779">
        <v>71260</v>
      </c>
      <c r="M650" s="779">
        <v>76510</v>
      </c>
      <c r="N650" s="779">
        <v>81830</v>
      </c>
      <c r="O650" s="779">
        <v>87080</v>
      </c>
      <c r="P650" s="39"/>
      <c r="Q650" s="39"/>
    </row>
    <row r="651" spans="1:17">
      <c r="A651" s="38"/>
      <c r="B651" s="781">
        <v>0.6</v>
      </c>
      <c r="C651" s="778">
        <v>990</v>
      </c>
      <c r="D651" s="778">
        <v>1060</v>
      </c>
      <c r="E651" s="778">
        <v>1272</v>
      </c>
      <c r="F651" s="778">
        <v>1470</v>
      </c>
      <c r="G651" s="778">
        <v>1639</v>
      </c>
      <c r="H651" s="778">
        <v>39600</v>
      </c>
      <c r="I651" s="778">
        <v>45240</v>
      </c>
      <c r="J651" s="778">
        <v>50880</v>
      </c>
      <c r="K651" s="778">
        <v>56520</v>
      </c>
      <c r="L651" s="778">
        <v>61080</v>
      </c>
      <c r="M651" s="780">
        <v>65580</v>
      </c>
      <c r="N651" s="780">
        <v>70140</v>
      </c>
      <c r="O651" s="780">
        <v>74640</v>
      </c>
      <c r="P651" s="39"/>
      <c r="Q651" s="39"/>
    </row>
    <row r="652" spans="1:17">
      <c r="A652" s="38"/>
      <c r="B652" s="781">
        <v>0.55000000000000004</v>
      </c>
      <c r="C652" s="778">
        <v>907</v>
      </c>
      <c r="D652" s="778">
        <v>972</v>
      </c>
      <c r="E652" s="778">
        <v>1166</v>
      </c>
      <c r="F652" s="778">
        <v>1347</v>
      </c>
      <c r="G652" s="778">
        <v>1502</v>
      </c>
      <c r="H652" s="778">
        <v>36300</v>
      </c>
      <c r="I652" s="778">
        <v>41470</v>
      </c>
      <c r="J652" s="778">
        <v>46640.000000000007</v>
      </c>
      <c r="K652" s="778">
        <v>51810.000000000007</v>
      </c>
      <c r="L652" s="778">
        <v>55990.000000000007</v>
      </c>
      <c r="M652" s="778">
        <v>60115.000000000007</v>
      </c>
      <c r="N652" s="778">
        <v>64295.000000000007</v>
      </c>
      <c r="O652" s="778">
        <v>68420</v>
      </c>
      <c r="P652" s="39"/>
      <c r="Q652" s="39"/>
    </row>
    <row r="653" spans="1:17">
      <c r="A653" s="38"/>
      <c r="B653" s="781">
        <v>0.5</v>
      </c>
      <c r="C653" s="778">
        <v>825</v>
      </c>
      <c r="D653" s="778">
        <v>883</v>
      </c>
      <c r="E653" s="778">
        <v>1060</v>
      </c>
      <c r="F653" s="778">
        <v>1225</v>
      </c>
      <c r="G653" s="778">
        <v>1366</v>
      </c>
      <c r="H653" s="779">
        <v>33000</v>
      </c>
      <c r="I653" s="779">
        <v>37700</v>
      </c>
      <c r="J653" s="779">
        <v>42400</v>
      </c>
      <c r="K653" s="779">
        <v>47100</v>
      </c>
      <c r="L653" s="779">
        <v>50900</v>
      </c>
      <c r="M653" s="779">
        <v>54650</v>
      </c>
      <c r="N653" s="779">
        <v>58450</v>
      </c>
      <c r="O653" s="779">
        <v>62200</v>
      </c>
      <c r="P653" s="39"/>
      <c r="Q653" s="39"/>
    </row>
    <row r="654" spans="1:17">
      <c r="A654" s="38"/>
      <c r="B654" s="781">
        <v>0.45</v>
      </c>
      <c r="C654" s="778">
        <v>742</v>
      </c>
      <c r="D654" s="778">
        <v>795</v>
      </c>
      <c r="E654" s="778">
        <v>954</v>
      </c>
      <c r="F654" s="778">
        <v>1102</v>
      </c>
      <c r="G654" s="778">
        <v>1229</v>
      </c>
      <c r="H654" s="778">
        <v>29700</v>
      </c>
      <c r="I654" s="778">
        <v>33930</v>
      </c>
      <c r="J654" s="778">
        <v>38160</v>
      </c>
      <c r="K654" s="778">
        <v>42390</v>
      </c>
      <c r="L654" s="778">
        <v>45810</v>
      </c>
      <c r="M654" s="780">
        <v>49185</v>
      </c>
      <c r="N654" s="780">
        <v>52605</v>
      </c>
      <c r="O654" s="780">
        <v>55980</v>
      </c>
      <c r="P654" s="39"/>
      <c r="Q654" s="39"/>
    </row>
    <row r="655" spans="1:17">
      <c r="A655" s="38"/>
      <c r="B655" s="781">
        <v>0.4</v>
      </c>
      <c r="C655" s="778">
        <v>660</v>
      </c>
      <c r="D655" s="778">
        <v>707</v>
      </c>
      <c r="E655" s="778">
        <v>848</v>
      </c>
      <c r="F655" s="778">
        <v>980</v>
      </c>
      <c r="G655" s="778">
        <v>1093</v>
      </c>
      <c r="H655" s="778">
        <v>26400</v>
      </c>
      <c r="I655" s="778">
        <v>30160</v>
      </c>
      <c r="J655" s="778">
        <v>33920</v>
      </c>
      <c r="K655" s="778">
        <v>37680</v>
      </c>
      <c r="L655" s="778">
        <v>40720</v>
      </c>
      <c r="M655" s="780">
        <v>43720</v>
      </c>
      <c r="N655" s="780">
        <v>46760</v>
      </c>
      <c r="O655" s="780">
        <v>49760</v>
      </c>
      <c r="P655" s="39"/>
      <c r="Q655" s="39"/>
    </row>
    <row r="656" spans="1:17">
      <c r="A656" s="38"/>
      <c r="B656" s="522">
        <v>0.3</v>
      </c>
      <c r="C656" s="778">
        <v>495</v>
      </c>
      <c r="D656" s="778">
        <v>530</v>
      </c>
      <c r="E656" s="778">
        <v>636</v>
      </c>
      <c r="F656" s="778">
        <v>735</v>
      </c>
      <c r="G656" s="778">
        <v>819</v>
      </c>
      <c r="H656" s="779">
        <v>19800</v>
      </c>
      <c r="I656" s="779">
        <v>22620</v>
      </c>
      <c r="J656" s="779">
        <v>25440</v>
      </c>
      <c r="K656" s="779">
        <v>28260</v>
      </c>
      <c r="L656" s="779">
        <v>30540</v>
      </c>
      <c r="M656" s="779">
        <v>32790</v>
      </c>
      <c r="N656" s="779">
        <v>35070</v>
      </c>
      <c r="O656" s="779">
        <v>37320</v>
      </c>
      <c r="P656" s="39"/>
      <c r="Q656" s="39"/>
    </row>
    <row r="657" spans="1:17" ht="13.5" thickBot="1">
      <c r="A657" s="782"/>
      <c r="B657" s="40">
        <v>0.2</v>
      </c>
      <c r="C657" s="524">
        <v>330</v>
      </c>
      <c r="D657" s="524">
        <v>353</v>
      </c>
      <c r="E657" s="524">
        <v>424</v>
      </c>
      <c r="F657" s="524">
        <v>490</v>
      </c>
      <c r="G657" s="524">
        <v>546</v>
      </c>
      <c r="H657" s="525">
        <v>13200</v>
      </c>
      <c r="I657" s="525">
        <v>15080</v>
      </c>
      <c r="J657" s="525">
        <v>16960</v>
      </c>
      <c r="K657" s="525">
        <v>18840</v>
      </c>
      <c r="L657" s="525">
        <v>20360</v>
      </c>
      <c r="M657" s="525">
        <v>21860</v>
      </c>
      <c r="N657" s="525">
        <v>23380</v>
      </c>
      <c r="O657" s="525">
        <v>24880</v>
      </c>
      <c r="P657" s="39"/>
      <c r="Q657" s="39"/>
    </row>
    <row r="658" spans="1:17" ht="13.5" thickTop="1">
      <c r="A658" s="38"/>
      <c r="B658" s="37">
        <v>1.2</v>
      </c>
      <c r="C658" s="526">
        <v>2559</v>
      </c>
      <c r="D658" s="526">
        <v>2742</v>
      </c>
      <c r="E658" s="526">
        <v>3291</v>
      </c>
      <c r="F658" s="526">
        <v>3801</v>
      </c>
      <c r="G658" s="526">
        <v>4239</v>
      </c>
      <c r="H658" s="526">
        <v>102360</v>
      </c>
      <c r="I658" s="526">
        <v>117000</v>
      </c>
      <c r="J658" s="526">
        <v>131640</v>
      </c>
      <c r="K658" s="526">
        <v>146160</v>
      </c>
      <c r="L658" s="526">
        <v>157920</v>
      </c>
      <c r="M658" s="526">
        <v>169560</v>
      </c>
      <c r="N658" s="526">
        <v>181320</v>
      </c>
      <c r="O658" s="526">
        <v>192960</v>
      </c>
      <c r="P658" s="41"/>
      <c r="Q658" s="41"/>
    </row>
    <row r="659" spans="1:17">
      <c r="A659" s="38"/>
      <c r="B659" s="781">
        <v>1</v>
      </c>
      <c r="C659" s="778">
        <v>2132</v>
      </c>
      <c r="D659" s="778">
        <v>2285</v>
      </c>
      <c r="E659" s="778">
        <v>2742</v>
      </c>
      <c r="F659" s="778">
        <v>3167</v>
      </c>
      <c r="G659" s="778">
        <v>3532</v>
      </c>
      <c r="H659" s="778">
        <v>85300</v>
      </c>
      <c r="I659" s="778">
        <v>97500</v>
      </c>
      <c r="J659" s="778">
        <v>109700</v>
      </c>
      <c r="K659" s="778">
        <v>121800</v>
      </c>
      <c r="L659" s="778">
        <v>131600</v>
      </c>
      <c r="M659" s="778">
        <v>141300</v>
      </c>
      <c r="N659" s="778">
        <v>151100</v>
      </c>
      <c r="O659" s="778">
        <v>160800</v>
      </c>
      <c r="P659" s="39"/>
      <c r="Q659" s="39"/>
    </row>
    <row r="660" spans="1:17">
      <c r="A660" s="38" t="s">
        <v>1324</v>
      </c>
      <c r="B660" s="781">
        <v>0.8</v>
      </c>
      <c r="C660" s="778">
        <v>1706</v>
      </c>
      <c r="D660" s="778">
        <v>1828</v>
      </c>
      <c r="E660" s="778">
        <v>2194</v>
      </c>
      <c r="F660" s="778">
        <v>2534</v>
      </c>
      <c r="G660" s="778">
        <v>2826</v>
      </c>
      <c r="H660" s="779">
        <v>68240</v>
      </c>
      <c r="I660" s="779">
        <v>78000</v>
      </c>
      <c r="J660" s="779">
        <v>87760</v>
      </c>
      <c r="K660" s="779">
        <v>97440</v>
      </c>
      <c r="L660" s="779">
        <v>105280</v>
      </c>
      <c r="M660" s="779">
        <v>113040</v>
      </c>
      <c r="N660" s="779">
        <v>120880</v>
      </c>
      <c r="O660" s="779">
        <v>128640</v>
      </c>
      <c r="P660" s="39"/>
      <c r="Q660" s="39"/>
    </row>
    <row r="661" spans="1:17">
      <c r="A661" s="38"/>
      <c r="B661" s="781">
        <v>0.7</v>
      </c>
      <c r="C661" s="778">
        <v>1492</v>
      </c>
      <c r="D661" s="778">
        <v>1599</v>
      </c>
      <c r="E661" s="778">
        <v>1919</v>
      </c>
      <c r="F661" s="778">
        <v>2217</v>
      </c>
      <c r="G661" s="778">
        <v>2472</v>
      </c>
      <c r="H661" s="779">
        <v>59709.999999999993</v>
      </c>
      <c r="I661" s="779">
        <v>68250</v>
      </c>
      <c r="J661" s="779">
        <v>76790</v>
      </c>
      <c r="K661" s="779">
        <v>85260</v>
      </c>
      <c r="L661" s="779">
        <v>92120</v>
      </c>
      <c r="M661" s="779">
        <v>98910</v>
      </c>
      <c r="N661" s="779">
        <v>105770</v>
      </c>
      <c r="O661" s="779">
        <v>112560</v>
      </c>
      <c r="P661" s="39"/>
      <c r="Q661" s="39"/>
    </row>
    <row r="662" spans="1:17">
      <c r="A662" s="38"/>
      <c r="B662" s="781">
        <v>0.6</v>
      </c>
      <c r="C662" s="778">
        <v>1279</v>
      </c>
      <c r="D662" s="778">
        <v>1371</v>
      </c>
      <c r="E662" s="778">
        <v>1645</v>
      </c>
      <c r="F662" s="778">
        <v>1900</v>
      </c>
      <c r="G662" s="778">
        <v>2119</v>
      </c>
      <c r="H662" s="778">
        <v>51180</v>
      </c>
      <c r="I662" s="778">
        <v>58500</v>
      </c>
      <c r="J662" s="778">
        <v>65820</v>
      </c>
      <c r="K662" s="778">
        <v>73080</v>
      </c>
      <c r="L662" s="778">
        <v>78960</v>
      </c>
      <c r="M662" s="780">
        <v>84780</v>
      </c>
      <c r="N662" s="780">
        <v>90660</v>
      </c>
      <c r="O662" s="780">
        <v>96480</v>
      </c>
      <c r="P662" s="39"/>
      <c r="Q662" s="39"/>
    </row>
    <row r="663" spans="1:17">
      <c r="A663" s="38"/>
      <c r="B663" s="781">
        <v>0.55000000000000004</v>
      </c>
      <c r="C663" s="778">
        <v>1172</v>
      </c>
      <c r="D663" s="778">
        <v>1256</v>
      </c>
      <c r="E663" s="778">
        <v>1508</v>
      </c>
      <c r="F663" s="778">
        <v>1742</v>
      </c>
      <c r="G663" s="778">
        <v>1942</v>
      </c>
      <c r="H663" s="778">
        <v>46915.000000000007</v>
      </c>
      <c r="I663" s="778">
        <v>53625.000000000007</v>
      </c>
      <c r="J663" s="778">
        <v>60335.000000000007</v>
      </c>
      <c r="K663" s="778">
        <v>66990</v>
      </c>
      <c r="L663" s="778">
        <v>72380</v>
      </c>
      <c r="M663" s="778">
        <v>77715</v>
      </c>
      <c r="N663" s="778">
        <v>83105</v>
      </c>
      <c r="O663" s="778">
        <v>88440</v>
      </c>
      <c r="P663" s="39"/>
      <c r="Q663" s="39"/>
    </row>
    <row r="664" spans="1:17">
      <c r="A664" s="38"/>
      <c r="B664" s="781">
        <v>0.5</v>
      </c>
      <c r="C664" s="778">
        <v>1066</v>
      </c>
      <c r="D664" s="778">
        <v>1142</v>
      </c>
      <c r="E664" s="778">
        <v>1371</v>
      </c>
      <c r="F664" s="778">
        <v>1583</v>
      </c>
      <c r="G664" s="778">
        <v>1766</v>
      </c>
      <c r="H664" s="779">
        <v>42650</v>
      </c>
      <c r="I664" s="779">
        <v>48750</v>
      </c>
      <c r="J664" s="779">
        <v>54850</v>
      </c>
      <c r="K664" s="779">
        <v>60900</v>
      </c>
      <c r="L664" s="779">
        <v>65800</v>
      </c>
      <c r="M664" s="779">
        <v>70650</v>
      </c>
      <c r="N664" s="779">
        <v>75550</v>
      </c>
      <c r="O664" s="779">
        <v>80400</v>
      </c>
      <c r="P664" s="39"/>
      <c r="Q664" s="39"/>
    </row>
    <row r="665" spans="1:17">
      <c r="A665" s="38"/>
      <c r="B665" s="781">
        <v>0.45</v>
      </c>
      <c r="C665" s="778">
        <v>959</v>
      </c>
      <c r="D665" s="778">
        <v>1028</v>
      </c>
      <c r="E665" s="778">
        <v>1234</v>
      </c>
      <c r="F665" s="778">
        <v>1425</v>
      </c>
      <c r="G665" s="778">
        <v>1589</v>
      </c>
      <c r="H665" s="778">
        <v>38385</v>
      </c>
      <c r="I665" s="778">
        <v>43875</v>
      </c>
      <c r="J665" s="778">
        <v>49365</v>
      </c>
      <c r="K665" s="778">
        <v>54810</v>
      </c>
      <c r="L665" s="778">
        <v>59220</v>
      </c>
      <c r="M665" s="780">
        <v>63585</v>
      </c>
      <c r="N665" s="780">
        <v>67995</v>
      </c>
      <c r="O665" s="780">
        <v>72360</v>
      </c>
      <c r="P665" s="39"/>
      <c r="Q665" s="39"/>
    </row>
    <row r="666" spans="1:17">
      <c r="A666" s="38"/>
      <c r="B666" s="781">
        <v>0.4</v>
      </c>
      <c r="C666" s="778">
        <v>853</v>
      </c>
      <c r="D666" s="778">
        <v>914</v>
      </c>
      <c r="E666" s="778">
        <v>1097</v>
      </c>
      <c r="F666" s="778">
        <v>1267</v>
      </c>
      <c r="G666" s="778">
        <v>1413</v>
      </c>
      <c r="H666" s="778">
        <v>34120</v>
      </c>
      <c r="I666" s="778">
        <v>39000</v>
      </c>
      <c r="J666" s="778">
        <v>43880</v>
      </c>
      <c r="K666" s="778">
        <v>48720</v>
      </c>
      <c r="L666" s="778">
        <v>52640</v>
      </c>
      <c r="M666" s="780">
        <v>56520</v>
      </c>
      <c r="N666" s="780">
        <v>60440</v>
      </c>
      <c r="O666" s="780">
        <v>64320</v>
      </c>
      <c r="P666" s="39"/>
      <c r="Q666" s="39"/>
    </row>
    <row r="667" spans="1:17">
      <c r="A667" s="38"/>
      <c r="B667" s="522">
        <v>0.3</v>
      </c>
      <c r="C667" s="778">
        <v>639</v>
      </c>
      <c r="D667" s="778">
        <v>685</v>
      </c>
      <c r="E667" s="778">
        <v>822</v>
      </c>
      <c r="F667" s="778">
        <v>950</v>
      </c>
      <c r="G667" s="778">
        <v>1059</v>
      </c>
      <c r="H667" s="779">
        <v>25590</v>
      </c>
      <c r="I667" s="779">
        <v>29250</v>
      </c>
      <c r="J667" s="779">
        <v>32910</v>
      </c>
      <c r="K667" s="779">
        <v>36540</v>
      </c>
      <c r="L667" s="779">
        <v>39480</v>
      </c>
      <c r="M667" s="779">
        <v>42390</v>
      </c>
      <c r="N667" s="779">
        <v>45330</v>
      </c>
      <c r="O667" s="779">
        <v>48240</v>
      </c>
      <c r="P667" s="39"/>
      <c r="Q667" s="39"/>
    </row>
    <row r="668" spans="1:17" ht="13.5" thickBot="1">
      <c r="A668" s="782"/>
      <c r="B668" s="40">
        <v>0.2</v>
      </c>
      <c r="C668" s="524">
        <v>426</v>
      </c>
      <c r="D668" s="524">
        <v>457</v>
      </c>
      <c r="E668" s="524">
        <v>548</v>
      </c>
      <c r="F668" s="524">
        <v>633</v>
      </c>
      <c r="G668" s="524">
        <v>706</v>
      </c>
      <c r="H668" s="525">
        <v>17060</v>
      </c>
      <c r="I668" s="525">
        <v>19500</v>
      </c>
      <c r="J668" s="525">
        <v>21940</v>
      </c>
      <c r="K668" s="525">
        <v>24360</v>
      </c>
      <c r="L668" s="525">
        <v>26320</v>
      </c>
      <c r="M668" s="525">
        <v>28260</v>
      </c>
      <c r="N668" s="525">
        <v>30220</v>
      </c>
      <c r="O668" s="525">
        <v>32160</v>
      </c>
      <c r="P668" s="39"/>
      <c r="Q668" s="39"/>
    </row>
    <row r="669" spans="1:17" ht="13.5" thickTop="1">
      <c r="A669" s="38"/>
      <c r="B669" s="37">
        <v>1.2</v>
      </c>
      <c r="C669" s="526">
        <v>1983</v>
      </c>
      <c r="D669" s="526">
        <v>2124</v>
      </c>
      <c r="E669" s="526">
        <v>2547</v>
      </c>
      <c r="F669" s="526">
        <v>2943</v>
      </c>
      <c r="G669" s="526">
        <v>3282</v>
      </c>
      <c r="H669" s="526">
        <v>79320</v>
      </c>
      <c r="I669" s="526">
        <v>90600</v>
      </c>
      <c r="J669" s="526">
        <v>101880</v>
      </c>
      <c r="K669" s="526">
        <v>113160</v>
      </c>
      <c r="L669" s="526">
        <v>122280</v>
      </c>
      <c r="M669" s="526">
        <v>131280</v>
      </c>
      <c r="N669" s="526">
        <v>140400</v>
      </c>
      <c r="O669" s="526">
        <v>149400</v>
      </c>
      <c r="P669" s="47"/>
      <c r="Q669" s="47"/>
    </row>
    <row r="670" spans="1:17">
      <c r="A670" s="38"/>
      <c r="B670" s="781">
        <v>1</v>
      </c>
      <c r="C670" s="778">
        <v>1652</v>
      </c>
      <c r="D670" s="778">
        <v>1770</v>
      </c>
      <c r="E670" s="778">
        <v>2122</v>
      </c>
      <c r="F670" s="778">
        <v>2452</v>
      </c>
      <c r="G670" s="778">
        <v>2735</v>
      </c>
      <c r="H670" s="778">
        <v>66100</v>
      </c>
      <c r="I670" s="778">
        <v>75500</v>
      </c>
      <c r="J670" s="778">
        <v>84900</v>
      </c>
      <c r="K670" s="778">
        <v>94300</v>
      </c>
      <c r="L670" s="778">
        <v>101900</v>
      </c>
      <c r="M670" s="778">
        <v>109400</v>
      </c>
      <c r="N670" s="778">
        <v>117000</v>
      </c>
      <c r="O670" s="778">
        <v>124500</v>
      </c>
      <c r="P670" s="48"/>
      <c r="Q670" s="48"/>
    </row>
    <row r="671" spans="1:17">
      <c r="A671" s="38" t="s">
        <v>1325</v>
      </c>
      <c r="B671" s="781">
        <v>0.8</v>
      </c>
      <c r="C671" s="778">
        <v>1322</v>
      </c>
      <c r="D671" s="778">
        <v>1416</v>
      </c>
      <c r="E671" s="778">
        <v>1698</v>
      </c>
      <c r="F671" s="778">
        <v>1962</v>
      </c>
      <c r="G671" s="778">
        <v>2188</v>
      </c>
      <c r="H671" s="779">
        <v>52880</v>
      </c>
      <c r="I671" s="779">
        <v>60400</v>
      </c>
      <c r="J671" s="779">
        <v>67920</v>
      </c>
      <c r="K671" s="779">
        <v>75440</v>
      </c>
      <c r="L671" s="779">
        <v>81520</v>
      </c>
      <c r="M671" s="779">
        <v>87520</v>
      </c>
      <c r="N671" s="779">
        <v>93600</v>
      </c>
      <c r="O671" s="779">
        <v>99600</v>
      </c>
      <c r="P671" s="242"/>
      <c r="Q671" s="242"/>
    </row>
    <row r="672" spans="1:17">
      <c r="A672" s="38"/>
      <c r="B672" s="781">
        <v>0.7</v>
      </c>
      <c r="C672" s="778">
        <v>1156</v>
      </c>
      <c r="D672" s="778">
        <v>1239</v>
      </c>
      <c r="E672" s="778">
        <v>1485</v>
      </c>
      <c r="F672" s="778">
        <v>1716</v>
      </c>
      <c r="G672" s="778">
        <v>1914</v>
      </c>
      <c r="H672" s="779">
        <v>46270</v>
      </c>
      <c r="I672" s="779">
        <v>52850</v>
      </c>
      <c r="J672" s="779">
        <v>59429.999999999993</v>
      </c>
      <c r="K672" s="779">
        <v>66010</v>
      </c>
      <c r="L672" s="779">
        <v>71330</v>
      </c>
      <c r="M672" s="779">
        <v>76580</v>
      </c>
      <c r="N672" s="779">
        <v>81900</v>
      </c>
      <c r="O672" s="779">
        <v>87150</v>
      </c>
      <c r="P672" s="242"/>
      <c r="Q672" s="242"/>
    </row>
    <row r="673" spans="1:17">
      <c r="A673" s="38"/>
      <c r="B673" s="781">
        <v>0.6</v>
      </c>
      <c r="C673" s="778">
        <v>991</v>
      </c>
      <c r="D673" s="778">
        <v>1062</v>
      </c>
      <c r="E673" s="778">
        <v>1273</v>
      </c>
      <c r="F673" s="778">
        <v>1471</v>
      </c>
      <c r="G673" s="778">
        <v>1641</v>
      </c>
      <c r="H673" s="778">
        <v>39660</v>
      </c>
      <c r="I673" s="778">
        <v>45300</v>
      </c>
      <c r="J673" s="778">
        <v>50940</v>
      </c>
      <c r="K673" s="778">
        <v>56580</v>
      </c>
      <c r="L673" s="778">
        <v>61140</v>
      </c>
      <c r="M673" s="780">
        <v>65640</v>
      </c>
      <c r="N673" s="780">
        <v>70200</v>
      </c>
      <c r="O673" s="780">
        <v>74700</v>
      </c>
      <c r="P673" s="242"/>
      <c r="Q673" s="242"/>
    </row>
    <row r="674" spans="1:17">
      <c r="A674" s="38"/>
      <c r="B674" s="781">
        <v>0.55000000000000004</v>
      </c>
      <c r="C674" s="778">
        <v>908</v>
      </c>
      <c r="D674" s="778">
        <v>973</v>
      </c>
      <c r="E674" s="778">
        <v>1167</v>
      </c>
      <c r="F674" s="778">
        <v>1348</v>
      </c>
      <c r="G674" s="778">
        <v>1504</v>
      </c>
      <c r="H674" s="778">
        <v>36355</v>
      </c>
      <c r="I674" s="778">
        <v>41525</v>
      </c>
      <c r="J674" s="778">
        <v>46695.000000000007</v>
      </c>
      <c r="K674" s="778">
        <v>51865.000000000007</v>
      </c>
      <c r="L674" s="778">
        <v>56045.000000000007</v>
      </c>
      <c r="M674" s="778">
        <v>60170.000000000007</v>
      </c>
      <c r="N674" s="778">
        <v>64350.000000000007</v>
      </c>
      <c r="O674" s="778">
        <v>68475</v>
      </c>
      <c r="P674" s="242"/>
      <c r="Q674" s="242"/>
    </row>
    <row r="675" spans="1:17">
      <c r="A675" s="38"/>
      <c r="B675" s="781">
        <v>0.5</v>
      </c>
      <c r="C675" s="778">
        <v>826</v>
      </c>
      <c r="D675" s="778">
        <v>885</v>
      </c>
      <c r="E675" s="778">
        <v>1061</v>
      </c>
      <c r="F675" s="778">
        <v>1226</v>
      </c>
      <c r="G675" s="778">
        <v>1367</v>
      </c>
      <c r="H675" s="779">
        <v>33050</v>
      </c>
      <c r="I675" s="779">
        <v>37750</v>
      </c>
      <c r="J675" s="779">
        <v>42450</v>
      </c>
      <c r="K675" s="779">
        <v>47150</v>
      </c>
      <c r="L675" s="779">
        <v>50950</v>
      </c>
      <c r="M675" s="779">
        <v>54700</v>
      </c>
      <c r="N675" s="779">
        <v>58500</v>
      </c>
      <c r="O675" s="779">
        <v>62250</v>
      </c>
      <c r="P675" s="242"/>
      <c r="Q675" s="242"/>
    </row>
    <row r="676" spans="1:17">
      <c r="A676" s="38"/>
      <c r="B676" s="781">
        <v>0.45</v>
      </c>
      <c r="C676" s="778">
        <v>743</v>
      </c>
      <c r="D676" s="778">
        <v>796</v>
      </c>
      <c r="E676" s="778">
        <v>955</v>
      </c>
      <c r="F676" s="778">
        <v>1103</v>
      </c>
      <c r="G676" s="778">
        <v>1230</v>
      </c>
      <c r="H676" s="778">
        <v>29745</v>
      </c>
      <c r="I676" s="778">
        <v>33975</v>
      </c>
      <c r="J676" s="778">
        <v>38205</v>
      </c>
      <c r="K676" s="778">
        <v>42435</v>
      </c>
      <c r="L676" s="778">
        <v>45855</v>
      </c>
      <c r="M676" s="780">
        <v>49230</v>
      </c>
      <c r="N676" s="780">
        <v>52650</v>
      </c>
      <c r="O676" s="780">
        <v>56025</v>
      </c>
      <c r="P676" s="242"/>
      <c r="Q676" s="242"/>
    </row>
    <row r="677" spans="1:17">
      <c r="A677" s="38"/>
      <c r="B677" s="781">
        <v>0.4</v>
      </c>
      <c r="C677" s="778">
        <v>661</v>
      </c>
      <c r="D677" s="778">
        <v>708</v>
      </c>
      <c r="E677" s="778">
        <v>849</v>
      </c>
      <c r="F677" s="778">
        <v>981</v>
      </c>
      <c r="G677" s="778">
        <v>1094</v>
      </c>
      <c r="H677" s="778">
        <v>26440</v>
      </c>
      <c r="I677" s="778">
        <v>30200</v>
      </c>
      <c r="J677" s="778">
        <v>33960</v>
      </c>
      <c r="K677" s="778">
        <v>37720</v>
      </c>
      <c r="L677" s="778">
        <v>40760</v>
      </c>
      <c r="M677" s="780">
        <v>43760</v>
      </c>
      <c r="N677" s="780">
        <v>46800</v>
      </c>
      <c r="O677" s="780">
        <v>49800</v>
      </c>
      <c r="P677" s="242"/>
      <c r="Q677" s="242"/>
    </row>
    <row r="678" spans="1:17">
      <c r="A678" s="38"/>
      <c r="B678" s="522">
        <v>0.3</v>
      </c>
      <c r="C678" s="778">
        <v>495</v>
      </c>
      <c r="D678" s="778">
        <v>531</v>
      </c>
      <c r="E678" s="778">
        <v>636</v>
      </c>
      <c r="F678" s="778">
        <v>735</v>
      </c>
      <c r="G678" s="778">
        <v>820</v>
      </c>
      <c r="H678" s="779">
        <v>19830</v>
      </c>
      <c r="I678" s="779">
        <v>22650</v>
      </c>
      <c r="J678" s="779">
        <v>25470</v>
      </c>
      <c r="K678" s="779">
        <v>28290</v>
      </c>
      <c r="L678" s="779">
        <v>30570</v>
      </c>
      <c r="M678" s="779">
        <v>32820</v>
      </c>
      <c r="N678" s="779">
        <v>35100</v>
      </c>
      <c r="O678" s="779">
        <v>37350</v>
      </c>
      <c r="P678" s="242"/>
      <c r="Q678" s="242"/>
    </row>
    <row r="679" spans="1:17" ht="13.5" thickBot="1">
      <c r="A679" s="782"/>
      <c r="B679" s="40">
        <v>0.2</v>
      </c>
      <c r="C679" s="524">
        <v>330</v>
      </c>
      <c r="D679" s="524">
        <v>354</v>
      </c>
      <c r="E679" s="524">
        <v>424</v>
      </c>
      <c r="F679" s="524">
        <v>490</v>
      </c>
      <c r="G679" s="524">
        <v>547</v>
      </c>
      <c r="H679" s="525">
        <v>13220</v>
      </c>
      <c r="I679" s="525">
        <v>15100</v>
      </c>
      <c r="J679" s="525">
        <v>16980</v>
      </c>
      <c r="K679" s="525">
        <v>18860</v>
      </c>
      <c r="L679" s="525">
        <v>20380</v>
      </c>
      <c r="M679" s="525">
        <v>21880</v>
      </c>
      <c r="N679" s="525">
        <v>23400</v>
      </c>
      <c r="O679" s="525">
        <v>24900</v>
      </c>
      <c r="P679" s="242"/>
      <c r="Q679" s="242"/>
    </row>
    <row r="680" spans="1:17" ht="13.5" thickTop="1">
      <c r="A680" s="38"/>
      <c r="B680" s="37">
        <v>1.2</v>
      </c>
      <c r="C680" s="526">
        <v>1980</v>
      </c>
      <c r="D680" s="526">
        <v>2121</v>
      </c>
      <c r="E680" s="526">
        <v>2544</v>
      </c>
      <c r="F680" s="526">
        <v>2940</v>
      </c>
      <c r="G680" s="526">
        <v>3279</v>
      </c>
      <c r="H680" s="526">
        <v>79200</v>
      </c>
      <c r="I680" s="526">
        <v>90480</v>
      </c>
      <c r="J680" s="526">
        <v>101760</v>
      </c>
      <c r="K680" s="526">
        <v>113040</v>
      </c>
      <c r="L680" s="526">
        <v>122160</v>
      </c>
      <c r="M680" s="526">
        <v>131160</v>
      </c>
      <c r="N680" s="526">
        <v>140280</v>
      </c>
      <c r="O680" s="526">
        <v>149280</v>
      </c>
      <c r="P680" s="242"/>
      <c r="Q680" s="242"/>
    </row>
    <row r="681" spans="1:17">
      <c r="A681" s="38"/>
      <c r="B681" s="781">
        <v>1</v>
      </c>
      <c r="C681" s="778">
        <v>1650</v>
      </c>
      <c r="D681" s="778">
        <v>1767</v>
      </c>
      <c r="E681" s="778">
        <v>2120</v>
      </c>
      <c r="F681" s="778">
        <v>2450</v>
      </c>
      <c r="G681" s="778">
        <v>2732</v>
      </c>
      <c r="H681" s="778">
        <v>66000</v>
      </c>
      <c r="I681" s="778">
        <v>75400</v>
      </c>
      <c r="J681" s="778">
        <v>84800</v>
      </c>
      <c r="K681" s="778">
        <v>94200</v>
      </c>
      <c r="L681" s="778">
        <v>101800</v>
      </c>
      <c r="M681" s="778">
        <v>109300</v>
      </c>
      <c r="N681" s="778">
        <v>116900</v>
      </c>
      <c r="O681" s="778">
        <v>124400</v>
      </c>
      <c r="P681" s="242"/>
      <c r="Q681" s="242"/>
    </row>
    <row r="682" spans="1:17">
      <c r="A682" s="38" t="s">
        <v>1326</v>
      </c>
      <c r="B682" s="781">
        <v>0.8</v>
      </c>
      <c r="C682" s="778">
        <v>1320</v>
      </c>
      <c r="D682" s="778">
        <v>1414</v>
      </c>
      <c r="E682" s="778">
        <v>1696</v>
      </c>
      <c r="F682" s="778">
        <v>1960</v>
      </c>
      <c r="G682" s="778">
        <v>2186</v>
      </c>
      <c r="H682" s="779">
        <v>52800</v>
      </c>
      <c r="I682" s="779">
        <v>60320</v>
      </c>
      <c r="J682" s="779">
        <v>67840</v>
      </c>
      <c r="K682" s="779">
        <v>75360</v>
      </c>
      <c r="L682" s="779">
        <v>81440</v>
      </c>
      <c r="M682" s="779">
        <v>87440</v>
      </c>
      <c r="N682" s="779">
        <v>93520</v>
      </c>
      <c r="O682" s="779">
        <v>99520</v>
      </c>
      <c r="P682" s="242"/>
      <c r="Q682" s="242"/>
    </row>
    <row r="683" spans="1:17">
      <c r="A683" s="38"/>
      <c r="B683" s="781">
        <v>0.7</v>
      </c>
      <c r="C683" s="778">
        <v>1155</v>
      </c>
      <c r="D683" s="778">
        <v>1237</v>
      </c>
      <c r="E683" s="778">
        <v>1484</v>
      </c>
      <c r="F683" s="778">
        <v>1715</v>
      </c>
      <c r="G683" s="778">
        <v>1912</v>
      </c>
      <c r="H683" s="779">
        <v>46200</v>
      </c>
      <c r="I683" s="779">
        <v>52780</v>
      </c>
      <c r="J683" s="779">
        <v>59359.999999999993</v>
      </c>
      <c r="K683" s="779">
        <v>65940</v>
      </c>
      <c r="L683" s="779">
        <v>71260</v>
      </c>
      <c r="M683" s="779">
        <v>76510</v>
      </c>
      <c r="N683" s="779">
        <v>81830</v>
      </c>
      <c r="O683" s="779">
        <v>87080</v>
      </c>
      <c r="P683" s="242"/>
      <c r="Q683" s="242"/>
    </row>
    <row r="684" spans="1:17">
      <c r="A684" s="38"/>
      <c r="B684" s="781">
        <v>0.6</v>
      </c>
      <c r="C684" s="778">
        <v>990</v>
      </c>
      <c r="D684" s="778">
        <v>1060</v>
      </c>
      <c r="E684" s="778">
        <v>1272</v>
      </c>
      <c r="F684" s="778">
        <v>1470</v>
      </c>
      <c r="G684" s="778">
        <v>1639</v>
      </c>
      <c r="H684" s="778">
        <v>39600</v>
      </c>
      <c r="I684" s="778">
        <v>45240</v>
      </c>
      <c r="J684" s="778">
        <v>50880</v>
      </c>
      <c r="K684" s="778">
        <v>56520</v>
      </c>
      <c r="L684" s="778">
        <v>61080</v>
      </c>
      <c r="M684" s="780">
        <v>65580</v>
      </c>
      <c r="N684" s="780">
        <v>70140</v>
      </c>
      <c r="O684" s="780">
        <v>74640</v>
      </c>
      <c r="P684" s="242"/>
      <c r="Q684" s="242"/>
    </row>
    <row r="685" spans="1:17">
      <c r="A685" s="38"/>
      <c r="B685" s="781">
        <v>0.55000000000000004</v>
      </c>
      <c r="C685" s="778">
        <v>907</v>
      </c>
      <c r="D685" s="778">
        <v>972</v>
      </c>
      <c r="E685" s="778">
        <v>1166</v>
      </c>
      <c r="F685" s="778">
        <v>1347</v>
      </c>
      <c r="G685" s="778">
        <v>1502</v>
      </c>
      <c r="H685" s="778">
        <v>36300</v>
      </c>
      <c r="I685" s="778">
        <v>41470</v>
      </c>
      <c r="J685" s="778">
        <v>46640.000000000007</v>
      </c>
      <c r="K685" s="778">
        <v>51810.000000000007</v>
      </c>
      <c r="L685" s="778">
        <v>55990.000000000007</v>
      </c>
      <c r="M685" s="778">
        <v>60115.000000000007</v>
      </c>
      <c r="N685" s="778">
        <v>64295.000000000007</v>
      </c>
      <c r="O685" s="778">
        <v>68420</v>
      </c>
      <c r="P685" s="242"/>
      <c r="Q685" s="242"/>
    </row>
    <row r="686" spans="1:17">
      <c r="A686" s="38"/>
      <c r="B686" s="781">
        <v>0.5</v>
      </c>
      <c r="C686" s="778">
        <v>825</v>
      </c>
      <c r="D686" s="778">
        <v>883</v>
      </c>
      <c r="E686" s="778">
        <v>1060</v>
      </c>
      <c r="F686" s="778">
        <v>1225</v>
      </c>
      <c r="G686" s="778">
        <v>1366</v>
      </c>
      <c r="H686" s="779">
        <v>33000</v>
      </c>
      <c r="I686" s="779">
        <v>37700</v>
      </c>
      <c r="J686" s="779">
        <v>42400</v>
      </c>
      <c r="K686" s="779">
        <v>47100</v>
      </c>
      <c r="L686" s="779">
        <v>50900</v>
      </c>
      <c r="M686" s="779">
        <v>54650</v>
      </c>
      <c r="N686" s="779">
        <v>58450</v>
      </c>
      <c r="O686" s="779">
        <v>62200</v>
      </c>
      <c r="P686" s="242"/>
      <c r="Q686" s="242"/>
    </row>
    <row r="687" spans="1:17">
      <c r="A687" s="38"/>
      <c r="B687" s="781">
        <v>0.45</v>
      </c>
      <c r="C687" s="778">
        <v>742</v>
      </c>
      <c r="D687" s="778">
        <v>795</v>
      </c>
      <c r="E687" s="778">
        <v>954</v>
      </c>
      <c r="F687" s="778">
        <v>1102</v>
      </c>
      <c r="G687" s="778">
        <v>1229</v>
      </c>
      <c r="H687" s="778">
        <v>29700</v>
      </c>
      <c r="I687" s="778">
        <v>33930</v>
      </c>
      <c r="J687" s="778">
        <v>38160</v>
      </c>
      <c r="K687" s="778">
        <v>42390</v>
      </c>
      <c r="L687" s="778">
        <v>45810</v>
      </c>
      <c r="M687" s="780">
        <v>49185</v>
      </c>
      <c r="N687" s="780">
        <v>52605</v>
      </c>
      <c r="O687" s="780">
        <v>55980</v>
      </c>
      <c r="P687" s="242"/>
      <c r="Q687" s="242"/>
    </row>
    <row r="688" spans="1:17">
      <c r="A688" s="38"/>
      <c r="B688" s="781">
        <v>0.4</v>
      </c>
      <c r="C688" s="778">
        <v>660</v>
      </c>
      <c r="D688" s="778">
        <v>707</v>
      </c>
      <c r="E688" s="778">
        <v>848</v>
      </c>
      <c r="F688" s="778">
        <v>980</v>
      </c>
      <c r="G688" s="778">
        <v>1093</v>
      </c>
      <c r="H688" s="778">
        <v>26400</v>
      </c>
      <c r="I688" s="778">
        <v>30160</v>
      </c>
      <c r="J688" s="778">
        <v>33920</v>
      </c>
      <c r="K688" s="778">
        <v>37680</v>
      </c>
      <c r="L688" s="778">
        <v>40720</v>
      </c>
      <c r="M688" s="780">
        <v>43720</v>
      </c>
      <c r="N688" s="780">
        <v>46760</v>
      </c>
      <c r="O688" s="780">
        <v>49760</v>
      </c>
      <c r="P688" s="242"/>
      <c r="Q688" s="242"/>
    </row>
    <row r="689" spans="1:17">
      <c r="A689" s="38"/>
      <c r="B689" s="522">
        <v>0.3</v>
      </c>
      <c r="C689" s="778">
        <v>495</v>
      </c>
      <c r="D689" s="778">
        <v>530</v>
      </c>
      <c r="E689" s="778">
        <v>636</v>
      </c>
      <c r="F689" s="778">
        <v>735</v>
      </c>
      <c r="G689" s="778">
        <v>819</v>
      </c>
      <c r="H689" s="779">
        <v>19800</v>
      </c>
      <c r="I689" s="779">
        <v>22620</v>
      </c>
      <c r="J689" s="779">
        <v>25440</v>
      </c>
      <c r="K689" s="779">
        <v>28260</v>
      </c>
      <c r="L689" s="779">
        <v>30540</v>
      </c>
      <c r="M689" s="779">
        <v>32790</v>
      </c>
      <c r="N689" s="779">
        <v>35070</v>
      </c>
      <c r="O689" s="779">
        <v>37320</v>
      </c>
      <c r="P689" s="242"/>
      <c r="Q689" s="242"/>
    </row>
    <row r="690" spans="1:17" ht="13.5" thickBot="1">
      <c r="A690" s="782"/>
      <c r="B690" s="40">
        <v>0.2</v>
      </c>
      <c r="C690" s="524">
        <v>330</v>
      </c>
      <c r="D690" s="524">
        <v>353</v>
      </c>
      <c r="E690" s="524">
        <v>424</v>
      </c>
      <c r="F690" s="524">
        <v>490</v>
      </c>
      <c r="G690" s="524">
        <v>546</v>
      </c>
      <c r="H690" s="525">
        <v>13200</v>
      </c>
      <c r="I690" s="525">
        <v>15080</v>
      </c>
      <c r="J690" s="525">
        <v>16960</v>
      </c>
      <c r="K690" s="525">
        <v>18840</v>
      </c>
      <c r="L690" s="525">
        <v>20360</v>
      </c>
      <c r="M690" s="525">
        <v>21860</v>
      </c>
      <c r="N690" s="525">
        <v>23380</v>
      </c>
      <c r="O690" s="525">
        <v>24880</v>
      </c>
      <c r="P690" s="242"/>
      <c r="Q690" s="242"/>
    </row>
    <row r="691" spans="1:17" ht="13.5" thickTop="1">
      <c r="A691" s="46"/>
      <c r="B691" s="37">
        <v>1.2</v>
      </c>
      <c r="C691" s="526">
        <v>2406</v>
      </c>
      <c r="D691" s="526">
        <v>2577</v>
      </c>
      <c r="E691" s="526">
        <v>3093</v>
      </c>
      <c r="F691" s="526">
        <v>3573</v>
      </c>
      <c r="G691" s="526">
        <v>3987</v>
      </c>
      <c r="H691" s="526">
        <v>96240</v>
      </c>
      <c r="I691" s="526">
        <v>109920</v>
      </c>
      <c r="J691" s="526">
        <v>123720</v>
      </c>
      <c r="K691" s="526">
        <v>137400</v>
      </c>
      <c r="L691" s="526">
        <v>148440</v>
      </c>
      <c r="M691" s="526">
        <v>159480</v>
      </c>
      <c r="N691" s="526">
        <v>170400</v>
      </c>
      <c r="O691" s="526">
        <v>181440</v>
      </c>
      <c r="P691" s="242"/>
      <c r="Q691" s="242"/>
    </row>
    <row r="692" spans="1:17">
      <c r="A692" s="38"/>
      <c r="B692" s="781">
        <v>1</v>
      </c>
      <c r="C692" s="778">
        <v>2005</v>
      </c>
      <c r="D692" s="778">
        <v>2147</v>
      </c>
      <c r="E692" s="778">
        <v>2577</v>
      </c>
      <c r="F692" s="778">
        <v>2977</v>
      </c>
      <c r="G692" s="778">
        <v>3322</v>
      </c>
      <c r="H692" s="778">
        <v>80200</v>
      </c>
      <c r="I692" s="778">
        <v>91600</v>
      </c>
      <c r="J692" s="778">
        <v>103100</v>
      </c>
      <c r="K692" s="778">
        <v>114500</v>
      </c>
      <c r="L692" s="778">
        <v>123700</v>
      </c>
      <c r="M692" s="778">
        <v>132900</v>
      </c>
      <c r="N692" s="778">
        <v>142000</v>
      </c>
      <c r="O692" s="778">
        <v>151200</v>
      </c>
      <c r="P692" s="242"/>
      <c r="Q692" s="242"/>
    </row>
    <row r="693" spans="1:17">
      <c r="A693" s="38" t="s">
        <v>1327</v>
      </c>
      <c r="B693" s="781">
        <v>0.8</v>
      </c>
      <c r="C693" s="778">
        <v>1604</v>
      </c>
      <c r="D693" s="778">
        <v>1718</v>
      </c>
      <c r="E693" s="778">
        <v>2062</v>
      </c>
      <c r="F693" s="778">
        <v>2382</v>
      </c>
      <c r="G693" s="778">
        <v>2658</v>
      </c>
      <c r="H693" s="779">
        <v>64160</v>
      </c>
      <c r="I693" s="779">
        <v>73280</v>
      </c>
      <c r="J693" s="779">
        <v>82480</v>
      </c>
      <c r="K693" s="779">
        <v>91600</v>
      </c>
      <c r="L693" s="779">
        <v>98960</v>
      </c>
      <c r="M693" s="779">
        <v>106320</v>
      </c>
      <c r="N693" s="779">
        <v>113600</v>
      </c>
      <c r="O693" s="779">
        <v>120960</v>
      </c>
      <c r="P693" s="242"/>
      <c r="Q693" s="242"/>
    </row>
    <row r="694" spans="1:17">
      <c r="A694" s="38"/>
      <c r="B694" s="781">
        <v>0.7</v>
      </c>
      <c r="C694" s="778">
        <v>1403</v>
      </c>
      <c r="D694" s="778">
        <v>1503</v>
      </c>
      <c r="E694" s="778">
        <v>1804</v>
      </c>
      <c r="F694" s="778">
        <v>2084</v>
      </c>
      <c r="G694" s="778">
        <v>2325</v>
      </c>
      <c r="H694" s="779">
        <v>56140</v>
      </c>
      <c r="I694" s="779">
        <v>64119.999999999993</v>
      </c>
      <c r="J694" s="779">
        <v>72170</v>
      </c>
      <c r="K694" s="779">
        <v>80150</v>
      </c>
      <c r="L694" s="779">
        <v>86590</v>
      </c>
      <c r="M694" s="779">
        <v>93030</v>
      </c>
      <c r="N694" s="779">
        <v>99400</v>
      </c>
      <c r="O694" s="779">
        <v>105840</v>
      </c>
      <c r="P694" s="242"/>
      <c r="Q694" s="242"/>
    </row>
    <row r="695" spans="1:17">
      <c r="A695" s="38"/>
      <c r="B695" s="781">
        <v>0.6</v>
      </c>
      <c r="C695" s="778">
        <v>1203</v>
      </c>
      <c r="D695" s="778">
        <v>1288</v>
      </c>
      <c r="E695" s="778">
        <v>1546</v>
      </c>
      <c r="F695" s="778">
        <v>1786</v>
      </c>
      <c r="G695" s="778">
        <v>1993</v>
      </c>
      <c r="H695" s="778">
        <v>48120</v>
      </c>
      <c r="I695" s="778">
        <v>54960</v>
      </c>
      <c r="J695" s="778">
        <v>61860</v>
      </c>
      <c r="K695" s="778">
        <v>68700</v>
      </c>
      <c r="L695" s="778">
        <v>74220</v>
      </c>
      <c r="M695" s="780">
        <v>79740</v>
      </c>
      <c r="N695" s="780">
        <v>85200</v>
      </c>
      <c r="O695" s="780">
        <v>90720</v>
      </c>
      <c r="P695" s="242"/>
      <c r="Q695" s="242"/>
    </row>
    <row r="696" spans="1:17">
      <c r="A696" s="38"/>
      <c r="B696" s="781">
        <v>0.55000000000000004</v>
      </c>
      <c r="C696" s="778">
        <v>1102</v>
      </c>
      <c r="D696" s="778">
        <v>1181</v>
      </c>
      <c r="E696" s="778">
        <v>1417</v>
      </c>
      <c r="F696" s="778">
        <v>1637</v>
      </c>
      <c r="G696" s="778">
        <v>1827</v>
      </c>
      <c r="H696" s="778">
        <v>44110</v>
      </c>
      <c r="I696" s="778">
        <v>50380.000000000007</v>
      </c>
      <c r="J696" s="778">
        <v>56705.000000000007</v>
      </c>
      <c r="K696" s="778">
        <v>62975.000000000007</v>
      </c>
      <c r="L696" s="778">
        <v>68035</v>
      </c>
      <c r="M696" s="778">
        <v>73095</v>
      </c>
      <c r="N696" s="778">
        <v>78100</v>
      </c>
      <c r="O696" s="778">
        <v>83160</v>
      </c>
      <c r="P696" s="242"/>
      <c r="Q696" s="242"/>
    </row>
    <row r="697" spans="1:17">
      <c r="A697" s="38"/>
      <c r="B697" s="781">
        <v>0.5</v>
      </c>
      <c r="C697" s="778">
        <v>1002</v>
      </c>
      <c r="D697" s="778">
        <v>1073</v>
      </c>
      <c r="E697" s="778">
        <v>1288</v>
      </c>
      <c r="F697" s="778">
        <v>1488</v>
      </c>
      <c r="G697" s="778">
        <v>1661</v>
      </c>
      <c r="H697" s="779">
        <v>40100</v>
      </c>
      <c r="I697" s="779">
        <v>45800</v>
      </c>
      <c r="J697" s="779">
        <v>51550</v>
      </c>
      <c r="K697" s="779">
        <v>57250</v>
      </c>
      <c r="L697" s="779">
        <v>61850</v>
      </c>
      <c r="M697" s="779">
        <v>66450</v>
      </c>
      <c r="N697" s="779">
        <v>71000</v>
      </c>
      <c r="O697" s="779">
        <v>75600</v>
      </c>
      <c r="P697" s="242"/>
      <c r="Q697" s="242"/>
    </row>
    <row r="698" spans="1:17">
      <c r="A698" s="38"/>
      <c r="B698" s="781">
        <v>0.45</v>
      </c>
      <c r="C698" s="778">
        <v>902</v>
      </c>
      <c r="D698" s="778">
        <v>966</v>
      </c>
      <c r="E698" s="778">
        <v>1159</v>
      </c>
      <c r="F698" s="778">
        <v>1339</v>
      </c>
      <c r="G698" s="778">
        <v>1495</v>
      </c>
      <c r="H698" s="778">
        <v>36090</v>
      </c>
      <c r="I698" s="778">
        <v>41220</v>
      </c>
      <c r="J698" s="778">
        <v>46395</v>
      </c>
      <c r="K698" s="778">
        <v>51525</v>
      </c>
      <c r="L698" s="778">
        <v>55665</v>
      </c>
      <c r="M698" s="780">
        <v>59805</v>
      </c>
      <c r="N698" s="780">
        <v>63900</v>
      </c>
      <c r="O698" s="780">
        <v>68040</v>
      </c>
      <c r="P698" s="242"/>
      <c r="Q698" s="242"/>
    </row>
    <row r="699" spans="1:17">
      <c r="A699" s="38"/>
      <c r="B699" s="781">
        <v>0.4</v>
      </c>
      <c r="C699" s="778">
        <v>802</v>
      </c>
      <c r="D699" s="778">
        <v>859</v>
      </c>
      <c r="E699" s="778">
        <v>1031</v>
      </c>
      <c r="F699" s="778">
        <v>1191</v>
      </c>
      <c r="G699" s="778">
        <v>1329</v>
      </c>
      <c r="H699" s="778">
        <v>32080</v>
      </c>
      <c r="I699" s="778">
        <v>36640</v>
      </c>
      <c r="J699" s="778">
        <v>41240</v>
      </c>
      <c r="K699" s="778">
        <v>45800</v>
      </c>
      <c r="L699" s="778">
        <v>49480</v>
      </c>
      <c r="M699" s="780">
        <v>53160</v>
      </c>
      <c r="N699" s="780">
        <v>56800</v>
      </c>
      <c r="O699" s="780">
        <v>60480</v>
      </c>
      <c r="P699" s="242"/>
      <c r="Q699" s="242"/>
    </row>
    <row r="700" spans="1:17">
      <c r="A700" s="38"/>
      <c r="B700" s="522">
        <v>0.3</v>
      </c>
      <c r="C700" s="778">
        <v>601</v>
      </c>
      <c r="D700" s="778">
        <v>644</v>
      </c>
      <c r="E700" s="778">
        <v>773</v>
      </c>
      <c r="F700" s="778">
        <v>893</v>
      </c>
      <c r="G700" s="778">
        <v>996</v>
      </c>
      <c r="H700" s="779">
        <v>24060</v>
      </c>
      <c r="I700" s="779">
        <v>27480</v>
      </c>
      <c r="J700" s="779">
        <v>30930</v>
      </c>
      <c r="K700" s="779">
        <v>34350</v>
      </c>
      <c r="L700" s="779">
        <v>37110</v>
      </c>
      <c r="M700" s="779">
        <v>39870</v>
      </c>
      <c r="N700" s="779">
        <v>42600</v>
      </c>
      <c r="O700" s="779">
        <v>45360</v>
      </c>
      <c r="P700" s="242"/>
      <c r="Q700" s="242"/>
    </row>
    <row r="701" spans="1:17" ht="13.5" thickBot="1">
      <c r="A701" s="782"/>
      <c r="B701" s="40">
        <v>0.2</v>
      </c>
      <c r="C701" s="524">
        <v>401</v>
      </c>
      <c r="D701" s="524">
        <v>429</v>
      </c>
      <c r="E701" s="524">
        <v>515</v>
      </c>
      <c r="F701" s="524">
        <v>595</v>
      </c>
      <c r="G701" s="524">
        <v>664</v>
      </c>
      <c r="H701" s="525">
        <v>16040</v>
      </c>
      <c r="I701" s="525">
        <v>18320</v>
      </c>
      <c r="J701" s="525">
        <v>20620</v>
      </c>
      <c r="K701" s="525">
        <v>22900</v>
      </c>
      <c r="L701" s="525">
        <v>24740</v>
      </c>
      <c r="M701" s="525">
        <v>26580</v>
      </c>
      <c r="N701" s="525">
        <v>28400</v>
      </c>
      <c r="O701" s="525">
        <v>30240</v>
      </c>
      <c r="P701" s="242"/>
      <c r="Q701" s="242"/>
    </row>
    <row r="702" spans="1:17" ht="13.5" thickTop="1">
      <c r="A702" s="44"/>
      <c r="B702" s="37">
        <v>1.2</v>
      </c>
      <c r="C702" s="526">
        <v>1980</v>
      </c>
      <c r="D702" s="526">
        <v>2121</v>
      </c>
      <c r="E702" s="526">
        <v>2544</v>
      </c>
      <c r="F702" s="526">
        <v>2940</v>
      </c>
      <c r="G702" s="526">
        <v>3279</v>
      </c>
      <c r="H702" s="526">
        <v>79200</v>
      </c>
      <c r="I702" s="526">
        <v>90480</v>
      </c>
      <c r="J702" s="526">
        <v>101760</v>
      </c>
      <c r="K702" s="526">
        <v>113040</v>
      </c>
      <c r="L702" s="526">
        <v>122160</v>
      </c>
      <c r="M702" s="526">
        <v>131160</v>
      </c>
      <c r="N702" s="526">
        <v>140280</v>
      </c>
      <c r="O702" s="526">
        <v>149280</v>
      </c>
      <c r="P702" s="242"/>
      <c r="Q702" s="242"/>
    </row>
    <row r="703" spans="1:17">
      <c r="A703" s="38"/>
      <c r="B703" s="781">
        <v>1</v>
      </c>
      <c r="C703" s="778">
        <v>1650</v>
      </c>
      <c r="D703" s="778">
        <v>1767</v>
      </c>
      <c r="E703" s="778">
        <v>2120</v>
      </c>
      <c r="F703" s="778">
        <v>2450</v>
      </c>
      <c r="G703" s="778">
        <v>2732</v>
      </c>
      <c r="H703" s="778">
        <v>66000</v>
      </c>
      <c r="I703" s="778">
        <v>75400</v>
      </c>
      <c r="J703" s="778">
        <v>84800</v>
      </c>
      <c r="K703" s="778">
        <v>94200</v>
      </c>
      <c r="L703" s="778">
        <v>101800</v>
      </c>
      <c r="M703" s="778">
        <v>109300</v>
      </c>
      <c r="N703" s="778">
        <v>116900</v>
      </c>
      <c r="O703" s="778">
        <v>124400</v>
      </c>
      <c r="P703" s="242"/>
      <c r="Q703" s="242"/>
    </row>
    <row r="704" spans="1:17">
      <c r="A704" s="38" t="s">
        <v>1328</v>
      </c>
      <c r="B704" s="781">
        <v>0.8</v>
      </c>
      <c r="C704" s="778">
        <v>1320</v>
      </c>
      <c r="D704" s="778">
        <v>1414</v>
      </c>
      <c r="E704" s="778">
        <v>1696</v>
      </c>
      <c r="F704" s="778">
        <v>1960</v>
      </c>
      <c r="G704" s="778">
        <v>2186</v>
      </c>
      <c r="H704" s="779">
        <v>52800</v>
      </c>
      <c r="I704" s="779">
        <v>60320</v>
      </c>
      <c r="J704" s="779">
        <v>67840</v>
      </c>
      <c r="K704" s="779">
        <v>75360</v>
      </c>
      <c r="L704" s="779">
        <v>81440</v>
      </c>
      <c r="M704" s="779">
        <v>87440</v>
      </c>
      <c r="N704" s="779">
        <v>93520</v>
      </c>
      <c r="O704" s="779">
        <v>99520</v>
      </c>
      <c r="P704" s="242"/>
      <c r="Q704" s="242"/>
    </row>
    <row r="705" spans="1:19">
      <c r="A705" s="38"/>
      <c r="B705" s="781">
        <v>0.7</v>
      </c>
      <c r="C705" s="778">
        <v>1155</v>
      </c>
      <c r="D705" s="778">
        <v>1237</v>
      </c>
      <c r="E705" s="778">
        <v>1484</v>
      </c>
      <c r="F705" s="778">
        <v>1715</v>
      </c>
      <c r="G705" s="778">
        <v>1912</v>
      </c>
      <c r="H705" s="779">
        <v>46200</v>
      </c>
      <c r="I705" s="779">
        <v>52780</v>
      </c>
      <c r="J705" s="779">
        <v>59359.999999999993</v>
      </c>
      <c r="K705" s="779">
        <v>65940</v>
      </c>
      <c r="L705" s="779">
        <v>71260</v>
      </c>
      <c r="M705" s="779">
        <v>76510</v>
      </c>
      <c r="N705" s="779">
        <v>81830</v>
      </c>
      <c r="O705" s="779">
        <v>87080</v>
      </c>
      <c r="P705" s="242"/>
      <c r="Q705" s="242"/>
      <c r="R705" s="242"/>
      <c r="S705" s="242"/>
    </row>
    <row r="706" spans="1:19">
      <c r="A706" s="242"/>
      <c r="B706" s="781">
        <v>0.6</v>
      </c>
      <c r="C706" s="778">
        <v>990</v>
      </c>
      <c r="D706" s="778">
        <v>1060</v>
      </c>
      <c r="E706" s="778">
        <v>1272</v>
      </c>
      <c r="F706" s="778">
        <v>1470</v>
      </c>
      <c r="G706" s="778">
        <v>1639</v>
      </c>
      <c r="H706" s="778">
        <v>39600</v>
      </c>
      <c r="I706" s="778">
        <v>45240</v>
      </c>
      <c r="J706" s="778">
        <v>50880</v>
      </c>
      <c r="K706" s="778">
        <v>56520</v>
      </c>
      <c r="L706" s="778">
        <v>61080</v>
      </c>
      <c r="M706" s="780">
        <v>65580</v>
      </c>
      <c r="N706" s="780">
        <v>70140</v>
      </c>
      <c r="O706" s="780">
        <v>74640</v>
      </c>
      <c r="P706" s="242"/>
      <c r="Q706" s="242"/>
      <c r="R706" s="242"/>
      <c r="S706" s="242"/>
    </row>
    <row r="707" spans="1:19">
      <c r="A707" s="242"/>
      <c r="B707" s="781">
        <v>0.55000000000000004</v>
      </c>
      <c r="C707" s="778">
        <v>907</v>
      </c>
      <c r="D707" s="778">
        <v>972</v>
      </c>
      <c r="E707" s="778">
        <v>1166</v>
      </c>
      <c r="F707" s="778">
        <v>1347</v>
      </c>
      <c r="G707" s="778">
        <v>1502</v>
      </c>
      <c r="H707" s="778">
        <v>36300</v>
      </c>
      <c r="I707" s="778">
        <v>41470</v>
      </c>
      <c r="J707" s="778">
        <v>46640.000000000007</v>
      </c>
      <c r="K707" s="778">
        <v>51810.000000000007</v>
      </c>
      <c r="L707" s="778">
        <v>55990.000000000007</v>
      </c>
      <c r="M707" s="778">
        <v>60115.000000000007</v>
      </c>
      <c r="N707" s="778">
        <v>64295.000000000007</v>
      </c>
      <c r="O707" s="778">
        <v>68420</v>
      </c>
      <c r="P707" s="242"/>
      <c r="Q707" s="242"/>
      <c r="R707" s="242"/>
      <c r="S707" s="242"/>
    </row>
    <row r="708" spans="1:19">
      <c r="A708" s="38"/>
      <c r="B708" s="781">
        <v>0.5</v>
      </c>
      <c r="C708" s="778">
        <v>825</v>
      </c>
      <c r="D708" s="778">
        <v>883</v>
      </c>
      <c r="E708" s="778">
        <v>1060</v>
      </c>
      <c r="F708" s="778">
        <v>1225</v>
      </c>
      <c r="G708" s="778">
        <v>1366</v>
      </c>
      <c r="H708" s="779">
        <v>33000</v>
      </c>
      <c r="I708" s="779">
        <v>37700</v>
      </c>
      <c r="J708" s="779">
        <v>42400</v>
      </c>
      <c r="K708" s="779">
        <v>47100</v>
      </c>
      <c r="L708" s="779">
        <v>50900</v>
      </c>
      <c r="M708" s="779">
        <v>54650</v>
      </c>
      <c r="N708" s="779">
        <v>58450</v>
      </c>
      <c r="O708" s="779">
        <v>62200</v>
      </c>
      <c r="P708" s="242"/>
      <c r="Q708" s="242"/>
      <c r="R708" s="242"/>
      <c r="S708" s="242"/>
    </row>
    <row r="709" spans="1:19">
      <c r="A709" s="38"/>
      <c r="B709" s="781">
        <v>0.45</v>
      </c>
      <c r="C709" s="778">
        <v>742</v>
      </c>
      <c r="D709" s="778">
        <v>795</v>
      </c>
      <c r="E709" s="778">
        <v>954</v>
      </c>
      <c r="F709" s="778">
        <v>1102</v>
      </c>
      <c r="G709" s="778">
        <v>1229</v>
      </c>
      <c r="H709" s="778">
        <v>29700</v>
      </c>
      <c r="I709" s="778">
        <v>33930</v>
      </c>
      <c r="J709" s="778">
        <v>38160</v>
      </c>
      <c r="K709" s="778">
        <v>42390</v>
      </c>
      <c r="L709" s="778">
        <v>45810</v>
      </c>
      <c r="M709" s="780">
        <v>49185</v>
      </c>
      <c r="N709" s="780">
        <v>52605</v>
      </c>
      <c r="O709" s="780">
        <v>55980</v>
      </c>
      <c r="P709" s="242"/>
      <c r="Q709" s="242"/>
      <c r="R709" s="242"/>
      <c r="S709" s="242"/>
    </row>
    <row r="710" spans="1:19">
      <c r="A710" s="38"/>
      <c r="B710" s="781">
        <v>0.4</v>
      </c>
      <c r="C710" s="778">
        <v>660</v>
      </c>
      <c r="D710" s="778">
        <v>707</v>
      </c>
      <c r="E710" s="778">
        <v>848</v>
      </c>
      <c r="F710" s="778">
        <v>980</v>
      </c>
      <c r="G710" s="778">
        <v>1093</v>
      </c>
      <c r="H710" s="778">
        <v>26400</v>
      </c>
      <c r="I710" s="778">
        <v>30160</v>
      </c>
      <c r="J710" s="778">
        <v>33920</v>
      </c>
      <c r="K710" s="778">
        <v>37680</v>
      </c>
      <c r="L710" s="778">
        <v>40720</v>
      </c>
      <c r="M710" s="780">
        <v>43720</v>
      </c>
      <c r="N710" s="780">
        <v>46760</v>
      </c>
      <c r="O710" s="780">
        <v>49760</v>
      </c>
      <c r="P710" s="242"/>
      <c r="Q710" s="242"/>
      <c r="R710" s="242"/>
      <c r="S710" s="242"/>
    </row>
    <row r="711" spans="1:19">
      <c r="A711" s="38"/>
      <c r="B711" s="522">
        <v>0.3</v>
      </c>
      <c r="C711" s="778">
        <v>495</v>
      </c>
      <c r="D711" s="778">
        <v>530</v>
      </c>
      <c r="E711" s="778">
        <v>636</v>
      </c>
      <c r="F711" s="778">
        <v>735</v>
      </c>
      <c r="G711" s="778">
        <v>819</v>
      </c>
      <c r="H711" s="779">
        <v>19800</v>
      </c>
      <c r="I711" s="779">
        <v>22620</v>
      </c>
      <c r="J711" s="779">
        <v>25440</v>
      </c>
      <c r="K711" s="779">
        <v>28260</v>
      </c>
      <c r="L711" s="779">
        <v>30540</v>
      </c>
      <c r="M711" s="779">
        <v>32790</v>
      </c>
      <c r="N711" s="779">
        <v>35070</v>
      </c>
      <c r="O711" s="779">
        <v>37320</v>
      </c>
      <c r="P711" s="242"/>
      <c r="Q711" s="242"/>
      <c r="R711" s="242"/>
      <c r="S711" s="242"/>
    </row>
    <row r="712" spans="1:19" ht="13.5" thickBot="1">
      <c r="A712" s="785"/>
      <c r="B712" s="40">
        <v>0.2</v>
      </c>
      <c r="C712" s="524">
        <v>330</v>
      </c>
      <c r="D712" s="524">
        <v>353</v>
      </c>
      <c r="E712" s="524">
        <v>424</v>
      </c>
      <c r="F712" s="524">
        <v>490</v>
      </c>
      <c r="G712" s="524">
        <v>546</v>
      </c>
      <c r="H712" s="525">
        <v>13200</v>
      </c>
      <c r="I712" s="525">
        <v>15080</v>
      </c>
      <c r="J712" s="525">
        <v>16960</v>
      </c>
      <c r="K712" s="525">
        <v>18840</v>
      </c>
      <c r="L712" s="525">
        <v>20360</v>
      </c>
      <c r="M712" s="525">
        <v>21860</v>
      </c>
      <c r="N712" s="525">
        <v>23380</v>
      </c>
      <c r="O712" s="525">
        <v>24880</v>
      </c>
      <c r="P712" s="242"/>
      <c r="Q712" s="242"/>
      <c r="R712" s="242"/>
      <c r="S712" s="242"/>
    </row>
    <row r="713" spans="1:19" ht="61.5" customHeight="1">
      <c r="A713" s="950" t="s">
        <v>1329</v>
      </c>
      <c r="B713" s="950"/>
      <c r="C713" s="950"/>
      <c r="D713" s="950"/>
      <c r="E713" s="950"/>
      <c r="F713" s="950"/>
      <c r="G713" s="950"/>
      <c r="H713" s="950"/>
      <c r="I713" s="950"/>
      <c r="J713" s="950"/>
      <c r="K713" s="950"/>
      <c r="L713" s="950"/>
      <c r="M713" s="950"/>
      <c r="N713" s="950"/>
      <c r="O713" s="950"/>
      <c r="P713" s="950"/>
      <c r="Q713" s="950"/>
      <c r="R713" s="950"/>
      <c r="S713" s="950"/>
    </row>
    <row r="714" spans="1:19">
      <c r="A714" s="468"/>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MyYy1i9aUayOXkro2PCwk58/tv8jOtynMQhjxrO4dZzZK8dS2Gbgk4r8nTRY/yzHiWA2S5h6f/xuv9H4kS3nnQ==" saltValue="xMuvdrYTQrESXlKzLn8wjA=="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heetViews>
  <sheetFormatPr defaultRowHeight="15"/>
  <cols>
    <col min="1" max="1" width="10" customWidth="1"/>
    <col min="2" max="2" width="12" customWidth="1"/>
    <col min="3" max="3" width="11.140625" customWidth="1"/>
    <col min="4" max="4" width="12.140625" customWidth="1"/>
    <col min="5" max="5" width="15" customWidth="1"/>
    <col min="6" max="6" width="14.5703125" customWidth="1"/>
    <col min="7" max="7" width="15" customWidth="1"/>
    <col min="8" max="8" width="17" customWidth="1"/>
    <col min="9" max="10" width="16.5703125" customWidth="1"/>
    <col min="11" max="11" width="14.5703125" customWidth="1"/>
    <col min="12" max="12" width="17" customWidth="1"/>
    <col min="13" max="14" width="14.5703125" customWidth="1"/>
    <col min="15" max="16" width="16" customWidth="1"/>
    <col min="17" max="17" width="14.5703125" customWidth="1"/>
    <col min="18" max="18" width="16.5703125" customWidth="1"/>
    <col min="19" max="27" width="14.5703125" customWidth="1"/>
  </cols>
  <sheetData>
    <row r="1" spans="1:27" ht="21">
      <c r="A1" s="4" t="s">
        <v>1330</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14" t="str">
        <f>Calculations!A653</f>
        <v>Building #</v>
      </c>
      <c r="B4" s="514" t="str">
        <f>Calculations!B653</f>
        <v>Total Units in Building</v>
      </c>
      <c r="C4" s="514" t="str">
        <f>Calculations!C653</f>
        <v>Employee Units</v>
      </c>
      <c r="D4" s="514" t="str">
        <f>Calculations!D653</f>
        <v>Low-Income Units</v>
      </c>
      <c r="E4" s="514" t="str">
        <f>Calculations!E653</f>
        <v>Residential Square Footage</v>
      </c>
      <c r="F4" s="514" t="str">
        <f>Calculations!F653</f>
        <v>Square Footage of Employee Units</v>
      </c>
      <c r="G4" s="514" t="str">
        <f>Calculations!G653</f>
        <v>Square Footage of Low-Income Units</v>
      </c>
      <c r="H4" s="514" t="str">
        <f>Calculations!H653</f>
        <v>Low-Income Unit Applicable Fraction</v>
      </c>
      <c r="I4" s="514" t="str">
        <f>Calculations!I653</f>
        <v>Square Footage Applicable Fraction</v>
      </c>
      <c r="J4" s="514" t="str">
        <f>Calculations!J653</f>
        <v xml:space="preserve">Lowest Applicable for Calculating Credit </v>
      </c>
      <c r="K4" s="514" t="str">
        <f>Calculations!K653</f>
        <v>New Construction Eligible Basis</v>
      </c>
      <c r="L4" s="514" t="str">
        <f>Calculations!L653</f>
        <v>Boosted New Con Eligible Basis</v>
      </c>
      <c r="M4" s="514" t="str">
        <f>Calculations!M653</f>
        <v>Rehab Eligible Basis</v>
      </c>
      <c r="N4" s="514" t="str">
        <f>Calculations!N653</f>
        <v>Boosted Rehab Eligible Basis</v>
      </c>
      <c r="O4" s="514" t="str">
        <f>Calculations!O653</f>
        <v>New Con/Rehab Total Eligible Basis</v>
      </c>
      <c r="P4" s="514" t="str">
        <f>Calculations!P653</f>
        <v>New Con/Rehab Total Qualified Basis</v>
      </c>
      <c r="Q4" s="514" t="str">
        <f>Calculations!Q653</f>
        <v>New Con/Rehab APR</v>
      </c>
      <c r="R4" s="514" t="str">
        <f>Calculations!R653</f>
        <v>New Con/Rehab Annual Credit Amount</v>
      </c>
      <c r="S4" s="514" t="str">
        <f>Calculations!S653</f>
        <v>Total Acquisition Eligible Basis</v>
      </c>
      <c r="T4" s="514" t="str">
        <f>Calculations!T653</f>
        <v>Acq Total Qualified Basis</v>
      </c>
      <c r="U4" s="514" t="str">
        <f>Calculations!U653</f>
        <v>Acq APR</v>
      </c>
      <c r="V4" s="514" t="str">
        <f>Calculations!V653</f>
        <v>Acq Annual Credit Amount</v>
      </c>
      <c r="W4" s="514" t="str">
        <f>Calculations!W653</f>
        <v>New Con/Rehab Applicable Percentage</v>
      </c>
      <c r="X4" s="514" t="str">
        <f>Calculations!X653</f>
        <v>Acq Applicable Percentage</v>
      </c>
      <c r="Y4" s="514" t="str">
        <f>Calculations!Y653</f>
        <v>Applicable Fraction Sq Footage</v>
      </c>
      <c r="Z4" s="514" t="str">
        <f>Calculations!Z653</f>
        <v>Applicable Fraction LI Units</v>
      </c>
      <c r="AA4" s="514" t="str">
        <f>Calculations!AA653</f>
        <v>Lowest Applicable Fraction</v>
      </c>
    </row>
    <row r="5" spans="1:27">
      <c r="A5" s="3">
        <f>Calculations!A654</f>
        <v>1</v>
      </c>
      <c r="B5">
        <f>Calculations!B654</f>
        <v>0</v>
      </c>
      <c r="C5">
        <f>Calculations!C654</f>
        <v>0</v>
      </c>
      <c r="D5">
        <f>Calculations!D654</f>
        <v>0</v>
      </c>
      <c r="E5" s="265">
        <f>Calculations!E654</f>
        <v>0</v>
      </c>
      <c r="F5" s="265">
        <f>Calculations!F654</f>
        <v>0</v>
      </c>
      <c r="G5" s="265">
        <f>Calculations!G654</f>
        <v>0</v>
      </c>
      <c r="H5" s="197">
        <f>Calculations!H654</f>
        <v>0</v>
      </c>
      <c r="I5" s="197">
        <f>Calculations!I654</f>
        <v>0</v>
      </c>
      <c r="J5" s="137">
        <f>Calculations!J654</f>
        <v>0</v>
      </c>
      <c r="K5" s="66">
        <f>Calculations!K654</f>
        <v>0</v>
      </c>
      <c r="L5" s="66">
        <f>Calculations!L654</f>
        <v>0</v>
      </c>
      <c r="M5">
        <f>Calculations!M654</f>
        <v>0</v>
      </c>
      <c r="N5" s="66">
        <f>Calculations!N654</f>
        <v>0</v>
      </c>
      <c r="O5" s="66">
        <f>Calculations!O654</f>
        <v>0</v>
      </c>
      <c r="P5" s="66">
        <f>Calculations!P654</f>
        <v>0</v>
      </c>
      <c r="Q5" s="204">
        <f>Calculations!Q654</f>
        <v>0</v>
      </c>
      <c r="R5" s="66">
        <f>Calculations!R654</f>
        <v>0</v>
      </c>
      <c r="S5" s="65">
        <f>Calculations!S654</f>
        <v>0</v>
      </c>
      <c r="T5" s="65">
        <f>Calculations!T654</f>
        <v>0</v>
      </c>
      <c r="U5" s="204">
        <f>Calculations!U654</f>
        <v>0</v>
      </c>
      <c r="V5" s="65">
        <f>Calculations!V654</f>
        <v>0</v>
      </c>
      <c r="W5" s="266">
        <f>Calculations!W654</f>
        <v>0</v>
      </c>
      <c r="X5" s="266">
        <f>Calculations!X654</f>
        <v>0</v>
      </c>
      <c r="Y5" s="266" t="e">
        <f>Calculations!Y654</f>
        <v>#DIV/0!</v>
      </c>
      <c r="Z5" s="266" t="e">
        <f>Calculations!Z654</f>
        <v>#DIV/0!</v>
      </c>
      <c r="AA5" s="266" t="e">
        <f>Calculations!AA654</f>
        <v>#DIV/0!</v>
      </c>
    </row>
    <row r="6" spans="1:27">
      <c r="A6" s="3">
        <f>Calculations!A655</f>
        <v>2</v>
      </c>
      <c r="B6">
        <f>Calculations!B655</f>
        <v>0</v>
      </c>
      <c r="C6">
        <f>Calculations!C655</f>
        <v>0</v>
      </c>
      <c r="D6">
        <f>Calculations!D655</f>
        <v>0</v>
      </c>
      <c r="E6" s="265">
        <f>Calculations!E655</f>
        <v>0</v>
      </c>
      <c r="F6" s="265">
        <f>Calculations!F655</f>
        <v>0</v>
      </c>
      <c r="G6" s="265">
        <f>Calculations!G655</f>
        <v>0</v>
      </c>
      <c r="H6" s="197">
        <f>Calculations!H655</f>
        <v>0</v>
      </c>
      <c r="I6" s="197">
        <f>Calculations!I655</f>
        <v>0</v>
      </c>
      <c r="J6" s="137">
        <f>Calculations!J655</f>
        <v>0</v>
      </c>
      <c r="K6" s="66">
        <f>Calculations!K655</f>
        <v>0</v>
      </c>
      <c r="L6" s="66">
        <f>Calculations!L655</f>
        <v>0</v>
      </c>
      <c r="M6">
        <f>Calculations!M655</f>
        <v>0</v>
      </c>
      <c r="N6" s="66">
        <f>Calculations!N655</f>
        <v>0</v>
      </c>
      <c r="O6" s="66">
        <f>Calculations!O655</f>
        <v>0</v>
      </c>
      <c r="P6" s="66">
        <f>Calculations!P655</f>
        <v>0</v>
      </c>
      <c r="Q6" s="204">
        <f>Calculations!Q655</f>
        <v>0</v>
      </c>
      <c r="R6" s="66">
        <f>Calculations!R655</f>
        <v>0</v>
      </c>
      <c r="S6" s="65">
        <f>Calculations!S655</f>
        <v>0</v>
      </c>
      <c r="T6" s="65">
        <f>Calculations!T655</f>
        <v>0</v>
      </c>
      <c r="U6" s="204">
        <f>Calculations!U655</f>
        <v>0</v>
      </c>
      <c r="V6" s="65">
        <f>Calculations!V655</f>
        <v>0</v>
      </c>
      <c r="W6" s="266">
        <f>Calculations!W655</f>
        <v>0</v>
      </c>
      <c r="X6" s="266">
        <f>Calculations!X655</f>
        <v>0</v>
      </c>
      <c r="Y6" s="266" t="e">
        <f>Calculations!Y655</f>
        <v>#DIV/0!</v>
      </c>
      <c r="Z6" s="266" t="e">
        <f>Calculations!Z655</f>
        <v>#DIV/0!</v>
      </c>
      <c r="AA6" s="266" t="e">
        <f>Calculations!AA655</f>
        <v>#DIV/0!</v>
      </c>
    </row>
    <row r="7" spans="1:27">
      <c r="A7" s="3">
        <f>Calculations!A656</f>
        <v>3</v>
      </c>
      <c r="B7">
        <f>Calculations!B656</f>
        <v>0</v>
      </c>
      <c r="C7">
        <f>Calculations!C656</f>
        <v>0</v>
      </c>
      <c r="D7">
        <f>Calculations!D656</f>
        <v>0</v>
      </c>
      <c r="E7" s="265">
        <f>Calculations!E656</f>
        <v>0</v>
      </c>
      <c r="F7" s="265">
        <f>Calculations!F656</f>
        <v>0</v>
      </c>
      <c r="G7" s="265">
        <f>Calculations!G656</f>
        <v>0</v>
      </c>
      <c r="H7" s="197">
        <f>Calculations!H656</f>
        <v>0</v>
      </c>
      <c r="I7" s="197">
        <f>Calculations!I656</f>
        <v>0</v>
      </c>
      <c r="J7" s="137">
        <f>Calculations!J656</f>
        <v>0</v>
      </c>
      <c r="K7" s="66">
        <f>Calculations!K656</f>
        <v>0</v>
      </c>
      <c r="L7" s="66">
        <f>Calculations!L656</f>
        <v>0</v>
      </c>
      <c r="M7">
        <f>Calculations!M656</f>
        <v>0</v>
      </c>
      <c r="N7" s="66">
        <f>Calculations!N656</f>
        <v>0</v>
      </c>
      <c r="O7" s="66">
        <f>Calculations!O656</f>
        <v>0</v>
      </c>
      <c r="P7" s="66">
        <f>Calculations!P656</f>
        <v>0</v>
      </c>
      <c r="Q7" s="204">
        <f>Calculations!Q656</f>
        <v>0</v>
      </c>
      <c r="R7" s="66">
        <f>Calculations!R656</f>
        <v>0</v>
      </c>
      <c r="S7" s="65">
        <f>Calculations!S656</f>
        <v>0</v>
      </c>
      <c r="T7" s="65">
        <f>Calculations!T656</f>
        <v>0</v>
      </c>
      <c r="U7" s="204">
        <f>Calculations!U656</f>
        <v>0</v>
      </c>
      <c r="V7" s="65">
        <f>Calculations!V656</f>
        <v>0</v>
      </c>
      <c r="W7" s="266">
        <f>Calculations!W656</f>
        <v>0</v>
      </c>
      <c r="X7" s="266">
        <f>Calculations!X656</f>
        <v>0</v>
      </c>
      <c r="Y7" s="266" t="e">
        <f>Calculations!Y656</f>
        <v>#DIV/0!</v>
      </c>
      <c r="Z7" s="266" t="e">
        <f>Calculations!Z656</f>
        <v>#DIV/0!</v>
      </c>
      <c r="AA7" s="266" t="e">
        <f>Calculations!AA656</f>
        <v>#DIV/0!</v>
      </c>
    </row>
    <row r="8" spans="1:27">
      <c r="A8" s="3">
        <f>Calculations!A657</f>
        <v>4</v>
      </c>
      <c r="B8">
        <f>Calculations!B657</f>
        <v>0</v>
      </c>
      <c r="C8">
        <f>Calculations!C657</f>
        <v>0</v>
      </c>
      <c r="D8">
        <f>Calculations!D657</f>
        <v>0</v>
      </c>
      <c r="E8" s="265">
        <f>Calculations!E657</f>
        <v>0</v>
      </c>
      <c r="F8" s="265">
        <f>Calculations!F657</f>
        <v>0</v>
      </c>
      <c r="G8" s="265">
        <f>Calculations!G657</f>
        <v>0</v>
      </c>
      <c r="H8" s="197">
        <f>Calculations!H657</f>
        <v>0</v>
      </c>
      <c r="I8" s="197">
        <f>Calculations!I657</f>
        <v>0</v>
      </c>
      <c r="J8" s="137">
        <f>Calculations!J657</f>
        <v>0</v>
      </c>
      <c r="K8" s="66">
        <f>Calculations!K657</f>
        <v>0</v>
      </c>
      <c r="L8" s="66">
        <f>Calculations!L657</f>
        <v>0</v>
      </c>
      <c r="M8">
        <f>Calculations!M657</f>
        <v>0</v>
      </c>
      <c r="N8" s="66">
        <f>Calculations!N657</f>
        <v>0</v>
      </c>
      <c r="O8" s="66">
        <f>Calculations!O657</f>
        <v>0</v>
      </c>
      <c r="P8" s="66">
        <f>Calculations!P657</f>
        <v>0</v>
      </c>
      <c r="Q8" s="204">
        <f>Calculations!Q657</f>
        <v>0</v>
      </c>
      <c r="R8" s="66">
        <f>Calculations!R657</f>
        <v>0</v>
      </c>
      <c r="S8" s="65">
        <f>Calculations!S657</f>
        <v>0</v>
      </c>
      <c r="T8" s="65">
        <f>Calculations!T657</f>
        <v>0</v>
      </c>
      <c r="U8" s="204">
        <f>Calculations!U657</f>
        <v>0</v>
      </c>
      <c r="V8" s="65">
        <f>Calculations!V657</f>
        <v>0</v>
      </c>
      <c r="W8" s="266">
        <f>Calculations!W657</f>
        <v>0</v>
      </c>
      <c r="X8" s="266">
        <f>Calculations!X657</f>
        <v>0</v>
      </c>
      <c r="Y8" s="266" t="e">
        <f>Calculations!Y657</f>
        <v>#DIV/0!</v>
      </c>
      <c r="Z8" s="266" t="e">
        <f>Calculations!Z657</f>
        <v>#DIV/0!</v>
      </c>
      <c r="AA8" s="266" t="e">
        <f>Calculations!AA657</f>
        <v>#DIV/0!</v>
      </c>
    </row>
    <row r="9" spans="1:27">
      <c r="A9" s="3">
        <f>Calculations!A658</f>
        <v>5</v>
      </c>
      <c r="B9">
        <f>Calculations!B658</f>
        <v>0</v>
      </c>
      <c r="C9">
        <f>Calculations!C658</f>
        <v>0</v>
      </c>
      <c r="D9">
        <f>Calculations!D658</f>
        <v>0</v>
      </c>
      <c r="E9" s="265">
        <f>Calculations!E658</f>
        <v>0</v>
      </c>
      <c r="F9" s="265">
        <f>Calculations!F658</f>
        <v>0</v>
      </c>
      <c r="G9" s="265">
        <f>Calculations!G658</f>
        <v>0</v>
      </c>
      <c r="H9" s="197">
        <f>Calculations!H658</f>
        <v>0</v>
      </c>
      <c r="I9" s="197">
        <f>Calculations!I658</f>
        <v>0</v>
      </c>
      <c r="J9" s="137">
        <f>Calculations!J658</f>
        <v>0</v>
      </c>
      <c r="K9" s="66">
        <f>Calculations!K658</f>
        <v>0</v>
      </c>
      <c r="L9" s="66">
        <f>Calculations!L658</f>
        <v>0</v>
      </c>
      <c r="M9">
        <f>Calculations!M658</f>
        <v>0</v>
      </c>
      <c r="N9" s="66">
        <f>Calculations!N658</f>
        <v>0</v>
      </c>
      <c r="O9" s="66">
        <f>Calculations!O658</f>
        <v>0</v>
      </c>
      <c r="P9" s="66">
        <f>Calculations!P658</f>
        <v>0</v>
      </c>
      <c r="Q9" s="204">
        <f>Calculations!Q658</f>
        <v>0</v>
      </c>
      <c r="R9" s="66">
        <f>Calculations!R658</f>
        <v>0</v>
      </c>
      <c r="S9" s="65">
        <f>Calculations!S658</f>
        <v>0</v>
      </c>
      <c r="T9" s="65">
        <f>Calculations!T658</f>
        <v>0</v>
      </c>
      <c r="U9" s="204">
        <f>Calculations!U658</f>
        <v>0</v>
      </c>
      <c r="V9" s="65">
        <f>Calculations!V658</f>
        <v>0</v>
      </c>
      <c r="W9" s="266">
        <f>Calculations!W658</f>
        <v>0</v>
      </c>
      <c r="X9" s="266">
        <f>Calculations!X658</f>
        <v>0</v>
      </c>
      <c r="Y9" s="266" t="e">
        <f>Calculations!Y658</f>
        <v>#DIV/0!</v>
      </c>
      <c r="Z9" s="266" t="e">
        <f>Calculations!Z658</f>
        <v>#DIV/0!</v>
      </c>
      <c r="AA9" s="266" t="e">
        <f>Calculations!AA658</f>
        <v>#DIV/0!</v>
      </c>
    </row>
    <row r="10" spans="1:27">
      <c r="A10" s="3">
        <f>Calculations!A659</f>
        <v>6</v>
      </c>
      <c r="B10">
        <f>Calculations!B659</f>
        <v>0</v>
      </c>
      <c r="C10">
        <f>Calculations!C659</f>
        <v>0</v>
      </c>
      <c r="D10">
        <f>Calculations!D659</f>
        <v>0</v>
      </c>
      <c r="E10" s="265">
        <f>Calculations!E659</f>
        <v>0</v>
      </c>
      <c r="F10" s="265">
        <f>Calculations!F659</f>
        <v>0</v>
      </c>
      <c r="G10" s="265">
        <f>Calculations!G659</f>
        <v>0</v>
      </c>
      <c r="H10" s="197">
        <f>Calculations!H659</f>
        <v>0</v>
      </c>
      <c r="I10" s="197">
        <f>Calculations!I659</f>
        <v>0</v>
      </c>
      <c r="J10" s="137">
        <f>Calculations!J659</f>
        <v>0</v>
      </c>
      <c r="K10" s="66">
        <f>Calculations!K659</f>
        <v>0</v>
      </c>
      <c r="L10" s="66">
        <f>Calculations!L659</f>
        <v>0</v>
      </c>
      <c r="M10">
        <f>Calculations!M659</f>
        <v>0</v>
      </c>
      <c r="N10" s="66">
        <f>Calculations!N659</f>
        <v>0</v>
      </c>
      <c r="O10" s="66">
        <f>Calculations!O659</f>
        <v>0</v>
      </c>
      <c r="P10" s="66">
        <f>Calculations!P659</f>
        <v>0</v>
      </c>
      <c r="Q10" s="204">
        <f>Calculations!Q659</f>
        <v>0</v>
      </c>
      <c r="R10" s="66">
        <f>Calculations!R659</f>
        <v>0</v>
      </c>
      <c r="S10" s="65">
        <f>Calculations!S659</f>
        <v>0</v>
      </c>
      <c r="T10" s="65">
        <f>Calculations!T659</f>
        <v>0</v>
      </c>
      <c r="U10" s="204">
        <f>Calculations!U659</f>
        <v>0</v>
      </c>
      <c r="V10" s="65">
        <f>Calculations!V659</f>
        <v>0</v>
      </c>
      <c r="W10" s="266">
        <f>Calculations!W659</f>
        <v>0</v>
      </c>
      <c r="X10" s="266">
        <f>Calculations!X659</f>
        <v>0</v>
      </c>
      <c r="Y10" s="266" t="e">
        <f>Calculations!Y659</f>
        <v>#DIV/0!</v>
      </c>
      <c r="Z10" s="266" t="e">
        <f>Calculations!Z659</f>
        <v>#DIV/0!</v>
      </c>
      <c r="AA10" s="266" t="e">
        <f>Calculations!AA659</f>
        <v>#DIV/0!</v>
      </c>
    </row>
    <row r="11" spans="1:27">
      <c r="A11" s="3">
        <f>Calculations!A660</f>
        <v>7</v>
      </c>
      <c r="B11">
        <f>Calculations!B660</f>
        <v>0</v>
      </c>
      <c r="C11">
        <f>Calculations!C660</f>
        <v>0</v>
      </c>
      <c r="D11">
        <f>Calculations!D660</f>
        <v>0</v>
      </c>
      <c r="E11" s="265">
        <f>Calculations!E660</f>
        <v>0</v>
      </c>
      <c r="F11" s="265">
        <f>Calculations!F660</f>
        <v>0</v>
      </c>
      <c r="G11" s="265">
        <f>Calculations!G660</f>
        <v>0</v>
      </c>
      <c r="H11" s="197">
        <f>Calculations!H660</f>
        <v>0</v>
      </c>
      <c r="I11" s="197">
        <f>Calculations!I660</f>
        <v>0</v>
      </c>
      <c r="J11" s="137">
        <f>Calculations!J660</f>
        <v>0</v>
      </c>
      <c r="K11" s="66">
        <f>Calculations!K660</f>
        <v>0</v>
      </c>
      <c r="L11" s="66">
        <f>Calculations!L660</f>
        <v>0</v>
      </c>
      <c r="M11">
        <f>Calculations!M660</f>
        <v>0</v>
      </c>
      <c r="N11" s="66">
        <f>Calculations!N660</f>
        <v>0</v>
      </c>
      <c r="O11" s="66">
        <f>Calculations!O660</f>
        <v>0</v>
      </c>
      <c r="P11" s="66">
        <f>Calculations!P660</f>
        <v>0</v>
      </c>
      <c r="Q11" s="204">
        <f>Calculations!Q660</f>
        <v>0</v>
      </c>
      <c r="R11" s="66">
        <f>Calculations!R660</f>
        <v>0</v>
      </c>
      <c r="S11" s="65">
        <f>Calculations!S660</f>
        <v>0</v>
      </c>
      <c r="T11" s="65">
        <f>Calculations!T660</f>
        <v>0</v>
      </c>
      <c r="U11" s="204">
        <f>Calculations!U660</f>
        <v>0</v>
      </c>
      <c r="V11" s="65">
        <f>Calculations!V660</f>
        <v>0</v>
      </c>
      <c r="W11" s="266">
        <f>Calculations!W660</f>
        <v>0</v>
      </c>
      <c r="X11" s="266">
        <f>Calculations!X660</f>
        <v>0</v>
      </c>
      <c r="Y11" s="266" t="e">
        <f>Calculations!Y660</f>
        <v>#DIV/0!</v>
      </c>
      <c r="Z11" s="266" t="e">
        <f>Calculations!Z660</f>
        <v>#DIV/0!</v>
      </c>
      <c r="AA11" s="266" t="e">
        <f>Calculations!AA660</f>
        <v>#DIV/0!</v>
      </c>
    </row>
    <row r="12" spans="1:27">
      <c r="A12" s="3">
        <f>Calculations!A661</f>
        <v>8</v>
      </c>
      <c r="B12">
        <f>Calculations!B661</f>
        <v>0</v>
      </c>
      <c r="C12">
        <f>Calculations!C661</f>
        <v>0</v>
      </c>
      <c r="D12">
        <f>Calculations!D661</f>
        <v>0</v>
      </c>
      <c r="E12" s="265">
        <f>Calculations!E661</f>
        <v>0</v>
      </c>
      <c r="F12" s="265">
        <f>Calculations!F661</f>
        <v>0</v>
      </c>
      <c r="G12" s="265">
        <f>Calculations!G661</f>
        <v>0</v>
      </c>
      <c r="H12" s="197">
        <f>Calculations!H661</f>
        <v>0</v>
      </c>
      <c r="I12" s="197">
        <f>Calculations!I661</f>
        <v>0</v>
      </c>
      <c r="J12" s="137">
        <f>Calculations!J661</f>
        <v>0</v>
      </c>
      <c r="K12" s="66">
        <f>Calculations!K661</f>
        <v>0</v>
      </c>
      <c r="L12" s="66">
        <f>Calculations!L661</f>
        <v>0</v>
      </c>
      <c r="M12">
        <f>Calculations!M661</f>
        <v>0</v>
      </c>
      <c r="N12" s="66">
        <f>Calculations!N661</f>
        <v>0</v>
      </c>
      <c r="O12" s="66">
        <f>Calculations!O661</f>
        <v>0</v>
      </c>
      <c r="P12" s="66">
        <f>Calculations!P661</f>
        <v>0</v>
      </c>
      <c r="Q12" s="204">
        <f>Calculations!Q661</f>
        <v>0</v>
      </c>
      <c r="R12" s="66">
        <f>Calculations!R661</f>
        <v>0</v>
      </c>
      <c r="S12" s="65">
        <f>Calculations!S661</f>
        <v>0</v>
      </c>
      <c r="T12" s="65">
        <f>Calculations!T661</f>
        <v>0</v>
      </c>
      <c r="U12" s="204">
        <f>Calculations!U661</f>
        <v>0</v>
      </c>
      <c r="V12" s="65">
        <f>Calculations!V661</f>
        <v>0</v>
      </c>
      <c r="W12" s="266">
        <f>Calculations!W661</f>
        <v>0</v>
      </c>
      <c r="X12" s="266">
        <f>Calculations!X661</f>
        <v>0</v>
      </c>
      <c r="Y12" s="266" t="e">
        <f>Calculations!Y661</f>
        <v>#DIV/0!</v>
      </c>
      <c r="Z12" s="266" t="e">
        <f>Calculations!Z661</f>
        <v>#DIV/0!</v>
      </c>
      <c r="AA12" s="266" t="e">
        <f>Calculations!AA661</f>
        <v>#DIV/0!</v>
      </c>
    </row>
    <row r="13" spans="1:27">
      <c r="A13" s="3">
        <f>Calculations!A662</f>
        <v>9</v>
      </c>
      <c r="B13">
        <f>Calculations!B662</f>
        <v>0</v>
      </c>
      <c r="C13">
        <f>Calculations!C662</f>
        <v>0</v>
      </c>
      <c r="D13">
        <f>Calculations!D662</f>
        <v>0</v>
      </c>
      <c r="E13" s="265">
        <f>Calculations!E662</f>
        <v>0</v>
      </c>
      <c r="F13" s="265">
        <f>Calculations!F662</f>
        <v>0</v>
      </c>
      <c r="G13" s="265">
        <f>Calculations!G662</f>
        <v>0</v>
      </c>
      <c r="H13" s="197">
        <f>Calculations!H662</f>
        <v>0</v>
      </c>
      <c r="I13" s="197">
        <f>Calculations!I662</f>
        <v>0</v>
      </c>
      <c r="J13" s="137">
        <f>Calculations!J662</f>
        <v>0</v>
      </c>
      <c r="K13" s="66">
        <f>Calculations!K662</f>
        <v>0</v>
      </c>
      <c r="L13" s="66">
        <f>Calculations!L662</f>
        <v>0</v>
      </c>
      <c r="M13">
        <f>Calculations!M662</f>
        <v>0</v>
      </c>
      <c r="N13" s="66">
        <f>Calculations!N662</f>
        <v>0</v>
      </c>
      <c r="O13" s="66">
        <f>Calculations!O662</f>
        <v>0</v>
      </c>
      <c r="P13" s="66">
        <f>Calculations!P662</f>
        <v>0</v>
      </c>
      <c r="Q13" s="204">
        <f>Calculations!Q662</f>
        <v>0</v>
      </c>
      <c r="R13" s="66">
        <f>Calculations!R662</f>
        <v>0</v>
      </c>
      <c r="S13" s="65">
        <f>Calculations!S662</f>
        <v>0</v>
      </c>
      <c r="T13" s="65">
        <f>Calculations!T662</f>
        <v>0</v>
      </c>
      <c r="U13" s="204">
        <f>Calculations!U662</f>
        <v>0</v>
      </c>
      <c r="V13" s="65">
        <f>Calculations!V662</f>
        <v>0</v>
      </c>
      <c r="W13" s="266">
        <f>Calculations!W662</f>
        <v>0</v>
      </c>
      <c r="X13" s="266">
        <f>Calculations!X662</f>
        <v>0</v>
      </c>
      <c r="Y13" s="266" t="e">
        <f>Calculations!Y662</f>
        <v>#DIV/0!</v>
      </c>
      <c r="Z13" s="266" t="e">
        <f>Calculations!Z662</f>
        <v>#DIV/0!</v>
      </c>
      <c r="AA13" s="266" t="e">
        <f>Calculations!AA662</f>
        <v>#DIV/0!</v>
      </c>
    </row>
    <row r="14" spans="1:27">
      <c r="A14" s="3">
        <f>Calculations!A663</f>
        <v>10</v>
      </c>
      <c r="B14">
        <f>Calculations!B663</f>
        <v>0</v>
      </c>
      <c r="C14">
        <f>Calculations!C663</f>
        <v>0</v>
      </c>
      <c r="D14">
        <f>Calculations!D663</f>
        <v>0</v>
      </c>
      <c r="E14" s="265">
        <f>Calculations!E663</f>
        <v>0</v>
      </c>
      <c r="F14" s="265">
        <f>Calculations!F663</f>
        <v>0</v>
      </c>
      <c r="G14" s="265">
        <f>Calculations!G663</f>
        <v>0</v>
      </c>
      <c r="H14" s="197">
        <f>Calculations!H663</f>
        <v>0</v>
      </c>
      <c r="I14" s="197">
        <f>Calculations!I663</f>
        <v>0</v>
      </c>
      <c r="J14" s="137">
        <f>Calculations!J663</f>
        <v>0</v>
      </c>
      <c r="K14" s="66">
        <f>Calculations!K663</f>
        <v>0</v>
      </c>
      <c r="L14" s="66">
        <f>Calculations!L663</f>
        <v>0</v>
      </c>
      <c r="M14">
        <f>Calculations!M663</f>
        <v>0</v>
      </c>
      <c r="N14" s="66">
        <f>Calculations!N663</f>
        <v>0</v>
      </c>
      <c r="O14" s="66">
        <f>Calculations!O663</f>
        <v>0</v>
      </c>
      <c r="P14" s="66">
        <f>Calculations!P663</f>
        <v>0</v>
      </c>
      <c r="Q14" s="204">
        <f>Calculations!Q663</f>
        <v>0</v>
      </c>
      <c r="R14" s="66">
        <f>Calculations!R663</f>
        <v>0</v>
      </c>
      <c r="S14" s="65">
        <f>Calculations!S663</f>
        <v>0</v>
      </c>
      <c r="T14" s="65">
        <f>Calculations!T663</f>
        <v>0</v>
      </c>
      <c r="U14" s="204">
        <f>Calculations!U663</f>
        <v>0</v>
      </c>
      <c r="V14" s="65">
        <f>Calculations!V663</f>
        <v>0</v>
      </c>
      <c r="W14" s="266">
        <f>Calculations!W663</f>
        <v>0</v>
      </c>
      <c r="X14" s="266">
        <f>Calculations!X663</f>
        <v>0</v>
      </c>
      <c r="Y14" s="266" t="e">
        <f>Calculations!Y663</f>
        <v>#DIV/0!</v>
      </c>
      <c r="Z14" s="266" t="e">
        <f>Calculations!Z663</f>
        <v>#DIV/0!</v>
      </c>
      <c r="AA14" s="266" t="e">
        <f>Calculations!AA663</f>
        <v>#DIV/0!</v>
      </c>
    </row>
    <row r="15" spans="1:27">
      <c r="A15" s="3">
        <f>Calculations!A664</f>
        <v>11</v>
      </c>
      <c r="B15">
        <f>Calculations!B664</f>
        <v>0</v>
      </c>
      <c r="C15">
        <f>Calculations!C664</f>
        <v>0</v>
      </c>
      <c r="D15">
        <f>Calculations!D664</f>
        <v>0</v>
      </c>
      <c r="E15" s="265">
        <f>Calculations!E664</f>
        <v>0</v>
      </c>
      <c r="F15" s="265">
        <f>Calculations!F664</f>
        <v>0</v>
      </c>
      <c r="G15" s="265">
        <f>Calculations!G664</f>
        <v>0</v>
      </c>
      <c r="H15" s="197">
        <f>Calculations!H664</f>
        <v>0</v>
      </c>
      <c r="I15" s="197">
        <f>Calculations!I664</f>
        <v>0</v>
      </c>
      <c r="J15" s="137">
        <f>Calculations!J664</f>
        <v>0</v>
      </c>
      <c r="K15" s="66">
        <f>Calculations!K664</f>
        <v>0</v>
      </c>
      <c r="L15" s="66">
        <f>Calculations!L664</f>
        <v>0</v>
      </c>
      <c r="M15">
        <f>Calculations!M664</f>
        <v>0</v>
      </c>
      <c r="N15" s="66">
        <f>Calculations!N664</f>
        <v>0</v>
      </c>
      <c r="O15" s="66">
        <f>Calculations!O664</f>
        <v>0</v>
      </c>
      <c r="P15" s="66">
        <f>Calculations!P664</f>
        <v>0</v>
      </c>
      <c r="Q15" s="204">
        <f>Calculations!Q664</f>
        <v>0</v>
      </c>
      <c r="R15" s="66">
        <f>Calculations!R664</f>
        <v>0</v>
      </c>
      <c r="S15" s="65">
        <f>Calculations!S664</f>
        <v>0</v>
      </c>
      <c r="T15" s="65">
        <f>Calculations!T664</f>
        <v>0</v>
      </c>
      <c r="U15" s="204">
        <f>Calculations!U664</f>
        <v>0</v>
      </c>
      <c r="V15" s="65">
        <f>Calculations!V664</f>
        <v>0</v>
      </c>
      <c r="W15" s="266">
        <f>Calculations!W664</f>
        <v>0</v>
      </c>
      <c r="X15" s="266">
        <f>Calculations!X664</f>
        <v>0</v>
      </c>
      <c r="Y15" s="266" t="e">
        <f>Calculations!Y664</f>
        <v>#DIV/0!</v>
      </c>
      <c r="Z15" s="266" t="e">
        <f>Calculations!Z664</f>
        <v>#DIV/0!</v>
      </c>
      <c r="AA15" s="266" t="e">
        <f>Calculations!AA664</f>
        <v>#DIV/0!</v>
      </c>
    </row>
    <row r="16" spans="1:27">
      <c r="A16" s="3">
        <f>Calculations!A665</f>
        <v>12</v>
      </c>
      <c r="B16">
        <f>Calculations!B665</f>
        <v>0</v>
      </c>
      <c r="C16">
        <f>Calculations!C665</f>
        <v>0</v>
      </c>
      <c r="D16">
        <f>Calculations!D665</f>
        <v>0</v>
      </c>
      <c r="E16" s="265">
        <f>Calculations!E665</f>
        <v>0</v>
      </c>
      <c r="F16" s="265">
        <f>Calculations!F665</f>
        <v>0</v>
      </c>
      <c r="G16" s="265">
        <f>Calculations!G665</f>
        <v>0</v>
      </c>
      <c r="H16" s="197">
        <f>Calculations!H665</f>
        <v>0</v>
      </c>
      <c r="I16" s="197">
        <f>Calculations!I665</f>
        <v>0</v>
      </c>
      <c r="J16" s="137">
        <f>Calculations!J665</f>
        <v>0</v>
      </c>
      <c r="K16" s="66">
        <f>Calculations!K665</f>
        <v>0</v>
      </c>
      <c r="L16" s="66">
        <f>Calculations!L665</f>
        <v>0</v>
      </c>
      <c r="M16">
        <f>Calculations!M665</f>
        <v>0</v>
      </c>
      <c r="N16" s="66">
        <f>Calculations!N665</f>
        <v>0</v>
      </c>
      <c r="O16" s="66">
        <f>Calculations!O665</f>
        <v>0</v>
      </c>
      <c r="P16" s="66">
        <f>Calculations!P665</f>
        <v>0</v>
      </c>
      <c r="Q16" s="204">
        <f>Calculations!Q665</f>
        <v>0</v>
      </c>
      <c r="R16" s="66">
        <f>Calculations!R665</f>
        <v>0</v>
      </c>
      <c r="S16" s="65">
        <f>Calculations!S665</f>
        <v>0</v>
      </c>
      <c r="T16" s="65">
        <f>Calculations!T665</f>
        <v>0</v>
      </c>
      <c r="U16" s="204">
        <f>Calculations!U665</f>
        <v>0</v>
      </c>
      <c r="V16" s="65">
        <f>Calculations!V665</f>
        <v>0</v>
      </c>
      <c r="W16" s="266">
        <f>Calculations!W665</f>
        <v>0</v>
      </c>
      <c r="X16" s="266">
        <f>Calculations!X665</f>
        <v>0</v>
      </c>
      <c r="Y16" s="266" t="e">
        <f>Calculations!Y665</f>
        <v>#DIV/0!</v>
      </c>
      <c r="Z16" s="266" t="e">
        <f>Calculations!Z665</f>
        <v>#DIV/0!</v>
      </c>
      <c r="AA16" s="266" t="e">
        <f>Calculations!AA665</f>
        <v>#DIV/0!</v>
      </c>
    </row>
    <row r="17" spans="1:27">
      <c r="A17" s="3">
        <f>Calculations!A666</f>
        <v>13</v>
      </c>
      <c r="B17">
        <f>Calculations!B666</f>
        <v>0</v>
      </c>
      <c r="C17">
        <f>Calculations!C666</f>
        <v>0</v>
      </c>
      <c r="D17">
        <f>Calculations!D666</f>
        <v>0</v>
      </c>
      <c r="E17" s="265">
        <f>Calculations!E666</f>
        <v>0</v>
      </c>
      <c r="F17" s="265">
        <f>Calculations!F666</f>
        <v>0</v>
      </c>
      <c r="G17" s="265">
        <f>Calculations!G666</f>
        <v>0</v>
      </c>
      <c r="H17" s="197">
        <f>Calculations!H666</f>
        <v>0</v>
      </c>
      <c r="I17" s="197">
        <f>Calculations!I666</f>
        <v>0</v>
      </c>
      <c r="J17" s="137">
        <f>Calculations!J666</f>
        <v>0</v>
      </c>
      <c r="K17" s="66">
        <f>Calculations!K666</f>
        <v>0</v>
      </c>
      <c r="L17" s="66">
        <f>Calculations!L666</f>
        <v>0</v>
      </c>
      <c r="M17">
        <f>Calculations!M666</f>
        <v>0</v>
      </c>
      <c r="N17" s="66">
        <f>Calculations!N666</f>
        <v>0</v>
      </c>
      <c r="O17" s="66">
        <f>Calculations!O666</f>
        <v>0</v>
      </c>
      <c r="P17" s="66">
        <f>Calculations!P666</f>
        <v>0</v>
      </c>
      <c r="Q17" s="204">
        <f>Calculations!Q666</f>
        <v>0</v>
      </c>
      <c r="R17" s="66">
        <f>Calculations!R666</f>
        <v>0</v>
      </c>
      <c r="S17" s="65">
        <f>Calculations!S666</f>
        <v>0</v>
      </c>
      <c r="T17" s="65">
        <f>Calculations!T666</f>
        <v>0</v>
      </c>
      <c r="U17" s="204">
        <f>Calculations!U666</f>
        <v>0</v>
      </c>
      <c r="V17" s="65">
        <f>Calculations!V666</f>
        <v>0</v>
      </c>
      <c r="W17" s="266">
        <f>Calculations!W666</f>
        <v>0</v>
      </c>
      <c r="X17" s="266">
        <f>Calculations!X666</f>
        <v>0</v>
      </c>
      <c r="Y17" s="266" t="e">
        <f>Calculations!Y666</f>
        <v>#DIV/0!</v>
      </c>
      <c r="Z17" s="266" t="e">
        <f>Calculations!Z666</f>
        <v>#DIV/0!</v>
      </c>
      <c r="AA17" s="266" t="e">
        <f>Calculations!AA666</f>
        <v>#DIV/0!</v>
      </c>
    </row>
    <row r="18" spans="1:27">
      <c r="A18" s="3">
        <f>Calculations!A667</f>
        <v>14</v>
      </c>
      <c r="B18">
        <f>Calculations!B667</f>
        <v>0</v>
      </c>
      <c r="C18">
        <f>Calculations!C667</f>
        <v>0</v>
      </c>
      <c r="D18">
        <f>Calculations!D667</f>
        <v>0</v>
      </c>
      <c r="E18" s="265">
        <f>Calculations!E667</f>
        <v>0</v>
      </c>
      <c r="F18" s="265">
        <f>Calculations!F667</f>
        <v>0</v>
      </c>
      <c r="G18" s="265">
        <f>Calculations!G667</f>
        <v>0</v>
      </c>
      <c r="H18" s="197">
        <f>Calculations!H667</f>
        <v>0</v>
      </c>
      <c r="I18" s="197">
        <f>Calculations!I667</f>
        <v>0</v>
      </c>
      <c r="J18" s="137">
        <f>Calculations!J667</f>
        <v>0</v>
      </c>
      <c r="K18" s="66">
        <f>Calculations!K667</f>
        <v>0</v>
      </c>
      <c r="L18" s="66">
        <f>Calculations!L667</f>
        <v>0</v>
      </c>
      <c r="M18">
        <f>Calculations!M667</f>
        <v>0</v>
      </c>
      <c r="N18" s="66">
        <f>Calculations!N667</f>
        <v>0</v>
      </c>
      <c r="O18" s="66">
        <f>Calculations!O667</f>
        <v>0</v>
      </c>
      <c r="P18" s="66">
        <f>Calculations!P667</f>
        <v>0</v>
      </c>
      <c r="Q18" s="204">
        <f>Calculations!Q667</f>
        <v>0</v>
      </c>
      <c r="R18" s="66">
        <f>Calculations!R667</f>
        <v>0</v>
      </c>
      <c r="S18" s="65">
        <f>Calculations!S667</f>
        <v>0</v>
      </c>
      <c r="T18" s="65">
        <f>Calculations!T667</f>
        <v>0</v>
      </c>
      <c r="U18" s="204">
        <f>Calculations!U667</f>
        <v>0</v>
      </c>
      <c r="V18" s="65">
        <f>Calculations!V667</f>
        <v>0</v>
      </c>
      <c r="W18" s="266">
        <f>Calculations!W667</f>
        <v>0</v>
      </c>
      <c r="X18" s="266">
        <f>Calculations!X667</f>
        <v>0</v>
      </c>
      <c r="Y18" s="266" t="e">
        <f>Calculations!Y667</f>
        <v>#DIV/0!</v>
      </c>
      <c r="Z18" s="266" t="e">
        <f>Calculations!Z667</f>
        <v>#DIV/0!</v>
      </c>
      <c r="AA18" s="266" t="e">
        <f>Calculations!AA667</f>
        <v>#DIV/0!</v>
      </c>
    </row>
    <row r="19" spans="1:27">
      <c r="A19" s="3">
        <f>Calculations!A668</f>
        <v>15</v>
      </c>
      <c r="B19">
        <f>Calculations!B668</f>
        <v>0</v>
      </c>
      <c r="C19">
        <f>Calculations!C668</f>
        <v>0</v>
      </c>
      <c r="D19">
        <f>Calculations!D668</f>
        <v>0</v>
      </c>
      <c r="E19" s="265">
        <f>Calculations!E668</f>
        <v>0</v>
      </c>
      <c r="F19" s="265">
        <f>Calculations!F668</f>
        <v>0</v>
      </c>
      <c r="G19" s="265">
        <f>Calculations!G668</f>
        <v>0</v>
      </c>
      <c r="H19" s="197">
        <f>Calculations!H668</f>
        <v>0</v>
      </c>
      <c r="I19" s="197">
        <f>Calculations!I668</f>
        <v>0</v>
      </c>
      <c r="J19" s="137">
        <f>Calculations!J668</f>
        <v>0</v>
      </c>
      <c r="K19" s="66">
        <f>Calculations!K668</f>
        <v>0</v>
      </c>
      <c r="L19" s="66">
        <f>Calculations!L668</f>
        <v>0</v>
      </c>
      <c r="M19">
        <f>Calculations!M668</f>
        <v>0</v>
      </c>
      <c r="N19" s="66">
        <f>Calculations!N668</f>
        <v>0</v>
      </c>
      <c r="O19" s="66">
        <f>Calculations!O668</f>
        <v>0</v>
      </c>
      <c r="P19" s="66">
        <f>Calculations!P668</f>
        <v>0</v>
      </c>
      <c r="Q19" s="204">
        <f>Calculations!Q668</f>
        <v>0</v>
      </c>
      <c r="R19" s="66">
        <f>Calculations!R668</f>
        <v>0</v>
      </c>
      <c r="S19" s="65">
        <f>Calculations!S668</f>
        <v>0</v>
      </c>
      <c r="T19" s="65">
        <f>Calculations!T668</f>
        <v>0</v>
      </c>
      <c r="U19" s="204">
        <f>Calculations!U668</f>
        <v>0</v>
      </c>
      <c r="V19" s="65">
        <f>Calculations!V668</f>
        <v>0</v>
      </c>
      <c r="W19" s="266">
        <f>Calculations!W668</f>
        <v>0</v>
      </c>
      <c r="X19" s="266">
        <f>Calculations!X668</f>
        <v>0</v>
      </c>
      <c r="Y19" s="266" t="e">
        <f>Calculations!Y668</f>
        <v>#DIV/0!</v>
      </c>
      <c r="Z19" s="266" t="e">
        <f>Calculations!Z668</f>
        <v>#DIV/0!</v>
      </c>
      <c r="AA19" s="266" t="e">
        <f>Calculations!AA668</f>
        <v>#DIV/0!</v>
      </c>
    </row>
    <row r="20" spans="1:27">
      <c r="A20" s="3">
        <f>Calculations!A669</f>
        <v>16</v>
      </c>
      <c r="B20">
        <f>Calculations!B669</f>
        <v>0</v>
      </c>
      <c r="C20">
        <f>Calculations!C669</f>
        <v>0</v>
      </c>
      <c r="D20">
        <f>Calculations!D669</f>
        <v>0</v>
      </c>
      <c r="E20" s="265">
        <f>Calculations!E669</f>
        <v>0</v>
      </c>
      <c r="F20" s="265">
        <f>Calculations!F669</f>
        <v>0</v>
      </c>
      <c r="G20" s="265">
        <f>Calculations!G669</f>
        <v>0</v>
      </c>
      <c r="H20" s="197">
        <f>Calculations!H669</f>
        <v>0</v>
      </c>
      <c r="I20" s="197">
        <f>Calculations!I669</f>
        <v>0</v>
      </c>
      <c r="J20" s="137">
        <f>Calculations!J669</f>
        <v>0</v>
      </c>
      <c r="K20" s="66">
        <f>Calculations!K669</f>
        <v>0</v>
      </c>
      <c r="L20" s="66">
        <f>Calculations!L669</f>
        <v>0</v>
      </c>
      <c r="M20">
        <f>Calculations!M669</f>
        <v>0</v>
      </c>
      <c r="N20" s="66">
        <f>Calculations!N669</f>
        <v>0</v>
      </c>
      <c r="O20" s="66">
        <f>Calculations!O669</f>
        <v>0</v>
      </c>
      <c r="P20" s="66">
        <f>Calculations!P669</f>
        <v>0</v>
      </c>
      <c r="Q20" s="204">
        <f>Calculations!Q669</f>
        <v>0</v>
      </c>
      <c r="R20" s="66">
        <f>Calculations!R669</f>
        <v>0</v>
      </c>
      <c r="S20" s="65">
        <f>Calculations!S669</f>
        <v>0</v>
      </c>
      <c r="T20" s="65">
        <f>Calculations!T669</f>
        <v>0</v>
      </c>
      <c r="U20" s="204">
        <f>Calculations!U669</f>
        <v>0</v>
      </c>
      <c r="V20" s="65">
        <f>Calculations!V669</f>
        <v>0</v>
      </c>
      <c r="W20" s="266">
        <f>Calculations!W669</f>
        <v>0</v>
      </c>
      <c r="X20" s="266">
        <f>Calculations!X669</f>
        <v>0</v>
      </c>
      <c r="Y20" s="266" t="e">
        <f>Calculations!Y669</f>
        <v>#DIV/0!</v>
      </c>
      <c r="Z20" s="266" t="e">
        <f>Calculations!Z669</f>
        <v>#DIV/0!</v>
      </c>
      <c r="AA20" s="266" t="e">
        <f>Calculations!AA669</f>
        <v>#DIV/0!</v>
      </c>
    </row>
    <row r="21" spans="1:27">
      <c r="A21" s="3">
        <f>Calculations!A670</f>
        <v>17</v>
      </c>
      <c r="B21">
        <f>Calculations!B670</f>
        <v>0</v>
      </c>
      <c r="C21">
        <f>Calculations!C670</f>
        <v>0</v>
      </c>
      <c r="D21">
        <f>Calculations!D670</f>
        <v>0</v>
      </c>
      <c r="E21" s="265">
        <f>Calculations!E670</f>
        <v>0</v>
      </c>
      <c r="F21" s="265">
        <f>Calculations!F670</f>
        <v>0</v>
      </c>
      <c r="G21" s="265">
        <f>Calculations!G670</f>
        <v>0</v>
      </c>
      <c r="H21" s="197">
        <f>Calculations!H670</f>
        <v>0</v>
      </c>
      <c r="I21" s="197">
        <f>Calculations!I670</f>
        <v>0</v>
      </c>
      <c r="J21" s="137">
        <f>Calculations!J670</f>
        <v>0</v>
      </c>
      <c r="K21" s="66">
        <f>Calculations!K670</f>
        <v>0</v>
      </c>
      <c r="L21" s="66">
        <f>Calculations!L670</f>
        <v>0</v>
      </c>
      <c r="M21">
        <f>Calculations!M670</f>
        <v>0</v>
      </c>
      <c r="N21" s="66">
        <f>Calculations!N670</f>
        <v>0</v>
      </c>
      <c r="O21" s="66">
        <f>Calculations!O670</f>
        <v>0</v>
      </c>
      <c r="P21" s="66">
        <f>Calculations!P670</f>
        <v>0</v>
      </c>
      <c r="Q21" s="204">
        <f>Calculations!Q670</f>
        <v>0</v>
      </c>
      <c r="R21" s="66">
        <f>Calculations!R670</f>
        <v>0</v>
      </c>
      <c r="S21" s="65">
        <f>Calculations!S670</f>
        <v>0</v>
      </c>
      <c r="T21" s="65">
        <f>Calculations!T670</f>
        <v>0</v>
      </c>
      <c r="U21" s="204">
        <f>Calculations!U670</f>
        <v>0</v>
      </c>
      <c r="V21" s="65">
        <f>Calculations!V670</f>
        <v>0</v>
      </c>
      <c r="W21" s="266">
        <f>Calculations!W670</f>
        <v>0</v>
      </c>
      <c r="X21" s="266">
        <f>Calculations!X670</f>
        <v>0</v>
      </c>
      <c r="Y21" s="266" t="e">
        <f>Calculations!Y670</f>
        <v>#DIV/0!</v>
      </c>
      <c r="Z21" s="266" t="e">
        <f>Calculations!Z670</f>
        <v>#DIV/0!</v>
      </c>
      <c r="AA21" s="266" t="e">
        <f>Calculations!AA670</f>
        <v>#DIV/0!</v>
      </c>
    </row>
    <row r="22" spans="1:27">
      <c r="A22" s="3">
        <f>Calculations!A671</f>
        <v>18</v>
      </c>
      <c r="B22">
        <f>Calculations!B671</f>
        <v>0</v>
      </c>
      <c r="C22">
        <f>Calculations!C671</f>
        <v>0</v>
      </c>
      <c r="D22">
        <f>Calculations!D671</f>
        <v>0</v>
      </c>
      <c r="E22" s="265">
        <f>Calculations!E671</f>
        <v>0</v>
      </c>
      <c r="F22" s="265">
        <f>Calculations!F671</f>
        <v>0</v>
      </c>
      <c r="G22" s="265">
        <f>Calculations!G671</f>
        <v>0</v>
      </c>
      <c r="H22" s="197">
        <f>Calculations!H671</f>
        <v>0</v>
      </c>
      <c r="I22" s="197">
        <f>Calculations!I671</f>
        <v>0</v>
      </c>
      <c r="J22" s="137">
        <f>Calculations!J671</f>
        <v>0</v>
      </c>
      <c r="K22" s="66">
        <f>Calculations!K671</f>
        <v>0</v>
      </c>
      <c r="L22" s="66">
        <f>Calculations!L671</f>
        <v>0</v>
      </c>
      <c r="M22">
        <f>Calculations!M671</f>
        <v>0</v>
      </c>
      <c r="N22" s="66">
        <f>Calculations!N671</f>
        <v>0</v>
      </c>
      <c r="O22" s="66">
        <f>Calculations!O671</f>
        <v>0</v>
      </c>
      <c r="P22" s="66">
        <f>Calculations!P671</f>
        <v>0</v>
      </c>
      <c r="Q22" s="204">
        <f>Calculations!Q671</f>
        <v>0</v>
      </c>
      <c r="R22" s="66">
        <f>Calculations!R671</f>
        <v>0</v>
      </c>
      <c r="S22" s="65">
        <f>Calculations!S671</f>
        <v>0</v>
      </c>
      <c r="T22" s="65">
        <f>Calculations!T671</f>
        <v>0</v>
      </c>
      <c r="U22" s="204">
        <f>Calculations!U671</f>
        <v>0</v>
      </c>
      <c r="V22" s="65">
        <f>Calculations!V671</f>
        <v>0</v>
      </c>
      <c r="W22" s="266">
        <f>Calculations!W671</f>
        <v>0</v>
      </c>
      <c r="X22" s="266">
        <f>Calculations!X671</f>
        <v>0</v>
      </c>
      <c r="Y22" s="266" t="e">
        <f>Calculations!Y671</f>
        <v>#DIV/0!</v>
      </c>
      <c r="Z22" s="266" t="e">
        <f>Calculations!Z671</f>
        <v>#DIV/0!</v>
      </c>
      <c r="AA22" s="266" t="e">
        <f>Calculations!AA671</f>
        <v>#DIV/0!</v>
      </c>
    </row>
    <row r="23" spans="1:27">
      <c r="A23" s="3">
        <f>Calculations!A672</f>
        <v>19</v>
      </c>
      <c r="B23">
        <f>Calculations!B672</f>
        <v>0</v>
      </c>
      <c r="C23">
        <f>Calculations!C672</f>
        <v>0</v>
      </c>
      <c r="D23">
        <f>Calculations!D672</f>
        <v>0</v>
      </c>
      <c r="E23" s="265">
        <f>Calculations!E672</f>
        <v>0</v>
      </c>
      <c r="F23" s="265">
        <f>Calculations!F672</f>
        <v>0</v>
      </c>
      <c r="G23" s="265">
        <f>Calculations!G672</f>
        <v>0</v>
      </c>
      <c r="H23" s="197">
        <f>Calculations!H672</f>
        <v>0</v>
      </c>
      <c r="I23" s="197">
        <f>Calculations!I672</f>
        <v>0</v>
      </c>
      <c r="J23" s="137">
        <f>Calculations!J672</f>
        <v>0</v>
      </c>
      <c r="K23" s="66">
        <f>Calculations!K672</f>
        <v>0</v>
      </c>
      <c r="L23" s="66">
        <f>Calculations!L672</f>
        <v>0</v>
      </c>
      <c r="M23">
        <f>Calculations!M672</f>
        <v>0</v>
      </c>
      <c r="N23" s="66">
        <f>Calculations!N672</f>
        <v>0</v>
      </c>
      <c r="O23" s="66">
        <f>Calculations!O672</f>
        <v>0</v>
      </c>
      <c r="P23" s="66">
        <f>Calculations!P672</f>
        <v>0</v>
      </c>
      <c r="Q23" s="204">
        <f>Calculations!Q672</f>
        <v>0</v>
      </c>
      <c r="R23" s="66">
        <f>Calculations!R672</f>
        <v>0</v>
      </c>
      <c r="S23" s="65">
        <f>Calculations!S672</f>
        <v>0</v>
      </c>
      <c r="T23" s="65">
        <f>Calculations!T672</f>
        <v>0</v>
      </c>
      <c r="U23" s="204">
        <f>Calculations!U672</f>
        <v>0</v>
      </c>
      <c r="V23" s="65">
        <f>Calculations!V672</f>
        <v>0</v>
      </c>
      <c r="W23" s="266">
        <f>Calculations!W672</f>
        <v>0</v>
      </c>
      <c r="X23" s="266">
        <f>Calculations!X672</f>
        <v>0</v>
      </c>
      <c r="Y23" s="266" t="e">
        <f>Calculations!Y672</f>
        <v>#DIV/0!</v>
      </c>
      <c r="Z23" s="266" t="e">
        <f>Calculations!Z672</f>
        <v>#DIV/0!</v>
      </c>
      <c r="AA23" s="266" t="e">
        <f>Calculations!AA672</f>
        <v>#DIV/0!</v>
      </c>
    </row>
    <row r="24" spans="1:27">
      <c r="A24" s="3">
        <f>Calculations!A673</f>
        <v>20</v>
      </c>
      <c r="B24">
        <f>Calculations!B673</f>
        <v>0</v>
      </c>
      <c r="C24">
        <f>Calculations!C673</f>
        <v>0</v>
      </c>
      <c r="D24">
        <f>Calculations!D673</f>
        <v>0</v>
      </c>
      <c r="E24" s="265">
        <f>Calculations!E673</f>
        <v>0</v>
      </c>
      <c r="F24" s="265">
        <f>Calculations!F673</f>
        <v>0</v>
      </c>
      <c r="G24" s="265">
        <f>Calculations!G673</f>
        <v>0</v>
      </c>
      <c r="H24" s="197">
        <f>Calculations!H673</f>
        <v>0</v>
      </c>
      <c r="I24" s="197">
        <f>Calculations!I673</f>
        <v>0</v>
      </c>
      <c r="J24" s="137">
        <f>Calculations!J673</f>
        <v>0</v>
      </c>
      <c r="K24" s="66">
        <f>Calculations!K673</f>
        <v>0</v>
      </c>
      <c r="L24" s="66">
        <f>Calculations!L673</f>
        <v>0</v>
      </c>
      <c r="M24">
        <f>Calculations!M673</f>
        <v>0</v>
      </c>
      <c r="N24" s="66">
        <f>Calculations!N673</f>
        <v>0</v>
      </c>
      <c r="O24" s="66">
        <f>Calculations!O673</f>
        <v>0</v>
      </c>
      <c r="P24" s="66">
        <f>Calculations!P673</f>
        <v>0</v>
      </c>
      <c r="Q24" s="204">
        <f>Calculations!Q673</f>
        <v>0</v>
      </c>
      <c r="R24" s="66">
        <f>Calculations!R673</f>
        <v>0</v>
      </c>
      <c r="S24" s="65">
        <f>Calculations!S673</f>
        <v>0</v>
      </c>
      <c r="T24" s="65">
        <f>Calculations!T673</f>
        <v>0</v>
      </c>
      <c r="U24" s="204">
        <f>Calculations!U673</f>
        <v>0</v>
      </c>
      <c r="V24" s="65">
        <f>Calculations!V673</f>
        <v>0</v>
      </c>
      <c r="W24" s="266">
        <f>Calculations!W673</f>
        <v>0</v>
      </c>
      <c r="X24" s="266">
        <f>Calculations!X673</f>
        <v>0</v>
      </c>
      <c r="Y24" s="266" t="e">
        <f>Calculations!Y673</f>
        <v>#DIV/0!</v>
      </c>
      <c r="Z24" s="266" t="e">
        <f>Calculations!Z673</f>
        <v>#DIV/0!</v>
      </c>
      <c r="AA24" s="266" t="e">
        <f>Calculations!AA673</f>
        <v>#DIV/0!</v>
      </c>
    </row>
    <row r="25" spans="1:27">
      <c r="A25" s="3">
        <f>Calculations!A674</f>
        <v>21</v>
      </c>
      <c r="B25">
        <f>Calculations!B674</f>
        <v>0</v>
      </c>
      <c r="C25">
        <f>Calculations!C674</f>
        <v>0</v>
      </c>
      <c r="D25">
        <f>Calculations!D674</f>
        <v>0</v>
      </c>
      <c r="E25" s="265">
        <f>Calculations!E674</f>
        <v>0</v>
      </c>
      <c r="F25" s="265">
        <f>Calculations!F674</f>
        <v>0</v>
      </c>
      <c r="G25" s="265">
        <f>Calculations!G674</f>
        <v>0</v>
      </c>
      <c r="H25" s="197">
        <f>Calculations!H674</f>
        <v>0</v>
      </c>
      <c r="I25" s="197">
        <f>Calculations!I674</f>
        <v>0</v>
      </c>
      <c r="J25" s="137">
        <f>Calculations!J674</f>
        <v>0</v>
      </c>
      <c r="K25" s="66">
        <f>Calculations!K674</f>
        <v>0</v>
      </c>
      <c r="L25" s="66">
        <f>Calculations!L674</f>
        <v>0</v>
      </c>
      <c r="M25">
        <f>Calculations!M674</f>
        <v>0</v>
      </c>
      <c r="N25" s="66">
        <f>Calculations!N674</f>
        <v>0</v>
      </c>
      <c r="O25" s="66">
        <f>Calculations!O674</f>
        <v>0</v>
      </c>
      <c r="P25" s="66">
        <f>Calculations!P674</f>
        <v>0</v>
      </c>
      <c r="Q25" s="204">
        <f>Calculations!Q674</f>
        <v>0</v>
      </c>
      <c r="R25" s="66">
        <f>Calculations!R674</f>
        <v>0</v>
      </c>
      <c r="S25" s="65">
        <f>Calculations!S674</f>
        <v>0</v>
      </c>
      <c r="T25" s="65">
        <f>Calculations!T674</f>
        <v>0</v>
      </c>
      <c r="U25" s="204">
        <f>Calculations!U674</f>
        <v>0</v>
      </c>
      <c r="V25" s="65">
        <f>Calculations!V674</f>
        <v>0</v>
      </c>
      <c r="W25" s="266">
        <f>Calculations!W674</f>
        <v>0</v>
      </c>
      <c r="X25" s="266">
        <f>Calculations!X674</f>
        <v>0</v>
      </c>
      <c r="Y25" s="266" t="e">
        <f>Calculations!Y674</f>
        <v>#DIV/0!</v>
      </c>
      <c r="Z25" s="266" t="e">
        <f>Calculations!Z674</f>
        <v>#DIV/0!</v>
      </c>
      <c r="AA25" s="266" t="e">
        <f>Calculations!AA674</f>
        <v>#DIV/0!</v>
      </c>
    </row>
    <row r="26" spans="1:27">
      <c r="A26" s="3">
        <f>Calculations!A675</f>
        <v>22</v>
      </c>
      <c r="B26">
        <f>Calculations!B675</f>
        <v>0</v>
      </c>
      <c r="C26">
        <f>Calculations!C675</f>
        <v>0</v>
      </c>
      <c r="D26">
        <f>Calculations!D675</f>
        <v>0</v>
      </c>
      <c r="E26" s="265">
        <f>Calculations!E675</f>
        <v>0</v>
      </c>
      <c r="F26" s="265">
        <f>Calculations!F675</f>
        <v>0</v>
      </c>
      <c r="G26" s="265">
        <f>Calculations!G675</f>
        <v>0</v>
      </c>
      <c r="H26" s="197">
        <f>Calculations!H675</f>
        <v>0</v>
      </c>
      <c r="I26" s="197">
        <f>Calculations!I675</f>
        <v>0</v>
      </c>
      <c r="J26" s="137">
        <f>Calculations!J675</f>
        <v>0</v>
      </c>
      <c r="K26" s="66">
        <f>Calculations!K675</f>
        <v>0</v>
      </c>
      <c r="L26" s="66">
        <f>Calculations!L675</f>
        <v>0</v>
      </c>
      <c r="M26">
        <f>Calculations!M675</f>
        <v>0</v>
      </c>
      <c r="N26" s="66">
        <f>Calculations!N675</f>
        <v>0</v>
      </c>
      <c r="O26" s="66">
        <f>Calculations!O675</f>
        <v>0</v>
      </c>
      <c r="P26" s="66">
        <f>Calculations!P675</f>
        <v>0</v>
      </c>
      <c r="Q26" s="204">
        <f>Calculations!Q675</f>
        <v>0</v>
      </c>
      <c r="R26" s="66">
        <f>Calculations!R675</f>
        <v>0</v>
      </c>
      <c r="S26" s="65">
        <f>Calculations!S675</f>
        <v>0</v>
      </c>
      <c r="T26" s="65">
        <f>Calculations!T675</f>
        <v>0</v>
      </c>
      <c r="U26" s="204">
        <f>Calculations!U675</f>
        <v>0</v>
      </c>
      <c r="V26" s="65">
        <f>Calculations!V675</f>
        <v>0</v>
      </c>
      <c r="W26" s="266">
        <f>Calculations!W675</f>
        <v>0</v>
      </c>
      <c r="X26" s="266">
        <f>Calculations!X675</f>
        <v>0</v>
      </c>
      <c r="Y26" s="266" t="e">
        <f>Calculations!Y675</f>
        <v>#DIV/0!</v>
      </c>
      <c r="Z26" s="266" t="e">
        <f>Calculations!Z675</f>
        <v>#DIV/0!</v>
      </c>
      <c r="AA26" s="266" t="e">
        <f>Calculations!AA675</f>
        <v>#DIV/0!</v>
      </c>
    </row>
    <row r="27" spans="1:27">
      <c r="A27" s="3">
        <f>Calculations!A676</f>
        <v>23</v>
      </c>
      <c r="B27">
        <f>Calculations!B676</f>
        <v>0</v>
      </c>
      <c r="C27">
        <f>Calculations!C676</f>
        <v>0</v>
      </c>
      <c r="D27">
        <f>Calculations!D676</f>
        <v>0</v>
      </c>
      <c r="E27" s="265">
        <f>Calculations!E676</f>
        <v>0</v>
      </c>
      <c r="F27" s="265">
        <f>Calculations!F676</f>
        <v>0</v>
      </c>
      <c r="G27" s="265">
        <f>Calculations!G676</f>
        <v>0</v>
      </c>
      <c r="H27" s="197">
        <f>Calculations!H676</f>
        <v>0</v>
      </c>
      <c r="I27" s="197">
        <f>Calculations!I676</f>
        <v>0</v>
      </c>
      <c r="J27" s="137">
        <f>Calculations!J676</f>
        <v>0</v>
      </c>
      <c r="K27" s="66">
        <f>Calculations!K676</f>
        <v>0</v>
      </c>
      <c r="L27" s="66">
        <f>Calculations!L676</f>
        <v>0</v>
      </c>
      <c r="M27">
        <f>Calculations!M676</f>
        <v>0</v>
      </c>
      <c r="N27" s="66">
        <f>Calculations!N676</f>
        <v>0</v>
      </c>
      <c r="O27" s="66">
        <f>Calculations!O676</f>
        <v>0</v>
      </c>
      <c r="P27" s="66">
        <f>Calculations!P676</f>
        <v>0</v>
      </c>
      <c r="Q27" s="204">
        <f>Calculations!Q676</f>
        <v>0</v>
      </c>
      <c r="R27" s="66">
        <f>Calculations!R676</f>
        <v>0</v>
      </c>
      <c r="S27" s="65">
        <f>Calculations!S676</f>
        <v>0</v>
      </c>
      <c r="T27" s="65">
        <f>Calculations!T676</f>
        <v>0</v>
      </c>
      <c r="U27" s="204">
        <f>Calculations!U676</f>
        <v>0</v>
      </c>
      <c r="V27" s="65">
        <f>Calculations!V676</f>
        <v>0</v>
      </c>
      <c r="W27" s="266">
        <f>Calculations!W676</f>
        <v>0</v>
      </c>
      <c r="X27" s="266">
        <f>Calculations!X676</f>
        <v>0</v>
      </c>
      <c r="Y27" s="266" t="e">
        <f>Calculations!Y676</f>
        <v>#DIV/0!</v>
      </c>
      <c r="Z27" s="266" t="e">
        <f>Calculations!Z676</f>
        <v>#DIV/0!</v>
      </c>
      <c r="AA27" s="266" t="e">
        <f>Calculations!AA676</f>
        <v>#DIV/0!</v>
      </c>
    </row>
    <row r="28" spans="1:27">
      <c r="A28" s="3">
        <f>Calculations!A677</f>
        <v>24</v>
      </c>
      <c r="B28">
        <f>Calculations!B677</f>
        <v>0</v>
      </c>
      <c r="C28">
        <f>Calculations!C677</f>
        <v>0</v>
      </c>
      <c r="D28">
        <f>Calculations!D677</f>
        <v>0</v>
      </c>
      <c r="E28" s="265">
        <f>Calculations!E677</f>
        <v>0</v>
      </c>
      <c r="F28" s="265">
        <f>Calculations!F677</f>
        <v>0</v>
      </c>
      <c r="G28" s="265">
        <f>Calculations!G677</f>
        <v>0</v>
      </c>
      <c r="H28" s="197">
        <f>Calculations!H677</f>
        <v>0</v>
      </c>
      <c r="I28" s="197">
        <f>Calculations!I677</f>
        <v>0</v>
      </c>
      <c r="J28" s="137">
        <f>Calculations!J677</f>
        <v>0</v>
      </c>
      <c r="K28" s="66">
        <f>Calculations!K677</f>
        <v>0</v>
      </c>
      <c r="L28" s="66">
        <f>Calculations!L677</f>
        <v>0</v>
      </c>
      <c r="M28">
        <f>Calculations!M677</f>
        <v>0</v>
      </c>
      <c r="N28" s="66">
        <f>Calculations!N677</f>
        <v>0</v>
      </c>
      <c r="O28" s="66">
        <f>Calculations!O677</f>
        <v>0</v>
      </c>
      <c r="P28" s="66">
        <f>Calculations!P677</f>
        <v>0</v>
      </c>
      <c r="Q28" s="204">
        <f>Calculations!Q677</f>
        <v>0</v>
      </c>
      <c r="R28" s="66">
        <f>Calculations!R677</f>
        <v>0</v>
      </c>
      <c r="S28" s="65">
        <f>Calculations!S677</f>
        <v>0</v>
      </c>
      <c r="T28" s="65">
        <f>Calculations!T677</f>
        <v>0</v>
      </c>
      <c r="U28" s="204">
        <f>Calculations!U677</f>
        <v>0</v>
      </c>
      <c r="V28" s="65">
        <f>Calculations!V677</f>
        <v>0</v>
      </c>
      <c r="W28" s="266">
        <f>Calculations!W677</f>
        <v>0</v>
      </c>
      <c r="X28" s="266">
        <f>Calculations!X677</f>
        <v>0</v>
      </c>
      <c r="Y28" s="266" t="e">
        <f>Calculations!Y677</f>
        <v>#DIV/0!</v>
      </c>
      <c r="Z28" s="266" t="e">
        <f>Calculations!Z677</f>
        <v>#DIV/0!</v>
      </c>
      <c r="AA28" s="266" t="e">
        <f>Calculations!AA677</f>
        <v>#DIV/0!</v>
      </c>
    </row>
    <row r="29" spans="1:27">
      <c r="A29" s="3">
        <f>Calculations!A678</f>
        <v>25</v>
      </c>
      <c r="B29">
        <f>Calculations!B678</f>
        <v>0</v>
      </c>
      <c r="C29">
        <f>Calculations!C678</f>
        <v>0</v>
      </c>
      <c r="D29">
        <f>Calculations!D678</f>
        <v>0</v>
      </c>
      <c r="E29" s="265">
        <f>Calculations!E678</f>
        <v>0</v>
      </c>
      <c r="F29" s="265">
        <f>Calculations!F678</f>
        <v>0</v>
      </c>
      <c r="G29" s="265">
        <f>Calculations!G678</f>
        <v>0</v>
      </c>
      <c r="H29" s="197">
        <f>Calculations!H678</f>
        <v>0</v>
      </c>
      <c r="I29" s="197">
        <f>Calculations!I678</f>
        <v>0</v>
      </c>
      <c r="J29" s="137">
        <f>Calculations!J678</f>
        <v>0</v>
      </c>
      <c r="K29" s="66">
        <f>Calculations!K678</f>
        <v>0</v>
      </c>
      <c r="L29" s="66">
        <f>Calculations!L678</f>
        <v>0</v>
      </c>
      <c r="M29">
        <f>Calculations!M678</f>
        <v>0</v>
      </c>
      <c r="N29" s="66">
        <f>Calculations!N678</f>
        <v>0</v>
      </c>
      <c r="O29" s="66">
        <f>Calculations!O678</f>
        <v>0</v>
      </c>
      <c r="P29" s="66">
        <f>Calculations!P678</f>
        <v>0</v>
      </c>
      <c r="Q29" s="204">
        <f>Calculations!Q678</f>
        <v>0</v>
      </c>
      <c r="R29" s="66">
        <f>Calculations!R678</f>
        <v>0</v>
      </c>
      <c r="S29" s="65">
        <f>Calculations!S678</f>
        <v>0</v>
      </c>
      <c r="T29" s="65">
        <f>Calculations!T678</f>
        <v>0</v>
      </c>
      <c r="U29" s="204">
        <f>Calculations!U678</f>
        <v>0</v>
      </c>
      <c r="V29" s="65">
        <f>Calculations!V678</f>
        <v>0</v>
      </c>
      <c r="W29" s="266">
        <f>Calculations!W678</f>
        <v>0</v>
      </c>
      <c r="X29" s="266">
        <f>Calculations!X678</f>
        <v>0</v>
      </c>
      <c r="Y29" s="266" t="e">
        <f>Calculations!Y678</f>
        <v>#DIV/0!</v>
      </c>
      <c r="Z29" s="266" t="e">
        <f>Calculations!Z678</f>
        <v>#DIV/0!</v>
      </c>
      <c r="AA29" s="266" t="e">
        <f>Calculations!AA678</f>
        <v>#DIV/0!</v>
      </c>
    </row>
    <row r="30" spans="1:27">
      <c r="A30" s="3">
        <f>Calculations!A679</f>
        <v>26</v>
      </c>
      <c r="B30">
        <f>Calculations!B679</f>
        <v>0</v>
      </c>
      <c r="C30">
        <f>Calculations!C679</f>
        <v>0</v>
      </c>
      <c r="D30">
        <f>Calculations!D679</f>
        <v>0</v>
      </c>
      <c r="E30" s="265">
        <f>Calculations!E679</f>
        <v>0</v>
      </c>
      <c r="F30" s="265">
        <f>Calculations!F679</f>
        <v>0</v>
      </c>
      <c r="G30" s="265">
        <f>Calculations!G679</f>
        <v>0</v>
      </c>
      <c r="H30" s="197">
        <f>Calculations!H679</f>
        <v>0</v>
      </c>
      <c r="I30" s="197">
        <f>Calculations!I679</f>
        <v>0</v>
      </c>
      <c r="J30" s="137">
        <f>Calculations!J679</f>
        <v>0</v>
      </c>
      <c r="K30" s="66">
        <f>Calculations!K679</f>
        <v>0</v>
      </c>
      <c r="L30" s="66">
        <f>Calculations!L679</f>
        <v>0</v>
      </c>
      <c r="M30">
        <f>Calculations!M679</f>
        <v>0</v>
      </c>
      <c r="N30" s="66">
        <f>Calculations!N679</f>
        <v>0</v>
      </c>
      <c r="O30" s="66">
        <f>Calculations!O679</f>
        <v>0</v>
      </c>
      <c r="P30" s="66">
        <f>Calculations!P679</f>
        <v>0</v>
      </c>
      <c r="Q30" s="204">
        <f>Calculations!Q679</f>
        <v>0</v>
      </c>
      <c r="R30" s="66">
        <f>Calculations!R679</f>
        <v>0</v>
      </c>
      <c r="S30" s="65">
        <f>Calculations!S679</f>
        <v>0</v>
      </c>
      <c r="T30" s="65">
        <f>Calculations!T679</f>
        <v>0</v>
      </c>
      <c r="U30" s="204">
        <f>Calculations!U679</f>
        <v>0</v>
      </c>
      <c r="V30" s="65">
        <f>Calculations!V679</f>
        <v>0</v>
      </c>
      <c r="W30" s="266">
        <f>Calculations!W679</f>
        <v>0</v>
      </c>
      <c r="X30" s="266">
        <f>Calculations!X679</f>
        <v>0</v>
      </c>
      <c r="Y30" s="266" t="e">
        <f>Calculations!Y679</f>
        <v>#DIV/0!</v>
      </c>
      <c r="Z30" s="266" t="e">
        <f>Calculations!Z679</f>
        <v>#DIV/0!</v>
      </c>
      <c r="AA30" s="266" t="e">
        <f>Calculations!AA679</f>
        <v>#DIV/0!</v>
      </c>
    </row>
    <row r="31" spans="1:27">
      <c r="A31" s="3">
        <f>Calculations!A680</f>
        <v>27</v>
      </c>
      <c r="B31">
        <f>Calculations!B680</f>
        <v>0</v>
      </c>
      <c r="C31">
        <f>Calculations!C680</f>
        <v>0</v>
      </c>
      <c r="D31">
        <f>Calculations!D680</f>
        <v>0</v>
      </c>
      <c r="E31" s="265">
        <f>Calculations!E680</f>
        <v>0</v>
      </c>
      <c r="F31" s="265">
        <f>Calculations!F680</f>
        <v>0</v>
      </c>
      <c r="G31" s="265">
        <f>Calculations!G680</f>
        <v>0</v>
      </c>
      <c r="H31" s="197">
        <f>Calculations!H680</f>
        <v>0</v>
      </c>
      <c r="I31" s="197">
        <f>Calculations!I680</f>
        <v>0</v>
      </c>
      <c r="J31" s="137">
        <f>Calculations!J680</f>
        <v>0</v>
      </c>
      <c r="K31" s="66">
        <f>Calculations!K680</f>
        <v>0</v>
      </c>
      <c r="L31" s="66">
        <f>Calculations!L680</f>
        <v>0</v>
      </c>
      <c r="M31">
        <f>Calculations!M680</f>
        <v>0</v>
      </c>
      <c r="N31" s="66">
        <f>Calculations!N680</f>
        <v>0</v>
      </c>
      <c r="O31" s="66">
        <f>Calculations!O680</f>
        <v>0</v>
      </c>
      <c r="P31" s="66">
        <f>Calculations!P680</f>
        <v>0</v>
      </c>
      <c r="Q31" s="204">
        <f>Calculations!Q680</f>
        <v>0</v>
      </c>
      <c r="R31" s="66">
        <f>Calculations!R680</f>
        <v>0</v>
      </c>
      <c r="S31" s="65">
        <f>Calculations!S680</f>
        <v>0</v>
      </c>
      <c r="T31" s="65">
        <f>Calculations!T680</f>
        <v>0</v>
      </c>
      <c r="U31" s="204">
        <f>Calculations!U680</f>
        <v>0</v>
      </c>
      <c r="V31" s="65">
        <f>Calculations!V680</f>
        <v>0</v>
      </c>
      <c r="W31" s="266">
        <f>Calculations!W680</f>
        <v>0</v>
      </c>
      <c r="X31" s="266">
        <f>Calculations!X680</f>
        <v>0</v>
      </c>
      <c r="Y31" s="266" t="e">
        <f>Calculations!Y680</f>
        <v>#DIV/0!</v>
      </c>
      <c r="Z31" s="266" t="e">
        <f>Calculations!Z680</f>
        <v>#DIV/0!</v>
      </c>
      <c r="AA31" s="266" t="e">
        <f>Calculations!AA680</f>
        <v>#DIV/0!</v>
      </c>
    </row>
    <row r="32" spans="1:27">
      <c r="A32" s="3">
        <f>Calculations!A681</f>
        <v>28</v>
      </c>
      <c r="B32">
        <f>Calculations!B681</f>
        <v>0</v>
      </c>
      <c r="C32">
        <f>Calculations!C681</f>
        <v>0</v>
      </c>
      <c r="D32">
        <f>Calculations!D681</f>
        <v>0</v>
      </c>
      <c r="E32" s="265">
        <f>Calculations!E681</f>
        <v>0</v>
      </c>
      <c r="F32" s="265">
        <f>Calculations!F681</f>
        <v>0</v>
      </c>
      <c r="G32" s="265">
        <f>Calculations!G681</f>
        <v>0</v>
      </c>
      <c r="H32" s="197">
        <f>Calculations!H681</f>
        <v>0</v>
      </c>
      <c r="I32" s="197">
        <f>Calculations!I681</f>
        <v>0</v>
      </c>
      <c r="J32" s="137">
        <f>Calculations!J681</f>
        <v>0</v>
      </c>
      <c r="K32" s="66">
        <f>Calculations!K681</f>
        <v>0</v>
      </c>
      <c r="L32" s="66">
        <f>Calculations!L681</f>
        <v>0</v>
      </c>
      <c r="M32">
        <f>Calculations!M681</f>
        <v>0</v>
      </c>
      <c r="N32" s="66">
        <f>Calculations!N681</f>
        <v>0</v>
      </c>
      <c r="O32" s="66">
        <f>Calculations!O681</f>
        <v>0</v>
      </c>
      <c r="P32" s="66">
        <f>Calculations!P681</f>
        <v>0</v>
      </c>
      <c r="Q32" s="204">
        <f>Calculations!Q681</f>
        <v>0</v>
      </c>
      <c r="R32" s="66">
        <f>Calculations!R681</f>
        <v>0</v>
      </c>
      <c r="S32" s="65">
        <f>Calculations!S681</f>
        <v>0</v>
      </c>
      <c r="T32" s="65">
        <f>Calculations!T681</f>
        <v>0</v>
      </c>
      <c r="U32" s="204">
        <f>Calculations!U681</f>
        <v>0</v>
      </c>
      <c r="V32" s="65">
        <f>Calculations!V681</f>
        <v>0</v>
      </c>
      <c r="W32" s="266">
        <f>Calculations!W681</f>
        <v>0</v>
      </c>
      <c r="X32" s="266">
        <f>Calculations!X681</f>
        <v>0</v>
      </c>
      <c r="Y32" s="266" t="e">
        <f>Calculations!Y681</f>
        <v>#DIV/0!</v>
      </c>
      <c r="Z32" s="266" t="e">
        <f>Calculations!Z681</f>
        <v>#DIV/0!</v>
      </c>
      <c r="AA32" s="266" t="e">
        <f>Calculations!AA681</f>
        <v>#DIV/0!</v>
      </c>
    </row>
    <row r="33" spans="1:27">
      <c r="A33" s="3">
        <f>Calculations!A682</f>
        <v>29</v>
      </c>
      <c r="B33">
        <f>Calculations!B682</f>
        <v>0</v>
      </c>
      <c r="C33">
        <f>Calculations!C682</f>
        <v>0</v>
      </c>
      <c r="D33">
        <f>Calculations!D682</f>
        <v>0</v>
      </c>
      <c r="E33" s="265">
        <f>Calculations!E682</f>
        <v>0</v>
      </c>
      <c r="F33" s="265">
        <f>Calculations!F682</f>
        <v>0</v>
      </c>
      <c r="G33" s="265">
        <f>Calculations!G682</f>
        <v>0</v>
      </c>
      <c r="H33" s="197">
        <f>Calculations!H682</f>
        <v>0</v>
      </c>
      <c r="I33" s="197">
        <f>Calculations!I682</f>
        <v>0</v>
      </c>
      <c r="J33" s="137">
        <f>Calculations!J682</f>
        <v>0</v>
      </c>
      <c r="K33" s="66">
        <f>Calculations!K682</f>
        <v>0</v>
      </c>
      <c r="L33" s="66">
        <f>Calculations!L682</f>
        <v>0</v>
      </c>
      <c r="M33">
        <f>Calculations!M682</f>
        <v>0</v>
      </c>
      <c r="N33" s="66">
        <f>Calculations!N682</f>
        <v>0</v>
      </c>
      <c r="O33" s="66">
        <f>Calculations!O682</f>
        <v>0</v>
      </c>
      <c r="P33" s="66">
        <f>Calculations!P682</f>
        <v>0</v>
      </c>
      <c r="Q33" s="204">
        <f>Calculations!Q682</f>
        <v>0</v>
      </c>
      <c r="R33" s="66">
        <f>Calculations!R682</f>
        <v>0</v>
      </c>
      <c r="S33" s="65">
        <f>Calculations!S682</f>
        <v>0</v>
      </c>
      <c r="T33" s="65">
        <f>Calculations!T682</f>
        <v>0</v>
      </c>
      <c r="U33" s="204">
        <f>Calculations!U682</f>
        <v>0</v>
      </c>
      <c r="V33" s="65">
        <f>Calculations!V682</f>
        <v>0</v>
      </c>
      <c r="W33" s="266">
        <f>Calculations!W682</f>
        <v>0</v>
      </c>
      <c r="X33" s="266">
        <f>Calculations!X682</f>
        <v>0</v>
      </c>
      <c r="Y33" s="266" t="e">
        <f>Calculations!Y682</f>
        <v>#DIV/0!</v>
      </c>
      <c r="Z33" s="266" t="e">
        <f>Calculations!Z682</f>
        <v>#DIV/0!</v>
      </c>
      <c r="AA33" s="266" t="e">
        <f>Calculations!AA682</f>
        <v>#DIV/0!</v>
      </c>
    </row>
    <row r="34" spans="1:27">
      <c r="A34" s="3">
        <f>Calculations!A683</f>
        <v>30</v>
      </c>
      <c r="B34">
        <f>Calculations!B683</f>
        <v>0</v>
      </c>
      <c r="C34">
        <f>Calculations!C683</f>
        <v>0</v>
      </c>
      <c r="D34">
        <f>Calculations!D683</f>
        <v>0</v>
      </c>
      <c r="E34" s="265">
        <f>Calculations!E683</f>
        <v>0</v>
      </c>
      <c r="F34" s="265">
        <f>Calculations!F683</f>
        <v>0</v>
      </c>
      <c r="G34" s="265">
        <f>Calculations!G683</f>
        <v>0</v>
      </c>
      <c r="H34" s="197">
        <f>Calculations!H683</f>
        <v>0</v>
      </c>
      <c r="I34" s="197">
        <f>Calculations!I683</f>
        <v>0</v>
      </c>
      <c r="J34" s="137">
        <f>Calculations!J683</f>
        <v>0</v>
      </c>
      <c r="K34" s="66">
        <f>Calculations!K683</f>
        <v>0</v>
      </c>
      <c r="L34" s="66">
        <f>Calculations!L683</f>
        <v>0</v>
      </c>
      <c r="M34">
        <f>Calculations!M683</f>
        <v>0</v>
      </c>
      <c r="N34" s="66">
        <f>Calculations!N683</f>
        <v>0</v>
      </c>
      <c r="O34" s="66">
        <f>Calculations!O683</f>
        <v>0</v>
      </c>
      <c r="P34" s="66">
        <f>Calculations!P683</f>
        <v>0</v>
      </c>
      <c r="Q34" s="204">
        <f>Calculations!Q683</f>
        <v>0</v>
      </c>
      <c r="R34" s="66">
        <f>Calculations!R683</f>
        <v>0</v>
      </c>
      <c r="S34" s="65">
        <f>Calculations!S683</f>
        <v>0</v>
      </c>
      <c r="T34" s="65">
        <f>Calculations!T683</f>
        <v>0</v>
      </c>
      <c r="U34" s="204">
        <f>Calculations!U683</f>
        <v>0</v>
      </c>
      <c r="V34" s="65">
        <f>Calculations!V683</f>
        <v>0</v>
      </c>
      <c r="W34" s="266">
        <f>Calculations!W683</f>
        <v>0</v>
      </c>
      <c r="X34" s="266">
        <f>Calculations!X683</f>
        <v>0</v>
      </c>
      <c r="Y34" s="266" t="e">
        <f>Calculations!Y683</f>
        <v>#DIV/0!</v>
      </c>
      <c r="Z34" s="266" t="e">
        <f>Calculations!Z683</f>
        <v>#DIV/0!</v>
      </c>
      <c r="AA34" s="266" t="e">
        <f>Calculations!AA683</f>
        <v>#DIV/0!</v>
      </c>
    </row>
    <row r="35" spans="1:27">
      <c r="A35" s="3">
        <f>Calculations!A684</f>
        <v>31</v>
      </c>
      <c r="B35">
        <f>Calculations!B684</f>
        <v>0</v>
      </c>
      <c r="C35">
        <f>Calculations!C684</f>
        <v>0</v>
      </c>
      <c r="D35">
        <f>Calculations!D684</f>
        <v>0</v>
      </c>
      <c r="E35" s="265">
        <f>Calculations!E684</f>
        <v>0</v>
      </c>
      <c r="F35" s="265">
        <f>Calculations!F684</f>
        <v>0</v>
      </c>
      <c r="G35" s="265">
        <f>Calculations!G684</f>
        <v>0</v>
      </c>
      <c r="H35" s="197">
        <f>Calculations!H684</f>
        <v>0</v>
      </c>
      <c r="I35" s="197">
        <f>Calculations!I684</f>
        <v>0</v>
      </c>
      <c r="J35" s="137">
        <f>Calculations!J684</f>
        <v>0</v>
      </c>
      <c r="K35" s="66">
        <f>Calculations!K684</f>
        <v>0</v>
      </c>
      <c r="L35" s="66">
        <f>Calculations!L684</f>
        <v>0</v>
      </c>
      <c r="M35">
        <f>Calculations!M684</f>
        <v>0</v>
      </c>
      <c r="N35" s="66">
        <f>Calculations!N684</f>
        <v>0</v>
      </c>
      <c r="O35" s="66">
        <f>Calculations!O684</f>
        <v>0</v>
      </c>
      <c r="P35" s="66">
        <f>Calculations!P684</f>
        <v>0</v>
      </c>
      <c r="Q35" s="204">
        <f>Calculations!Q684</f>
        <v>0</v>
      </c>
      <c r="R35" s="66">
        <f>Calculations!R684</f>
        <v>0</v>
      </c>
      <c r="S35" s="65">
        <f>Calculations!S684</f>
        <v>0</v>
      </c>
      <c r="T35" s="65">
        <f>Calculations!T684</f>
        <v>0</v>
      </c>
      <c r="U35" s="204">
        <f>Calculations!U684</f>
        <v>0</v>
      </c>
      <c r="V35" s="65">
        <f>Calculations!V684</f>
        <v>0</v>
      </c>
      <c r="W35" s="266">
        <f>Calculations!W684</f>
        <v>0</v>
      </c>
      <c r="X35" s="266">
        <f>Calculations!X684</f>
        <v>0</v>
      </c>
      <c r="Y35" s="266" t="e">
        <f>Calculations!Y684</f>
        <v>#DIV/0!</v>
      </c>
      <c r="Z35" s="266" t="e">
        <f>Calculations!Z684</f>
        <v>#DIV/0!</v>
      </c>
      <c r="AA35" s="266" t="e">
        <f>Calculations!AA684</f>
        <v>#DIV/0!</v>
      </c>
    </row>
    <row r="36" spans="1:27">
      <c r="A36" s="3">
        <f>Calculations!A685</f>
        <v>32</v>
      </c>
      <c r="B36">
        <f>Calculations!B685</f>
        <v>0</v>
      </c>
      <c r="C36">
        <f>Calculations!C685</f>
        <v>0</v>
      </c>
      <c r="D36">
        <f>Calculations!D685</f>
        <v>0</v>
      </c>
      <c r="E36" s="265">
        <f>Calculations!E685</f>
        <v>0</v>
      </c>
      <c r="F36" s="265">
        <f>Calculations!F685</f>
        <v>0</v>
      </c>
      <c r="G36" s="265">
        <f>Calculations!G685</f>
        <v>0</v>
      </c>
      <c r="H36" s="197">
        <f>Calculations!H685</f>
        <v>0</v>
      </c>
      <c r="I36" s="197">
        <f>Calculations!I685</f>
        <v>0</v>
      </c>
      <c r="J36" s="137">
        <f>Calculations!J685</f>
        <v>0</v>
      </c>
      <c r="K36" s="66">
        <f>Calculations!K685</f>
        <v>0</v>
      </c>
      <c r="L36" s="66">
        <f>Calculations!L685</f>
        <v>0</v>
      </c>
      <c r="M36">
        <f>Calculations!M685</f>
        <v>0</v>
      </c>
      <c r="N36" s="66">
        <f>Calculations!N685</f>
        <v>0</v>
      </c>
      <c r="O36" s="66">
        <f>Calculations!O685</f>
        <v>0</v>
      </c>
      <c r="P36" s="66">
        <f>Calculations!P685</f>
        <v>0</v>
      </c>
      <c r="Q36" s="204">
        <f>Calculations!Q685</f>
        <v>0</v>
      </c>
      <c r="R36" s="66">
        <f>Calculations!R685</f>
        <v>0</v>
      </c>
      <c r="S36" s="65">
        <f>Calculations!S685</f>
        <v>0</v>
      </c>
      <c r="T36" s="65">
        <f>Calculations!T685</f>
        <v>0</v>
      </c>
      <c r="U36" s="204">
        <f>Calculations!U685</f>
        <v>0</v>
      </c>
      <c r="V36" s="65">
        <f>Calculations!V685</f>
        <v>0</v>
      </c>
      <c r="W36" s="266">
        <f>Calculations!W685</f>
        <v>0</v>
      </c>
      <c r="X36" s="266">
        <f>Calculations!X685</f>
        <v>0</v>
      </c>
      <c r="Y36" s="266" t="e">
        <f>Calculations!Y685</f>
        <v>#DIV/0!</v>
      </c>
      <c r="Z36" s="266" t="e">
        <f>Calculations!Z685</f>
        <v>#DIV/0!</v>
      </c>
      <c r="AA36" s="266" t="e">
        <f>Calculations!AA685</f>
        <v>#DIV/0!</v>
      </c>
    </row>
    <row r="37" spans="1:27">
      <c r="A37" s="3">
        <f>Calculations!A686</f>
        <v>33</v>
      </c>
      <c r="B37">
        <f>Calculations!B686</f>
        <v>0</v>
      </c>
      <c r="C37">
        <f>Calculations!C686</f>
        <v>0</v>
      </c>
      <c r="D37">
        <f>Calculations!D686</f>
        <v>0</v>
      </c>
      <c r="E37" s="265">
        <f>Calculations!E686</f>
        <v>0</v>
      </c>
      <c r="F37" s="265">
        <f>Calculations!F686</f>
        <v>0</v>
      </c>
      <c r="G37" s="265">
        <f>Calculations!G686</f>
        <v>0</v>
      </c>
      <c r="H37" s="197">
        <f>Calculations!H686</f>
        <v>0</v>
      </c>
      <c r="I37" s="197">
        <f>Calculations!I686</f>
        <v>0</v>
      </c>
      <c r="J37" s="137">
        <f>Calculations!J686</f>
        <v>0</v>
      </c>
      <c r="K37" s="66">
        <f>Calculations!K686</f>
        <v>0</v>
      </c>
      <c r="L37" s="66">
        <f>Calculations!L686</f>
        <v>0</v>
      </c>
      <c r="M37">
        <f>Calculations!M686</f>
        <v>0</v>
      </c>
      <c r="N37" s="66">
        <f>Calculations!N686</f>
        <v>0</v>
      </c>
      <c r="O37" s="66">
        <f>Calculations!O686</f>
        <v>0</v>
      </c>
      <c r="P37" s="66">
        <f>Calculations!P686</f>
        <v>0</v>
      </c>
      <c r="Q37" s="204">
        <f>Calculations!Q686</f>
        <v>0</v>
      </c>
      <c r="R37" s="66">
        <f>Calculations!R686</f>
        <v>0</v>
      </c>
      <c r="S37" s="65">
        <f>Calculations!S686</f>
        <v>0</v>
      </c>
      <c r="T37" s="65">
        <f>Calculations!T686</f>
        <v>0</v>
      </c>
      <c r="U37" s="204">
        <f>Calculations!U686</f>
        <v>0</v>
      </c>
      <c r="V37" s="65">
        <f>Calculations!V686</f>
        <v>0</v>
      </c>
      <c r="W37" s="266">
        <f>Calculations!W686</f>
        <v>0</v>
      </c>
      <c r="X37" s="266">
        <f>Calculations!X686</f>
        <v>0</v>
      </c>
      <c r="Y37" s="266" t="e">
        <f>Calculations!Y686</f>
        <v>#DIV/0!</v>
      </c>
      <c r="Z37" s="266" t="e">
        <f>Calculations!Z686</f>
        <v>#DIV/0!</v>
      </c>
      <c r="AA37" s="266" t="e">
        <f>Calculations!AA686</f>
        <v>#DIV/0!</v>
      </c>
    </row>
    <row r="38" spans="1:27">
      <c r="A38" s="3">
        <f>Calculations!A687</f>
        <v>34</v>
      </c>
      <c r="B38">
        <f>Calculations!B687</f>
        <v>0</v>
      </c>
      <c r="C38">
        <f>Calculations!C687</f>
        <v>0</v>
      </c>
      <c r="D38">
        <f>Calculations!D687</f>
        <v>0</v>
      </c>
      <c r="E38" s="265">
        <f>Calculations!E687</f>
        <v>0</v>
      </c>
      <c r="F38" s="265">
        <f>Calculations!F687</f>
        <v>0</v>
      </c>
      <c r="G38" s="265">
        <f>Calculations!G687</f>
        <v>0</v>
      </c>
      <c r="H38" s="197">
        <f>Calculations!H687</f>
        <v>0</v>
      </c>
      <c r="I38" s="197">
        <f>Calculations!I687</f>
        <v>0</v>
      </c>
      <c r="J38" s="137">
        <f>Calculations!J687</f>
        <v>0</v>
      </c>
      <c r="K38" s="66">
        <f>Calculations!K687</f>
        <v>0</v>
      </c>
      <c r="L38" s="66">
        <f>Calculations!L687</f>
        <v>0</v>
      </c>
      <c r="M38">
        <f>Calculations!M687</f>
        <v>0</v>
      </c>
      <c r="N38" s="66">
        <f>Calculations!N687</f>
        <v>0</v>
      </c>
      <c r="O38" s="66">
        <f>Calculations!O687</f>
        <v>0</v>
      </c>
      <c r="P38" s="66">
        <f>Calculations!P687</f>
        <v>0</v>
      </c>
      <c r="Q38" s="204">
        <f>Calculations!Q687</f>
        <v>0</v>
      </c>
      <c r="R38" s="66">
        <f>Calculations!R687</f>
        <v>0</v>
      </c>
      <c r="S38" s="65">
        <f>Calculations!S687</f>
        <v>0</v>
      </c>
      <c r="T38" s="65">
        <f>Calculations!T687</f>
        <v>0</v>
      </c>
      <c r="U38" s="204">
        <f>Calculations!U687</f>
        <v>0</v>
      </c>
      <c r="V38" s="65">
        <f>Calculations!V687</f>
        <v>0</v>
      </c>
      <c r="W38" s="266">
        <f>Calculations!W687</f>
        <v>0</v>
      </c>
      <c r="X38" s="266">
        <f>Calculations!X687</f>
        <v>0</v>
      </c>
      <c r="Y38" s="266" t="e">
        <f>Calculations!Y687</f>
        <v>#DIV/0!</v>
      </c>
      <c r="Z38" s="266" t="e">
        <f>Calculations!Z687</f>
        <v>#DIV/0!</v>
      </c>
      <c r="AA38" s="266" t="e">
        <f>Calculations!AA687</f>
        <v>#DIV/0!</v>
      </c>
    </row>
    <row r="39" spans="1:27">
      <c r="A39" s="3">
        <f>Calculations!A688</f>
        <v>35</v>
      </c>
      <c r="B39">
        <f>Calculations!B688</f>
        <v>0</v>
      </c>
      <c r="C39">
        <f>Calculations!C688</f>
        <v>0</v>
      </c>
      <c r="D39">
        <f>Calculations!D688</f>
        <v>0</v>
      </c>
      <c r="E39" s="265">
        <f>Calculations!E688</f>
        <v>0</v>
      </c>
      <c r="F39" s="265">
        <f>Calculations!F688</f>
        <v>0</v>
      </c>
      <c r="G39" s="265">
        <f>Calculations!G688</f>
        <v>0</v>
      </c>
      <c r="H39" s="197">
        <f>Calculations!H688</f>
        <v>0</v>
      </c>
      <c r="I39" s="197">
        <f>Calculations!I688</f>
        <v>0</v>
      </c>
      <c r="J39" s="137">
        <f>Calculations!J688</f>
        <v>0</v>
      </c>
      <c r="K39" s="66">
        <f>Calculations!K688</f>
        <v>0</v>
      </c>
      <c r="L39" s="66">
        <f>Calculations!L688</f>
        <v>0</v>
      </c>
      <c r="M39">
        <f>Calculations!M688</f>
        <v>0</v>
      </c>
      <c r="N39" s="66">
        <f>Calculations!N688</f>
        <v>0</v>
      </c>
      <c r="O39" s="66">
        <f>Calculations!O688</f>
        <v>0</v>
      </c>
      <c r="P39" s="66">
        <f>Calculations!P688</f>
        <v>0</v>
      </c>
      <c r="Q39" s="204">
        <f>Calculations!Q688</f>
        <v>0</v>
      </c>
      <c r="R39" s="66">
        <f>Calculations!R688</f>
        <v>0</v>
      </c>
      <c r="S39" s="65">
        <f>Calculations!S688</f>
        <v>0</v>
      </c>
      <c r="T39" s="65">
        <f>Calculations!T688</f>
        <v>0</v>
      </c>
      <c r="U39" s="204">
        <f>Calculations!U688</f>
        <v>0</v>
      </c>
      <c r="V39" s="65">
        <f>Calculations!V688</f>
        <v>0</v>
      </c>
      <c r="W39" s="266">
        <f>Calculations!W688</f>
        <v>0</v>
      </c>
      <c r="X39" s="266">
        <f>Calculations!X688</f>
        <v>0</v>
      </c>
      <c r="Y39" s="266" t="e">
        <f>Calculations!Y688</f>
        <v>#DIV/0!</v>
      </c>
      <c r="Z39" s="266" t="e">
        <f>Calculations!Z688</f>
        <v>#DIV/0!</v>
      </c>
      <c r="AA39" s="266" t="e">
        <f>Calculations!AA688</f>
        <v>#DIV/0!</v>
      </c>
    </row>
    <row r="40" spans="1:27">
      <c r="A40" s="3">
        <f>Calculations!A689</f>
        <v>36</v>
      </c>
      <c r="B40">
        <f>Calculations!B689</f>
        <v>0</v>
      </c>
      <c r="C40">
        <f>Calculations!C689</f>
        <v>0</v>
      </c>
      <c r="D40">
        <f>Calculations!D689</f>
        <v>0</v>
      </c>
      <c r="E40" s="265">
        <f>Calculations!E689</f>
        <v>0</v>
      </c>
      <c r="F40" s="265">
        <f>Calculations!F689</f>
        <v>0</v>
      </c>
      <c r="G40" s="265">
        <f>Calculations!G689</f>
        <v>0</v>
      </c>
      <c r="H40" s="197">
        <f>Calculations!H689</f>
        <v>0</v>
      </c>
      <c r="I40" s="197">
        <f>Calculations!I689</f>
        <v>0</v>
      </c>
      <c r="J40" s="137">
        <f>Calculations!J689</f>
        <v>0</v>
      </c>
      <c r="K40" s="66">
        <f>Calculations!K689</f>
        <v>0</v>
      </c>
      <c r="L40" s="66">
        <f>Calculations!L689</f>
        <v>0</v>
      </c>
      <c r="M40">
        <f>Calculations!M689</f>
        <v>0</v>
      </c>
      <c r="N40" s="66">
        <f>Calculations!N689</f>
        <v>0</v>
      </c>
      <c r="O40" s="66">
        <f>Calculations!O689</f>
        <v>0</v>
      </c>
      <c r="P40" s="66">
        <f>Calculations!P689</f>
        <v>0</v>
      </c>
      <c r="Q40" s="204">
        <f>Calculations!Q689</f>
        <v>0</v>
      </c>
      <c r="R40" s="66">
        <f>Calculations!R689</f>
        <v>0</v>
      </c>
      <c r="S40" s="65">
        <f>Calculations!S689</f>
        <v>0</v>
      </c>
      <c r="T40" s="65">
        <f>Calculations!T689</f>
        <v>0</v>
      </c>
      <c r="U40" s="204">
        <f>Calculations!U689</f>
        <v>0</v>
      </c>
      <c r="V40" s="65">
        <f>Calculations!V689</f>
        <v>0</v>
      </c>
      <c r="W40" s="266">
        <f>Calculations!W689</f>
        <v>0</v>
      </c>
      <c r="X40" s="266">
        <f>Calculations!X689</f>
        <v>0</v>
      </c>
      <c r="Y40" s="266" t="e">
        <f>Calculations!Y689</f>
        <v>#DIV/0!</v>
      </c>
      <c r="Z40" s="266" t="e">
        <f>Calculations!Z689</f>
        <v>#DIV/0!</v>
      </c>
      <c r="AA40" s="266" t="e">
        <f>Calculations!AA689</f>
        <v>#DIV/0!</v>
      </c>
    </row>
    <row r="41" spans="1:27">
      <c r="A41" s="3">
        <f>Calculations!A690</f>
        <v>37</v>
      </c>
      <c r="B41">
        <f>Calculations!B690</f>
        <v>0</v>
      </c>
      <c r="C41">
        <f>Calculations!C690</f>
        <v>0</v>
      </c>
      <c r="D41">
        <f>Calculations!D690</f>
        <v>0</v>
      </c>
      <c r="E41" s="265">
        <f>Calculations!E690</f>
        <v>0</v>
      </c>
      <c r="F41" s="265">
        <f>Calculations!F690</f>
        <v>0</v>
      </c>
      <c r="G41" s="265">
        <f>Calculations!G690</f>
        <v>0</v>
      </c>
      <c r="H41" s="197">
        <f>Calculations!H690</f>
        <v>0</v>
      </c>
      <c r="I41" s="197">
        <f>Calculations!I690</f>
        <v>0</v>
      </c>
      <c r="J41" s="137">
        <f>Calculations!J690</f>
        <v>0</v>
      </c>
      <c r="K41" s="66">
        <f>Calculations!K690</f>
        <v>0</v>
      </c>
      <c r="L41" s="66">
        <f>Calculations!L690</f>
        <v>0</v>
      </c>
      <c r="M41">
        <f>Calculations!M690</f>
        <v>0</v>
      </c>
      <c r="N41" s="66">
        <f>Calculations!N690</f>
        <v>0</v>
      </c>
      <c r="O41" s="66">
        <f>Calculations!O690</f>
        <v>0</v>
      </c>
      <c r="P41" s="66">
        <f>Calculations!P690</f>
        <v>0</v>
      </c>
      <c r="Q41" s="204">
        <f>Calculations!Q690</f>
        <v>0</v>
      </c>
      <c r="R41" s="66">
        <f>Calculations!R690</f>
        <v>0</v>
      </c>
      <c r="S41" s="65">
        <f>Calculations!S690</f>
        <v>0</v>
      </c>
      <c r="T41" s="65">
        <f>Calculations!T690</f>
        <v>0</v>
      </c>
      <c r="U41" s="204">
        <f>Calculations!U690</f>
        <v>0</v>
      </c>
      <c r="V41" s="65">
        <f>Calculations!V690</f>
        <v>0</v>
      </c>
      <c r="W41" s="266">
        <f>Calculations!W690</f>
        <v>0</v>
      </c>
      <c r="X41" s="266">
        <f>Calculations!X690</f>
        <v>0</v>
      </c>
      <c r="Y41" s="266" t="e">
        <f>Calculations!Y690</f>
        <v>#DIV/0!</v>
      </c>
      <c r="Z41" s="266" t="e">
        <f>Calculations!Z690</f>
        <v>#DIV/0!</v>
      </c>
      <c r="AA41" s="266" t="e">
        <f>Calculations!AA690</f>
        <v>#DIV/0!</v>
      </c>
    </row>
    <row r="42" spans="1:27">
      <c r="A42" s="3">
        <f>Calculations!A691</f>
        <v>38</v>
      </c>
      <c r="B42">
        <f>Calculations!B691</f>
        <v>0</v>
      </c>
      <c r="C42">
        <f>Calculations!C691</f>
        <v>0</v>
      </c>
      <c r="D42">
        <f>Calculations!D691</f>
        <v>0</v>
      </c>
      <c r="E42" s="265">
        <f>Calculations!E691</f>
        <v>0</v>
      </c>
      <c r="F42" s="265">
        <f>Calculations!F691</f>
        <v>0</v>
      </c>
      <c r="G42" s="265">
        <f>Calculations!G691</f>
        <v>0</v>
      </c>
      <c r="H42" s="197">
        <f>Calculations!H691</f>
        <v>0</v>
      </c>
      <c r="I42" s="197">
        <f>Calculations!I691</f>
        <v>0</v>
      </c>
      <c r="J42" s="137">
        <f>Calculations!J691</f>
        <v>0</v>
      </c>
      <c r="K42" s="66">
        <f>Calculations!K691</f>
        <v>0</v>
      </c>
      <c r="L42" s="66">
        <f>Calculations!L691</f>
        <v>0</v>
      </c>
      <c r="M42">
        <f>Calculations!M691</f>
        <v>0</v>
      </c>
      <c r="N42" s="66">
        <f>Calculations!N691</f>
        <v>0</v>
      </c>
      <c r="O42" s="66">
        <f>Calculations!O691</f>
        <v>0</v>
      </c>
      <c r="P42" s="66">
        <f>Calculations!P691</f>
        <v>0</v>
      </c>
      <c r="Q42" s="204">
        <f>Calculations!Q691</f>
        <v>0</v>
      </c>
      <c r="R42" s="66">
        <f>Calculations!R691</f>
        <v>0</v>
      </c>
      <c r="S42" s="65">
        <f>Calculations!S691</f>
        <v>0</v>
      </c>
      <c r="T42" s="65">
        <f>Calculations!T691</f>
        <v>0</v>
      </c>
      <c r="U42" s="204">
        <f>Calculations!U691</f>
        <v>0</v>
      </c>
      <c r="V42" s="65">
        <f>Calculations!V691</f>
        <v>0</v>
      </c>
      <c r="W42" s="266">
        <f>Calculations!W691</f>
        <v>0</v>
      </c>
      <c r="X42" s="266">
        <f>Calculations!X691</f>
        <v>0</v>
      </c>
      <c r="Y42" s="266" t="e">
        <f>Calculations!Y691</f>
        <v>#DIV/0!</v>
      </c>
      <c r="Z42" s="266" t="e">
        <f>Calculations!Z691</f>
        <v>#DIV/0!</v>
      </c>
      <c r="AA42" s="266" t="e">
        <f>Calculations!AA691</f>
        <v>#DIV/0!</v>
      </c>
    </row>
    <row r="43" spans="1:27">
      <c r="A43" s="3">
        <f>Calculations!A692</f>
        <v>39</v>
      </c>
      <c r="B43">
        <f>Calculations!B692</f>
        <v>0</v>
      </c>
      <c r="C43">
        <f>Calculations!C692</f>
        <v>0</v>
      </c>
      <c r="D43">
        <f>Calculations!D692</f>
        <v>0</v>
      </c>
      <c r="E43" s="265">
        <f>Calculations!E692</f>
        <v>0</v>
      </c>
      <c r="F43" s="265">
        <f>Calculations!F692</f>
        <v>0</v>
      </c>
      <c r="G43" s="265">
        <f>Calculations!G692</f>
        <v>0</v>
      </c>
      <c r="H43" s="197">
        <f>Calculations!H692</f>
        <v>0</v>
      </c>
      <c r="I43" s="197">
        <f>Calculations!I692</f>
        <v>0</v>
      </c>
      <c r="J43" s="137">
        <f>Calculations!J692</f>
        <v>0</v>
      </c>
      <c r="K43" s="66">
        <f>Calculations!K692</f>
        <v>0</v>
      </c>
      <c r="L43" s="66">
        <f>Calculations!L692</f>
        <v>0</v>
      </c>
      <c r="M43">
        <f>Calculations!M692</f>
        <v>0</v>
      </c>
      <c r="N43" s="66">
        <f>Calculations!N692</f>
        <v>0</v>
      </c>
      <c r="O43" s="66">
        <f>Calculations!O692</f>
        <v>0</v>
      </c>
      <c r="P43" s="66">
        <f>Calculations!P692</f>
        <v>0</v>
      </c>
      <c r="Q43" s="204">
        <f>Calculations!Q692</f>
        <v>0</v>
      </c>
      <c r="R43" s="66">
        <f>Calculations!R692</f>
        <v>0</v>
      </c>
      <c r="S43" s="65">
        <f>Calculations!S692</f>
        <v>0</v>
      </c>
      <c r="T43" s="65">
        <f>Calculations!T692</f>
        <v>0</v>
      </c>
      <c r="U43" s="204">
        <f>Calculations!U692</f>
        <v>0</v>
      </c>
      <c r="V43" s="65">
        <f>Calculations!V692</f>
        <v>0</v>
      </c>
      <c r="W43" s="266">
        <f>Calculations!W692</f>
        <v>0</v>
      </c>
      <c r="X43" s="266">
        <f>Calculations!X692</f>
        <v>0</v>
      </c>
      <c r="Y43" s="266" t="e">
        <f>Calculations!Y692</f>
        <v>#DIV/0!</v>
      </c>
      <c r="Z43" s="266" t="e">
        <f>Calculations!Z692</f>
        <v>#DIV/0!</v>
      </c>
      <c r="AA43" s="266" t="e">
        <f>Calculations!AA692</f>
        <v>#DIV/0!</v>
      </c>
    </row>
    <row r="44" spans="1:27">
      <c r="A44" s="3">
        <f>Calculations!A693</f>
        <v>40</v>
      </c>
      <c r="B44">
        <f>Calculations!B693</f>
        <v>0</v>
      </c>
      <c r="C44">
        <f>Calculations!C693</f>
        <v>0</v>
      </c>
      <c r="D44">
        <f>Calculations!D693</f>
        <v>0</v>
      </c>
      <c r="E44" s="265">
        <f>Calculations!E693</f>
        <v>0</v>
      </c>
      <c r="F44" s="265">
        <f>Calculations!F693</f>
        <v>0</v>
      </c>
      <c r="G44" s="265">
        <f>Calculations!G693</f>
        <v>0</v>
      </c>
      <c r="H44" s="197">
        <f>Calculations!H693</f>
        <v>0</v>
      </c>
      <c r="I44" s="197">
        <f>Calculations!I693</f>
        <v>0</v>
      </c>
      <c r="J44" s="137">
        <f>Calculations!J693</f>
        <v>0</v>
      </c>
      <c r="K44" s="66">
        <f>Calculations!K693</f>
        <v>0</v>
      </c>
      <c r="L44" s="66">
        <f>Calculations!L693</f>
        <v>0</v>
      </c>
      <c r="M44">
        <f>Calculations!M693</f>
        <v>0</v>
      </c>
      <c r="N44" s="66">
        <f>Calculations!N693</f>
        <v>0</v>
      </c>
      <c r="O44" s="66">
        <f>Calculations!O693</f>
        <v>0</v>
      </c>
      <c r="P44" s="66">
        <f>Calculations!P693</f>
        <v>0</v>
      </c>
      <c r="Q44" s="204">
        <f>Calculations!Q693</f>
        <v>0</v>
      </c>
      <c r="R44" s="66">
        <f>Calculations!R693</f>
        <v>0</v>
      </c>
      <c r="S44" s="65">
        <f>Calculations!S693</f>
        <v>0</v>
      </c>
      <c r="T44" s="65">
        <f>Calculations!T693</f>
        <v>0</v>
      </c>
      <c r="U44" s="204">
        <f>Calculations!U693</f>
        <v>0</v>
      </c>
      <c r="V44" s="65">
        <f>Calculations!V693</f>
        <v>0</v>
      </c>
      <c r="W44" s="266">
        <f>Calculations!W693</f>
        <v>0</v>
      </c>
      <c r="X44" s="266">
        <f>Calculations!X693</f>
        <v>0</v>
      </c>
      <c r="Y44" s="266" t="e">
        <f>Calculations!Y693</f>
        <v>#DIV/0!</v>
      </c>
      <c r="Z44" s="266" t="e">
        <f>Calculations!Z693</f>
        <v>#DIV/0!</v>
      </c>
      <c r="AA44" s="266" t="e">
        <f>Calculations!AA693</f>
        <v>#DIV/0!</v>
      </c>
    </row>
    <row r="45" spans="1:27">
      <c r="A45" s="3">
        <f>Calculations!A694</f>
        <v>41</v>
      </c>
      <c r="B45">
        <f>Calculations!B694</f>
        <v>0</v>
      </c>
      <c r="C45">
        <f>Calculations!C694</f>
        <v>0</v>
      </c>
      <c r="D45">
        <f>Calculations!D694</f>
        <v>0</v>
      </c>
      <c r="E45" s="265">
        <f>Calculations!E694</f>
        <v>0</v>
      </c>
      <c r="F45" s="265">
        <f>Calculations!F694</f>
        <v>0</v>
      </c>
      <c r="G45" s="265">
        <f>Calculations!G694</f>
        <v>0</v>
      </c>
      <c r="H45" s="197">
        <f>Calculations!H694</f>
        <v>0</v>
      </c>
      <c r="I45" s="197">
        <f>Calculations!I694</f>
        <v>0</v>
      </c>
      <c r="J45" s="137">
        <f>Calculations!J694</f>
        <v>0</v>
      </c>
      <c r="K45" s="66">
        <f>Calculations!K694</f>
        <v>0</v>
      </c>
      <c r="L45" s="66">
        <f>Calculations!L694</f>
        <v>0</v>
      </c>
      <c r="M45">
        <f>Calculations!M694</f>
        <v>0</v>
      </c>
      <c r="N45" s="66">
        <f>Calculations!N694</f>
        <v>0</v>
      </c>
      <c r="O45" s="66">
        <f>Calculations!O694</f>
        <v>0</v>
      </c>
      <c r="P45" s="66">
        <f>Calculations!P694</f>
        <v>0</v>
      </c>
      <c r="Q45" s="204">
        <f>Calculations!Q694</f>
        <v>0</v>
      </c>
      <c r="R45" s="66">
        <f>Calculations!R694</f>
        <v>0</v>
      </c>
      <c r="S45" s="65">
        <f>Calculations!S694</f>
        <v>0</v>
      </c>
      <c r="T45" s="65">
        <f>Calculations!T694</f>
        <v>0</v>
      </c>
      <c r="U45" s="204">
        <f>Calculations!U694</f>
        <v>0</v>
      </c>
      <c r="V45" s="65">
        <f>Calculations!V694</f>
        <v>0</v>
      </c>
      <c r="W45" s="266">
        <f>Calculations!W694</f>
        <v>0</v>
      </c>
      <c r="X45" s="266">
        <f>Calculations!X694</f>
        <v>0</v>
      </c>
      <c r="Y45" s="266" t="e">
        <f>Calculations!Y694</f>
        <v>#DIV/0!</v>
      </c>
      <c r="Z45" s="266" t="e">
        <f>Calculations!Z694</f>
        <v>#DIV/0!</v>
      </c>
      <c r="AA45" s="266" t="e">
        <f>Calculations!AA694</f>
        <v>#DIV/0!</v>
      </c>
    </row>
    <row r="46" spans="1:27">
      <c r="A46" s="3">
        <f>Calculations!A695</f>
        <v>42</v>
      </c>
      <c r="B46">
        <f>Calculations!B695</f>
        <v>0</v>
      </c>
      <c r="C46">
        <f>Calculations!C695</f>
        <v>0</v>
      </c>
      <c r="D46">
        <f>Calculations!D695</f>
        <v>0</v>
      </c>
      <c r="E46" s="265">
        <f>Calculations!E695</f>
        <v>0</v>
      </c>
      <c r="F46" s="265">
        <f>Calculations!F695</f>
        <v>0</v>
      </c>
      <c r="G46" s="265">
        <f>Calculations!G695</f>
        <v>0</v>
      </c>
      <c r="H46" s="197">
        <f>Calculations!H695</f>
        <v>0</v>
      </c>
      <c r="I46" s="197">
        <f>Calculations!I695</f>
        <v>0</v>
      </c>
      <c r="J46" s="137">
        <f>Calculations!J695</f>
        <v>0</v>
      </c>
      <c r="K46" s="66">
        <f>Calculations!K695</f>
        <v>0</v>
      </c>
      <c r="L46" s="66">
        <f>Calculations!L695</f>
        <v>0</v>
      </c>
      <c r="M46">
        <f>Calculations!M695</f>
        <v>0</v>
      </c>
      <c r="N46" s="66">
        <f>Calculations!N695</f>
        <v>0</v>
      </c>
      <c r="O46" s="66">
        <f>Calculations!O695</f>
        <v>0</v>
      </c>
      <c r="P46" s="66">
        <f>Calculations!P695</f>
        <v>0</v>
      </c>
      <c r="Q46" s="204">
        <f>Calculations!Q695</f>
        <v>0</v>
      </c>
      <c r="R46" s="66">
        <f>Calculations!R695</f>
        <v>0</v>
      </c>
      <c r="S46" s="65">
        <f>Calculations!S695</f>
        <v>0</v>
      </c>
      <c r="T46" s="65">
        <f>Calculations!T695</f>
        <v>0</v>
      </c>
      <c r="U46" s="204">
        <f>Calculations!U695</f>
        <v>0</v>
      </c>
      <c r="V46" s="65">
        <f>Calculations!V695</f>
        <v>0</v>
      </c>
      <c r="W46" s="266">
        <f>Calculations!W695</f>
        <v>0</v>
      </c>
      <c r="X46" s="266">
        <f>Calculations!X695</f>
        <v>0</v>
      </c>
      <c r="Y46" s="266" t="e">
        <f>Calculations!Y695</f>
        <v>#DIV/0!</v>
      </c>
      <c r="Z46" s="266" t="e">
        <f>Calculations!Z695</f>
        <v>#DIV/0!</v>
      </c>
      <c r="AA46" s="266" t="e">
        <f>Calculations!AA695</f>
        <v>#DIV/0!</v>
      </c>
    </row>
    <row r="47" spans="1:27">
      <c r="A47" s="3">
        <f>Calculations!A696</f>
        <v>43</v>
      </c>
      <c r="B47">
        <f>Calculations!B696</f>
        <v>0</v>
      </c>
      <c r="C47">
        <f>Calculations!C696</f>
        <v>0</v>
      </c>
      <c r="D47">
        <f>Calculations!D696</f>
        <v>0</v>
      </c>
      <c r="E47" s="265">
        <f>Calculations!E696</f>
        <v>0</v>
      </c>
      <c r="F47" s="265">
        <f>Calculations!F696</f>
        <v>0</v>
      </c>
      <c r="G47" s="265">
        <f>Calculations!G696</f>
        <v>0</v>
      </c>
      <c r="H47" s="197">
        <f>Calculations!H696</f>
        <v>0</v>
      </c>
      <c r="I47" s="197">
        <f>Calculations!I696</f>
        <v>0</v>
      </c>
      <c r="J47" s="137">
        <f>Calculations!J696</f>
        <v>0</v>
      </c>
      <c r="K47" s="66">
        <f>Calculations!K696</f>
        <v>0</v>
      </c>
      <c r="L47" s="66">
        <f>Calculations!L696</f>
        <v>0</v>
      </c>
      <c r="M47">
        <f>Calculations!M696</f>
        <v>0</v>
      </c>
      <c r="N47" s="66">
        <f>Calculations!N696</f>
        <v>0</v>
      </c>
      <c r="O47" s="66">
        <f>Calculations!O696</f>
        <v>0</v>
      </c>
      <c r="P47" s="66">
        <f>Calculations!P696</f>
        <v>0</v>
      </c>
      <c r="Q47" s="204">
        <f>Calculations!Q696</f>
        <v>0</v>
      </c>
      <c r="R47" s="66">
        <f>Calculations!R696</f>
        <v>0</v>
      </c>
      <c r="S47" s="65">
        <f>Calculations!S696</f>
        <v>0</v>
      </c>
      <c r="T47" s="65">
        <f>Calculations!T696</f>
        <v>0</v>
      </c>
      <c r="U47" s="204">
        <f>Calculations!U696</f>
        <v>0</v>
      </c>
      <c r="V47" s="65">
        <f>Calculations!V696</f>
        <v>0</v>
      </c>
      <c r="W47" s="266">
        <f>Calculations!W696</f>
        <v>0</v>
      </c>
      <c r="X47" s="266">
        <f>Calculations!X696</f>
        <v>0</v>
      </c>
      <c r="Y47" s="266" t="e">
        <f>Calculations!Y696</f>
        <v>#DIV/0!</v>
      </c>
      <c r="Z47" s="266" t="e">
        <f>Calculations!Z696</f>
        <v>#DIV/0!</v>
      </c>
      <c r="AA47" s="266" t="e">
        <f>Calculations!AA696</f>
        <v>#DIV/0!</v>
      </c>
    </row>
    <row r="48" spans="1:27">
      <c r="A48" s="3">
        <f>Calculations!A697</f>
        <v>44</v>
      </c>
      <c r="B48">
        <f>Calculations!B697</f>
        <v>0</v>
      </c>
      <c r="C48">
        <f>Calculations!C697</f>
        <v>0</v>
      </c>
      <c r="D48">
        <f>Calculations!D697</f>
        <v>0</v>
      </c>
      <c r="E48" s="265">
        <f>Calculations!E697</f>
        <v>0</v>
      </c>
      <c r="F48" s="265">
        <f>Calculations!F697</f>
        <v>0</v>
      </c>
      <c r="G48" s="265">
        <f>Calculations!G697</f>
        <v>0</v>
      </c>
      <c r="H48" s="197">
        <f>Calculations!H697</f>
        <v>0</v>
      </c>
      <c r="I48" s="197">
        <f>Calculations!I697</f>
        <v>0</v>
      </c>
      <c r="J48" s="137">
        <f>Calculations!J697</f>
        <v>0</v>
      </c>
      <c r="K48" s="66">
        <f>Calculations!K697</f>
        <v>0</v>
      </c>
      <c r="L48" s="66">
        <f>Calculations!L697</f>
        <v>0</v>
      </c>
      <c r="M48">
        <f>Calculations!M697</f>
        <v>0</v>
      </c>
      <c r="N48" s="66">
        <f>Calculations!N697</f>
        <v>0</v>
      </c>
      <c r="O48" s="66">
        <f>Calculations!O697</f>
        <v>0</v>
      </c>
      <c r="P48" s="66">
        <f>Calculations!P697</f>
        <v>0</v>
      </c>
      <c r="Q48" s="204">
        <f>Calculations!Q697</f>
        <v>0</v>
      </c>
      <c r="R48" s="66">
        <f>Calculations!R697</f>
        <v>0</v>
      </c>
      <c r="S48" s="65">
        <f>Calculations!S697</f>
        <v>0</v>
      </c>
      <c r="T48" s="65">
        <f>Calculations!T697</f>
        <v>0</v>
      </c>
      <c r="U48" s="204">
        <f>Calculations!U697</f>
        <v>0</v>
      </c>
      <c r="V48" s="65">
        <f>Calculations!V697</f>
        <v>0</v>
      </c>
      <c r="W48" s="266">
        <f>Calculations!W697</f>
        <v>0</v>
      </c>
      <c r="X48" s="266">
        <f>Calculations!X697</f>
        <v>0</v>
      </c>
      <c r="Y48" s="266" t="e">
        <f>Calculations!Y697</f>
        <v>#DIV/0!</v>
      </c>
      <c r="Z48" s="266" t="e">
        <f>Calculations!Z697</f>
        <v>#DIV/0!</v>
      </c>
      <c r="AA48" s="266" t="e">
        <f>Calculations!AA697</f>
        <v>#DIV/0!</v>
      </c>
    </row>
    <row r="49" spans="1:27">
      <c r="A49" s="3">
        <f>Calculations!A698</f>
        <v>45</v>
      </c>
      <c r="B49">
        <f>Calculations!B698</f>
        <v>0</v>
      </c>
      <c r="C49">
        <f>Calculations!C698</f>
        <v>0</v>
      </c>
      <c r="D49">
        <f>Calculations!D698</f>
        <v>0</v>
      </c>
      <c r="E49" s="265">
        <f>Calculations!E698</f>
        <v>0</v>
      </c>
      <c r="F49" s="265">
        <f>Calculations!F698</f>
        <v>0</v>
      </c>
      <c r="G49" s="265">
        <f>Calculations!G698</f>
        <v>0</v>
      </c>
      <c r="H49" s="197">
        <f>Calculations!H698</f>
        <v>0</v>
      </c>
      <c r="I49" s="197">
        <f>Calculations!I698</f>
        <v>0</v>
      </c>
      <c r="J49" s="137">
        <f>Calculations!J698</f>
        <v>0</v>
      </c>
      <c r="K49" s="66">
        <f>Calculations!K698</f>
        <v>0</v>
      </c>
      <c r="L49" s="66">
        <f>Calculations!L698</f>
        <v>0</v>
      </c>
      <c r="M49">
        <f>Calculations!M698</f>
        <v>0</v>
      </c>
      <c r="N49" s="66">
        <f>Calculations!N698</f>
        <v>0</v>
      </c>
      <c r="O49" s="66">
        <f>Calculations!O698</f>
        <v>0</v>
      </c>
      <c r="P49" s="66">
        <f>Calculations!P698</f>
        <v>0</v>
      </c>
      <c r="Q49" s="204">
        <f>Calculations!Q698</f>
        <v>0</v>
      </c>
      <c r="R49" s="66">
        <f>Calculations!R698</f>
        <v>0</v>
      </c>
      <c r="S49" s="65">
        <f>Calculations!S698</f>
        <v>0</v>
      </c>
      <c r="T49" s="65">
        <f>Calculations!T698</f>
        <v>0</v>
      </c>
      <c r="U49" s="204">
        <f>Calculations!U698</f>
        <v>0</v>
      </c>
      <c r="V49" s="65">
        <f>Calculations!V698</f>
        <v>0</v>
      </c>
      <c r="W49" s="266">
        <f>Calculations!W698</f>
        <v>0</v>
      </c>
      <c r="X49" s="266">
        <f>Calculations!X698</f>
        <v>0</v>
      </c>
      <c r="Y49" s="266" t="e">
        <f>Calculations!Y698</f>
        <v>#DIV/0!</v>
      </c>
      <c r="Z49" s="266" t="e">
        <f>Calculations!Z698</f>
        <v>#DIV/0!</v>
      </c>
      <c r="AA49" s="266" t="e">
        <f>Calculations!AA698</f>
        <v>#DIV/0!</v>
      </c>
    </row>
    <row r="50" spans="1:27">
      <c r="A50" s="3">
        <f>Calculations!A699</f>
        <v>46</v>
      </c>
      <c r="B50">
        <f>Calculations!B699</f>
        <v>0</v>
      </c>
      <c r="C50">
        <f>Calculations!C699</f>
        <v>0</v>
      </c>
      <c r="D50">
        <f>Calculations!D699</f>
        <v>0</v>
      </c>
      <c r="E50" s="265">
        <f>Calculations!E699</f>
        <v>0</v>
      </c>
      <c r="F50" s="265">
        <f>Calculations!F699</f>
        <v>0</v>
      </c>
      <c r="G50" s="265">
        <f>Calculations!G699</f>
        <v>0</v>
      </c>
      <c r="H50" s="197">
        <f>Calculations!H699</f>
        <v>0</v>
      </c>
      <c r="I50" s="197">
        <f>Calculations!I699</f>
        <v>0</v>
      </c>
      <c r="J50" s="137">
        <f>Calculations!J699</f>
        <v>0</v>
      </c>
      <c r="K50" s="66">
        <f>Calculations!K699</f>
        <v>0</v>
      </c>
      <c r="L50" s="66">
        <f>Calculations!L699</f>
        <v>0</v>
      </c>
      <c r="M50">
        <f>Calculations!M699</f>
        <v>0</v>
      </c>
      <c r="N50" s="66">
        <f>Calculations!N699</f>
        <v>0</v>
      </c>
      <c r="O50" s="66">
        <f>Calculations!O699</f>
        <v>0</v>
      </c>
      <c r="P50" s="66">
        <f>Calculations!P699</f>
        <v>0</v>
      </c>
      <c r="Q50" s="204">
        <f>Calculations!Q699</f>
        <v>0</v>
      </c>
      <c r="R50" s="66">
        <f>Calculations!R699</f>
        <v>0</v>
      </c>
      <c r="S50" s="65">
        <f>Calculations!S699</f>
        <v>0</v>
      </c>
      <c r="T50" s="65">
        <f>Calculations!T699</f>
        <v>0</v>
      </c>
      <c r="U50" s="204">
        <f>Calculations!U699</f>
        <v>0</v>
      </c>
      <c r="V50" s="65">
        <f>Calculations!V699</f>
        <v>0</v>
      </c>
      <c r="W50" s="266">
        <f>Calculations!W699</f>
        <v>0</v>
      </c>
      <c r="X50" s="266">
        <f>Calculations!X699</f>
        <v>0</v>
      </c>
      <c r="Y50" s="266" t="e">
        <f>Calculations!Y699</f>
        <v>#DIV/0!</v>
      </c>
      <c r="Z50" s="266" t="e">
        <f>Calculations!Z699</f>
        <v>#DIV/0!</v>
      </c>
      <c r="AA50" s="266" t="e">
        <f>Calculations!AA699</f>
        <v>#DIV/0!</v>
      </c>
    </row>
    <row r="51" spans="1:27">
      <c r="A51" s="3">
        <f>Calculations!A700</f>
        <v>47</v>
      </c>
      <c r="B51">
        <f>Calculations!B700</f>
        <v>0</v>
      </c>
      <c r="C51">
        <f>Calculations!C700</f>
        <v>0</v>
      </c>
      <c r="D51">
        <f>Calculations!D700</f>
        <v>0</v>
      </c>
      <c r="E51" s="265">
        <f>Calculations!E700</f>
        <v>0</v>
      </c>
      <c r="F51" s="265">
        <f>Calculations!F700</f>
        <v>0</v>
      </c>
      <c r="G51" s="265">
        <f>Calculations!G700</f>
        <v>0</v>
      </c>
      <c r="H51" s="197">
        <f>Calculations!H700</f>
        <v>0</v>
      </c>
      <c r="I51" s="197">
        <f>Calculations!I700</f>
        <v>0</v>
      </c>
      <c r="J51" s="137">
        <f>Calculations!J700</f>
        <v>0</v>
      </c>
      <c r="K51" s="66">
        <f>Calculations!K700</f>
        <v>0</v>
      </c>
      <c r="L51" s="66">
        <f>Calculations!L700</f>
        <v>0</v>
      </c>
      <c r="M51">
        <f>Calculations!M700</f>
        <v>0</v>
      </c>
      <c r="N51" s="66">
        <f>Calculations!N700</f>
        <v>0</v>
      </c>
      <c r="O51" s="66">
        <f>Calculations!O700</f>
        <v>0</v>
      </c>
      <c r="P51" s="66">
        <f>Calculations!P700</f>
        <v>0</v>
      </c>
      <c r="Q51" s="204">
        <f>Calculations!Q700</f>
        <v>0</v>
      </c>
      <c r="R51" s="66">
        <f>Calculations!R700</f>
        <v>0</v>
      </c>
      <c r="S51" s="65">
        <f>Calculations!S700</f>
        <v>0</v>
      </c>
      <c r="T51" s="65">
        <f>Calculations!T700</f>
        <v>0</v>
      </c>
      <c r="U51" s="204">
        <f>Calculations!U700</f>
        <v>0</v>
      </c>
      <c r="V51" s="65">
        <f>Calculations!V700</f>
        <v>0</v>
      </c>
      <c r="W51" s="266">
        <f>Calculations!W700</f>
        <v>0</v>
      </c>
      <c r="X51" s="266">
        <f>Calculations!X700</f>
        <v>0</v>
      </c>
      <c r="Y51" s="266" t="e">
        <f>Calculations!Y700</f>
        <v>#DIV/0!</v>
      </c>
      <c r="Z51" s="266" t="e">
        <f>Calculations!Z700</f>
        <v>#DIV/0!</v>
      </c>
      <c r="AA51" s="266" t="e">
        <f>Calculations!AA700</f>
        <v>#DIV/0!</v>
      </c>
    </row>
    <row r="52" spans="1:27">
      <c r="A52" s="3">
        <f>Calculations!A701</f>
        <v>48</v>
      </c>
      <c r="B52">
        <f>Calculations!B701</f>
        <v>0</v>
      </c>
      <c r="C52">
        <f>Calculations!C701</f>
        <v>0</v>
      </c>
      <c r="D52">
        <f>Calculations!D701</f>
        <v>0</v>
      </c>
      <c r="E52" s="265">
        <f>Calculations!E701</f>
        <v>0</v>
      </c>
      <c r="F52" s="265">
        <f>Calculations!F701</f>
        <v>0</v>
      </c>
      <c r="G52" s="265">
        <f>Calculations!G701</f>
        <v>0</v>
      </c>
      <c r="H52" s="197">
        <f>Calculations!H701</f>
        <v>0</v>
      </c>
      <c r="I52" s="197">
        <f>Calculations!I701</f>
        <v>0</v>
      </c>
      <c r="J52" s="137">
        <f>Calculations!J701</f>
        <v>0</v>
      </c>
      <c r="K52" s="66">
        <f>Calculations!K701</f>
        <v>0</v>
      </c>
      <c r="L52" s="66">
        <f>Calculations!L701</f>
        <v>0</v>
      </c>
      <c r="M52">
        <f>Calculations!M701</f>
        <v>0</v>
      </c>
      <c r="N52" s="66">
        <f>Calculations!N701</f>
        <v>0</v>
      </c>
      <c r="O52" s="66">
        <f>Calculations!O701</f>
        <v>0</v>
      </c>
      <c r="P52" s="66">
        <f>Calculations!P701</f>
        <v>0</v>
      </c>
      <c r="Q52" s="204">
        <f>Calculations!Q701</f>
        <v>0</v>
      </c>
      <c r="R52" s="66">
        <f>Calculations!R701</f>
        <v>0</v>
      </c>
      <c r="S52" s="65">
        <f>Calculations!S701</f>
        <v>0</v>
      </c>
      <c r="T52" s="65">
        <f>Calculations!T701</f>
        <v>0</v>
      </c>
      <c r="U52" s="204">
        <f>Calculations!U701</f>
        <v>0</v>
      </c>
      <c r="V52" s="65">
        <f>Calculations!V701</f>
        <v>0</v>
      </c>
      <c r="W52" s="266">
        <f>Calculations!W701</f>
        <v>0</v>
      </c>
      <c r="X52" s="266">
        <f>Calculations!X701</f>
        <v>0</v>
      </c>
      <c r="Y52" s="266" t="e">
        <f>Calculations!Y701</f>
        <v>#DIV/0!</v>
      </c>
      <c r="Z52" s="266" t="e">
        <f>Calculations!Z701</f>
        <v>#DIV/0!</v>
      </c>
      <c r="AA52" s="266" t="e">
        <f>Calculations!AA701</f>
        <v>#DIV/0!</v>
      </c>
    </row>
    <row r="53" spans="1:27">
      <c r="A53" s="3">
        <f>Calculations!A702</f>
        <v>49</v>
      </c>
      <c r="B53">
        <f>Calculations!B702</f>
        <v>0</v>
      </c>
      <c r="C53">
        <f>Calculations!C702</f>
        <v>0</v>
      </c>
      <c r="D53">
        <f>Calculations!D702</f>
        <v>0</v>
      </c>
      <c r="E53" s="265">
        <f>Calculations!E702</f>
        <v>0</v>
      </c>
      <c r="F53" s="265">
        <f>Calculations!F702</f>
        <v>0</v>
      </c>
      <c r="G53" s="265">
        <f>Calculations!G702</f>
        <v>0</v>
      </c>
      <c r="H53" s="197">
        <f>Calculations!H702</f>
        <v>0</v>
      </c>
      <c r="I53" s="197">
        <f>Calculations!I702</f>
        <v>0</v>
      </c>
      <c r="J53" s="137">
        <f>Calculations!J702</f>
        <v>0</v>
      </c>
      <c r="K53" s="66">
        <f>Calculations!K702</f>
        <v>0</v>
      </c>
      <c r="L53" s="66">
        <f>Calculations!L702</f>
        <v>0</v>
      </c>
      <c r="M53">
        <f>Calculations!M702</f>
        <v>0</v>
      </c>
      <c r="N53" s="66">
        <f>Calculations!N702</f>
        <v>0</v>
      </c>
      <c r="O53" s="66">
        <f>Calculations!O702</f>
        <v>0</v>
      </c>
      <c r="P53" s="66">
        <f>Calculations!P702</f>
        <v>0</v>
      </c>
      <c r="Q53" s="204">
        <f>Calculations!Q702</f>
        <v>0</v>
      </c>
      <c r="R53" s="66">
        <f>Calculations!R702</f>
        <v>0</v>
      </c>
      <c r="S53" s="65">
        <f>Calculations!S702</f>
        <v>0</v>
      </c>
      <c r="T53" s="65">
        <f>Calculations!T702</f>
        <v>0</v>
      </c>
      <c r="U53" s="204">
        <f>Calculations!U702</f>
        <v>0</v>
      </c>
      <c r="V53" s="65">
        <f>Calculations!V702</f>
        <v>0</v>
      </c>
      <c r="W53" s="266">
        <f>Calculations!W702</f>
        <v>0</v>
      </c>
      <c r="X53" s="266">
        <f>Calculations!X702</f>
        <v>0</v>
      </c>
      <c r="Y53" s="266" t="e">
        <f>Calculations!Y702</f>
        <v>#DIV/0!</v>
      </c>
      <c r="Z53" s="266" t="e">
        <f>Calculations!Z702</f>
        <v>#DIV/0!</v>
      </c>
      <c r="AA53" s="266" t="e">
        <f>Calculations!AA702</f>
        <v>#DIV/0!</v>
      </c>
    </row>
    <row r="54" spans="1:27">
      <c r="A54" s="3">
        <f>Calculations!A703</f>
        <v>50</v>
      </c>
      <c r="B54">
        <f>Calculations!B703</f>
        <v>0</v>
      </c>
      <c r="C54">
        <f>Calculations!C703</f>
        <v>0</v>
      </c>
      <c r="D54">
        <f>Calculations!D703</f>
        <v>0</v>
      </c>
      <c r="E54" s="265">
        <f>Calculations!E703</f>
        <v>0</v>
      </c>
      <c r="F54" s="265">
        <f>Calculations!F703</f>
        <v>0</v>
      </c>
      <c r="G54" s="265">
        <f>Calculations!G703</f>
        <v>0</v>
      </c>
      <c r="H54" s="197">
        <f>Calculations!H703</f>
        <v>0</v>
      </c>
      <c r="I54" s="197">
        <f>Calculations!I703</f>
        <v>0</v>
      </c>
      <c r="J54" s="137">
        <f>Calculations!J703</f>
        <v>0</v>
      </c>
      <c r="K54" s="66">
        <f>Calculations!K703</f>
        <v>0</v>
      </c>
      <c r="L54" s="66">
        <f>Calculations!L703</f>
        <v>0</v>
      </c>
      <c r="M54">
        <f>Calculations!M703</f>
        <v>0</v>
      </c>
      <c r="N54" s="66">
        <f>Calculations!N703</f>
        <v>0</v>
      </c>
      <c r="O54" s="66">
        <f>Calculations!O703</f>
        <v>0</v>
      </c>
      <c r="P54" s="66">
        <f>Calculations!P703</f>
        <v>0</v>
      </c>
      <c r="Q54" s="204">
        <f>Calculations!Q703</f>
        <v>0</v>
      </c>
      <c r="R54" s="66">
        <f>Calculations!R703</f>
        <v>0</v>
      </c>
      <c r="S54" s="65">
        <f>Calculations!S703</f>
        <v>0</v>
      </c>
      <c r="T54" s="65">
        <f>Calculations!T703</f>
        <v>0</v>
      </c>
      <c r="U54" s="204">
        <f>Calculations!U703</f>
        <v>0</v>
      </c>
      <c r="V54" s="65">
        <f>Calculations!V703</f>
        <v>0</v>
      </c>
      <c r="W54" s="266">
        <f>Calculations!W703</f>
        <v>0</v>
      </c>
      <c r="X54" s="266">
        <f>Calculations!X703</f>
        <v>0</v>
      </c>
      <c r="Y54" s="266" t="e">
        <f>Calculations!Y703</f>
        <v>#DIV/0!</v>
      </c>
      <c r="Z54" s="266" t="e">
        <f>Calculations!Z703</f>
        <v>#DIV/0!</v>
      </c>
      <c r="AA54" s="266" t="e">
        <f>Calculations!AA703</f>
        <v>#DIV/0!</v>
      </c>
    </row>
    <row r="55" spans="1:27">
      <c r="A55" s="3">
        <f>Calculations!A704</f>
        <v>51</v>
      </c>
      <c r="B55">
        <f>Calculations!B704</f>
        <v>0</v>
      </c>
      <c r="C55">
        <f>Calculations!C704</f>
        <v>0</v>
      </c>
      <c r="D55">
        <f>Calculations!D704</f>
        <v>0</v>
      </c>
      <c r="E55" s="265">
        <f>Calculations!E704</f>
        <v>0</v>
      </c>
      <c r="F55" s="265">
        <f>Calculations!F704</f>
        <v>0</v>
      </c>
      <c r="G55" s="265">
        <f>Calculations!G704</f>
        <v>0</v>
      </c>
      <c r="H55" s="197">
        <f>Calculations!H704</f>
        <v>0</v>
      </c>
      <c r="I55" s="197">
        <f>Calculations!I704</f>
        <v>0</v>
      </c>
      <c r="J55" s="137">
        <f>Calculations!J704</f>
        <v>0</v>
      </c>
      <c r="K55" s="66">
        <f>Calculations!K704</f>
        <v>0</v>
      </c>
      <c r="L55" s="66">
        <f>Calculations!L704</f>
        <v>0</v>
      </c>
      <c r="M55">
        <f>Calculations!M704</f>
        <v>0</v>
      </c>
      <c r="N55" s="66">
        <f>Calculations!N704</f>
        <v>0</v>
      </c>
      <c r="O55" s="66">
        <f>Calculations!O704</f>
        <v>0</v>
      </c>
      <c r="P55" s="66">
        <f>Calculations!P704</f>
        <v>0</v>
      </c>
      <c r="Q55" s="204">
        <f>Calculations!Q704</f>
        <v>0</v>
      </c>
      <c r="R55" s="66">
        <f>Calculations!R704</f>
        <v>0</v>
      </c>
      <c r="S55" s="65">
        <f>Calculations!S704</f>
        <v>0</v>
      </c>
      <c r="T55" s="65">
        <f>Calculations!T704</f>
        <v>0</v>
      </c>
      <c r="U55" s="204">
        <f>Calculations!U704</f>
        <v>0</v>
      </c>
      <c r="V55" s="65">
        <f>Calculations!V704</f>
        <v>0</v>
      </c>
      <c r="W55" s="266">
        <f>Calculations!W704</f>
        <v>0</v>
      </c>
      <c r="X55" s="266">
        <f>Calculations!X704</f>
        <v>0</v>
      </c>
      <c r="Y55" s="266" t="e">
        <f>Calculations!Y704</f>
        <v>#DIV/0!</v>
      </c>
      <c r="Z55" s="266" t="e">
        <f>Calculations!Z704</f>
        <v>#DIV/0!</v>
      </c>
      <c r="AA55" s="266" t="e">
        <f>Calculations!AA704</f>
        <v>#DIV/0!</v>
      </c>
    </row>
    <row r="56" spans="1:27">
      <c r="A56" s="3">
        <f>Calculations!A705</f>
        <v>52</v>
      </c>
      <c r="B56">
        <f>Calculations!B705</f>
        <v>0</v>
      </c>
      <c r="C56">
        <f>Calculations!C705</f>
        <v>0</v>
      </c>
      <c r="D56">
        <f>Calculations!D705</f>
        <v>0</v>
      </c>
      <c r="E56" s="265">
        <f>Calculations!E705</f>
        <v>0</v>
      </c>
      <c r="F56" s="265">
        <f>Calculations!F705</f>
        <v>0</v>
      </c>
      <c r="G56" s="265">
        <f>Calculations!G705</f>
        <v>0</v>
      </c>
      <c r="H56" s="197">
        <f>Calculations!H705</f>
        <v>0</v>
      </c>
      <c r="I56" s="197">
        <f>Calculations!I705</f>
        <v>0</v>
      </c>
      <c r="J56" s="137">
        <f>Calculations!J705</f>
        <v>0</v>
      </c>
      <c r="K56" s="66">
        <f>Calculations!K705</f>
        <v>0</v>
      </c>
      <c r="L56" s="66">
        <f>Calculations!L705</f>
        <v>0</v>
      </c>
      <c r="M56">
        <f>Calculations!M705</f>
        <v>0</v>
      </c>
      <c r="N56" s="66">
        <f>Calculations!N705</f>
        <v>0</v>
      </c>
      <c r="O56" s="66">
        <f>Calculations!O705</f>
        <v>0</v>
      </c>
      <c r="P56" s="66">
        <f>Calculations!P705</f>
        <v>0</v>
      </c>
      <c r="Q56" s="204">
        <f>Calculations!Q705</f>
        <v>0</v>
      </c>
      <c r="R56" s="66">
        <f>Calculations!R705</f>
        <v>0</v>
      </c>
      <c r="S56" s="65">
        <f>Calculations!S705</f>
        <v>0</v>
      </c>
      <c r="T56" s="65">
        <f>Calculations!T705</f>
        <v>0</v>
      </c>
      <c r="U56" s="204">
        <f>Calculations!U705</f>
        <v>0</v>
      </c>
      <c r="V56" s="65">
        <f>Calculations!V705</f>
        <v>0</v>
      </c>
      <c r="W56" s="266">
        <f>Calculations!W705</f>
        <v>0</v>
      </c>
      <c r="X56" s="266">
        <f>Calculations!X705</f>
        <v>0</v>
      </c>
      <c r="Y56" s="266" t="e">
        <f>Calculations!Y705</f>
        <v>#DIV/0!</v>
      </c>
      <c r="Z56" s="266" t="e">
        <f>Calculations!Z705</f>
        <v>#DIV/0!</v>
      </c>
      <c r="AA56" s="266" t="e">
        <f>Calculations!AA705</f>
        <v>#DIV/0!</v>
      </c>
    </row>
    <row r="57" spans="1:27">
      <c r="A57" s="3">
        <f>Calculations!A706</f>
        <v>53</v>
      </c>
      <c r="B57">
        <f>Calculations!B706</f>
        <v>0</v>
      </c>
      <c r="C57">
        <f>Calculations!C706</f>
        <v>0</v>
      </c>
      <c r="D57">
        <f>Calculations!D706</f>
        <v>0</v>
      </c>
      <c r="E57" s="265">
        <f>Calculations!E706</f>
        <v>0</v>
      </c>
      <c r="F57" s="265">
        <f>Calculations!F706</f>
        <v>0</v>
      </c>
      <c r="G57" s="265">
        <f>Calculations!G706</f>
        <v>0</v>
      </c>
      <c r="H57" s="197">
        <f>Calculations!H706</f>
        <v>0</v>
      </c>
      <c r="I57" s="197">
        <f>Calculations!I706</f>
        <v>0</v>
      </c>
      <c r="J57" s="137">
        <f>Calculations!J706</f>
        <v>0</v>
      </c>
      <c r="K57" s="66">
        <f>Calculations!K706</f>
        <v>0</v>
      </c>
      <c r="L57" s="66">
        <f>Calculations!L706</f>
        <v>0</v>
      </c>
      <c r="M57">
        <f>Calculations!M706</f>
        <v>0</v>
      </c>
      <c r="N57" s="66">
        <f>Calculations!N706</f>
        <v>0</v>
      </c>
      <c r="O57" s="66">
        <f>Calculations!O706</f>
        <v>0</v>
      </c>
      <c r="P57" s="66">
        <f>Calculations!P706</f>
        <v>0</v>
      </c>
      <c r="Q57" s="204">
        <f>Calculations!Q706</f>
        <v>0</v>
      </c>
      <c r="R57" s="66">
        <f>Calculations!R706</f>
        <v>0</v>
      </c>
      <c r="S57" s="65">
        <f>Calculations!S706</f>
        <v>0</v>
      </c>
      <c r="T57" s="65">
        <f>Calculations!T706</f>
        <v>0</v>
      </c>
      <c r="U57" s="204">
        <f>Calculations!U706</f>
        <v>0</v>
      </c>
      <c r="V57" s="65">
        <f>Calculations!V706</f>
        <v>0</v>
      </c>
      <c r="W57" s="266">
        <f>Calculations!W706</f>
        <v>0</v>
      </c>
      <c r="X57" s="266">
        <f>Calculations!X706</f>
        <v>0</v>
      </c>
      <c r="Y57" s="266" t="e">
        <f>Calculations!Y706</f>
        <v>#DIV/0!</v>
      </c>
      <c r="Z57" s="266" t="e">
        <f>Calculations!Z706</f>
        <v>#DIV/0!</v>
      </c>
      <c r="AA57" s="266" t="e">
        <f>Calculations!AA706</f>
        <v>#DIV/0!</v>
      </c>
    </row>
    <row r="58" spans="1:27">
      <c r="A58" s="3">
        <f>Calculations!A707</f>
        <v>54</v>
      </c>
      <c r="B58">
        <f>Calculations!B707</f>
        <v>0</v>
      </c>
      <c r="C58">
        <f>Calculations!C707</f>
        <v>0</v>
      </c>
      <c r="D58">
        <f>Calculations!D707</f>
        <v>0</v>
      </c>
      <c r="E58" s="265">
        <f>Calculations!E707</f>
        <v>0</v>
      </c>
      <c r="F58" s="265">
        <f>Calculations!F707</f>
        <v>0</v>
      </c>
      <c r="G58" s="265">
        <f>Calculations!G707</f>
        <v>0</v>
      </c>
      <c r="H58" s="197">
        <f>Calculations!H707</f>
        <v>0</v>
      </c>
      <c r="I58" s="197">
        <f>Calculations!I707</f>
        <v>0</v>
      </c>
      <c r="J58" s="137">
        <f>Calculations!J707</f>
        <v>0</v>
      </c>
      <c r="K58" s="66">
        <f>Calculations!K707</f>
        <v>0</v>
      </c>
      <c r="L58" s="66">
        <f>Calculations!L707</f>
        <v>0</v>
      </c>
      <c r="M58">
        <f>Calculations!M707</f>
        <v>0</v>
      </c>
      <c r="N58" s="66">
        <f>Calculations!N707</f>
        <v>0</v>
      </c>
      <c r="O58" s="66">
        <f>Calculations!O707</f>
        <v>0</v>
      </c>
      <c r="P58" s="66">
        <f>Calculations!P707</f>
        <v>0</v>
      </c>
      <c r="Q58" s="204">
        <f>Calculations!Q707</f>
        <v>0</v>
      </c>
      <c r="R58" s="66">
        <f>Calculations!R707</f>
        <v>0</v>
      </c>
      <c r="S58" s="65">
        <f>Calculations!S707</f>
        <v>0</v>
      </c>
      <c r="T58" s="65">
        <f>Calculations!T707</f>
        <v>0</v>
      </c>
      <c r="U58" s="204">
        <f>Calculations!U707</f>
        <v>0</v>
      </c>
      <c r="V58" s="65">
        <f>Calculations!V707</f>
        <v>0</v>
      </c>
      <c r="W58" s="266">
        <f>Calculations!W707</f>
        <v>0</v>
      </c>
      <c r="X58" s="266">
        <f>Calculations!X707</f>
        <v>0</v>
      </c>
      <c r="Y58" s="266" t="e">
        <f>Calculations!Y707</f>
        <v>#DIV/0!</v>
      </c>
      <c r="Z58" s="266" t="e">
        <f>Calculations!Z707</f>
        <v>#DIV/0!</v>
      </c>
      <c r="AA58" s="266" t="e">
        <f>Calculations!AA707</f>
        <v>#DIV/0!</v>
      </c>
    </row>
    <row r="59" spans="1:27">
      <c r="A59" s="3">
        <f>Calculations!A708</f>
        <v>55</v>
      </c>
      <c r="B59">
        <f>Calculations!B708</f>
        <v>0</v>
      </c>
      <c r="C59">
        <f>Calculations!C708</f>
        <v>0</v>
      </c>
      <c r="D59">
        <f>Calculations!D708</f>
        <v>0</v>
      </c>
      <c r="E59" s="265">
        <f>Calculations!E708</f>
        <v>0</v>
      </c>
      <c r="F59" s="265">
        <f>Calculations!F708</f>
        <v>0</v>
      </c>
      <c r="G59" s="265">
        <f>Calculations!G708</f>
        <v>0</v>
      </c>
      <c r="H59" s="197">
        <f>Calculations!H708</f>
        <v>0</v>
      </c>
      <c r="I59" s="197">
        <f>Calculations!I708</f>
        <v>0</v>
      </c>
      <c r="J59" s="137">
        <f>Calculations!J708</f>
        <v>0</v>
      </c>
      <c r="K59" s="66">
        <f>Calculations!K708</f>
        <v>0</v>
      </c>
      <c r="L59" s="66">
        <f>Calculations!L708</f>
        <v>0</v>
      </c>
      <c r="M59">
        <f>Calculations!M708</f>
        <v>0</v>
      </c>
      <c r="N59" s="66">
        <f>Calculations!N708</f>
        <v>0</v>
      </c>
      <c r="O59" s="66">
        <f>Calculations!O708</f>
        <v>0</v>
      </c>
      <c r="P59" s="66">
        <f>Calculations!P708</f>
        <v>0</v>
      </c>
      <c r="Q59" s="204">
        <f>Calculations!Q708</f>
        <v>0</v>
      </c>
      <c r="R59" s="66">
        <f>Calculations!R708</f>
        <v>0</v>
      </c>
      <c r="S59" s="65">
        <f>Calculations!S708</f>
        <v>0</v>
      </c>
      <c r="T59" s="65">
        <f>Calculations!T708</f>
        <v>0</v>
      </c>
      <c r="U59" s="204">
        <f>Calculations!U708</f>
        <v>0</v>
      </c>
      <c r="V59" s="65">
        <f>Calculations!V708</f>
        <v>0</v>
      </c>
      <c r="W59" s="266">
        <f>Calculations!W708</f>
        <v>0</v>
      </c>
      <c r="X59" s="266">
        <f>Calculations!X708</f>
        <v>0</v>
      </c>
      <c r="Y59" s="266" t="e">
        <f>Calculations!Y708</f>
        <v>#DIV/0!</v>
      </c>
      <c r="Z59" s="266" t="e">
        <f>Calculations!Z708</f>
        <v>#DIV/0!</v>
      </c>
      <c r="AA59" s="266" t="e">
        <f>Calculations!AA708</f>
        <v>#DIV/0!</v>
      </c>
    </row>
    <row r="60" spans="1:27">
      <c r="A60" s="3">
        <f>Calculations!A709</f>
        <v>56</v>
      </c>
      <c r="B60">
        <f>Calculations!B709</f>
        <v>0</v>
      </c>
      <c r="C60">
        <f>Calculations!C709</f>
        <v>0</v>
      </c>
      <c r="D60">
        <f>Calculations!D709</f>
        <v>0</v>
      </c>
      <c r="E60" s="265">
        <f>Calculations!E709</f>
        <v>0</v>
      </c>
      <c r="F60" s="265">
        <f>Calculations!F709</f>
        <v>0</v>
      </c>
      <c r="G60" s="265">
        <f>Calculations!G709</f>
        <v>0</v>
      </c>
      <c r="H60" s="197">
        <f>Calculations!H709</f>
        <v>0</v>
      </c>
      <c r="I60" s="197">
        <f>Calculations!I709</f>
        <v>0</v>
      </c>
      <c r="J60" s="137">
        <f>Calculations!J709</f>
        <v>0</v>
      </c>
      <c r="K60" s="66">
        <f>Calculations!K709</f>
        <v>0</v>
      </c>
      <c r="L60" s="66">
        <f>Calculations!L709</f>
        <v>0</v>
      </c>
      <c r="M60">
        <f>Calculations!M709</f>
        <v>0</v>
      </c>
      <c r="N60" s="66">
        <f>Calculations!N709</f>
        <v>0</v>
      </c>
      <c r="O60" s="66">
        <f>Calculations!O709</f>
        <v>0</v>
      </c>
      <c r="P60" s="66">
        <f>Calculations!P709</f>
        <v>0</v>
      </c>
      <c r="Q60" s="204">
        <f>Calculations!Q709</f>
        <v>0</v>
      </c>
      <c r="R60" s="66">
        <f>Calculations!R709</f>
        <v>0</v>
      </c>
      <c r="S60" s="65">
        <f>Calculations!S709</f>
        <v>0</v>
      </c>
      <c r="T60" s="65">
        <f>Calculations!T709</f>
        <v>0</v>
      </c>
      <c r="U60" s="204">
        <f>Calculations!U709</f>
        <v>0</v>
      </c>
      <c r="V60" s="65">
        <f>Calculations!V709</f>
        <v>0</v>
      </c>
      <c r="W60" s="266">
        <f>Calculations!W709</f>
        <v>0</v>
      </c>
      <c r="X60" s="266">
        <f>Calculations!X709</f>
        <v>0</v>
      </c>
      <c r="Y60" s="266" t="e">
        <f>Calculations!Y709</f>
        <v>#DIV/0!</v>
      </c>
      <c r="Z60" s="266" t="e">
        <f>Calculations!Z709</f>
        <v>#DIV/0!</v>
      </c>
      <c r="AA60" s="266" t="e">
        <f>Calculations!AA709</f>
        <v>#DIV/0!</v>
      </c>
    </row>
    <row r="61" spans="1:27">
      <c r="A61" s="3">
        <f>Calculations!A710</f>
        <v>57</v>
      </c>
      <c r="B61">
        <f>Calculations!B710</f>
        <v>0</v>
      </c>
      <c r="C61">
        <f>Calculations!C710</f>
        <v>0</v>
      </c>
      <c r="D61">
        <f>Calculations!D710</f>
        <v>0</v>
      </c>
      <c r="E61" s="265">
        <f>Calculations!E710</f>
        <v>0</v>
      </c>
      <c r="F61" s="265">
        <f>Calculations!F710</f>
        <v>0</v>
      </c>
      <c r="G61" s="265">
        <f>Calculations!G710</f>
        <v>0</v>
      </c>
      <c r="H61" s="197">
        <f>Calculations!H710</f>
        <v>0</v>
      </c>
      <c r="I61" s="197">
        <f>Calculations!I710</f>
        <v>0</v>
      </c>
      <c r="J61" s="137">
        <f>Calculations!J710</f>
        <v>0</v>
      </c>
      <c r="K61" s="66">
        <f>Calculations!K710</f>
        <v>0</v>
      </c>
      <c r="L61" s="66">
        <f>Calculations!L710</f>
        <v>0</v>
      </c>
      <c r="M61">
        <f>Calculations!M710</f>
        <v>0</v>
      </c>
      <c r="N61" s="66">
        <f>Calculations!N710</f>
        <v>0</v>
      </c>
      <c r="O61" s="66">
        <f>Calculations!O710</f>
        <v>0</v>
      </c>
      <c r="P61" s="66">
        <f>Calculations!P710</f>
        <v>0</v>
      </c>
      <c r="Q61" s="204">
        <f>Calculations!Q710</f>
        <v>0</v>
      </c>
      <c r="R61" s="66">
        <f>Calculations!R710</f>
        <v>0</v>
      </c>
      <c r="S61" s="65">
        <f>Calculations!S710</f>
        <v>0</v>
      </c>
      <c r="T61" s="65">
        <f>Calculations!T710</f>
        <v>0</v>
      </c>
      <c r="U61" s="204">
        <f>Calculations!U710</f>
        <v>0</v>
      </c>
      <c r="V61" s="65">
        <f>Calculations!V710</f>
        <v>0</v>
      </c>
      <c r="W61" s="266">
        <f>Calculations!W710</f>
        <v>0</v>
      </c>
      <c r="X61" s="266">
        <f>Calculations!X710</f>
        <v>0</v>
      </c>
      <c r="Y61" s="266" t="e">
        <f>Calculations!Y710</f>
        <v>#DIV/0!</v>
      </c>
      <c r="Z61" s="266" t="e">
        <f>Calculations!Z710</f>
        <v>#DIV/0!</v>
      </c>
      <c r="AA61" s="266" t="e">
        <f>Calculations!AA710</f>
        <v>#DIV/0!</v>
      </c>
    </row>
    <row r="62" spans="1:27">
      <c r="A62" s="3">
        <f>Calculations!A711</f>
        <v>58</v>
      </c>
      <c r="B62">
        <f>Calculations!B711</f>
        <v>0</v>
      </c>
      <c r="C62">
        <f>Calculations!C711</f>
        <v>0</v>
      </c>
      <c r="D62">
        <f>Calculations!D711</f>
        <v>0</v>
      </c>
      <c r="E62" s="265">
        <f>Calculations!E711</f>
        <v>0</v>
      </c>
      <c r="F62" s="265">
        <f>Calculations!F711</f>
        <v>0</v>
      </c>
      <c r="G62" s="265">
        <f>Calculations!G711</f>
        <v>0</v>
      </c>
      <c r="H62" s="197">
        <f>Calculations!H711</f>
        <v>0</v>
      </c>
      <c r="I62" s="197">
        <f>Calculations!I711</f>
        <v>0</v>
      </c>
      <c r="J62" s="137">
        <f>Calculations!J711</f>
        <v>0</v>
      </c>
      <c r="K62" s="66">
        <f>Calculations!K711</f>
        <v>0</v>
      </c>
      <c r="L62" s="66">
        <f>Calculations!L711</f>
        <v>0</v>
      </c>
      <c r="M62">
        <f>Calculations!M711</f>
        <v>0</v>
      </c>
      <c r="N62" s="66">
        <f>Calculations!N711</f>
        <v>0</v>
      </c>
      <c r="O62" s="66">
        <f>Calculations!O711</f>
        <v>0</v>
      </c>
      <c r="P62" s="66">
        <f>Calculations!P711</f>
        <v>0</v>
      </c>
      <c r="Q62" s="204">
        <f>Calculations!Q711</f>
        <v>0</v>
      </c>
      <c r="R62" s="66">
        <f>Calculations!R711</f>
        <v>0</v>
      </c>
      <c r="S62" s="65">
        <f>Calculations!S711</f>
        <v>0</v>
      </c>
      <c r="T62" s="65">
        <f>Calculations!T711</f>
        <v>0</v>
      </c>
      <c r="U62" s="204">
        <f>Calculations!U711</f>
        <v>0</v>
      </c>
      <c r="V62" s="65">
        <f>Calculations!V711</f>
        <v>0</v>
      </c>
      <c r="W62" s="266">
        <f>Calculations!W711</f>
        <v>0</v>
      </c>
      <c r="X62" s="266">
        <f>Calculations!X711</f>
        <v>0</v>
      </c>
      <c r="Y62" s="266" t="e">
        <f>Calculations!Y711</f>
        <v>#DIV/0!</v>
      </c>
      <c r="Z62" s="266" t="e">
        <f>Calculations!Z711</f>
        <v>#DIV/0!</v>
      </c>
      <c r="AA62" s="266" t="e">
        <f>Calculations!AA711</f>
        <v>#DIV/0!</v>
      </c>
    </row>
    <row r="63" spans="1:27">
      <c r="A63" s="3">
        <f>Calculations!A712</f>
        <v>59</v>
      </c>
      <c r="B63">
        <f>Calculations!B712</f>
        <v>0</v>
      </c>
      <c r="C63">
        <f>Calculations!C712</f>
        <v>0</v>
      </c>
      <c r="D63">
        <f>Calculations!D712</f>
        <v>0</v>
      </c>
      <c r="E63" s="265">
        <f>Calculations!E712</f>
        <v>0</v>
      </c>
      <c r="F63" s="265">
        <f>Calculations!F712</f>
        <v>0</v>
      </c>
      <c r="G63" s="265">
        <f>Calculations!G712</f>
        <v>0</v>
      </c>
      <c r="H63" s="197">
        <f>Calculations!H712</f>
        <v>0</v>
      </c>
      <c r="I63" s="197">
        <f>Calculations!I712</f>
        <v>0</v>
      </c>
      <c r="J63" s="137">
        <f>Calculations!J712</f>
        <v>0</v>
      </c>
      <c r="K63" s="66">
        <f>Calculations!K712</f>
        <v>0</v>
      </c>
      <c r="L63" s="66">
        <f>Calculations!L712</f>
        <v>0</v>
      </c>
      <c r="M63">
        <f>Calculations!M712</f>
        <v>0</v>
      </c>
      <c r="N63" s="66">
        <f>Calculations!N712</f>
        <v>0</v>
      </c>
      <c r="O63" s="66">
        <f>Calculations!O712</f>
        <v>0</v>
      </c>
      <c r="P63" s="66">
        <f>Calculations!P712</f>
        <v>0</v>
      </c>
      <c r="Q63" s="204">
        <f>Calculations!Q712</f>
        <v>0</v>
      </c>
      <c r="R63" s="66">
        <f>Calculations!R712</f>
        <v>0</v>
      </c>
      <c r="S63" s="65">
        <f>Calculations!S712</f>
        <v>0</v>
      </c>
      <c r="T63" s="65">
        <f>Calculations!T712</f>
        <v>0</v>
      </c>
      <c r="U63" s="204">
        <f>Calculations!U712</f>
        <v>0</v>
      </c>
      <c r="V63" s="65">
        <f>Calculations!V712</f>
        <v>0</v>
      </c>
      <c r="W63" s="266">
        <f>Calculations!W712</f>
        <v>0</v>
      </c>
      <c r="X63" s="266">
        <f>Calculations!X712</f>
        <v>0</v>
      </c>
      <c r="Y63" s="266" t="e">
        <f>Calculations!Y712</f>
        <v>#DIV/0!</v>
      </c>
      <c r="Z63" s="266" t="e">
        <f>Calculations!Z712</f>
        <v>#DIV/0!</v>
      </c>
      <c r="AA63" s="266" t="e">
        <f>Calculations!AA712</f>
        <v>#DIV/0!</v>
      </c>
    </row>
    <row r="64" spans="1:27">
      <c r="A64" s="3">
        <f>Calculations!A713</f>
        <v>60</v>
      </c>
      <c r="B64">
        <f>Calculations!B713</f>
        <v>0</v>
      </c>
      <c r="C64">
        <f>Calculations!C713</f>
        <v>0</v>
      </c>
      <c r="D64">
        <f>Calculations!D713</f>
        <v>0</v>
      </c>
      <c r="E64" s="265">
        <f>Calculations!E713</f>
        <v>0</v>
      </c>
      <c r="F64" s="265">
        <f>Calculations!F713</f>
        <v>0</v>
      </c>
      <c r="G64" s="265">
        <f>Calculations!G713</f>
        <v>0</v>
      </c>
      <c r="H64" s="197">
        <f>Calculations!H713</f>
        <v>0</v>
      </c>
      <c r="I64" s="197">
        <f>Calculations!I713</f>
        <v>0</v>
      </c>
      <c r="J64" s="137">
        <f>Calculations!J713</f>
        <v>0</v>
      </c>
      <c r="K64" s="66">
        <f>Calculations!K713</f>
        <v>0</v>
      </c>
      <c r="L64" s="66">
        <f>Calculations!L713</f>
        <v>0</v>
      </c>
      <c r="M64">
        <f>Calculations!M713</f>
        <v>0</v>
      </c>
      <c r="N64" s="66">
        <f>Calculations!N713</f>
        <v>0</v>
      </c>
      <c r="O64" s="66">
        <f>Calculations!O713</f>
        <v>0</v>
      </c>
      <c r="P64" s="66">
        <f>Calculations!P713</f>
        <v>0</v>
      </c>
      <c r="Q64" s="204">
        <f>Calculations!Q713</f>
        <v>0</v>
      </c>
      <c r="R64" s="66">
        <f>Calculations!R713</f>
        <v>0</v>
      </c>
      <c r="S64" s="65">
        <f>Calculations!S713</f>
        <v>0</v>
      </c>
      <c r="T64" s="65">
        <f>Calculations!T713</f>
        <v>0</v>
      </c>
      <c r="U64" s="204">
        <f>Calculations!U713</f>
        <v>0</v>
      </c>
      <c r="V64" s="65">
        <f>Calculations!V713</f>
        <v>0</v>
      </c>
      <c r="W64" s="266">
        <f>Calculations!W713</f>
        <v>0</v>
      </c>
      <c r="X64" s="266">
        <f>Calculations!X713</f>
        <v>0</v>
      </c>
      <c r="Y64" s="266" t="e">
        <f>Calculations!Y713</f>
        <v>#DIV/0!</v>
      </c>
      <c r="Z64" s="266" t="e">
        <f>Calculations!Z713</f>
        <v>#DIV/0!</v>
      </c>
      <c r="AA64" s="266" t="e">
        <f>Calculations!AA713</f>
        <v>#DIV/0!</v>
      </c>
    </row>
    <row r="65" spans="1:27">
      <c r="A65" s="3">
        <f>Calculations!A714</f>
        <v>61</v>
      </c>
      <c r="B65">
        <f>Calculations!B714</f>
        <v>0</v>
      </c>
      <c r="C65">
        <f>Calculations!C714</f>
        <v>0</v>
      </c>
      <c r="D65">
        <f>Calculations!D714</f>
        <v>0</v>
      </c>
      <c r="E65" s="265">
        <f>Calculations!E714</f>
        <v>0</v>
      </c>
      <c r="F65" s="265">
        <f>Calculations!F714</f>
        <v>0</v>
      </c>
      <c r="G65" s="265">
        <f>Calculations!G714</f>
        <v>0</v>
      </c>
      <c r="H65" s="197">
        <f>Calculations!H714</f>
        <v>0</v>
      </c>
      <c r="I65" s="197">
        <f>Calculations!I714</f>
        <v>0</v>
      </c>
      <c r="J65" s="137">
        <f>Calculations!J714</f>
        <v>0</v>
      </c>
      <c r="K65" s="66">
        <f>Calculations!K714</f>
        <v>0</v>
      </c>
      <c r="L65" s="66">
        <f>Calculations!L714</f>
        <v>0</v>
      </c>
      <c r="M65">
        <f>Calculations!M714</f>
        <v>0</v>
      </c>
      <c r="N65" s="66">
        <f>Calculations!N714</f>
        <v>0</v>
      </c>
      <c r="O65" s="66">
        <f>Calculations!O714</f>
        <v>0</v>
      </c>
      <c r="P65" s="66">
        <f>Calculations!P714</f>
        <v>0</v>
      </c>
      <c r="Q65" s="204">
        <f>Calculations!Q714</f>
        <v>0</v>
      </c>
      <c r="R65" s="66">
        <f>Calculations!R714</f>
        <v>0</v>
      </c>
      <c r="S65" s="65">
        <f>Calculations!S714</f>
        <v>0</v>
      </c>
      <c r="T65" s="65">
        <f>Calculations!T714</f>
        <v>0</v>
      </c>
      <c r="U65" s="204">
        <f>Calculations!U714</f>
        <v>0</v>
      </c>
      <c r="V65" s="65">
        <f>Calculations!V714</f>
        <v>0</v>
      </c>
      <c r="W65" s="266">
        <f>Calculations!W714</f>
        <v>0</v>
      </c>
      <c r="X65" s="266">
        <f>Calculations!X714</f>
        <v>0</v>
      </c>
      <c r="Y65" s="266" t="e">
        <f>Calculations!Y714</f>
        <v>#DIV/0!</v>
      </c>
      <c r="Z65" s="266" t="e">
        <f>Calculations!Z714</f>
        <v>#DIV/0!</v>
      </c>
      <c r="AA65" s="266" t="e">
        <f>Calculations!AA714</f>
        <v>#DIV/0!</v>
      </c>
    </row>
    <row r="66" spans="1:27">
      <c r="A66" s="3">
        <f>Calculations!A715</f>
        <v>62</v>
      </c>
      <c r="B66">
        <f>Calculations!B715</f>
        <v>0</v>
      </c>
      <c r="C66">
        <f>Calculations!C715</f>
        <v>0</v>
      </c>
      <c r="D66">
        <f>Calculations!D715</f>
        <v>0</v>
      </c>
      <c r="E66" s="265">
        <f>Calculations!E715</f>
        <v>0</v>
      </c>
      <c r="F66" s="265">
        <f>Calculations!F715</f>
        <v>0</v>
      </c>
      <c r="G66" s="265">
        <f>Calculations!G715</f>
        <v>0</v>
      </c>
      <c r="H66" s="197">
        <f>Calculations!H715</f>
        <v>0</v>
      </c>
      <c r="I66" s="197">
        <f>Calculations!I715</f>
        <v>0</v>
      </c>
      <c r="J66" s="137">
        <f>Calculations!J715</f>
        <v>0</v>
      </c>
      <c r="K66" s="66">
        <f>Calculations!K715</f>
        <v>0</v>
      </c>
      <c r="L66" s="66">
        <f>Calculations!L715</f>
        <v>0</v>
      </c>
      <c r="M66">
        <f>Calculations!M715</f>
        <v>0</v>
      </c>
      <c r="N66" s="66">
        <f>Calculations!N715</f>
        <v>0</v>
      </c>
      <c r="O66" s="66">
        <f>Calculations!O715</f>
        <v>0</v>
      </c>
      <c r="P66" s="66">
        <f>Calculations!P715</f>
        <v>0</v>
      </c>
      <c r="Q66" s="204">
        <f>Calculations!Q715</f>
        <v>0</v>
      </c>
      <c r="R66" s="66">
        <f>Calculations!R715</f>
        <v>0</v>
      </c>
      <c r="S66" s="65">
        <f>Calculations!S715</f>
        <v>0</v>
      </c>
      <c r="T66" s="65">
        <f>Calculations!T715</f>
        <v>0</v>
      </c>
      <c r="U66" s="204">
        <f>Calculations!U715</f>
        <v>0</v>
      </c>
      <c r="V66" s="65">
        <f>Calculations!V715</f>
        <v>0</v>
      </c>
      <c r="W66" s="266">
        <f>Calculations!W715</f>
        <v>0</v>
      </c>
      <c r="X66" s="266">
        <f>Calculations!X715</f>
        <v>0</v>
      </c>
      <c r="Y66" s="266" t="e">
        <f>Calculations!Y715</f>
        <v>#DIV/0!</v>
      </c>
      <c r="Z66" s="266" t="e">
        <f>Calculations!Z715</f>
        <v>#DIV/0!</v>
      </c>
      <c r="AA66" s="266" t="e">
        <f>Calculations!AA715</f>
        <v>#DIV/0!</v>
      </c>
    </row>
    <row r="67" spans="1:27">
      <c r="A67" s="3">
        <f>Calculations!A716</f>
        <v>63</v>
      </c>
      <c r="B67">
        <f>Calculations!B716</f>
        <v>0</v>
      </c>
      <c r="C67">
        <f>Calculations!C716</f>
        <v>0</v>
      </c>
      <c r="D67">
        <f>Calculations!D716</f>
        <v>0</v>
      </c>
      <c r="E67" s="265">
        <f>Calculations!E716</f>
        <v>0</v>
      </c>
      <c r="F67" s="265">
        <f>Calculations!F716</f>
        <v>0</v>
      </c>
      <c r="G67" s="265">
        <f>Calculations!G716</f>
        <v>0</v>
      </c>
      <c r="H67" s="197">
        <f>Calculations!H716</f>
        <v>0</v>
      </c>
      <c r="I67" s="197">
        <f>Calculations!I716</f>
        <v>0</v>
      </c>
      <c r="J67" s="137">
        <f>Calculations!J716</f>
        <v>0</v>
      </c>
      <c r="K67" s="66">
        <f>Calculations!K716</f>
        <v>0</v>
      </c>
      <c r="L67" s="66">
        <f>Calculations!L716</f>
        <v>0</v>
      </c>
      <c r="M67">
        <f>Calculations!M716</f>
        <v>0</v>
      </c>
      <c r="N67" s="66">
        <f>Calculations!N716</f>
        <v>0</v>
      </c>
      <c r="O67" s="66">
        <f>Calculations!O716</f>
        <v>0</v>
      </c>
      <c r="P67" s="66">
        <f>Calculations!P716</f>
        <v>0</v>
      </c>
      <c r="Q67" s="204">
        <f>Calculations!Q716</f>
        <v>0</v>
      </c>
      <c r="R67" s="66">
        <f>Calculations!R716</f>
        <v>0</v>
      </c>
      <c r="S67" s="65">
        <f>Calculations!S716</f>
        <v>0</v>
      </c>
      <c r="T67" s="65">
        <f>Calculations!T716</f>
        <v>0</v>
      </c>
      <c r="U67" s="204">
        <f>Calculations!U716</f>
        <v>0</v>
      </c>
      <c r="V67" s="65">
        <f>Calculations!V716</f>
        <v>0</v>
      </c>
      <c r="W67" s="266">
        <f>Calculations!W716</f>
        <v>0</v>
      </c>
      <c r="X67" s="266">
        <f>Calculations!X716</f>
        <v>0</v>
      </c>
      <c r="Y67" s="266" t="e">
        <f>Calculations!Y716</f>
        <v>#DIV/0!</v>
      </c>
      <c r="Z67" s="266" t="e">
        <f>Calculations!Z716</f>
        <v>#DIV/0!</v>
      </c>
      <c r="AA67" s="266" t="e">
        <f>Calculations!AA716</f>
        <v>#DIV/0!</v>
      </c>
    </row>
    <row r="68" spans="1:27">
      <c r="A68" s="3">
        <f>Calculations!A717</f>
        <v>64</v>
      </c>
      <c r="B68">
        <f>Calculations!B717</f>
        <v>0</v>
      </c>
      <c r="C68">
        <f>Calculations!C717</f>
        <v>0</v>
      </c>
      <c r="D68">
        <f>Calculations!D717</f>
        <v>0</v>
      </c>
      <c r="E68" s="265">
        <f>Calculations!E717</f>
        <v>0</v>
      </c>
      <c r="F68" s="265">
        <f>Calculations!F717</f>
        <v>0</v>
      </c>
      <c r="G68" s="265">
        <f>Calculations!G717</f>
        <v>0</v>
      </c>
      <c r="H68" s="197">
        <f>Calculations!H717</f>
        <v>0</v>
      </c>
      <c r="I68" s="197">
        <f>Calculations!I717</f>
        <v>0</v>
      </c>
      <c r="J68" s="137">
        <f>Calculations!J717</f>
        <v>0</v>
      </c>
      <c r="K68" s="66">
        <f>Calculations!K717</f>
        <v>0</v>
      </c>
      <c r="L68" s="66">
        <f>Calculations!L717</f>
        <v>0</v>
      </c>
      <c r="M68">
        <f>Calculations!M717</f>
        <v>0</v>
      </c>
      <c r="N68" s="66">
        <f>Calculations!N717</f>
        <v>0</v>
      </c>
      <c r="O68" s="66">
        <f>Calculations!O717</f>
        <v>0</v>
      </c>
      <c r="P68" s="66">
        <f>Calculations!P717</f>
        <v>0</v>
      </c>
      <c r="Q68" s="204">
        <f>Calculations!Q717</f>
        <v>0</v>
      </c>
      <c r="R68" s="66">
        <f>Calculations!R717</f>
        <v>0</v>
      </c>
      <c r="S68" s="65">
        <f>Calculations!S717</f>
        <v>0</v>
      </c>
      <c r="T68" s="65">
        <f>Calculations!T717</f>
        <v>0</v>
      </c>
      <c r="U68" s="204">
        <f>Calculations!U717</f>
        <v>0</v>
      </c>
      <c r="V68" s="65">
        <f>Calculations!V717</f>
        <v>0</v>
      </c>
      <c r="W68" s="266">
        <f>Calculations!W717</f>
        <v>0</v>
      </c>
      <c r="X68" s="266">
        <f>Calculations!X717</f>
        <v>0</v>
      </c>
      <c r="Y68" s="266" t="e">
        <f>Calculations!Y717</f>
        <v>#DIV/0!</v>
      </c>
      <c r="Z68" s="266" t="e">
        <f>Calculations!Z717</f>
        <v>#DIV/0!</v>
      </c>
      <c r="AA68" s="266" t="e">
        <f>Calculations!AA717</f>
        <v>#DIV/0!</v>
      </c>
    </row>
    <row r="69" spans="1:27">
      <c r="A69" s="3">
        <f>Calculations!A718</f>
        <v>65</v>
      </c>
      <c r="B69">
        <f>Calculations!B718</f>
        <v>0</v>
      </c>
      <c r="C69">
        <f>Calculations!C718</f>
        <v>0</v>
      </c>
      <c r="D69">
        <f>Calculations!D718</f>
        <v>0</v>
      </c>
      <c r="E69" s="265">
        <f>Calculations!E718</f>
        <v>0</v>
      </c>
      <c r="F69" s="265">
        <f>Calculations!F718</f>
        <v>0</v>
      </c>
      <c r="G69" s="265">
        <f>Calculations!G718</f>
        <v>0</v>
      </c>
      <c r="H69" s="197">
        <f>Calculations!H718</f>
        <v>0</v>
      </c>
      <c r="I69" s="197">
        <f>Calculations!I718</f>
        <v>0</v>
      </c>
      <c r="J69" s="137">
        <f>Calculations!J718</f>
        <v>0</v>
      </c>
      <c r="K69" s="66">
        <f>Calculations!K718</f>
        <v>0</v>
      </c>
      <c r="L69" s="66">
        <f>Calculations!L718</f>
        <v>0</v>
      </c>
      <c r="M69">
        <f>Calculations!M718</f>
        <v>0</v>
      </c>
      <c r="N69" s="66">
        <f>Calculations!N718</f>
        <v>0</v>
      </c>
      <c r="O69" s="66">
        <f>Calculations!O718</f>
        <v>0</v>
      </c>
      <c r="P69" s="66">
        <f>Calculations!P718</f>
        <v>0</v>
      </c>
      <c r="Q69" s="204">
        <f>Calculations!Q718</f>
        <v>0</v>
      </c>
      <c r="R69" s="66">
        <f>Calculations!R718</f>
        <v>0</v>
      </c>
      <c r="S69" s="65">
        <f>Calculations!S718</f>
        <v>0</v>
      </c>
      <c r="T69" s="65">
        <f>Calculations!T718</f>
        <v>0</v>
      </c>
      <c r="U69" s="204">
        <f>Calculations!U718</f>
        <v>0</v>
      </c>
      <c r="V69" s="65">
        <f>Calculations!V718</f>
        <v>0</v>
      </c>
      <c r="W69" s="266">
        <f>Calculations!W718</f>
        <v>0</v>
      </c>
      <c r="X69" s="266">
        <f>Calculations!X718</f>
        <v>0</v>
      </c>
      <c r="Y69" s="266" t="e">
        <f>Calculations!Y718</f>
        <v>#DIV/0!</v>
      </c>
      <c r="Z69" s="266" t="e">
        <f>Calculations!Z718</f>
        <v>#DIV/0!</v>
      </c>
      <c r="AA69" s="266" t="e">
        <f>Calculations!AA718</f>
        <v>#DIV/0!</v>
      </c>
    </row>
    <row r="70" spans="1:27">
      <c r="A70" s="3">
        <f>Calculations!A719</f>
        <v>66</v>
      </c>
      <c r="B70">
        <f>Calculations!B719</f>
        <v>0</v>
      </c>
      <c r="C70">
        <f>Calculations!C719</f>
        <v>0</v>
      </c>
      <c r="D70">
        <f>Calculations!D719</f>
        <v>0</v>
      </c>
      <c r="E70" s="265">
        <f>Calculations!E719</f>
        <v>0</v>
      </c>
      <c r="F70" s="265">
        <f>Calculations!F719</f>
        <v>0</v>
      </c>
      <c r="G70" s="265">
        <f>Calculations!G719</f>
        <v>0</v>
      </c>
      <c r="H70" s="197">
        <f>Calculations!H719</f>
        <v>0</v>
      </c>
      <c r="I70" s="197">
        <f>Calculations!I719</f>
        <v>0</v>
      </c>
      <c r="J70" s="137">
        <f>Calculations!J719</f>
        <v>0</v>
      </c>
      <c r="K70" s="66">
        <f>Calculations!K719</f>
        <v>0</v>
      </c>
      <c r="L70" s="66">
        <f>Calculations!L719</f>
        <v>0</v>
      </c>
      <c r="M70">
        <f>Calculations!M719</f>
        <v>0</v>
      </c>
      <c r="N70" s="66">
        <f>Calculations!N719</f>
        <v>0</v>
      </c>
      <c r="O70" s="66">
        <f>Calculations!O719</f>
        <v>0</v>
      </c>
      <c r="P70" s="66">
        <f>Calculations!P719</f>
        <v>0</v>
      </c>
      <c r="Q70" s="204">
        <f>Calculations!Q719</f>
        <v>0</v>
      </c>
      <c r="R70" s="66">
        <f>Calculations!R719</f>
        <v>0</v>
      </c>
      <c r="S70" s="65">
        <f>Calculations!S719</f>
        <v>0</v>
      </c>
      <c r="T70" s="65">
        <f>Calculations!T719</f>
        <v>0</v>
      </c>
      <c r="U70" s="204">
        <f>Calculations!U719</f>
        <v>0</v>
      </c>
      <c r="V70" s="65">
        <f>Calculations!V719</f>
        <v>0</v>
      </c>
      <c r="W70" s="266">
        <f>Calculations!W719</f>
        <v>0</v>
      </c>
      <c r="X70" s="266">
        <f>Calculations!X719</f>
        <v>0</v>
      </c>
      <c r="Y70" s="266" t="e">
        <f>Calculations!Y719</f>
        <v>#DIV/0!</v>
      </c>
      <c r="Z70" s="266" t="e">
        <f>Calculations!Z719</f>
        <v>#DIV/0!</v>
      </c>
      <c r="AA70" s="266" t="e">
        <f>Calculations!AA719</f>
        <v>#DIV/0!</v>
      </c>
    </row>
    <row r="71" spans="1:27">
      <c r="A71" s="3">
        <f>Calculations!A720</f>
        <v>67</v>
      </c>
      <c r="B71">
        <f>Calculations!B720</f>
        <v>0</v>
      </c>
      <c r="C71">
        <f>Calculations!C720</f>
        <v>0</v>
      </c>
      <c r="D71">
        <f>Calculations!D720</f>
        <v>0</v>
      </c>
      <c r="E71" s="265">
        <f>Calculations!E720</f>
        <v>0</v>
      </c>
      <c r="F71" s="265">
        <f>Calculations!F720</f>
        <v>0</v>
      </c>
      <c r="G71" s="265">
        <f>Calculations!G720</f>
        <v>0</v>
      </c>
      <c r="H71" s="197">
        <f>Calculations!H720</f>
        <v>0</v>
      </c>
      <c r="I71" s="197">
        <f>Calculations!I720</f>
        <v>0</v>
      </c>
      <c r="J71" s="137">
        <f>Calculations!J720</f>
        <v>0</v>
      </c>
      <c r="K71" s="66">
        <f>Calculations!K720</f>
        <v>0</v>
      </c>
      <c r="L71" s="66">
        <f>Calculations!L720</f>
        <v>0</v>
      </c>
      <c r="M71">
        <f>Calculations!M720</f>
        <v>0</v>
      </c>
      <c r="N71" s="66">
        <f>Calculations!N720</f>
        <v>0</v>
      </c>
      <c r="O71" s="66">
        <f>Calculations!O720</f>
        <v>0</v>
      </c>
      <c r="P71" s="66">
        <f>Calculations!P720</f>
        <v>0</v>
      </c>
      <c r="Q71" s="204">
        <f>Calculations!Q720</f>
        <v>0</v>
      </c>
      <c r="R71" s="66">
        <f>Calculations!R720</f>
        <v>0</v>
      </c>
      <c r="S71" s="65">
        <f>Calculations!S720</f>
        <v>0</v>
      </c>
      <c r="T71" s="65">
        <f>Calculations!T720</f>
        <v>0</v>
      </c>
      <c r="U71" s="204">
        <f>Calculations!U720</f>
        <v>0</v>
      </c>
      <c r="V71" s="65">
        <f>Calculations!V720</f>
        <v>0</v>
      </c>
      <c r="W71" s="266">
        <f>Calculations!W720</f>
        <v>0</v>
      </c>
      <c r="X71" s="266">
        <f>Calculations!X720</f>
        <v>0</v>
      </c>
      <c r="Y71" s="266" t="e">
        <f>Calculations!Y720</f>
        <v>#DIV/0!</v>
      </c>
      <c r="Z71" s="266" t="e">
        <f>Calculations!Z720</f>
        <v>#DIV/0!</v>
      </c>
      <c r="AA71" s="266" t="e">
        <f>Calculations!AA720</f>
        <v>#DIV/0!</v>
      </c>
    </row>
    <row r="72" spans="1:27">
      <c r="A72" s="3">
        <f>Calculations!A721</f>
        <v>68</v>
      </c>
      <c r="B72">
        <f>Calculations!B721</f>
        <v>0</v>
      </c>
      <c r="C72">
        <f>Calculations!C721</f>
        <v>0</v>
      </c>
      <c r="D72">
        <f>Calculations!D721</f>
        <v>0</v>
      </c>
      <c r="E72" s="265">
        <f>Calculations!E721</f>
        <v>0</v>
      </c>
      <c r="F72" s="265">
        <f>Calculations!F721</f>
        <v>0</v>
      </c>
      <c r="G72" s="265">
        <f>Calculations!G721</f>
        <v>0</v>
      </c>
      <c r="H72" s="197">
        <f>Calculations!H721</f>
        <v>0</v>
      </c>
      <c r="I72" s="197">
        <f>Calculations!I721</f>
        <v>0</v>
      </c>
      <c r="J72" s="137">
        <f>Calculations!J721</f>
        <v>0</v>
      </c>
      <c r="K72" s="66">
        <f>Calculations!K721</f>
        <v>0</v>
      </c>
      <c r="L72" s="66">
        <f>Calculations!L721</f>
        <v>0</v>
      </c>
      <c r="M72">
        <f>Calculations!M721</f>
        <v>0</v>
      </c>
      <c r="N72" s="66">
        <f>Calculations!N721</f>
        <v>0</v>
      </c>
      <c r="O72" s="66">
        <f>Calculations!O721</f>
        <v>0</v>
      </c>
      <c r="P72" s="66">
        <f>Calculations!P721</f>
        <v>0</v>
      </c>
      <c r="Q72" s="204">
        <f>Calculations!Q721</f>
        <v>0</v>
      </c>
      <c r="R72" s="66">
        <f>Calculations!R721</f>
        <v>0</v>
      </c>
      <c r="S72" s="65">
        <f>Calculations!S721</f>
        <v>0</v>
      </c>
      <c r="T72" s="65">
        <f>Calculations!T721</f>
        <v>0</v>
      </c>
      <c r="U72" s="204">
        <f>Calculations!U721</f>
        <v>0</v>
      </c>
      <c r="V72" s="65">
        <f>Calculations!V721</f>
        <v>0</v>
      </c>
      <c r="W72" s="266">
        <f>Calculations!W721</f>
        <v>0</v>
      </c>
      <c r="X72" s="266">
        <f>Calculations!X721</f>
        <v>0</v>
      </c>
      <c r="Y72" s="266" t="e">
        <f>Calculations!Y721</f>
        <v>#DIV/0!</v>
      </c>
      <c r="Z72" s="266" t="e">
        <f>Calculations!Z721</f>
        <v>#DIV/0!</v>
      </c>
      <c r="AA72" s="266" t="e">
        <f>Calculations!AA721</f>
        <v>#DIV/0!</v>
      </c>
    </row>
    <row r="73" spans="1:27">
      <c r="A73" s="3">
        <f>Calculations!A722</f>
        <v>69</v>
      </c>
      <c r="B73">
        <f>Calculations!B722</f>
        <v>0</v>
      </c>
      <c r="C73">
        <f>Calculations!C722</f>
        <v>0</v>
      </c>
      <c r="D73">
        <f>Calculations!D722</f>
        <v>0</v>
      </c>
      <c r="E73" s="265">
        <f>Calculations!E722</f>
        <v>0</v>
      </c>
      <c r="F73" s="265">
        <f>Calculations!F722</f>
        <v>0</v>
      </c>
      <c r="G73" s="265">
        <f>Calculations!G722</f>
        <v>0</v>
      </c>
      <c r="H73" s="197">
        <f>Calculations!H722</f>
        <v>0</v>
      </c>
      <c r="I73" s="197">
        <f>Calculations!I722</f>
        <v>0</v>
      </c>
      <c r="J73" s="137">
        <f>Calculations!J722</f>
        <v>0</v>
      </c>
      <c r="K73" s="66">
        <f>Calculations!K722</f>
        <v>0</v>
      </c>
      <c r="L73" s="66">
        <f>Calculations!L722</f>
        <v>0</v>
      </c>
      <c r="M73">
        <f>Calculations!M722</f>
        <v>0</v>
      </c>
      <c r="N73" s="66">
        <f>Calculations!N722</f>
        <v>0</v>
      </c>
      <c r="O73" s="66">
        <f>Calculations!O722</f>
        <v>0</v>
      </c>
      <c r="P73" s="66">
        <f>Calculations!P722</f>
        <v>0</v>
      </c>
      <c r="Q73" s="204">
        <f>Calculations!Q722</f>
        <v>0</v>
      </c>
      <c r="R73" s="66">
        <f>Calculations!R722</f>
        <v>0</v>
      </c>
      <c r="S73" s="65">
        <f>Calculations!S722</f>
        <v>0</v>
      </c>
      <c r="T73" s="65">
        <f>Calculations!T722</f>
        <v>0</v>
      </c>
      <c r="U73" s="204">
        <f>Calculations!U722</f>
        <v>0</v>
      </c>
      <c r="V73" s="65">
        <f>Calculations!V722</f>
        <v>0</v>
      </c>
      <c r="W73" s="266">
        <f>Calculations!W722</f>
        <v>0</v>
      </c>
      <c r="X73" s="266">
        <f>Calculations!X722</f>
        <v>0</v>
      </c>
      <c r="Y73" s="266" t="e">
        <f>Calculations!Y722</f>
        <v>#DIV/0!</v>
      </c>
      <c r="Z73" s="266" t="e">
        <f>Calculations!Z722</f>
        <v>#DIV/0!</v>
      </c>
      <c r="AA73" s="266" t="e">
        <f>Calculations!AA722</f>
        <v>#DIV/0!</v>
      </c>
    </row>
    <row r="74" spans="1:27">
      <c r="A74" s="3">
        <f>Calculations!A723</f>
        <v>70</v>
      </c>
      <c r="B74">
        <f>Calculations!B723</f>
        <v>0</v>
      </c>
      <c r="C74">
        <f>Calculations!C723</f>
        <v>0</v>
      </c>
      <c r="D74">
        <f>Calculations!D723</f>
        <v>0</v>
      </c>
      <c r="E74" s="265">
        <f>Calculations!E723</f>
        <v>0</v>
      </c>
      <c r="F74" s="265">
        <f>Calculations!F723</f>
        <v>0</v>
      </c>
      <c r="G74" s="265">
        <f>Calculations!G723</f>
        <v>0</v>
      </c>
      <c r="H74" s="197">
        <f>Calculations!H723</f>
        <v>0</v>
      </c>
      <c r="I74" s="197">
        <f>Calculations!I723</f>
        <v>0</v>
      </c>
      <c r="J74" s="137">
        <f>Calculations!J723</f>
        <v>0</v>
      </c>
      <c r="K74" s="66">
        <f>Calculations!K723</f>
        <v>0</v>
      </c>
      <c r="L74" s="66">
        <f>Calculations!L723</f>
        <v>0</v>
      </c>
      <c r="M74">
        <f>Calculations!M723</f>
        <v>0</v>
      </c>
      <c r="N74" s="66">
        <f>Calculations!N723</f>
        <v>0</v>
      </c>
      <c r="O74" s="66">
        <f>Calculations!O723</f>
        <v>0</v>
      </c>
      <c r="P74" s="66">
        <f>Calculations!P723</f>
        <v>0</v>
      </c>
      <c r="Q74" s="204">
        <f>Calculations!Q723</f>
        <v>0</v>
      </c>
      <c r="R74" s="66">
        <f>Calculations!R723</f>
        <v>0</v>
      </c>
      <c r="S74" s="65">
        <f>Calculations!S723</f>
        <v>0</v>
      </c>
      <c r="T74" s="65">
        <f>Calculations!T723</f>
        <v>0</v>
      </c>
      <c r="U74" s="204">
        <f>Calculations!U723</f>
        <v>0</v>
      </c>
      <c r="V74" s="65">
        <f>Calculations!V723</f>
        <v>0</v>
      </c>
      <c r="W74" s="266">
        <f>Calculations!W723</f>
        <v>0</v>
      </c>
      <c r="X74" s="266">
        <f>Calculations!X723</f>
        <v>0</v>
      </c>
      <c r="Y74" s="266" t="e">
        <f>Calculations!Y723</f>
        <v>#DIV/0!</v>
      </c>
      <c r="Z74" s="266" t="e">
        <f>Calculations!Z723</f>
        <v>#DIV/0!</v>
      </c>
      <c r="AA74" s="266" t="e">
        <f>Calculations!AA723</f>
        <v>#DIV/0!</v>
      </c>
    </row>
    <row r="75" spans="1:27">
      <c r="A75" s="3">
        <f>Calculations!A724</f>
        <v>71</v>
      </c>
      <c r="B75">
        <f>Calculations!B724</f>
        <v>0</v>
      </c>
      <c r="C75">
        <f>Calculations!C724</f>
        <v>0</v>
      </c>
      <c r="D75">
        <f>Calculations!D724</f>
        <v>0</v>
      </c>
      <c r="E75" s="265">
        <f>Calculations!E724</f>
        <v>0</v>
      </c>
      <c r="F75" s="265">
        <f>Calculations!F724</f>
        <v>0</v>
      </c>
      <c r="G75" s="265">
        <f>Calculations!G724</f>
        <v>0</v>
      </c>
      <c r="H75" s="197">
        <f>Calculations!H724</f>
        <v>0</v>
      </c>
      <c r="I75" s="197">
        <f>Calculations!I724</f>
        <v>0</v>
      </c>
      <c r="J75" s="137">
        <f>Calculations!J724</f>
        <v>0</v>
      </c>
      <c r="K75" s="66">
        <f>Calculations!K724</f>
        <v>0</v>
      </c>
      <c r="L75" s="66">
        <f>Calculations!L724</f>
        <v>0</v>
      </c>
      <c r="M75">
        <f>Calculations!M724</f>
        <v>0</v>
      </c>
      <c r="N75" s="66">
        <f>Calculations!N724</f>
        <v>0</v>
      </c>
      <c r="O75" s="66">
        <f>Calculations!O724</f>
        <v>0</v>
      </c>
      <c r="P75" s="66">
        <f>Calculations!P724</f>
        <v>0</v>
      </c>
      <c r="Q75" s="204">
        <f>Calculations!Q724</f>
        <v>0</v>
      </c>
      <c r="R75" s="66">
        <f>Calculations!R724</f>
        <v>0</v>
      </c>
      <c r="S75" s="65">
        <f>Calculations!S724</f>
        <v>0</v>
      </c>
      <c r="T75" s="65">
        <f>Calculations!T724</f>
        <v>0</v>
      </c>
      <c r="U75" s="204">
        <f>Calculations!U724</f>
        <v>0</v>
      </c>
      <c r="V75" s="65">
        <f>Calculations!V724</f>
        <v>0</v>
      </c>
      <c r="W75" s="266">
        <f>Calculations!W724</f>
        <v>0</v>
      </c>
      <c r="X75" s="266">
        <f>Calculations!X724</f>
        <v>0</v>
      </c>
      <c r="Y75" s="266" t="e">
        <f>Calculations!Y724</f>
        <v>#DIV/0!</v>
      </c>
      <c r="Z75" s="266" t="e">
        <f>Calculations!Z724</f>
        <v>#DIV/0!</v>
      </c>
      <c r="AA75" s="266" t="e">
        <f>Calculations!AA724</f>
        <v>#DIV/0!</v>
      </c>
    </row>
    <row r="76" spans="1:27">
      <c r="A76" s="3">
        <f>Calculations!A725</f>
        <v>72</v>
      </c>
      <c r="B76">
        <f>Calculations!B725</f>
        <v>0</v>
      </c>
      <c r="C76">
        <f>Calculations!C725</f>
        <v>0</v>
      </c>
      <c r="D76">
        <f>Calculations!D725</f>
        <v>0</v>
      </c>
      <c r="E76" s="265">
        <f>Calculations!E725</f>
        <v>0</v>
      </c>
      <c r="F76" s="265">
        <f>Calculations!F725</f>
        <v>0</v>
      </c>
      <c r="G76" s="265">
        <f>Calculations!G725</f>
        <v>0</v>
      </c>
      <c r="H76" s="197">
        <f>Calculations!H725</f>
        <v>0</v>
      </c>
      <c r="I76" s="197">
        <f>Calculations!I725</f>
        <v>0</v>
      </c>
      <c r="J76" s="137">
        <f>Calculations!J725</f>
        <v>0</v>
      </c>
      <c r="K76" s="66">
        <f>Calculations!K725</f>
        <v>0</v>
      </c>
      <c r="L76" s="66">
        <f>Calculations!L725</f>
        <v>0</v>
      </c>
      <c r="M76">
        <f>Calculations!M725</f>
        <v>0</v>
      </c>
      <c r="N76" s="66">
        <f>Calculations!N725</f>
        <v>0</v>
      </c>
      <c r="O76" s="66">
        <f>Calculations!O725</f>
        <v>0</v>
      </c>
      <c r="P76" s="66">
        <f>Calculations!P725</f>
        <v>0</v>
      </c>
      <c r="Q76" s="204">
        <f>Calculations!Q725</f>
        <v>0</v>
      </c>
      <c r="R76" s="66">
        <f>Calculations!R725</f>
        <v>0</v>
      </c>
      <c r="S76" s="65">
        <f>Calculations!S725</f>
        <v>0</v>
      </c>
      <c r="T76" s="65">
        <f>Calculations!T725</f>
        <v>0</v>
      </c>
      <c r="U76" s="204">
        <f>Calculations!U725</f>
        <v>0</v>
      </c>
      <c r="V76" s="65">
        <f>Calculations!V725</f>
        <v>0</v>
      </c>
      <c r="W76" s="266">
        <f>Calculations!W725</f>
        <v>0</v>
      </c>
      <c r="X76" s="266">
        <f>Calculations!X725</f>
        <v>0</v>
      </c>
      <c r="Y76" s="266" t="e">
        <f>Calculations!Y725</f>
        <v>#DIV/0!</v>
      </c>
      <c r="Z76" s="266" t="e">
        <f>Calculations!Z725</f>
        <v>#DIV/0!</v>
      </c>
      <c r="AA76" s="266" t="e">
        <f>Calculations!AA725</f>
        <v>#DIV/0!</v>
      </c>
    </row>
    <row r="77" spans="1:27">
      <c r="A77" s="3">
        <f>Calculations!A726</f>
        <v>73</v>
      </c>
      <c r="B77">
        <f>Calculations!B726</f>
        <v>0</v>
      </c>
      <c r="C77">
        <f>Calculations!C726</f>
        <v>0</v>
      </c>
      <c r="D77">
        <f>Calculations!D726</f>
        <v>0</v>
      </c>
      <c r="E77" s="265">
        <f>Calculations!E726</f>
        <v>0</v>
      </c>
      <c r="F77" s="265">
        <f>Calculations!F726</f>
        <v>0</v>
      </c>
      <c r="G77" s="265">
        <f>Calculations!G726</f>
        <v>0</v>
      </c>
      <c r="H77" s="197">
        <f>Calculations!H726</f>
        <v>0</v>
      </c>
      <c r="I77" s="197">
        <f>Calculations!I726</f>
        <v>0</v>
      </c>
      <c r="J77" s="137">
        <f>Calculations!J726</f>
        <v>0</v>
      </c>
      <c r="K77" s="66">
        <f>Calculations!K726</f>
        <v>0</v>
      </c>
      <c r="L77" s="66">
        <f>Calculations!L726</f>
        <v>0</v>
      </c>
      <c r="M77">
        <f>Calculations!M726</f>
        <v>0</v>
      </c>
      <c r="N77" s="66">
        <f>Calculations!N726</f>
        <v>0</v>
      </c>
      <c r="O77" s="66">
        <f>Calculations!O726</f>
        <v>0</v>
      </c>
      <c r="P77" s="66">
        <f>Calculations!P726</f>
        <v>0</v>
      </c>
      <c r="Q77" s="204">
        <f>Calculations!Q726</f>
        <v>0</v>
      </c>
      <c r="R77" s="66">
        <f>Calculations!R726</f>
        <v>0</v>
      </c>
      <c r="S77" s="65">
        <f>Calculations!S726</f>
        <v>0</v>
      </c>
      <c r="T77" s="65">
        <f>Calculations!T726</f>
        <v>0</v>
      </c>
      <c r="U77" s="204">
        <f>Calculations!U726</f>
        <v>0</v>
      </c>
      <c r="V77" s="65">
        <f>Calculations!V726</f>
        <v>0</v>
      </c>
      <c r="W77" s="266">
        <f>Calculations!W726</f>
        <v>0</v>
      </c>
      <c r="X77" s="266">
        <f>Calculations!X726</f>
        <v>0</v>
      </c>
      <c r="Y77" s="266" t="e">
        <f>Calculations!Y726</f>
        <v>#DIV/0!</v>
      </c>
      <c r="Z77" s="266" t="e">
        <f>Calculations!Z726</f>
        <v>#DIV/0!</v>
      </c>
      <c r="AA77" s="266" t="e">
        <f>Calculations!AA726</f>
        <v>#DIV/0!</v>
      </c>
    </row>
    <row r="78" spans="1:27">
      <c r="A78" s="3">
        <f>Calculations!A727</f>
        <v>74</v>
      </c>
      <c r="B78">
        <f>Calculations!B727</f>
        <v>0</v>
      </c>
      <c r="C78">
        <f>Calculations!C727</f>
        <v>0</v>
      </c>
      <c r="D78">
        <f>Calculations!D727</f>
        <v>0</v>
      </c>
      <c r="E78" s="265">
        <f>Calculations!E727</f>
        <v>0</v>
      </c>
      <c r="F78" s="265">
        <f>Calculations!F727</f>
        <v>0</v>
      </c>
      <c r="G78" s="265">
        <f>Calculations!G727</f>
        <v>0</v>
      </c>
      <c r="H78" s="197">
        <f>Calculations!H727</f>
        <v>0</v>
      </c>
      <c r="I78" s="197">
        <f>Calculations!I727</f>
        <v>0</v>
      </c>
      <c r="J78" s="137">
        <f>Calculations!J727</f>
        <v>0</v>
      </c>
      <c r="K78" s="66">
        <f>Calculations!K727</f>
        <v>0</v>
      </c>
      <c r="L78" s="66">
        <f>Calculations!L727</f>
        <v>0</v>
      </c>
      <c r="M78">
        <f>Calculations!M727</f>
        <v>0</v>
      </c>
      <c r="N78" s="66">
        <f>Calculations!N727</f>
        <v>0</v>
      </c>
      <c r="O78" s="66">
        <f>Calculations!O727</f>
        <v>0</v>
      </c>
      <c r="P78" s="66">
        <f>Calculations!P727</f>
        <v>0</v>
      </c>
      <c r="Q78" s="204">
        <f>Calculations!Q727</f>
        <v>0</v>
      </c>
      <c r="R78" s="66">
        <f>Calculations!R727</f>
        <v>0</v>
      </c>
      <c r="S78" s="65">
        <f>Calculations!S727</f>
        <v>0</v>
      </c>
      <c r="T78" s="65">
        <f>Calculations!T727</f>
        <v>0</v>
      </c>
      <c r="U78" s="204">
        <f>Calculations!U727</f>
        <v>0</v>
      </c>
      <c r="V78" s="65">
        <f>Calculations!V727</f>
        <v>0</v>
      </c>
      <c r="W78" s="266">
        <f>Calculations!W727</f>
        <v>0</v>
      </c>
      <c r="X78" s="266">
        <f>Calculations!X727</f>
        <v>0</v>
      </c>
      <c r="Y78" s="266" t="e">
        <f>Calculations!Y727</f>
        <v>#DIV/0!</v>
      </c>
      <c r="Z78" s="266" t="e">
        <f>Calculations!Z727</f>
        <v>#DIV/0!</v>
      </c>
      <c r="AA78" s="266" t="e">
        <f>Calculations!AA727</f>
        <v>#DIV/0!</v>
      </c>
    </row>
    <row r="79" spans="1:27">
      <c r="A79" s="3">
        <f>Calculations!A728</f>
        <v>75</v>
      </c>
      <c r="B79">
        <f>Calculations!B728</f>
        <v>0</v>
      </c>
      <c r="C79">
        <f>Calculations!C728</f>
        <v>0</v>
      </c>
      <c r="D79">
        <f>Calculations!D728</f>
        <v>0</v>
      </c>
      <c r="E79" s="265">
        <f>Calculations!E728</f>
        <v>0</v>
      </c>
      <c r="F79" s="265">
        <f>Calculations!F728</f>
        <v>0</v>
      </c>
      <c r="G79" s="265">
        <f>Calculations!G728</f>
        <v>0</v>
      </c>
      <c r="H79" s="197">
        <f>Calculations!H728</f>
        <v>0</v>
      </c>
      <c r="I79" s="197">
        <f>Calculations!I728</f>
        <v>0</v>
      </c>
      <c r="J79" s="137">
        <f>Calculations!J728</f>
        <v>0</v>
      </c>
      <c r="K79" s="66">
        <f>Calculations!K728</f>
        <v>0</v>
      </c>
      <c r="L79" s="66">
        <f>Calculations!L728</f>
        <v>0</v>
      </c>
      <c r="M79">
        <f>Calculations!M728</f>
        <v>0</v>
      </c>
      <c r="N79" s="66">
        <f>Calculations!N728</f>
        <v>0</v>
      </c>
      <c r="O79" s="66">
        <f>Calculations!O728</f>
        <v>0</v>
      </c>
      <c r="P79" s="66">
        <f>Calculations!P728</f>
        <v>0</v>
      </c>
      <c r="Q79" s="204">
        <f>Calculations!Q728</f>
        <v>0</v>
      </c>
      <c r="R79" s="66">
        <f>Calculations!R728</f>
        <v>0</v>
      </c>
      <c r="S79" s="65">
        <f>Calculations!S728</f>
        <v>0</v>
      </c>
      <c r="T79" s="65">
        <f>Calculations!T728</f>
        <v>0</v>
      </c>
      <c r="U79" s="204">
        <f>Calculations!U728</f>
        <v>0</v>
      </c>
      <c r="V79" s="65">
        <f>Calculations!V728</f>
        <v>0</v>
      </c>
      <c r="W79" s="266">
        <f>Calculations!W728</f>
        <v>0</v>
      </c>
      <c r="X79" s="266">
        <f>Calculations!X728</f>
        <v>0</v>
      </c>
      <c r="Y79" s="266" t="e">
        <f>Calculations!Y728</f>
        <v>#DIV/0!</v>
      </c>
      <c r="Z79" s="266" t="e">
        <f>Calculations!Z728</f>
        <v>#DIV/0!</v>
      </c>
      <c r="AA79" s="266" t="e">
        <f>Calculations!AA728</f>
        <v>#DIV/0!</v>
      </c>
    </row>
    <row r="80" spans="1:27">
      <c r="A80" s="3">
        <f>Calculations!A729</f>
        <v>76</v>
      </c>
      <c r="B80">
        <f>Calculations!B729</f>
        <v>0</v>
      </c>
      <c r="C80">
        <f>Calculations!C729</f>
        <v>0</v>
      </c>
      <c r="D80">
        <f>Calculations!D729</f>
        <v>0</v>
      </c>
      <c r="E80" s="265">
        <f>Calculations!E729</f>
        <v>0</v>
      </c>
      <c r="F80" s="265">
        <f>Calculations!F729</f>
        <v>0</v>
      </c>
      <c r="G80" s="265">
        <f>Calculations!G729</f>
        <v>0</v>
      </c>
      <c r="H80" s="197">
        <f>Calculations!H729</f>
        <v>0</v>
      </c>
      <c r="I80" s="197">
        <f>Calculations!I729</f>
        <v>0</v>
      </c>
      <c r="J80" s="137">
        <f>Calculations!J729</f>
        <v>0</v>
      </c>
      <c r="K80" s="66">
        <f>Calculations!K729</f>
        <v>0</v>
      </c>
      <c r="L80" s="66">
        <f>Calculations!L729</f>
        <v>0</v>
      </c>
      <c r="M80">
        <f>Calculations!M729</f>
        <v>0</v>
      </c>
      <c r="N80" s="66">
        <f>Calculations!N729</f>
        <v>0</v>
      </c>
      <c r="O80" s="66">
        <f>Calculations!O729</f>
        <v>0</v>
      </c>
      <c r="P80" s="66">
        <f>Calculations!P729</f>
        <v>0</v>
      </c>
      <c r="Q80" s="204">
        <f>Calculations!Q729</f>
        <v>0</v>
      </c>
      <c r="R80" s="66">
        <f>Calculations!R729</f>
        <v>0</v>
      </c>
      <c r="S80" s="65">
        <f>Calculations!S729</f>
        <v>0</v>
      </c>
      <c r="T80" s="65">
        <f>Calculations!T729</f>
        <v>0</v>
      </c>
      <c r="U80" s="204">
        <f>Calculations!U729</f>
        <v>0</v>
      </c>
      <c r="V80" s="65">
        <f>Calculations!V729</f>
        <v>0</v>
      </c>
      <c r="W80" s="266">
        <f>Calculations!W729</f>
        <v>0</v>
      </c>
      <c r="X80" s="266">
        <f>Calculations!X729</f>
        <v>0</v>
      </c>
      <c r="Y80" s="266" t="e">
        <f>Calculations!Y729</f>
        <v>#DIV/0!</v>
      </c>
      <c r="Z80" s="266" t="e">
        <f>Calculations!Z729</f>
        <v>#DIV/0!</v>
      </c>
      <c r="AA80" s="266" t="e">
        <f>Calculations!AA729</f>
        <v>#DIV/0!</v>
      </c>
    </row>
    <row r="81" spans="1:27">
      <c r="A81" s="3">
        <f>Calculations!A730</f>
        <v>77</v>
      </c>
      <c r="B81">
        <f>Calculations!B730</f>
        <v>0</v>
      </c>
      <c r="C81">
        <f>Calculations!C730</f>
        <v>0</v>
      </c>
      <c r="D81">
        <f>Calculations!D730</f>
        <v>0</v>
      </c>
      <c r="E81" s="265">
        <f>Calculations!E730</f>
        <v>0</v>
      </c>
      <c r="F81" s="265">
        <f>Calculations!F730</f>
        <v>0</v>
      </c>
      <c r="G81" s="265">
        <f>Calculations!G730</f>
        <v>0</v>
      </c>
      <c r="H81" s="197">
        <f>Calculations!H730</f>
        <v>0</v>
      </c>
      <c r="I81" s="197">
        <f>Calculations!I730</f>
        <v>0</v>
      </c>
      <c r="J81" s="137">
        <f>Calculations!J730</f>
        <v>0</v>
      </c>
      <c r="K81" s="66">
        <f>Calculations!K730</f>
        <v>0</v>
      </c>
      <c r="L81" s="66">
        <f>Calculations!L730</f>
        <v>0</v>
      </c>
      <c r="M81">
        <f>Calculations!M730</f>
        <v>0</v>
      </c>
      <c r="N81" s="66">
        <f>Calculations!N730</f>
        <v>0</v>
      </c>
      <c r="O81" s="66">
        <f>Calculations!O730</f>
        <v>0</v>
      </c>
      <c r="P81" s="66">
        <f>Calculations!P730</f>
        <v>0</v>
      </c>
      <c r="Q81" s="204">
        <f>Calculations!Q730</f>
        <v>0</v>
      </c>
      <c r="R81" s="66">
        <f>Calculations!R730</f>
        <v>0</v>
      </c>
      <c r="S81" s="65">
        <f>Calculations!S730</f>
        <v>0</v>
      </c>
      <c r="T81" s="65">
        <f>Calculations!T730</f>
        <v>0</v>
      </c>
      <c r="U81" s="204">
        <f>Calculations!U730</f>
        <v>0</v>
      </c>
      <c r="V81" s="65">
        <f>Calculations!V730</f>
        <v>0</v>
      </c>
      <c r="W81" s="266">
        <f>Calculations!W730</f>
        <v>0</v>
      </c>
      <c r="X81" s="266">
        <f>Calculations!X730</f>
        <v>0</v>
      </c>
      <c r="Y81" s="266" t="e">
        <f>Calculations!Y730</f>
        <v>#DIV/0!</v>
      </c>
      <c r="Z81" s="266" t="e">
        <f>Calculations!Z730</f>
        <v>#DIV/0!</v>
      </c>
      <c r="AA81" s="266" t="e">
        <f>Calculations!AA730</f>
        <v>#DIV/0!</v>
      </c>
    </row>
    <row r="82" spans="1:27">
      <c r="A82" s="3">
        <f>Calculations!A731</f>
        <v>78</v>
      </c>
      <c r="B82">
        <f>Calculations!B731</f>
        <v>0</v>
      </c>
      <c r="C82">
        <f>Calculations!C731</f>
        <v>0</v>
      </c>
      <c r="D82">
        <f>Calculations!D731</f>
        <v>0</v>
      </c>
      <c r="E82" s="265">
        <f>Calculations!E731</f>
        <v>0</v>
      </c>
      <c r="F82" s="265">
        <f>Calculations!F731</f>
        <v>0</v>
      </c>
      <c r="G82" s="265">
        <f>Calculations!G731</f>
        <v>0</v>
      </c>
      <c r="H82" s="197">
        <f>Calculations!H731</f>
        <v>0</v>
      </c>
      <c r="I82" s="197">
        <f>Calculations!I731</f>
        <v>0</v>
      </c>
      <c r="J82" s="137">
        <f>Calculations!J731</f>
        <v>0</v>
      </c>
      <c r="K82" s="66">
        <f>Calculations!K731</f>
        <v>0</v>
      </c>
      <c r="L82" s="66">
        <f>Calculations!L731</f>
        <v>0</v>
      </c>
      <c r="M82">
        <f>Calculations!M731</f>
        <v>0</v>
      </c>
      <c r="N82" s="66">
        <f>Calculations!N731</f>
        <v>0</v>
      </c>
      <c r="O82" s="66">
        <f>Calculations!O731</f>
        <v>0</v>
      </c>
      <c r="P82" s="66">
        <f>Calculations!P731</f>
        <v>0</v>
      </c>
      <c r="Q82" s="204">
        <f>Calculations!Q731</f>
        <v>0</v>
      </c>
      <c r="R82" s="66">
        <f>Calculations!R731</f>
        <v>0</v>
      </c>
      <c r="S82" s="65">
        <f>Calculations!S731</f>
        <v>0</v>
      </c>
      <c r="T82" s="65">
        <f>Calculations!T731</f>
        <v>0</v>
      </c>
      <c r="U82" s="204">
        <f>Calculations!U731</f>
        <v>0</v>
      </c>
      <c r="V82" s="65">
        <f>Calculations!V731</f>
        <v>0</v>
      </c>
      <c r="W82" s="266">
        <f>Calculations!W731</f>
        <v>0</v>
      </c>
      <c r="X82" s="266">
        <f>Calculations!X731</f>
        <v>0</v>
      </c>
      <c r="Y82" s="266" t="e">
        <f>Calculations!Y731</f>
        <v>#DIV/0!</v>
      </c>
      <c r="Z82" s="266" t="e">
        <f>Calculations!Z731</f>
        <v>#DIV/0!</v>
      </c>
      <c r="AA82" s="266" t="e">
        <f>Calculations!AA731</f>
        <v>#DIV/0!</v>
      </c>
    </row>
    <row r="83" spans="1:27">
      <c r="A83" s="3">
        <f>Calculations!A732</f>
        <v>79</v>
      </c>
      <c r="B83">
        <f>Calculations!B732</f>
        <v>0</v>
      </c>
      <c r="C83">
        <f>Calculations!C732</f>
        <v>0</v>
      </c>
      <c r="D83">
        <f>Calculations!D732</f>
        <v>0</v>
      </c>
      <c r="E83" s="265">
        <f>Calculations!E732</f>
        <v>0</v>
      </c>
      <c r="F83" s="265">
        <f>Calculations!F732</f>
        <v>0</v>
      </c>
      <c r="G83" s="265">
        <f>Calculations!G732</f>
        <v>0</v>
      </c>
      <c r="H83" s="197">
        <f>Calculations!H732</f>
        <v>0</v>
      </c>
      <c r="I83" s="197">
        <f>Calculations!I732</f>
        <v>0</v>
      </c>
      <c r="J83" s="137">
        <f>Calculations!J732</f>
        <v>0</v>
      </c>
      <c r="K83" s="66">
        <f>Calculations!K732</f>
        <v>0</v>
      </c>
      <c r="L83" s="66">
        <f>Calculations!L732</f>
        <v>0</v>
      </c>
      <c r="M83">
        <f>Calculations!M732</f>
        <v>0</v>
      </c>
      <c r="N83" s="66">
        <f>Calculations!N732</f>
        <v>0</v>
      </c>
      <c r="O83" s="66">
        <f>Calculations!O732</f>
        <v>0</v>
      </c>
      <c r="P83" s="66">
        <f>Calculations!P732</f>
        <v>0</v>
      </c>
      <c r="Q83" s="204">
        <f>Calculations!Q732</f>
        <v>0</v>
      </c>
      <c r="R83" s="66">
        <f>Calculations!R732</f>
        <v>0</v>
      </c>
      <c r="S83" s="65">
        <f>Calculations!S732</f>
        <v>0</v>
      </c>
      <c r="T83" s="65">
        <f>Calculations!T732</f>
        <v>0</v>
      </c>
      <c r="U83" s="204">
        <f>Calculations!U732</f>
        <v>0</v>
      </c>
      <c r="V83" s="65">
        <f>Calculations!V732</f>
        <v>0</v>
      </c>
      <c r="W83" s="266">
        <f>Calculations!W732</f>
        <v>0</v>
      </c>
      <c r="X83" s="266">
        <f>Calculations!X732</f>
        <v>0</v>
      </c>
      <c r="Y83" s="266" t="e">
        <f>Calculations!Y732</f>
        <v>#DIV/0!</v>
      </c>
      <c r="Z83" s="266" t="e">
        <f>Calculations!Z732</f>
        <v>#DIV/0!</v>
      </c>
      <c r="AA83" s="266" t="e">
        <f>Calculations!AA732</f>
        <v>#DIV/0!</v>
      </c>
    </row>
    <row r="84" spans="1:27">
      <c r="A84" s="3">
        <f>Calculations!A733</f>
        <v>80</v>
      </c>
      <c r="B84">
        <f>Calculations!B733</f>
        <v>0</v>
      </c>
      <c r="C84">
        <f>Calculations!C733</f>
        <v>0</v>
      </c>
      <c r="D84">
        <f>Calculations!D733</f>
        <v>0</v>
      </c>
      <c r="E84" s="265">
        <f>Calculations!E733</f>
        <v>0</v>
      </c>
      <c r="F84" s="265">
        <f>Calculations!F733</f>
        <v>0</v>
      </c>
      <c r="G84" s="265">
        <f>Calculations!G733</f>
        <v>0</v>
      </c>
      <c r="H84" s="197">
        <f>Calculations!H733</f>
        <v>0</v>
      </c>
      <c r="I84" s="197">
        <f>Calculations!I733</f>
        <v>0</v>
      </c>
      <c r="J84" s="137">
        <f>Calculations!J733</f>
        <v>0</v>
      </c>
      <c r="K84" s="66">
        <f>Calculations!K733</f>
        <v>0</v>
      </c>
      <c r="L84" s="66">
        <f>Calculations!L733</f>
        <v>0</v>
      </c>
      <c r="M84">
        <f>Calculations!M733</f>
        <v>0</v>
      </c>
      <c r="N84" s="66">
        <f>Calculations!N733</f>
        <v>0</v>
      </c>
      <c r="O84" s="66">
        <f>Calculations!O733</f>
        <v>0</v>
      </c>
      <c r="P84" s="66">
        <f>Calculations!P733</f>
        <v>0</v>
      </c>
      <c r="Q84" s="204">
        <f>Calculations!Q733</f>
        <v>0</v>
      </c>
      <c r="R84" s="66">
        <f>Calculations!R733</f>
        <v>0</v>
      </c>
      <c r="S84" s="65">
        <f>Calculations!S733</f>
        <v>0</v>
      </c>
      <c r="T84" s="65">
        <f>Calculations!T733</f>
        <v>0</v>
      </c>
      <c r="U84" s="204">
        <f>Calculations!U733</f>
        <v>0</v>
      </c>
      <c r="V84" s="65">
        <f>Calculations!V733</f>
        <v>0</v>
      </c>
      <c r="W84" s="266">
        <f>Calculations!W733</f>
        <v>0</v>
      </c>
      <c r="X84" s="266">
        <f>Calculations!X733</f>
        <v>0</v>
      </c>
      <c r="Y84" s="266" t="e">
        <f>Calculations!Y733</f>
        <v>#DIV/0!</v>
      </c>
      <c r="Z84" s="266" t="e">
        <f>Calculations!Z733</f>
        <v>#DIV/0!</v>
      </c>
      <c r="AA84" s="266" t="e">
        <f>Calculations!AA733</f>
        <v>#DIV/0!</v>
      </c>
    </row>
    <row r="85" spans="1:27">
      <c r="A85" s="3">
        <f>Calculations!A734</f>
        <v>81</v>
      </c>
      <c r="B85">
        <f>Calculations!B734</f>
        <v>0</v>
      </c>
      <c r="C85">
        <f>Calculations!C734</f>
        <v>0</v>
      </c>
      <c r="D85">
        <f>Calculations!D734</f>
        <v>0</v>
      </c>
      <c r="E85" s="265">
        <f>Calculations!E734</f>
        <v>0</v>
      </c>
      <c r="F85" s="265">
        <f>Calculations!F734</f>
        <v>0</v>
      </c>
      <c r="G85" s="265">
        <f>Calculations!G734</f>
        <v>0</v>
      </c>
      <c r="H85" s="197">
        <f>Calculations!H734</f>
        <v>0</v>
      </c>
      <c r="I85" s="197">
        <f>Calculations!I734</f>
        <v>0</v>
      </c>
      <c r="J85" s="137">
        <f>Calculations!J734</f>
        <v>0</v>
      </c>
      <c r="K85" s="66">
        <f>Calculations!K734</f>
        <v>0</v>
      </c>
      <c r="L85" s="66">
        <f>Calculations!L734</f>
        <v>0</v>
      </c>
      <c r="M85">
        <f>Calculations!M734</f>
        <v>0</v>
      </c>
      <c r="N85" s="66">
        <f>Calculations!N734</f>
        <v>0</v>
      </c>
      <c r="O85" s="66">
        <f>Calculations!O734</f>
        <v>0</v>
      </c>
      <c r="P85" s="66">
        <f>Calculations!P734</f>
        <v>0</v>
      </c>
      <c r="Q85" s="204">
        <f>Calculations!Q734</f>
        <v>0</v>
      </c>
      <c r="R85" s="66">
        <f>Calculations!R734</f>
        <v>0</v>
      </c>
      <c r="S85" s="65">
        <f>Calculations!S734</f>
        <v>0</v>
      </c>
      <c r="T85" s="65">
        <f>Calculations!T734</f>
        <v>0</v>
      </c>
      <c r="U85" s="204">
        <f>Calculations!U734</f>
        <v>0</v>
      </c>
      <c r="V85" s="65">
        <f>Calculations!V734</f>
        <v>0</v>
      </c>
      <c r="W85" s="266">
        <f>Calculations!W734</f>
        <v>0</v>
      </c>
      <c r="X85" s="266">
        <f>Calculations!X734</f>
        <v>0</v>
      </c>
      <c r="Y85" s="266" t="e">
        <f>Calculations!Y734</f>
        <v>#DIV/0!</v>
      </c>
      <c r="Z85" s="266" t="e">
        <f>Calculations!Z734</f>
        <v>#DIV/0!</v>
      </c>
      <c r="AA85" s="266" t="e">
        <f>Calculations!AA734</f>
        <v>#DIV/0!</v>
      </c>
    </row>
    <row r="86" spans="1:27">
      <c r="A86" s="3">
        <f>Calculations!A735</f>
        <v>82</v>
      </c>
      <c r="B86">
        <f>Calculations!B735</f>
        <v>0</v>
      </c>
      <c r="C86">
        <f>Calculations!C735</f>
        <v>0</v>
      </c>
      <c r="D86">
        <f>Calculations!D735</f>
        <v>0</v>
      </c>
      <c r="E86" s="265">
        <f>Calculations!E735</f>
        <v>0</v>
      </c>
      <c r="F86" s="265">
        <f>Calculations!F735</f>
        <v>0</v>
      </c>
      <c r="G86" s="265">
        <f>Calculations!G735</f>
        <v>0</v>
      </c>
      <c r="H86" s="197">
        <f>Calculations!H735</f>
        <v>0</v>
      </c>
      <c r="I86" s="197">
        <f>Calculations!I735</f>
        <v>0</v>
      </c>
      <c r="J86" s="137">
        <f>Calculations!J735</f>
        <v>0</v>
      </c>
      <c r="K86" s="66">
        <f>Calculations!K735</f>
        <v>0</v>
      </c>
      <c r="L86" s="66">
        <f>Calculations!L735</f>
        <v>0</v>
      </c>
      <c r="M86">
        <f>Calculations!M735</f>
        <v>0</v>
      </c>
      <c r="N86" s="66">
        <f>Calculations!N735</f>
        <v>0</v>
      </c>
      <c r="O86" s="66">
        <f>Calculations!O735</f>
        <v>0</v>
      </c>
      <c r="P86" s="66">
        <f>Calculations!P735</f>
        <v>0</v>
      </c>
      <c r="Q86" s="204">
        <f>Calculations!Q735</f>
        <v>0</v>
      </c>
      <c r="R86" s="66">
        <f>Calculations!R735</f>
        <v>0</v>
      </c>
      <c r="S86" s="65">
        <f>Calculations!S735</f>
        <v>0</v>
      </c>
      <c r="T86" s="65">
        <f>Calculations!T735</f>
        <v>0</v>
      </c>
      <c r="U86" s="204">
        <f>Calculations!U735</f>
        <v>0</v>
      </c>
      <c r="V86" s="65">
        <f>Calculations!V735</f>
        <v>0</v>
      </c>
      <c r="W86" s="266">
        <f>Calculations!W735</f>
        <v>0</v>
      </c>
      <c r="X86" s="266">
        <f>Calculations!X735</f>
        <v>0</v>
      </c>
      <c r="Y86" s="266" t="e">
        <f>Calculations!Y735</f>
        <v>#DIV/0!</v>
      </c>
      <c r="Z86" s="266" t="e">
        <f>Calculations!Z735</f>
        <v>#DIV/0!</v>
      </c>
      <c r="AA86" s="266" t="e">
        <f>Calculations!AA735</f>
        <v>#DIV/0!</v>
      </c>
    </row>
    <row r="87" spans="1:27">
      <c r="A87" s="3">
        <f>Calculations!A736</f>
        <v>83</v>
      </c>
      <c r="B87">
        <f>Calculations!B736</f>
        <v>0</v>
      </c>
      <c r="C87">
        <f>Calculations!C736</f>
        <v>0</v>
      </c>
      <c r="D87">
        <f>Calculations!D736</f>
        <v>0</v>
      </c>
      <c r="E87" s="265">
        <f>Calculations!E736</f>
        <v>0</v>
      </c>
      <c r="F87" s="265">
        <f>Calculations!F736</f>
        <v>0</v>
      </c>
      <c r="G87" s="265">
        <f>Calculations!G736</f>
        <v>0</v>
      </c>
      <c r="H87" s="197">
        <f>Calculations!H736</f>
        <v>0</v>
      </c>
      <c r="I87" s="197">
        <f>Calculations!I736</f>
        <v>0</v>
      </c>
      <c r="J87" s="137">
        <f>Calculations!J736</f>
        <v>0</v>
      </c>
      <c r="K87" s="66">
        <f>Calculations!K736</f>
        <v>0</v>
      </c>
      <c r="L87" s="66">
        <f>Calculations!L736</f>
        <v>0</v>
      </c>
      <c r="M87">
        <f>Calculations!M736</f>
        <v>0</v>
      </c>
      <c r="N87" s="66">
        <f>Calculations!N736</f>
        <v>0</v>
      </c>
      <c r="O87" s="66">
        <f>Calculations!O736</f>
        <v>0</v>
      </c>
      <c r="P87" s="66">
        <f>Calculations!P736</f>
        <v>0</v>
      </c>
      <c r="Q87" s="204">
        <f>Calculations!Q736</f>
        <v>0</v>
      </c>
      <c r="R87" s="66">
        <f>Calculations!R736</f>
        <v>0</v>
      </c>
      <c r="S87" s="65">
        <f>Calculations!S736</f>
        <v>0</v>
      </c>
      <c r="T87" s="65">
        <f>Calculations!T736</f>
        <v>0</v>
      </c>
      <c r="U87" s="204">
        <f>Calculations!U736</f>
        <v>0</v>
      </c>
      <c r="V87" s="65">
        <f>Calculations!V736</f>
        <v>0</v>
      </c>
      <c r="W87" s="266">
        <f>Calculations!W736</f>
        <v>0</v>
      </c>
      <c r="X87" s="266">
        <f>Calculations!X736</f>
        <v>0</v>
      </c>
      <c r="Y87" s="266" t="e">
        <f>Calculations!Y736</f>
        <v>#DIV/0!</v>
      </c>
      <c r="Z87" s="266" t="e">
        <f>Calculations!Z736</f>
        <v>#DIV/0!</v>
      </c>
      <c r="AA87" s="266" t="e">
        <f>Calculations!AA736</f>
        <v>#DIV/0!</v>
      </c>
    </row>
    <row r="88" spans="1:27">
      <c r="A88" s="3">
        <f>Calculations!A737</f>
        <v>84</v>
      </c>
      <c r="B88">
        <f>Calculations!B737</f>
        <v>0</v>
      </c>
      <c r="C88">
        <f>Calculations!C737</f>
        <v>0</v>
      </c>
      <c r="D88">
        <f>Calculations!D737</f>
        <v>0</v>
      </c>
      <c r="E88" s="265">
        <f>Calculations!E737</f>
        <v>0</v>
      </c>
      <c r="F88" s="265">
        <f>Calculations!F737</f>
        <v>0</v>
      </c>
      <c r="G88" s="265">
        <f>Calculations!G737</f>
        <v>0</v>
      </c>
      <c r="H88" s="197">
        <f>Calculations!H737</f>
        <v>0</v>
      </c>
      <c r="I88" s="197">
        <f>Calculations!I737</f>
        <v>0</v>
      </c>
      <c r="J88" s="137">
        <f>Calculations!J737</f>
        <v>0</v>
      </c>
      <c r="K88" s="66">
        <f>Calculations!K737</f>
        <v>0</v>
      </c>
      <c r="L88" s="66">
        <f>Calculations!L737</f>
        <v>0</v>
      </c>
      <c r="M88">
        <f>Calculations!M737</f>
        <v>0</v>
      </c>
      <c r="N88" s="66">
        <f>Calculations!N737</f>
        <v>0</v>
      </c>
      <c r="O88" s="66">
        <f>Calculations!O737</f>
        <v>0</v>
      </c>
      <c r="P88" s="66">
        <f>Calculations!P737</f>
        <v>0</v>
      </c>
      <c r="Q88" s="204">
        <f>Calculations!Q737</f>
        <v>0</v>
      </c>
      <c r="R88" s="66">
        <f>Calculations!R737</f>
        <v>0</v>
      </c>
      <c r="S88" s="65">
        <f>Calculations!S737</f>
        <v>0</v>
      </c>
      <c r="T88" s="65">
        <f>Calculations!T737</f>
        <v>0</v>
      </c>
      <c r="U88" s="204">
        <f>Calculations!U737</f>
        <v>0</v>
      </c>
      <c r="V88" s="65">
        <f>Calculations!V737</f>
        <v>0</v>
      </c>
      <c r="W88" s="266">
        <f>Calculations!W737</f>
        <v>0</v>
      </c>
      <c r="X88" s="266">
        <f>Calculations!X737</f>
        <v>0</v>
      </c>
      <c r="Y88" s="266" t="e">
        <f>Calculations!Y737</f>
        <v>#DIV/0!</v>
      </c>
      <c r="Z88" s="266" t="e">
        <f>Calculations!Z737</f>
        <v>#DIV/0!</v>
      </c>
      <c r="AA88" s="266" t="e">
        <f>Calculations!AA737</f>
        <v>#DIV/0!</v>
      </c>
    </row>
    <row r="89" spans="1:27">
      <c r="A89" s="3">
        <f>Calculations!A738</f>
        <v>85</v>
      </c>
      <c r="B89">
        <f>Calculations!B738</f>
        <v>0</v>
      </c>
      <c r="C89">
        <f>Calculations!C738</f>
        <v>0</v>
      </c>
      <c r="D89">
        <f>Calculations!D738</f>
        <v>0</v>
      </c>
      <c r="E89" s="265">
        <f>Calculations!E738</f>
        <v>0</v>
      </c>
      <c r="F89" s="265">
        <f>Calculations!F738</f>
        <v>0</v>
      </c>
      <c r="G89" s="265">
        <f>Calculations!G738</f>
        <v>0</v>
      </c>
      <c r="H89" s="197">
        <f>Calculations!H738</f>
        <v>0</v>
      </c>
      <c r="I89" s="197">
        <f>Calculations!I738</f>
        <v>0</v>
      </c>
      <c r="J89" s="137">
        <f>Calculations!J738</f>
        <v>0</v>
      </c>
      <c r="K89" s="66">
        <f>Calculations!K738</f>
        <v>0</v>
      </c>
      <c r="L89" s="66">
        <f>Calculations!L738</f>
        <v>0</v>
      </c>
      <c r="M89">
        <f>Calculations!M738</f>
        <v>0</v>
      </c>
      <c r="N89" s="66">
        <f>Calculations!N738</f>
        <v>0</v>
      </c>
      <c r="O89" s="66">
        <f>Calculations!O738</f>
        <v>0</v>
      </c>
      <c r="P89" s="66">
        <f>Calculations!P738</f>
        <v>0</v>
      </c>
      <c r="Q89" s="204">
        <f>Calculations!Q738</f>
        <v>0</v>
      </c>
      <c r="R89" s="66">
        <f>Calculations!R738</f>
        <v>0</v>
      </c>
      <c r="S89" s="65">
        <f>Calculations!S738</f>
        <v>0</v>
      </c>
      <c r="T89" s="65">
        <f>Calculations!T738</f>
        <v>0</v>
      </c>
      <c r="U89" s="204">
        <f>Calculations!U738</f>
        <v>0</v>
      </c>
      <c r="V89" s="65">
        <f>Calculations!V738</f>
        <v>0</v>
      </c>
      <c r="W89" s="266">
        <f>Calculations!W738</f>
        <v>0</v>
      </c>
      <c r="X89" s="266">
        <f>Calculations!X738</f>
        <v>0</v>
      </c>
      <c r="Y89" s="266" t="e">
        <f>Calculations!Y738</f>
        <v>#DIV/0!</v>
      </c>
      <c r="Z89" s="266" t="e">
        <f>Calculations!Z738</f>
        <v>#DIV/0!</v>
      </c>
      <c r="AA89" s="266" t="e">
        <f>Calculations!AA738</f>
        <v>#DIV/0!</v>
      </c>
    </row>
    <row r="90" spans="1:27">
      <c r="A90" s="3">
        <f>Calculations!A739</f>
        <v>86</v>
      </c>
      <c r="B90">
        <f>Calculations!B739</f>
        <v>0</v>
      </c>
      <c r="C90">
        <f>Calculations!C739</f>
        <v>0</v>
      </c>
      <c r="D90">
        <f>Calculations!D739</f>
        <v>0</v>
      </c>
      <c r="E90" s="265">
        <f>Calculations!E739</f>
        <v>0</v>
      </c>
      <c r="F90" s="265">
        <f>Calculations!F739</f>
        <v>0</v>
      </c>
      <c r="G90" s="265">
        <f>Calculations!G739</f>
        <v>0</v>
      </c>
      <c r="H90" s="197">
        <f>Calculations!H739</f>
        <v>0</v>
      </c>
      <c r="I90" s="197">
        <f>Calculations!I739</f>
        <v>0</v>
      </c>
      <c r="J90" s="137">
        <f>Calculations!J739</f>
        <v>0</v>
      </c>
      <c r="K90" s="66">
        <f>Calculations!K739</f>
        <v>0</v>
      </c>
      <c r="L90" s="66">
        <f>Calculations!L739</f>
        <v>0</v>
      </c>
      <c r="M90">
        <f>Calculations!M739</f>
        <v>0</v>
      </c>
      <c r="N90" s="66">
        <f>Calculations!N739</f>
        <v>0</v>
      </c>
      <c r="O90" s="66">
        <f>Calculations!O739</f>
        <v>0</v>
      </c>
      <c r="P90" s="66">
        <f>Calculations!P739</f>
        <v>0</v>
      </c>
      <c r="Q90" s="204">
        <f>Calculations!Q739</f>
        <v>0</v>
      </c>
      <c r="R90" s="66">
        <f>Calculations!R739</f>
        <v>0</v>
      </c>
      <c r="S90" s="65">
        <f>Calculations!S739</f>
        <v>0</v>
      </c>
      <c r="T90" s="65">
        <f>Calculations!T739</f>
        <v>0</v>
      </c>
      <c r="U90" s="204">
        <f>Calculations!U739</f>
        <v>0</v>
      </c>
      <c r="V90" s="65">
        <f>Calculations!V739</f>
        <v>0</v>
      </c>
      <c r="W90" s="266">
        <f>Calculations!W739</f>
        <v>0</v>
      </c>
      <c r="X90" s="266">
        <f>Calculations!X739</f>
        <v>0</v>
      </c>
      <c r="Y90" s="266" t="e">
        <f>Calculations!Y739</f>
        <v>#DIV/0!</v>
      </c>
      <c r="Z90" s="266" t="e">
        <f>Calculations!Z739</f>
        <v>#DIV/0!</v>
      </c>
      <c r="AA90" s="266" t="e">
        <f>Calculations!AA739</f>
        <v>#DIV/0!</v>
      </c>
    </row>
    <row r="91" spans="1:27">
      <c r="A91" s="3">
        <f>Calculations!A740</f>
        <v>87</v>
      </c>
      <c r="B91">
        <f>Calculations!B740</f>
        <v>0</v>
      </c>
      <c r="C91">
        <f>Calculations!C740</f>
        <v>0</v>
      </c>
      <c r="D91">
        <f>Calculations!D740</f>
        <v>0</v>
      </c>
      <c r="E91" s="265">
        <f>Calculations!E740</f>
        <v>0</v>
      </c>
      <c r="F91" s="265">
        <f>Calculations!F740</f>
        <v>0</v>
      </c>
      <c r="G91" s="265">
        <f>Calculations!G740</f>
        <v>0</v>
      </c>
      <c r="H91" s="197">
        <f>Calculations!H740</f>
        <v>0</v>
      </c>
      <c r="I91" s="197">
        <f>Calculations!I740</f>
        <v>0</v>
      </c>
      <c r="J91" s="137">
        <f>Calculations!J740</f>
        <v>0</v>
      </c>
      <c r="K91" s="66">
        <f>Calculations!K740</f>
        <v>0</v>
      </c>
      <c r="L91" s="66">
        <f>Calculations!L740</f>
        <v>0</v>
      </c>
      <c r="M91">
        <f>Calculations!M740</f>
        <v>0</v>
      </c>
      <c r="N91" s="66">
        <f>Calculations!N740</f>
        <v>0</v>
      </c>
      <c r="O91" s="66">
        <f>Calculations!O740</f>
        <v>0</v>
      </c>
      <c r="P91" s="66">
        <f>Calculations!P740</f>
        <v>0</v>
      </c>
      <c r="Q91" s="204">
        <f>Calculations!Q740</f>
        <v>0</v>
      </c>
      <c r="R91" s="66">
        <f>Calculations!R740</f>
        <v>0</v>
      </c>
      <c r="S91" s="65">
        <f>Calculations!S740</f>
        <v>0</v>
      </c>
      <c r="T91" s="65">
        <f>Calculations!T740</f>
        <v>0</v>
      </c>
      <c r="U91" s="204">
        <f>Calculations!U740</f>
        <v>0</v>
      </c>
      <c r="V91" s="65">
        <f>Calculations!V740</f>
        <v>0</v>
      </c>
      <c r="W91" s="266">
        <f>Calculations!W740</f>
        <v>0</v>
      </c>
      <c r="X91" s="266">
        <f>Calculations!X740</f>
        <v>0</v>
      </c>
      <c r="Y91" s="266" t="e">
        <f>Calculations!Y740</f>
        <v>#DIV/0!</v>
      </c>
      <c r="Z91" s="266" t="e">
        <f>Calculations!Z740</f>
        <v>#DIV/0!</v>
      </c>
      <c r="AA91" s="266" t="e">
        <f>Calculations!AA740</f>
        <v>#DIV/0!</v>
      </c>
    </row>
    <row r="92" spans="1:27">
      <c r="A92" s="3">
        <f>Calculations!A741</f>
        <v>88</v>
      </c>
      <c r="B92">
        <f>Calculations!B741</f>
        <v>0</v>
      </c>
      <c r="C92">
        <f>Calculations!C741</f>
        <v>0</v>
      </c>
      <c r="D92">
        <f>Calculations!D741</f>
        <v>0</v>
      </c>
      <c r="E92" s="265">
        <f>Calculations!E741</f>
        <v>0</v>
      </c>
      <c r="F92" s="265">
        <f>Calculations!F741</f>
        <v>0</v>
      </c>
      <c r="G92" s="265">
        <f>Calculations!G741</f>
        <v>0</v>
      </c>
      <c r="H92" s="197">
        <f>Calculations!H741</f>
        <v>0</v>
      </c>
      <c r="I92" s="197">
        <f>Calculations!I741</f>
        <v>0</v>
      </c>
      <c r="J92" s="137">
        <f>Calculations!J741</f>
        <v>0</v>
      </c>
      <c r="K92" s="66">
        <f>Calculations!K741</f>
        <v>0</v>
      </c>
      <c r="L92" s="66">
        <f>Calculations!L741</f>
        <v>0</v>
      </c>
      <c r="M92">
        <f>Calculations!M741</f>
        <v>0</v>
      </c>
      <c r="N92" s="66">
        <f>Calculations!N741</f>
        <v>0</v>
      </c>
      <c r="O92" s="66">
        <f>Calculations!O741</f>
        <v>0</v>
      </c>
      <c r="P92" s="66">
        <f>Calculations!P741</f>
        <v>0</v>
      </c>
      <c r="Q92" s="204">
        <f>Calculations!Q741</f>
        <v>0</v>
      </c>
      <c r="R92" s="66">
        <f>Calculations!R741</f>
        <v>0</v>
      </c>
      <c r="S92" s="65">
        <f>Calculations!S741</f>
        <v>0</v>
      </c>
      <c r="T92" s="65">
        <f>Calculations!T741</f>
        <v>0</v>
      </c>
      <c r="U92" s="204">
        <f>Calculations!U741</f>
        <v>0</v>
      </c>
      <c r="V92" s="65">
        <f>Calculations!V741</f>
        <v>0</v>
      </c>
      <c r="W92" s="266">
        <f>Calculations!W741</f>
        <v>0</v>
      </c>
      <c r="X92" s="266">
        <f>Calculations!X741</f>
        <v>0</v>
      </c>
      <c r="Y92" s="266" t="e">
        <f>Calculations!Y741</f>
        <v>#DIV/0!</v>
      </c>
      <c r="Z92" s="266" t="e">
        <f>Calculations!Z741</f>
        <v>#DIV/0!</v>
      </c>
      <c r="AA92" s="266" t="e">
        <f>Calculations!AA741</f>
        <v>#DIV/0!</v>
      </c>
    </row>
    <row r="93" spans="1:27">
      <c r="A93" s="3">
        <f>Calculations!A742</f>
        <v>89</v>
      </c>
      <c r="B93">
        <f>Calculations!B742</f>
        <v>0</v>
      </c>
      <c r="C93">
        <f>Calculations!C742</f>
        <v>0</v>
      </c>
      <c r="D93">
        <f>Calculations!D742</f>
        <v>0</v>
      </c>
      <c r="E93" s="265">
        <f>Calculations!E742</f>
        <v>0</v>
      </c>
      <c r="F93" s="265">
        <f>Calculations!F742</f>
        <v>0</v>
      </c>
      <c r="G93" s="265">
        <f>Calculations!G742</f>
        <v>0</v>
      </c>
      <c r="H93" s="197">
        <f>Calculations!H742</f>
        <v>0</v>
      </c>
      <c r="I93" s="197">
        <f>Calculations!I742</f>
        <v>0</v>
      </c>
      <c r="J93" s="137">
        <f>Calculations!J742</f>
        <v>0</v>
      </c>
      <c r="K93" s="66">
        <f>Calculations!K742</f>
        <v>0</v>
      </c>
      <c r="L93" s="66">
        <f>Calculations!L742</f>
        <v>0</v>
      </c>
      <c r="M93">
        <f>Calculations!M742</f>
        <v>0</v>
      </c>
      <c r="N93" s="66">
        <f>Calculations!N742</f>
        <v>0</v>
      </c>
      <c r="O93" s="66">
        <f>Calculations!O742</f>
        <v>0</v>
      </c>
      <c r="P93" s="66">
        <f>Calculations!P742</f>
        <v>0</v>
      </c>
      <c r="Q93" s="204">
        <f>Calculations!Q742</f>
        <v>0</v>
      </c>
      <c r="R93" s="66">
        <f>Calculations!R742</f>
        <v>0</v>
      </c>
      <c r="S93" s="65">
        <f>Calculations!S742</f>
        <v>0</v>
      </c>
      <c r="T93" s="65">
        <f>Calculations!T742</f>
        <v>0</v>
      </c>
      <c r="U93" s="204">
        <f>Calculations!U742</f>
        <v>0</v>
      </c>
      <c r="V93" s="65">
        <f>Calculations!V742</f>
        <v>0</v>
      </c>
      <c r="W93" s="266">
        <f>Calculations!W742</f>
        <v>0</v>
      </c>
      <c r="X93" s="266">
        <f>Calculations!X742</f>
        <v>0</v>
      </c>
      <c r="Y93" s="266" t="e">
        <f>Calculations!Y742</f>
        <v>#DIV/0!</v>
      </c>
      <c r="Z93" s="266" t="e">
        <f>Calculations!Z742</f>
        <v>#DIV/0!</v>
      </c>
      <c r="AA93" s="266" t="e">
        <f>Calculations!AA742</f>
        <v>#DIV/0!</v>
      </c>
    </row>
    <row r="94" spans="1:27">
      <c r="A94" s="3">
        <f>Calculations!A743</f>
        <v>90</v>
      </c>
      <c r="B94">
        <f>Calculations!B743</f>
        <v>0</v>
      </c>
      <c r="C94">
        <f>Calculations!C743</f>
        <v>0</v>
      </c>
      <c r="D94">
        <f>Calculations!D743</f>
        <v>0</v>
      </c>
      <c r="E94" s="265">
        <f>Calculations!E743</f>
        <v>0</v>
      </c>
      <c r="F94" s="265">
        <f>Calculations!F743</f>
        <v>0</v>
      </c>
      <c r="G94" s="265">
        <f>Calculations!G743</f>
        <v>0</v>
      </c>
      <c r="H94" s="197">
        <f>Calculations!H743</f>
        <v>0</v>
      </c>
      <c r="I94" s="197">
        <f>Calculations!I743</f>
        <v>0</v>
      </c>
      <c r="J94" s="137">
        <f>Calculations!J743</f>
        <v>0</v>
      </c>
      <c r="K94" s="66">
        <f>Calculations!K743</f>
        <v>0</v>
      </c>
      <c r="L94" s="66">
        <f>Calculations!L743</f>
        <v>0</v>
      </c>
      <c r="M94">
        <f>Calculations!M743</f>
        <v>0</v>
      </c>
      <c r="N94" s="66">
        <f>Calculations!N743</f>
        <v>0</v>
      </c>
      <c r="O94" s="66">
        <f>Calculations!O743</f>
        <v>0</v>
      </c>
      <c r="P94" s="66">
        <f>Calculations!P743</f>
        <v>0</v>
      </c>
      <c r="Q94" s="204">
        <f>Calculations!Q743</f>
        <v>0</v>
      </c>
      <c r="R94" s="66">
        <f>Calculations!R743</f>
        <v>0</v>
      </c>
      <c r="S94" s="65">
        <f>Calculations!S743</f>
        <v>0</v>
      </c>
      <c r="T94" s="65">
        <f>Calculations!T743</f>
        <v>0</v>
      </c>
      <c r="U94" s="204">
        <f>Calculations!U743</f>
        <v>0</v>
      </c>
      <c r="V94" s="65">
        <f>Calculations!V743</f>
        <v>0</v>
      </c>
      <c r="W94" s="266">
        <f>Calculations!W743</f>
        <v>0</v>
      </c>
      <c r="X94" s="266">
        <f>Calculations!X743</f>
        <v>0</v>
      </c>
      <c r="Y94" s="266" t="e">
        <f>Calculations!Y743</f>
        <v>#DIV/0!</v>
      </c>
      <c r="Z94" s="266" t="e">
        <f>Calculations!Z743</f>
        <v>#DIV/0!</v>
      </c>
      <c r="AA94" s="266" t="e">
        <f>Calculations!AA743</f>
        <v>#DIV/0!</v>
      </c>
    </row>
    <row r="95" spans="1:27">
      <c r="A95" s="3">
        <f>Calculations!A744</f>
        <v>91</v>
      </c>
      <c r="B95">
        <f>Calculations!B744</f>
        <v>0</v>
      </c>
      <c r="C95">
        <f>Calculations!C744</f>
        <v>0</v>
      </c>
      <c r="D95">
        <f>Calculations!D744</f>
        <v>0</v>
      </c>
      <c r="E95" s="265">
        <f>Calculations!E744</f>
        <v>0</v>
      </c>
      <c r="F95" s="265">
        <f>Calculations!F744</f>
        <v>0</v>
      </c>
      <c r="G95" s="265">
        <f>Calculations!G744</f>
        <v>0</v>
      </c>
      <c r="H95" s="197">
        <f>Calculations!H744</f>
        <v>0</v>
      </c>
      <c r="I95" s="197">
        <f>Calculations!I744</f>
        <v>0</v>
      </c>
      <c r="J95" s="137">
        <f>Calculations!J744</f>
        <v>0</v>
      </c>
      <c r="K95" s="66">
        <f>Calculations!K744</f>
        <v>0</v>
      </c>
      <c r="L95" s="66">
        <f>Calculations!L744</f>
        <v>0</v>
      </c>
      <c r="M95">
        <f>Calculations!M744</f>
        <v>0</v>
      </c>
      <c r="N95" s="66">
        <f>Calculations!N744</f>
        <v>0</v>
      </c>
      <c r="O95" s="66">
        <f>Calculations!O744</f>
        <v>0</v>
      </c>
      <c r="P95" s="66">
        <f>Calculations!P744</f>
        <v>0</v>
      </c>
      <c r="Q95" s="204">
        <f>Calculations!Q744</f>
        <v>0</v>
      </c>
      <c r="R95" s="66">
        <f>Calculations!R744</f>
        <v>0</v>
      </c>
      <c r="S95" s="65">
        <f>Calculations!S744</f>
        <v>0</v>
      </c>
      <c r="T95" s="65">
        <f>Calculations!T744</f>
        <v>0</v>
      </c>
      <c r="U95" s="204">
        <f>Calculations!U744</f>
        <v>0</v>
      </c>
      <c r="V95" s="65">
        <f>Calculations!V744</f>
        <v>0</v>
      </c>
      <c r="W95" s="266">
        <f>Calculations!W744</f>
        <v>0</v>
      </c>
      <c r="X95" s="266">
        <f>Calculations!X744</f>
        <v>0</v>
      </c>
      <c r="Y95" s="266" t="e">
        <f>Calculations!Y744</f>
        <v>#DIV/0!</v>
      </c>
      <c r="Z95" s="266" t="e">
        <f>Calculations!Z744</f>
        <v>#DIV/0!</v>
      </c>
      <c r="AA95" s="266" t="e">
        <f>Calculations!AA744</f>
        <v>#DIV/0!</v>
      </c>
    </row>
    <row r="96" spans="1:27">
      <c r="A96" s="3">
        <f>Calculations!A745</f>
        <v>92</v>
      </c>
      <c r="B96">
        <f>Calculations!B745</f>
        <v>0</v>
      </c>
      <c r="C96">
        <f>Calculations!C745</f>
        <v>0</v>
      </c>
      <c r="D96">
        <f>Calculations!D745</f>
        <v>0</v>
      </c>
      <c r="E96" s="265">
        <f>Calculations!E745</f>
        <v>0</v>
      </c>
      <c r="F96" s="265">
        <f>Calculations!F745</f>
        <v>0</v>
      </c>
      <c r="G96" s="265">
        <f>Calculations!G745</f>
        <v>0</v>
      </c>
      <c r="H96" s="197">
        <f>Calculations!H745</f>
        <v>0</v>
      </c>
      <c r="I96" s="197">
        <f>Calculations!I745</f>
        <v>0</v>
      </c>
      <c r="J96" s="137">
        <f>Calculations!J745</f>
        <v>0</v>
      </c>
      <c r="K96" s="66">
        <f>Calculations!K745</f>
        <v>0</v>
      </c>
      <c r="L96" s="66">
        <f>Calculations!L745</f>
        <v>0</v>
      </c>
      <c r="M96">
        <f>Calculations!M745</f>
        <v>0</v>
      </c>
      <c r="N96" s="66">
        <f>Calculations!N745</f>
        <v>0</v>
      </c>
      <c r="O96" s="66">
        <f>Calculations!O745</f>
        <v>0</v>
      </c>
      <c r="P96" s="66">
        <f>Calculations!P745</f>
        <v>0</v>
      </c>
      <c r="Q96" s="204">
        <f>Calculations!Q745</f>
        <v>0</v>
      </c>
      <c r="R96" s="66">
        <f>Calculations!R745</f>
        <v>0</v>
      </c>
      <c r="S96" s="65">
        <f>Calculations!S745</f>
        <v>0</v>
      </c>
      <c r="T96" s="65">
        <f>Calculations!T745</f>
        <v>0</v>
      </c>
      <c r="U96" s="204">
        <f>Calculations!U745</f>
        <v>0</v>
      </c>
      <c r="V96" s="65">
        <f>Calculations!V745</f>
        <v>0</v>
      </c>
      <c r="W96" s="266">
        <f>Calculations!W745</f>
        <v>0</v>
      </c>
      <c r="X96" s="266">
        <f>Calculations!X745</f>
        <v>0</v>
      </c>
      <c r="Y96" s="266" t="e">
        <f>Calculations!Y745</f>
        <v>#DIV/0!</v>
      </c>
      <c r="Z96" s="266" t="e">
        <f>Calculations!Z745</f>
        <v>#DIV/0!</v>
      </c>
      <c r="AA96" s="266" t="e">
        <f>Calculations!AA745</f>
        <v>#DIV/0!</v>
      </c>
    </row>
    <row r="97" spans="1:27">
      <c r="A97" s="3">
        <f>Calculations!A746</f>
        <v>93</v>
      </c>
      <c r="B97">
        <f>Calculations!B746</f>
        <v>0</v>
      </c>
      <c r="C97">
        <f>Calculations!C746</f>
        <v>0</v>
      </c>
      <c r="D97">
        <f>Calculations!D746</f>
        <v>0</v>
      </c>
      <c r="E97" s="265">
        <f>Calculations!E746</f>
        <v>0</v>
      </c>
      <c r="F97" s="265">
        <f>Calculations!F746</f>
        <v>0</v>
      </c>
      <c r="G97" s="265">
        <f>Calculations!G746</f>
        <v>0</v>
      </c>
      <c r="H97" s="197">
        <f>Calculations!H746</f>
        <v>0</v>
      </c>
      <c r="I97" s="197">
        <f>Calculations!I746</f>
        <v>0</v>
      </c>
      <c r="J97" s="137">
        <f>Calculations!J746</f>
        <v>0</v>
      </c>
      <c r="K97" s="66">
        <f>Calculations!K746</f>
        <v>0</v>
      </c>
      <c r="L97" s="66">
        <f>Calculations!L746</f>
        <v>0</v>
      </c>
      <c r="M97">
        <f>Calculations!M746</f>
        <v>0</v>
      </c>
      <c r="N97" s="66">
        <f>Calculations!N746</f>
        <v>0</v>
      </c>
      <c r="O97" s="66">
        <f>Calculations!O746</f>
        <v>0</v>
      </c>
      <c r="P97" s="66">
        <f>Calculations!P746</f>
        <v>0</v>
      </c>
      <c r="Q97" s="204">
        <f>Calculations!Q746</f>
        <v>0</v>
      </c>
      <c r="R97" s="66">
        <f>Calculations!R746</f>
        <v>0</v>
      </c>
      <c r="S97" s="65">
        <f>Calculations!S746</f>
        <v>0</v>
      </c>
      <c r="T97" s="65">
        <f>Calculations!T746</f>
        <v>0</v>
      </c>
      <c r="U97" s="204">
        <f>Calculations!U746</f>
        <v>0</v>
      </c>
      <c r="V97" s="65">
        <f>Calculations!V746</f>
        <v>0</v>
      </c>
      <c r="W97" s="266">
        <f>Calculations!W746</f>
        <v>0</v>
      </c>
      <c r="X97" s="266">
        <f>Calculations!X746</f>
        <v>0</v>
      </c>
      <c r="Y97" s="266" t="e">
        <f>Calculations!Y746</f>
        <v>#DIV/0!</v>
      </c>
      <c r="Z97" s="266" t="e">
        <f>Calculations!Z746</f>
        <v>#DIV/0!</v>
      </c>
      <c r="AA97" s="266" t="e">
        <f>Calculations!AA746</f>
        <v>#DIV/0!</v>
      </c>
    </row>
    <row r="98" spans="1:27">
      <c r="A98" s="3">
        <f>Calculations!A747</f>
        <v>94</v>
      </c>
      <c r="B98">
        <f>Calculations!B747</f>
        <v>0</v>
      </c>
      <c r="C98">
        <f>Calculations!C747</f>
        <v>0</v>
      </c>
      <c r="D98">
        <f>Calculations!D747</f>
        <v>0</v>
      </c>
      <c r="E98" s="265">
        <f>Calculations!E747</f>
        <v>0</v>
      </c>
      <c r="F98" s="265">
        <f>Calculations!F747</f>
        <v>0</v>
      </c>
      <c r="G98" s="265">
        <f>Calculations!G747</f>
        <v>0</v>
      </c>
      <c r="H98" s="197">
        <f>Calculations!H747</f>
        <v>0</v>
      </c>
      <c r="I98" s="197">
        <f>Calculations!I747</f>
        <v>0</v>
      </c>
      <c r="J98" s="137">
        <f>Calculations!J747</f>
        <v>0</v>
      </c>
      <c r="K98" s="66">
        <f>Calculations!K747</f>
        <v>0</v>
      </c>
      <c r="L98" s="66">
        <f>Calculations!L747</f>
        <v>0</v>
      </c>
      <c r="M98">
        <f>Calculations!M747</f>
        <v>0</v>
      </c>
      <c r="N98" s="66">
        <f>Calculations!N747</f>
        <v>0</v>
      </c>
      <c r="O98" s="66">
        <f>Calculations!O747</f>
        <v>0</v>
      </c>
      <c r="P98" s="66">
        <f>Calculations!P747</f>
        <v>0</v>
      </c>
      <c r="Q98" s="204">
        <f>Calculations!Q747</f>
        <v>0</v>
      </c>
      <c r="R98" s="66">
        <f>Calculations!R747</f>
        <v>0</v>
      </c>
      <c r="S98" s="65">
        <f>Calculations!S747</f>
        <v>0</v>
      </c>
      <c r="T98" s="65">
        <f>Calculations!T747</f>
        <v>0</v>
      </c>
      <c r="U98" s="204">
        <f>Calculations!U747</f>
        <v>0</v>
      </c>
      <c r="V98" s="65">
        <f>Calculations!V747</f>
        <v>0</v>
      </c>
      <c r="W98" s="266">
        <f>Calculations!W747</f>
        <v>0</v>
      </c>
      <c r="X98" s="266">
        <f>Calculations!X747</f>
        <v>0</v>
      </c>
      <c r="Y98" s="266" t="e">
        <f>Calculations!Y747</f>
        <v>#DIV/0!</v>
      </c>
      <c r="Z98" s="266" t="e">
        <f>Calculations!Z747</f>
        <v>#DIV/0!</v>
      </c>
      <c r="AA98" s="266" t="e">
        <f>Calculations!AA747</f>
        <v>#DIV/0!</v>
      </c>
    </row>
    <row r="99" spans="1:27">
      <c r="A99" s="3">
        <f>Calculations!A748</f>
        <v>95</v>
      </c>
      <c r="B99">
        <f>Calculations!B748</f>
        <v>0</v>
      </c>
      <c r="C99">
        <f>Calculations!C748</f>
        <v>0</v>
      </c>
      <c r="D99">
        <f>Calculations!D748</f>
        <v>0</v>
      </c>
      <c r="E99" s="265">
        <f>Calculations!E748</f>
        <v>0</v>
      </c>
      <c r="F99" s="265">
        <f>Calculations!F748</f>
        <v>0</v>
      </c>
      <c r="G99" s="265">
        <f>Calculations!G748</f>
        <v>0</v>
      </c>
      <c r="H99" s="197">
        <f>Calculations!H748</f>
        <v>0</v>
      </c>
      <c r="I99" s="197">
        <f>Calculations!I748</f>
        <v>0</v>
      </c>
      <c r="J99" s="137">
        <f>Calculations!J748</f>
        <v>0</v>
      </c>
      <c r="K99" s="66">
        <f>Calculations!K748</f>
        <v>0</v>
      </c>
      <c r="L99" s="66">
        <f>Calculations!L748</f>
        <v>0</v>
      </c>
      <c r="M99">
        <f>Calculations!M748</f>
        <v>0</v>
      </c>
      <c r="N99" s="66">
        <f>Calculations!N748</f>
        <v>0</v>
      </c>
      <c r="O99" s="66">
        <f>Calculations!O748</f>
        <v>0</v>
      </c>
      <c r="P99" s="66">
        <f>Calculations!P748</f>
        <v>0</v>
      </c>
      <c r="Q99" s="204">
        <f>Calculations!Q748</f>
        <v>0</v>
      </c>
      <c r="R99" s="66">
        <f>Calculations!R748</f>
        <v>0</v>
      </c>
      <c r="S99" s="65">
        <f>Calculations!S748</f>
        <v>0</v>
      </c>
      <c r="T99" s="65">
        <f>Calculations!T748</f>
        <v>0</v>
      </c>
      <c r="U99" s="204">
        <f>Calculations!U748</f>
        <v>0</v>
      </c>
      <c r="V99" s="65">
        <f>Calculations!V748</f>
        <v>0</v>
      </c>
      <c r="W99" s="266">
        <f>Calculations!W748</f>
        <v>0</v>
      </c>
      <c r="X99" s="266">
        <f>Calculations!X748</f>
        <v>0</v>
      </c>
      <c r="Y99" s="266" t="e">
        <f>Calculations!Y748</f>
        <v>#DIV/0!</v>
      </c>
      <c r="Z99" s="266" t="e">
        <f>Calculations!Z748</f>
        <v>#DIV/0!</v>
      </c>
      <c r="AA99" s="266" t="e">
        <f>Calculations!AA748</f>
        <v>#DIV/0!</v>
      </c>
    </row>
    <row r="100" spans="1:27">
      <c r="A100" s="3">
        <f>Calculations!A749</f>
        <v>96</v>
      </c>
      <c r="B100">
        <f>Calculations!B749</f>
        <v>0</v>
      </c>
      <c r="C100">
        <f>Calculations!C749</f>
        <v>0</v>
      </c>
      <c r="D100">
        <f>Calculations!D749</f>
        <v>0</v>
      </c>
      <c r="E100" s="265">
        <f>Calculations!E749</f>
        <v>0</v>
      </c>
      <c r="F100" s="265">
        <f>Calculations!F749</f>
        <v>0</v>
      </c>
      <c r="G100" s="265">
        <f>Calculations!G749</f>
        <v>0</v>
      </c>
      <c r="H100" s="197">
        <f>Calculations!H749</f>
        <v>0</v>
      </c>
      <c r="I100" s="197">
        <f>Calculations!I749</f>
        <v>0</v>
      </c>
      <c r="J100" s="137">
        <f>Calculations!J749</f>
        <v>0</v>
      </c>
      <c r="K100" s="66">
        <f>Calculations!K749</f>
        <v>0</v>
      </c>
      <c r="L100" s="66">
        <f>Calculations!L749</f>
        <v>0</v>
      </c>
      <c r="M100">
        <f>Calculations!M749</f>
        <v>0</v>
      </c>
      <c r="N100" s="66">
        <f>Calculations!N749</f>
        <v>0</v>
      </c>
      <c r="O100" s="66">
        <f>Calculations!O749</f>
        <v>0</v>
      </c>
      <c r="P100" s="66">
        <f>Calculations!P749</f>
        <v>0</v>
      </c>
      <c r="Q100" s="204">
        <f>Calculations!Q749</f>
        <v>0</v>
      </c>
      <c r="R100" s="66">
        <f>Calculations!R749</f>
        <v>0</v>
      </c>
      <c r="S100" s="65">
        <f>Calculations!S749</f>
        <v>0</v>
      </c>
      <c r="T100" s="65">
        <f>Calculations!T749</f>
        <v>0</v>
      </c>
      <c r="U100" s="204">
        <f>Calculations!U749</f>
        <v>0</v>
      </c>
      <c r="V100" s="65">
        <f>Calculations!V749</f>
        <v>0</v>
      </c>
      <c r="W100" s="266">
        <f>Calculations!W749</f>
        <v>0</v>
      </c>
      <c r="X100" s="266">
        <f>Calculations!X749</f>
        <v>0</v>
      </c>
      <c r="Y100" s="266" t="e">
        <f>Calculations!Y749</f>
        <v>#DIV/0!</v>
      </c>
      <c r="Z100" s="266" t="e">
        <f>Calculations!Z749</f>
        <v>#DIV/0!</v>
      </c>
      <c r="AA100" s="266" t="e">
        <f>Calculations!AA749</f>
        <v>#DIV/0!</v>
      </c>
    </row>
    <row r="101" spans="1:27">
      <c r="A101" s="3">
        <f>Calculations!A750</f>
        <v>97</v>
      </c>
      <c r="B101">
        <f>Calculations!B750</f>
        <v>0</v>
      </c>
      <c r="C101">
        <f>Calculations!C750</f>
        <v>0</v>
      </c>
      <c r="D101">
        <f>Calculations!D750</f>
        <v>0</v>
      </c>
      <c r="E101" s="265">
        <f>Calculations!E750</f>
        <v>0</v>
      </c>
      <c r="F101" s="265">
        <f>Calculations!F750</f>
        <v>0</v>
      </c>
      <c r="G101" s="265">
        <f>Calculations!G750</f>
        <v>0</v>
      </c>
      <c r="H101" s="197">
        <f>Calculations!H750</f>
        <v>0</v>
      </c>
      <c r="I101" s="197">
        <f>Calculations!I750</f>
        <v>0</v>
      </c>
      <c r="J101" s="137">
        <f>Calculations!J750</f>
        <v>0</v>
      </c>
      <c r="K101" s="66">
        <f>Calculations!K750</f>
        <v>0</v>
      </c>
      <c r="L101" s="66">
        <f>Calculations!L750</f>
        <v>0</v>
      </c>
      <c r="M101">
        <f>Calculations!M750</f>
        <v>0</v>
      </c>
      <c r="N101" s="66">
        <f>Calculations!N750</f>
        <v>0</v>
      </c>
      <c r="O101" s="66">
        <f>Calculations!O750</f>
        <v>0</v>
      </c>
      <c r="P101" s="66">
        <f>Calculations!P750</f>
        <v>0</v>
      </c>
      <c r="Q101" s="204">
        <f>Calculations!Q750</f>
        <v>0</v>
      </c>
      <c r="R101" s="66">
        <f>Calculations!R750</f>
        <v>0</v>
      </c>
      <c r="S101" s="65">
        <f>Calculations!S750</f>
        <v>0</v>
      </c>
      <c r="T101" s="65">
        <f>Calculations!T750</f>
        <v>0</v>
      </c>
      <c r="U101" s="204">
        <f>Calculations!U750</f>
        <v>0</v>
      </c>
      <c r="V101" s="65">
        <f>Calculations!V750</f>
        <v>0</v>
      </c>
      <c r="W101" s="266">
        <f>Calculations!W750</f>
        <v>0</v>
      </c>
      <c r="X101" s="266">
        <f>Calculations!X750</f>
        <v>0</v>
      </c>
      <c r="Y101" s="266" t="e">
        <f>Calculations!Y750</f>
        <v>#DIV/0!</v>
      </c>
      <c r="Z101" s="266" t="e">
        <f>Calculations!Z750</f>
        <v>#DIV/0!</v>
      </c>
      <c r="AA101" s="266" t="e">
        <f>Calculations!AA750</f>
        <v>#DIV/0!</v>
      </c>
    </row>
    <row r="102" spans="1:27">
      <c r="A102" s="3">
        <f>Calculations!A751</f>
        <v>98</v>
      </c>
      <c r="B102">
        <f>Calculations!B751</f>
        <v>0</v>
      </c>
      <c r="C102">
        <f>Calculations!C751</f>
        <v>0</v>
      </c>
      <c r="D102">
        <f>Calculations!D751</f>
        <v>0</v>
      </c>
      <c r="E102" s="265">
        <f>Calculations!E751</f>
        <v>0</v>
      </c>
      <c r="F102" s="265">
        <f>Calculations!F751</f>
        <v>0</v>
      </c>
      <c r="G102" s="265">
        <f>Calculations!G751</f>
        <v>0</v>
      </c>
      <c r="H102" s="197">
        <f>Calculations!H751</f>
        <v>0</v>
      </c>
      <c r="I102" s="197">
        <f>Calculations!I751</f>
        <v>0</v>
      </c>
      <c r="J102" s="137">
        <f>Calculations!J751</f>
        <v>0</v>
      </c>
      <c r="K102" s="66">
        <f>Calculations!K751</f>
        <v>0</v>
      </c>
      <c r="L102" s="66">
        <f>Calculations!L751</f>
        <v>0</v>
      </c>
      <c r="M102">
        <f>Calculations!M751</f>
        <v>0</v>
      </c>
      <c r="N102" s="66">
        <f>Calculations!N751</f>
        <v>0</v>
      </c>
      <c r="O102" s="66">
        <f>Calculations!O751</f>
        <v>0</v>
      </c>
      <c r="P102" s="66">
        <f>Calculations!P751</f>
        <v>0</v>
      </c>
      <c r="Q102" s="204">
        <f>Calculations!Q751</f>
        <v>0</v>
      </c>
      <c r="R102" s="66">
        <f>Calculations!R751</f>
        <v>0</v>
      </c>
      <c r="S102" s="65">
        <f>Calculations!S751</f>
        <v>0</v>
      </c>
      <c r="T102" s="65">
        <f>Calculations!T751</f>
        <v>0</v>
      </c>
      <c r="U102" s="204">
        <f>Calculations!U751</f>
        <v>0</v>
      </c>
      <c r="V102" s="65">
        <f>Calculations!V751</f>
        <v>0</v>
      </c>
      <c r="W102" s="266">
        <f>Calculations!W751</f>
        <v>0</v>
      </c>
      <c r="X102" s="266">
        <f>Calculations!X751</f>
        <v>0</v>
      </c>
      <c r="Y102" s="266" t="e">
        <f>Calculations!Y751</f>
        <v>#DIV/0!</v>
      </c>
      <c r="Z102" s="266" t="e">
        <f>Calculations!Z751</f>
        <v>#DIV/0!</v>
      </c>
      <c r="AA102" s="266" t="e">
        <f>Calculations!AA751</f>
        <v>#DIV/0!</v>
      </c>
    </row>
    <row r="103" spans="1:27" ht="15.75" thickBot="1">
      <c r="A103" s="3">
        <f>Calculations!A752</f>
        <v>99</v>
      </c>
      <c r="B103">
        <f>Calculations!B752</f>
        <v>0</v>
      </c>
      <c r="C103">
        <f>Calculations!C752</f>
        <v>0</v>
      </c>
      <c r="D103">
        <f>Calculations!D752</f>
        <v>0</v>
      </c>
      <c r="E103" s="265">
        <f>Calculations!E752</f>
        <v>0</v>
      </c>
      <c r="F103" s="265">
        <f>Calculations!F752</f>
        <v>0</v>
      </c>
      <c r="G103" s="265">
        <f>Calculations!G752</f>
        <v>0</v>
      </c>
      <c r="H103" s="197">
        <f>Calculations!H752</f>
        <v>0</v>
      </c>
      <c r="I103" s="197">
        <f>Calculations!I752</f>
        <v>0</v>
      </c>
      <c r="J103" s="137">
        <f>Calculations!J752</f>
        <v>0</v>
      </c>
      <c r="K103" s="66">
        <f>Calculations!K752</f>
        <v>0</v>
      </c>
      <c r="L103" s="66">
        <f>Calculations!L752</f>
        <v>0</v>
      </c>
      <c r="M103">
        <f>Calculations!M752</f>
        <v>0</v>
      </c>
      <c r="N103" s="66">
        <f>Calculations!N752</f>
        <v>0</v>
      </c>
      <c r="O103" s="66">
        <f>Calculations!O752</f>
        <v>0</v>
      </c>
      <c r="P103" s="66">
        <f>Calculations!P752</f>
        <v>0</v>
      </c>
      <c r="Q103" s="204">
        <f>Calculations!Q752</f>
        <v>0</v>
      </c>
      <c r="R103" s="66">
        <f>Calculations!R752</f>
        <v>0</v>
      </c>
      <c r="S103" s="65">
        <f>Calculations!S752</f>
        <v>0</v>
      </c>
      <c r="T103" s="65">
        <f>Calculations!T752</f>
        <v>0</v>
      </c>
      <c r="U103" s="204">
        <f>Calculations!U752</f>
        <v>0</v>
      </c>
      <c r="V103" s="65">
        <f>Calculations!V752</f>
        <v>0</v>
      </c>
      <c r="W103" s="266">
        <f>Calculations!W752</f>
        <v>0</v>
      </c>
      <c r="X103" s="266">
        <f>Calculations!X752</f>
        <v>0</v>
      </c>
      <c r="Y103" s="266" t="e">
        <f>Calculations!Y752</f>
        <v>#DIV/0!</v>
      </c>
      <c r="Z103" s="266" t="e">
        <f>Calculations!Z752</f>
        <v>#DIV/0!</v>
      </c>
      <c r="AA103" s="266" t="e">
        <f>Calculations!AA752</f>
        <v>#DIV/0!</v>
      </c>
    </row>
    <row r="104" spans="1:27" ht="15.75" thickTop="1">
      <c r="A104" s="68" t="str">
        <f>Calculations!A753</f>
        <v>Total</v>
      </c>
      <c r="H104" s="197"/>
      <c r="I104" s="197"/>
      <c r="K104" s="450">
        <f>Calculations!K753</f>
        <v>0</v>
      </c>
      <c r="M104" s="450">
        <f>Calculations!M753</f>
        <v>0</v>
      </c>
      <c r="O104" s="450">
        <f>Calculations!O753</f>
        <v>0</v>
      </c>
      <c r="P104" s="450">
        <f>Calculations!P753</f>
        <v>0</v>
      </c>
      <c r="Q104" s="66"/>
      <c r="R104" s="450">
        <f>Calculations!R753</f>
        <v>0</v>
      </c>
      <c r="S104" s="450">
        <f>Calculations!S753</f>
        <v>0</v>
      </c>
      <c r="T104" s="450">
        <f>Calculations!T753</f>
        <v>0</v>
      </c>
      <c r="U104" s="66"/>
      <c r="V104" s="450">
        <f>Calculations!V753</f>
        <v>0</v>
      </c>
    </row>
  </sheetData>
  <sheetProtection algorithmName="SHA-512" hashValue="Cv0uwq8iyK1EOwU9uuSHaFYxJfzIzj0Lw0CKuUnGKiI/2zZ2NsVwzKddzr55v8paBk6IEG00yaKLl2aJRY8IAA==" saltValue="rGyHwnjcODUSBkHvi+HVPA=="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6"/>
  <sheetViews>
    <sheetView showGridLines="0" zoomScaleNormal="100" zoomScaleSheetLayoutView="100" workbookViewId="0">
      <selection sqref="A1:L1"/>
    </sheetView>
  </sheetViews>
  <sheetFormatPr defaultColWidth="9" defaultRowHeight="12.75"/>
  <cols>
    <col min="1" max="1" width="0.5703125" style="212" customWidth="1"/>
    <col min="2" max="2" width="26" style="212" customWidth="1"/>
    <col min="3" max="12" width="14.5703125" style="212" customWidth="1"/>
    <col min="13" max="16" width="11.140625" style="212" customWidth="1"/>
    <col min="17" max="22" width="12" style="212" customWidth="1"/>
    <col min="23" max="16384" width="9" style="212"/>
  </cols>
  <sheetData>
    <row r="1" spans="1:12" customFormat="1" ht="15">
      <c r="A1" s="927" t="s">
        <v>63</v>
      </c>
      <c r="B1" s="927"/>
      <c r="C1" s="927"/>
      <c r="D1" s="927"/>
      <c r="E1" s="927"/>
      <c r="F1" s="927"/>
      <c r="G1" s="927"/>
      <c r="H1" s="927"/>
      <c r="I1" s="927"/>
      <c r="J1" s="927"/>
      <c r="K1" s="927"/>
      <c r="L1" s="927"/>
    </row>
    <row r="2" spans="1:12" customFormat="1" ht="15"/>
    <row r="3" spans="1:12" customFormat="1" ht="15">
      <c r="B3" s="1" t="s">
        <v>864</v>
      </c>
      <c r="D3" s="73">
        <f>Application!B27</f>
        <v>0</v>
      </c>
      <c r="K3" s="1"/>
    </row>
    <row r="4" spans="1:12" customFormat="1" ht="15">
      <c r="B4" s="1" t="s">
        <v>216</v>
      </c>
      <c r="D4" s="73">
        <f>Application!B6</f>
        <v>0</v>
      </c>
      <c r="K4" s="1"/>
    </row>
    <row r="5" spans="1:12" customFormat="1" ht="15">
      <c r="B5" s="1" t="s">
        <v>222</v>
      </c>
      <c r="D5" s="73">
        <f>Application!B10</f>
        <v>0</v>
      </c>
      <c r="K5" s="1"/>
    </row>
    <row r="6" spans="1:12" customFormat="1" ht="15">
      <c r="B6" s="1" t="s">
        <v>224</v>
      </c>
      <c r="D6" s="73">
        <f>Application!B12</f>
        <v>0</v>
      </c>
      <c r="I6" s="1"/>
      <c r="J6" s="152"/>
      <c r="K6" s="1"/>
    </row>
    <row r="7" spans="1:12" customFormat="1" ht="15">
      <c r="B7" s="1"/>
      <c r="D7" s="73"/>
      <c r="I7" s="1"/>
      <c r="J7" s="152"/>
      <c r="K7" s="1"/>
    </row>
    <row r="8" spans="1:12" ht="15" customHeight="1">
      <c r="A8" s="927" t="s">
        <v>1331</v>
      </c>
      <c r="B8" s="927"/>
      <c r="C8" s="927"/>
      <c r="D8" s="927"/>
      <c r="E8" s="927"/>
      <c r="F8" s="927"/>
      <c r="G8" s="927"/>
      <c r="H8" s="927"/>
      <c r="I8" s="927"/>
      <c r="J8" s="927"/>
      <c r="K8" s="927"/>
      <c r="L8" s="927"/>
    </row>
    <row r="9" spans="1:12" ht="15.75" customHeight="1" thickBot="1">
      <c r="B9" s="953" t="s">
        <v>1332</v>
      </c>
      <c r="C9" s="953"/>
      <c r="D9" s="953"/>
      <c r="E9" s="953"/>
      <c r="F9" s="953"/>
      <c r="G9" s="953"/>
      <c r="H9" s="953"/>
      <c r="I9" s="953"/>
      <c r="J9" s="953"/>
      <c r="K9" s="953"/>
      <c r="L9" s="953"/>
    </row>
    <row r="10" spans="1:12">
      <c r="B10" s="213" t="s">
        <v>927</v>
      </c>
      <c r="C10" s="214">
        <v>1</v>
      </c>
      <c r="D10" s="214">
        <v>2</v>
      </c>
      <c r="E10" s="214">
        <v>3</v>
      </c>
      <c r="F10" s="214">
        <v>4</v>
      </c>
      <c r="G10" s="214">
        <v>5</v>
      </c>
      <c r="H10" s="214">
        <v>6</v>
      </c>
      <c r="I10" s="214">
        <v>7</v>
      </c>
      <c r="J10" s="214">
        <v>8</v>
      </c>
      <c r="K10" s="214">
        <v>9</v>
      </c>
      <c r="L10" s="215">
        <v>10</v>
      </c>
    </row>
    <row r="11" spans="1:12">
      <c r="B11" s="216" t="s">
        <v>1333</v>
      </c>
      <c r="C11" s="217">
        <f>Calculations!B357</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1334</v>
      </c>
      <c r="C12" s="219">
        <f>-Calculations!B346</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1335</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1336</v>
      </c>
      <c r="C14" s="219">
        <f>-Calculations!E125</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1337</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5" thickBot="1">
      <c r="B17" s="807" t="s">
        <v>1338</v>
      </c>
      <c r="C17" s="808" t="e">
        <f>C15/C11</f>
        <v>#DIV/0!</v>
      </c>
      <c r="D17" s="808" t="e">
        <f>D15/D11</f>
        <v>#DIV/0!</v>
      </c>
      <c r="E17" s="808" t="e">
        <f t="shared" ref="E17:L17" si="5">E15/E11</f>
        <v>#DIV/0!</v>
      </c>
      <c r="F17" s="808" t="e">
        <f t="shared" si="5"/>
        <v>#DIV/0!</v>
      </c>
      <c r="G17" s="808" t="e">
        <f t="shared" si="5"/>
        <v>#DIV/0!</v>
      </c>
      <c r="H17" s="808" t="e">
        <f t="shared" si="5"/>
        <v>#DIV/0!</v>
      </c>
      <c r="I17" s="808" t="e">
        <f t="shared" si="5"/>
        <v>#DIV/0!</v>
      </c>
      <c r="J17" s="808" t="e">
        <f t="shared" si="5"/>
        <v>#DIV/0!</v>
      </c>
      <c r="K17" s="808" t="e">
        <f t="shared" si="5"/>
        <v>#DIV/0!</v>
      </c>
      <c r="L17" s="809" t="e">
        <f t="shared" si="5"/>
        <v>#DIV/0!</v>
      </c>
    </row>
    <row r="18" spans="2:13">
      <c r="B18" s="223"/>
      <c r="L18" s="224"/>
    </row>
    <row r="19" spans="2:13">
      <c r="B19" s="523"/>
      <c r="C19" s="783">
        <v>11</v>
      </c>
      <c r="D19" s="783">
        <v>12</v>
      </c>
      <c r="E19" s="783">
        <v>13</v>
      </c>
      <c r="F19" s="783">
        <v>14</v>
      </c>
      <c r="G19" s="783">
        <v>15</v>
      </c>
      <c r="H19" s="225"/>
      <c r="I19" s="225"/>
      <c r="J19" s="225"/>
      <c r="K19" s="225"/>
      <c r="L19" s="226"/>
    </row>
    <row r="20" spans="2:13">
      <c r="B20" s="216" t="s">
        <v>1333</v>
      </c>
      <c r="C20" s="217">
        <f>L11*1.02</f>
        <v>0</v>
      </c>
      <c r="D20" s="217">
        <f>C20*1.02</f>
        <v>0</v>
      </c>
      <c r="E20" s="217">
        <f>D20*1.02</f>
        <v>0</v>
      </c>
      <c r="F20" s="217">
        <f>E20*1.02</f>
        <v>0</v>
      </c>
      <c r="G20" s="217">
        <f>F20*1.02</f>
        <v>0</v>
      </c>
      <c r="H20" s="227"/>
      <c r="I20" s="227"/>
      <c r="J20" s="227"/>
      <c r="K20" s="227"/>
      <c r="L20" s="228"/>
    </row>
    <row r="21" spans="2:13">
      <c r="B21" s="216" t="s">
        <v>1334</v>
      </c>
      <c r="C21" s="219">
        <f>L12*1.03</f>
        <v>0</v>
      </c>
      <c r="D21" s="219">
        <f>C21*1.03</f>
        <v>0</v>
      </c>
      <c r="E21" s="219">
        <f>D21*1.03</f>
        <v>0</v>
      </c>
      <c r="F21" s="219">
        <f>E21*1.03</f>
        <v>0</v>
      </c>
      <c r="G21" s="219">
        <f>F21*1.03</f>
        <v>0</v>
      </c>
      <c r="H21" s="227"/>
      <c r="I21" s="227"/>
      <c r="J21" s="227"/>
      <c r="K21" s="227"/>
      <c r="L21" s="228"/>
    </row>
    <row r="22" spans="2:13">
      <c r="B22" s="216" t="s">
        <v>1335</v>
      </c>
      <c r="C22" s="217">
        <f>SUM(C20:C21)</f>
        <v>0</v>
      </c>
      <c r="D22" s="217">
        <f>SUM(D20:D21)</f>
        <v>0</v>
      </c>
      <c r="E22" s="217">
        <f>SUM(E20:E21)</f>
        <v>0</v>
      </c>
      <c r="F22" s="217">
        <f>SUM(F20:F21)</f>
        <v>0</v>
      </c>
      <c r="G22" s="217">
        <f>SUM(G20:G21)</f>
        <v>0</v>
      </c>
      <c r="H22" s="229"/>
      <c r="I22" s="229"/>
      <c r="J22" s="229"/>
      <c r="K22" s="229"/>
      <c r="L22" s="230"/>
    </row>
    <row r="23" spans="2:13">
      <c r="B23" s="216" t="s">
        <v>1336</v>
      </c>
      <c r="C23" s="219">
        <f>L14</f>
        <v>0</v>
      </c>
      <c r="D23" s="219">
        <f>C23</f>
        <v>0</v>
      </c>
      <c r="E23" s="219">
        <f>D23</f>
        <v>0</v>
      </c>
      <c r="F23" s="219">
        <f>E23</f>
        <v>0</v>
      </c>
      <c r="G23" s="219">
        <f>F23</f>
        <v>0</v>
      </c>
      <c r="H23" s="227"/>
      <c r="I23" s="227"/>
      <c r="J23" s="227"/>
      <c r="K23" s="227"/>
      <c r="L23" s="228"/>
    </row>
    <row r="24" spans="2:13">
      <c r="B24" s="216" t="s">
        <v>1337</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5" thickBot="1">
      <c r="B26" s="807" t="s">
        <v>1338</v>
      </c>
      <c r="C26" s="810" t="e">
        <f>C24/C20</f>
        <v>#DIV/0!</v>
      </c>
      <c r="D26" s="810" t="e">
        <f>D24/D20</f>
        <v>#DIV/0!</v>
      </c>
      <c r="E26" s="810" t="e">
        <f>E24/E20</f>
        <v>#DIV/0!</v>
      </c>
      <c r="F26" s="810" t="e">
        <f>F24/F20</f>
        <v>#DIV/0!</v>
      </c>
      <c r="G26" s="810" t="e">
        <f>G24/G20</f>
        <v>#DIV/0!</v>
      </c>
      <c r="H26" s="469"/>
      <c r="I26" s="469"/>
      <c r="J26" s="469"/>
      <c r="K26" s="469"/>
      <c r="L26" s="811"/>
    </row>
    <row r="27" spans="2:13">
      <c r="H27" s="231"/>
      <c r="I27" s="231"/>
      <c r="J27" s="231"/>
      <c r="K27" s="231"/>
      <c r="L27" s="231"/>
    </row>
    <row r="28" spans="2:13" ht="15.75" customHeight="1" thickBot="1">
      <c r="B28" s="953" t="s">
        <v>1339</v>
      </c>
      <c r="C28" s="953"/>
      <c r="D28" s="953"/>
      <c r="E28" s="953"/>
      <c r="F28" s="953"/>
      <c r="G28" s="953"/>
      <c r="H28" s="953"/>
      <c r="I28" s="953"/>
      <c r="J28" s="953"/>
      <c r="K28" s="953"/>
      <c r="L28" s="953"/>
    </row>
    <row r="29" spans="2:13">
      <c r="B29" s="213" t="s">
        <v>927</v>
      </c>
      <c r="C29" s="214">
        <v>1</v>
      </c>
      <c r="D29" s="214">
        <v>2</v>
      </c>
      <c r="E29" s="214">
        <v>3</v>
      </c>
      <c r="F29" s="214">
        <v>4</v>
      </c>
      <c r="G29" s="214">
        <v>5</v>
      </c>
      <c r="H29" s="214">
        <v>6</v>
      </c>
      <c r="I29" s="214">
        <v>7</v>
      </c>
      <c r="J29" s="214">
        <v>8</v>
      </c>
      <c r="K29" s="214">
        <v>9</v>
      </c>
      <c r="L29" s="215">
        <v>10</v>
      </c>
    </row>
    <row r="30" spans="2:13">
      <c r="B30" s="216" t="s">
        <v>1340</v>
      </c>
      <c r="C30" s="217">
        <f>Calculations!B360</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1334</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1336</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1337</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57"/>
      <c r="E34" s="217"/>
      <c r="F34" s="217"/>
      <c r="G34" s="217"/>
      <c r="H34" s="217"/>
      <c r="I34" s="217"/>
      <c r="J34" s="217"/>
      <c r="K34" s="217"/>
      <c r="L34" s="218"/>
      <c r="M34" s="227"/>
    </row>
    <row r="35" spans="2:13">
      <c r="B35" s="232" t="s">
        <v>1341</v>
      </c>
      <c r="C35" s="233"/>
      <c r="D35" s="358"/>
      <c r="E35" s="233"/>
      <c r="F35" s="233"/>
      <c r="G35" s="233"/>
      <c r="H35" s="233"/>
      <c r="I35" s="233"/>
      <c r="J35" s="233"/>
      <c r="K35" s="233"/>
      <c r="L35" s="234"/>
      <c r="M35" s="227"/>
    </row>
    <row r="36" spans="2:13" ht="13.5" thickBot="1">
      <c r="B36" s="235" t="s">
        <v>1342</v>
      </c>
      <c r="C36" s="812" t="e">
        <f>C33/12/Calculations!$H$40</f>
        <v>#DIV/0!</v>
      </c>
      <c r="D36" s="812" t="e">
        <f>D33/12/Calculations!$H$40</f>
        <v>#DIV/0!</v>
      </c>
      <c r="E36" s="812" t="e">
        <f>E33/12/Calculations!$H$40</f>
        <v>#DIV/0!</v>
      </c>
      <c r="F36" s="812" t="e">
        <f>F33/12/Calculations!$H$40</f>
        <v>#DIV/0!</v>
      </c>
      <c r="G36" s="812" t="e">
        <f>G33/12/Calculations!$H$40</f>
        <v>#DIV/0!</v>
      </c>
      <c r="H36" s="812" t="e">
        <f>H33/12/Calculations!$H$40</f>
        <v>#DIV/0!</v>
      </c>
      <c r="I36" s="812" t="e">
        <f>I33/12/Calculations!$H$40</f>
        <v>#DIV/0!</v>
      </c>
      <c r="J36" s="812" t="e">
        <f>J33/12/Calculations!$H$40</f>
        <v>#DIV/0!</v>
      </c>
      <c r="K36" s="812" t="e">
        <f>K33/12/Calculations!$H$40</f>
        <v>#DIV/0!</v>
      </c>
      <c r="L36" s="812" t="e">
        <f>L33/12/Calculations!$H$40</f>
        <v>#DIV/0!</v>
      </c>
      <c r="M36" s="227"/>
    </row>
    <row r="37" spans="2:13" ht="13.5" thickBot="1">
      <c r="B37" s="807" t="s">
        <v>1343</v>
      </c>
      <c r="C37" s="813" t="e">
        <f>C36/SUM(Calculations!$H$55/Calculations!$H$40)</f>
        <v>#DIV/0!</v>
      </c>
      <c r="D37" s="813" t="e">
        <f>D36/SUM(Calculations!$H$55/Calculations!$H$40)</f>
        <v>#DIV/0!</v>
      </c>
      <c r="E37" s="814" t="e">
        <f>E36/SUM(Calculations!$H$55/Calculations!$H$40)</f>
        <v>#DIV/0!</v>
      </c>
      <c r="F37" s="814" t="e">
        <f>F36/SUM(Calculations!$H$55/Calculations!$H$40)</f>
        <v>#DIV/0!</v>
      </c>
      <c r="G37" s="814" t="e">
        <f>G36/SUM(Calculations!$H$55/Calculations!$H$40)</f>
        <v>#DIV/0!</v>
      </c>
      <c r="H37" s="814" t="e">
        <f>H36/SUM(Calculations!$H$55/Calculations!$H$40)</f>
        <v>#DIV/0!</v>
      </c>
      <c r="I37" s="814" t="e">
        <f>I36/SUM(Calculations!$H$55/Calculations!$H$40)</f>
        <v>#DIV/0!</v>
      </c>
      <c r="J37" s="814" t="e">
        <f>J36/SUM(Calculations!$H$55/Calculations!$H$40)</f>
        <v>#DIV/0!</v>
      </c>
      <c r="K37" s="814" t="e">
        <f>K36/SUM(Calculations!$H$55/Calculations!$H$40)</f>
        <v>#DIV/0!</v>
      </c>
      <c r="L37" s="814" t="e">
        <f>L36/SUM(Calculations!$H$55/Calculations!$H$40)</f>
        <v>#DIV/0!</v>
      </c>
    </row>
    <row r="38" spans="2:13">
      <c r="B38" s="223"/>
      <c r="C38" s="236"/>
      <c r="D38" s="236"/>
      <c r="E38" s="236"/>
      <c r="F38" s="236"/>
      <c r="G38" s="236"/>
      <c r="H38" s="236"/>
      <c r="I38" s="236"/>
      <c r="J38" s="236"/>
      <c r="K38" s="236"/>
      <c r="L38" s="237"/>
    </row>
    <row r="39" spans="2:13">
      <c r="B39" s="784" t="s">
        <v>927</v>
      </c>
      <c r="C39" s="783">
        <v>11</v>
      </c>
      <c r="D39" s="783">
        <v>12</v>
      </c>
      <c r="E39" s="783">
        <v>13</v>
      </c>
      <c r="F39" s="783">
        <v>14</v>
      </c>
      <c r="G39" s="783">
        <v>15</v>
      </c>
      <c r="H39" s="225"/>
      <c r="I39" s="225"/>
      <c r="J39" s="225"/>
      <c r="K39" s="225"/>
      <c r="L39" s="226"/>
    </row>
    <row r="40" spans="2:13">
      <c r="B40" s="216" t="s">
        <v>1340</v>
      </c>
      <c r="C40" s="217">
        <f>L30*1.02</f>
        <v>0</v>
      </c>
      <c r="D40" s="217">
        <f>C40*1.02</f>
        <v>0</v>
      </c>
      <c r="E40" s="217">
        <f>D40*1.02</f>
        <v>0</v>
      </c>
      <c r="F40" s="217">
        <f>E40*1.02</f>
        <v>0</v>
      </c>
      <c r="G40" s="217">
        <f>F40*1.02</f>
        <v>0</v>
      </c>
      <c r="H40" s="229"/>
      <c r="I40" s="229"/>
      <c r="J40" s="229"/>
      <c r="K40" s="229"/>
      <c r="L40" s="230"/>
      <c r="M40" s="227"/>
    </row>
    <row r="41" spans="2:13">
      <c r="B41" s="216" t="s">
        <v>1334</v>
      </c>
      <c r="C41" s="219">
        <f>L31*1.03</f>
        <v>0</v>
      </c>
      <c r="D41" s="219">
        <f>C41*1.03</f>
        <v>0</v>
      </c>
      <c r="E41" s="219">
        <f>D41*1.03</f>
        <v>0</v>
      </c>
      <c r="F41" s="219">
        <f>E41*1.03</f>
        <v>0</v>
      </c>
      <c r="G41" s="219">
        <f>F41*1.03</f>
        <v>0</v>
      </c>
      <c r="H41" s="227"/>
      <c r="I41" s="227"/>
      <c r="J41" s="227"/>
      <c r="K41" s="227"/>
      <c r="L41" s="228"/>
      <c r="M41" s="227"/>
    </row>
    <row r="42" spans="2:13">
      <c r="B42" s="216" t="s">
        <v>1336</v>
      </c>
      <c r="C42" s="219">
        <f>C32</f>
        <v>0</v>
      </c>
      <c r="D42" s="219">
        <f>C42</f>
        <v>0</v>
      </c>
      <c r="E42" s="219">
        <f>D42</f>
        <v>0</v>
      </c>
      <c r="F42" s="219">
        <f>E42</f>
        <v>0</v>
      </c>
      <c r="G42" s="219">
        <f>F42</f>
        <v>0</v>
      </c>
      <c r="H42" s="227"/>
      <c r="I42" s="227"/>
      <c r="J42" s="227"/>
      <c r="K42" s="227"/>
      <c r="L42" s="228"/>
      <c r="M42" s="227"/>
    </row>
    <row r="43" spans="2:13">
      <c r="B43" s="216" t="s">
        <v>1337</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1341</v>
      </c>
      <c r="C45" s="233"/>
      <c r="D45" s="233"/>
      <c r="E45" s="233"/>
      <c r="F45" s="233"/>
      <c r="G45" s="233"/>
      <c r="H45" s="238"/>
      <c r="I45" s="238"/>
      <c r="J45" s="238"/>
      <c r="K45" s="238"/>
      <c r="L45" s="239"/>
      <c r="M45" s="227"/>
    </row>
    <row r="46" spans="2:13" ht="13.5" thickBot="1">
      <c r="B46" s="235" t="s">
        <v>1342</v>
      </c>
      <c r="C46" s="815" t="e">
        <f>C43/12/Calculations!$H$40</f>
        <v>#DIV/0!</v>
      </c>
      <c r="D46" s="815" t="e">
        <f>D43/12/Calculations!$H$40</f>
        <v>#DIV/0!</v>
      </c>
      <c r="E46" s="815" t="e">
        <f>E43/12/Calculations!$H$40</f>
        <v>#DIV/0!</v>
      </c>
      <c r="F46" s="815" t="e">
        <f>F43/12/Calculations!$H$40</f>
        <v>#DIV/0!</v>
      </c>
      <c r="G46" s="815" t="e">
        <f>G43/12/Calculations!$H$40</f>
        <v>#DIV/0!</v>
      </c>
      <c r="H46" s="240"/>
      <c r="I46" s="240"/>
      <c r="J46" s="240"/>
      <c r="K46" s="240"/>
      <c r="L46" s="241"/>
      <c r="M46" s="227"/>
    </row>
    <row r="47" spans="2:13" ht="13.5" thickBot="1">
      <c r="B47" s="807" t="s">
        <v>1343</v>
      </c>
      <c r="C47" s="814" t="e">
        <f>C46/SUM(Calculations!$H$55/Calculations!$H$40)</f>
        <v>#DIV/0!</v>
      </c>
      <c r="D47" s="814" t="e">
        <f>D46/SUM(Calculations!$H$55/Calculations!$H$40)</f>
        <v>#DIV/0!</v>
      </c>
      <c r="E47" s="814" t="e">
        <f>E46/SUM(Calculations!$H$55/Calculations!$H$40)</f>
        <v>#DIV/0!</v>
      </c>
      <c r="F47" s="814" t="e">
        <f>F46/SUM(Calculations!$H$55/Calculations!$H$40)</f>
        <v>#DIV/0!</v>
      </c>
      <c r="G47" s="814" t="e">
        <f>G46/SUM(Calculations!$H$55/Calculations!$H$40)</f>
        <v>#DIV/0!</v>
      </c>
      <c r="H47" s="470"/>
      <c r="I47" s="470"/>
      <c r="J47" s="470"/>
      <c r="K47" s="470"/>
      <c r="L47" s="816"/>
    </row>
    <row r="49" spans="1:12" customFormat="1" ht="15" customHeight="1">
      <c r="A49" s="927" t="s">
        <v>379</v>
      </c>
      <c r="B49" s="927"/>
      <c r="C49" s="927"/>
      <c r="D49" s="927"/>
      <c r="E49" s="927"/>
      <c r="F49" s="927"/>
      <c r="G49" s="927"/>
      <c r="H49" s="927"/>
      <c r="I49" s="927"/>
      <c r="J49" s="927"/>
      <c r="K49" s="927"/>
      <c r="L49" s="927"/>
    </row>
    <row r="50" spans="1:12" customFormat="1" ht="15" customHeight="1">
      <c r="B50" s="1"/>
      <c r="E50" s="134"/>
      <c r="F50" s="134"/>
      <c r="G50" s="134"/>
      <c r="H50" s="133"/>
    </row>
    <row r="51" spans="1:12" customFormat="1" ht="30" customHeight="1">
      <c r="B51" s="136"/>
      <c r="C51" s="104" t="s">
        <v>961</v>
      </c>
      <c r="D51" s="135" t="s">
        <v>962</v>
      </c>
      <c r="E51" s="135" t="s">
        <v>963</v>
      </c>
      <c r="F51" s="134"/>
      <c r="G51" s="134"/>
      <c r="H51" s="133"/>
    </row>
    <row r="52" spans="1:12" customFormat="1" ht="15" customHeight="1">
      <c r="B52" s="1"/>
      <c r="C52" s="67" t="s">
        <v>965</v>
      </c>
      <c r="D52" s="106">
        <f>Calculations!B137</f>
        <v>0</v>
      </c>
      <c r="E52" s="106">
        <f>Calculations!C137</f>
        <v>0</v>
      </c>
      <c r="F52" s="134"/>
      <c r="G52" s="129" t="s">
        <v>981</v>
      </c>
      <c r="H52" s="133"/>
      <c r="J52" s="149"/>
      <c r="K52" s="954" t="e">
        <f>Calculations!B421</f>
        <v>#N/A</v>
      </c>
      <c r="L52" s="954"/>
    </row>
    <row r="53" spans="1:12" customFormat="1" ht="15" customHeight="1">
      <c r="C53" s="67" t="s">
        <v>966</v>
      </c>
      <c r="D53" s="106">
        <f>Calculations!B138</f>
        <v>0</v>
      </c>
      <c r="G53" s="129" t="s">
        <v>982</v>
      </c>
      <c r="K53" s="954">
        <f>Calculations!E424</f>
        <v>0</v>
      </c>
      <c r="L53" s="954"/>
    </row>
    <row r="54" spans="1:12" customFormat="1" ht="15" customHeight="1">
      <c r="C54" s="67" t="s">
        <v>397</v>
      </c>
      <c r="D54" s="106">
        <f>Calculations!B139</f>
        <v>0</v>
      </c>
      <c r="G54" s="129" t="s">
        <v>1344</v>
      </c>
      <c r="J54" s="274"/>
      <c r="K54" s="137">
        <f>Calculations!B829</f>
        <v>0</v>
      </c>
    </row>
    <row r="55" spans="1:12" customFormat="1" ht="15" customHeight="1">
      <c r="C55" s="67" t="s">
        <v>398</v>
      </c>
      <c r="D55" s="106">
        <f>Calculations!B140</f>
        <v>0</v>
      </c>
      <c r="F55" s="274"/>
      <c r="G55" s="129"/>
    </row>
    <row r="56" spans="1:12" customFormat="1" ht="30" customHeight="1">
      <c r="B56" s="936" t="s">
        <v>1345</v>
      </c>
      <c r="C56" s="936"/>
      <c r="D56" s="132">
        <f>Calculations!B142</f>
        <v>0</v>
      </c>
      <c r="G56" s="73" t="e">
        <f>Calculations!E556</f>
        <v>#N/A</v>
      </c>
    </row>
    <row r="57" spans="1:12" customFormat="1" ht="15" customHeight="1">
      <c r="B57" s="102"/>
      <c r="C57" s="121"/>
      <c r="D57" s="131"/>
      <c r="E57" s="119"/>
      <c r="F57" s="275" t="e">
        <f>Calculations!B556</f>
        <v>#N/A</v>
      </c>
      <c r="G57" s="129" t="s">
        <v>1346</v>
      </c>
      <c r="I57" s="118"/>
    </row>
    <row r="58" spans="1:12" customFormat="1" ht="15" customHeight="1">
      <c r="C58" s="67" t="s">
        <v>969</v>
      </c>
      <c r="D58" s="106">
        <f>Calculations!E563</f>
        <v>0</v>
      </c>
      <c r="E58" s="119"/>
      <c r="F58" s="131">
        <f>Calculations!B574</f>
        <v>0</v>
      </c>
      <c r="G58" s="129" t="s">
        <v>1347</v>
      </c>
    </row>
    <row r="59" spans="1:12" customFormat="1" ht="15" customHeight="1">
      <c r="C59" s="67" t="s">
        <v>971</v>
      </c>
      <c r="D59" s="106" t="e">
        <f>Calculations!E564</f>
        <v>#N/A</v>
      </c>
      <c r="E59" s="119"/>
      <c r="F59" s="130">
        <f>Calculations!B563</f>
        <v>0</v>
      </c>
      <c r="G59" s="129" t="s">
        <v>1348</v>
      </c>
    </row>
    <row r="60" spans="1:12" customFormat="1" ht="15" customHeight="1">
      <c r="C60" s="67" t="s">
        <v>973</v>
      </c>
      <c r="D60" s="106">
        <f>Calculations!E565</f>
        <v>0</v>
      </c>
      <c r="E60" s="119"/>
      <c r="F60" s="130"/>
      <c r="G60" s="129"/>
      <c r="I60" s="129"/>
    </row>
    <row r="61" spans="1:12" customFormat="1" ht="15" customHeight="1">
      <c r="B61" s="128"/>
      <c r="C61" s="127" t="s">
        <v>1349</v>
      </c>
      <c r="D61" s="126" t="e">
        <f>Calculations!E566</f>
        <v>#N/A</v>
      </c>
      <c r="E61" s="119"/>
      <c r="F61" s="118"/>
    </row>
    <row r="62" spans="1:12" customFormat="1" ht="15" customHeight="1">
      <c r="C62" s="121" t="s">
        <v>1022</v>
      </c>
      <c r="D62" s="126">
        <f>Calculations!E567</f>
        <v>0</v>
      </c>
      <c r="E62" s="119"/>
      <c r="F62" s="118"/>
    </row>
    <row r="63" spans="1:12" customFormat="1" ht="15" customHeight="1">
      <c r="B63" s="128"/>
      <c r="C63" s="127" t="s">
        <v>977</v>
      </c>
      <c r="D63" s="126" t="e">
        <f>Calculations!E568</f>
        <v>#N/A</v>
      </c>
      <c r="E63" s="119"/>
      <c r="F63" s="125"/>
    </row>
    <row r="64" spans="1:12" customFormat="1" ht="15" customHeight="1">
      <c r="B64" s="102"/>
      <c r="C64" s="121"/>
      <c r="D64" s="106"/>
      <c r="E64" s="119"/>
      <c r="F64" s="118"/>
    </row>
    <row r="65" spans="1:12" customFormat="1" ht="15">
      <c r="B65" s="114"/>
      <c r="C65" s="124" t="s">
        <v>979</v>
      </c>
      <c r="D65" s="106">
        <f>Calculations!H128</f>
        <v>0</v>
      </c>
      <c r="F65" s="118"/>
    </row>
    <row r="66" spans="1:12" customFormat="1" ht="15">
      <c r="C66" s="124" t="s">
        <v>980</v>
      </c>
      <c r="D66" s="106">
        <f>Calculations!H129</f>
        <v>0</v>
      </c>
      <c r="E66" s="122"/>
      <c r="F66" s="283" t="str">
        <f>Calculations!K129</f>
        <v>Construction interest actual exceeds construction interest test</v>
      </c>
      <c r="G66" s="432"/>
    </row>
    <row r="67" spans="1:12" customFormat="1" ht="15">
      <c r="C67" s="121"/>
    </row>
    <row r="68" spans="1:12" customFormat="1" ht="15">
      <c r="A68" s="927" t="s">
        <v>886</v>
      </c>
      <c r="B68" s="927"/>
      <c r="C68" s="927"/>
      <c r="D68" s="927"/>
      <c r="E68" s="927"/>
      <c r="F68" s="927"/>
      <c r="G68" s="927"/>
      <c r="H68" s="927"/>
      <c r="I68" s="927"/>
      <c r="J68" s="927"/>
      <c r="K68" s="927"/>
      <c r="L68" s="927"/>
    </row>
    <row r="69" spans="1:12" customFormat="1" ht="15"/>
    <row r="70" spans="1:12" customFormat="1" ht="15">
      <c r="E70" s="174" t="s">
        <v>888</v>
      </c>
      <c r="F70" s="174" t="s">
        <v>122</v>
      </c>
      <c r="I70" s="895"/>
      <c r="J70" s="895"/>
    </row>
    <row r="71" spans="1:12" customFormat="1" ht="15">
      <c r="B71" s="136" t="s">
        <v>954</v>
      </c>
      <c r="C71" s="337"/>
      <c r="E71" s="121" t="s">
        <v>910</v>
      </c>
      <c r="F71" s="121" t="s">
        <v>910</v>
      </c>
      <c r="I71" s="369"/>
      <c r="J71" s="369"/>
    </row>
    <row r="72" spans="1:12" customFormat="1" ht="15">
      <c r="B72" s="209" t="s">
        <v>955</v>
      </c>
      <c r="D72" s="147"/>
      <c r="E72" s="146" t="e">
        <f>Calculations!B468</f>
        <v>#N/A</v>
      </c>
      <c r="F72" s="146" t="str">
        <f>Calculations!C521</f>
        <v/>
      </c>
      <c r="I72" s="146"/>
      <c r="J72" s="146"/>
    </row>
    <row r="73" spans="1:12" customFormat="1" ht="15">
      <c r="B73" s="209" t="s">
        <v>956</v>
      </c>
      <c r="E73" s="149">
        <f>Calculations!B475</f>
        <v>0</v>
      </c>
      <c r="F73" s="149" t="str">
        <f>Calculations!C529</f>
        <v/>
      </c>
      <c r="I73" s="146"/>
    </row>
    <row r="74" spans="1:12" customFormat="1" ht="15">
      <c r="B74" s="209" t="s">
        <v>957</v>
      </c>
      <c r="E74" s="149">
        <f>Calculations!B496</f>
        <v>0</v>
      </c>
      <c r="F74" s="149" t="str">
        <f>Calculations!C550</f>
        <v/>
      </c>
      <c r="G74" s="283" t="str">
        <f>Calculations!$D$496</f>
        <v/>
      </c>
      <c r="I74" s="114" t="s">
        <v>896</v>
      </c>
      <c r="J74" s="70">
        <f>Calculations!K73</f>
        <v>0</v>
      </c>
    </row>
    <row r="75" spans="1:12" customFormat="1" ht="15">
      <c r="B75" s="209"/>
      <c r="E75" s="149"/>
      <c r="F75" s="149"/>
    </row>
    <row r="76" spans="1:12" customFormat="1" ht="15">
      <c r="B76" s="1" t="s">
        <v>913</v>
      </c>
      <c r="E76" s="515" t="s">
        <v>888</v>
      </c>
      <c r="F76" s="515" t="s">
        <v>122</v>
      </c>
    </row>
    <row r="77" spans="1:12" customFormat="1" ht="15">
      <c r="D77" s="121" t="s">
        <v>914</v>
      </c>
      <c r="E77" s="149" t="e">
        <f>Calculations!B501</f>
        <v>#N/A</v>
      </c>
      <c r="F77" s="149">
        <f>Calculations!B573</f>
        <v>0</v>
      </c>
    </row>
    <row r="78" spans="1:12" customFormat="1" ht="15">
      <c r="D78" s="121" t="s">
        <v>915</v>
      </c>
      <c r="E78" s="149">
        <f>Calculations!B502</f>
        <v>0</v>
      </c>
      <c r="F78" s="150" t="s">
        <v>916</v>
      </c>
    </row>
    <row r="79" spans="1:12" customFormat="1" ht="15">
      <c r="C79" s="147"/>
      <c r="D79" s="127" t="s">
        <v>913</v>
      </c>
      <c r="E79" s="146" t="e">
        <f>Calculations!B505</f>
        <v>#N/A</v>
      </c>
      <c r="F79" s="146">
        <f>Calculations!B573</f>
        <v>0</v>
      </c>
    </row>
    <row r="80" spans="1:12" customFormat="1" ht="15"/>
    <row r="81" spans="1:12" customFormat="1" ht="15">
      <c r="B81" s="1" t="s">
        <v>959</v>
      </c>
      <c r="D81" s="505" t="str">
        <f>CONCATENATE(Calculations!C17," ",Calculations!C18," ",Calculations!C19)</f>
        <v xml:space="preserve">  </v>
      </c>
      <c r="E81" s="432"/>
      <c r="F81" s="149"/>
    </row>
    <row r="82" spans="1:12" customFormat="1" ht="15">
      <c r="B82" s="1"/>
      <c r="D82" s="151"/>
      <c r="E82" s="149"/>
      <c r="F82" s="149"/>
    </row>
    <row r="83" spans="1:12" s="88" customFormat="1" ht="15">
      <c r="A83" s="927" t="s">
        <v>1003</v>
      </c>
      <c r="B83" s="927"/>
      <c r="C83" s="927"/>
      <c r="D83" s="927"/>
      <c r="E83" s="927"/>
      <c r="F83" s="927"/>
      <c r="G83" s="927"/>
      <c r="H83" s="927"/>
      <c r="I83" s="927"/>
      <c r="J83" s="927"/>
      <c r="K83" s="927"/>
      <c r="L83" s="927"/>
    </row>
    <row r="84" spans="1:12" s="88" customFormat="1" ht="15">
      <c r="A84" s="935" t="s">
        <v>1004</v>
      </c>
      <c r="B84" s="935"/>
      <c r="C84" s="935"/>
      <c r="D84" s="935"/>
      <c r="E84" s="935"/>
      <c r="F84" s="935"/>
      <c r="G84" s="935"/>
      <c r="H84" s="935"/>
      <c r="I84" s="935"/>
      <c r="J84" s="935"/>
      <c r="K84" s="935"/>
      <c r="L84" s="935"/>
    </row>
    <row r="85" spans="1:12" s="88" customFormat="1" ht="15">
      <c r="C85" s="74" t="s">
        <v>559</v>
      </c>
      <c r="D85" s="74" t="s">
        <v>1005</v>
      </c>
      <c r="E85" s="74" t="s">
        <v>561</v>
      </c>
      <c r="F85" s="74" t="s">
        <v>562</v>
      </c>
      <c r="G85" s="74" t="s">
        <v>563</v>
      </c>
      <c r="H85" s="74" t="s">
        <v>564</v>
      </c>
      <c r="I85" s="74" t="s">
        <v>565</v>
      </c>
      <c r="J85" s="74" t="s">
        <v>566</v>
      </c>
    </row>
    <row r="86" spans="1:12" s="88" customFormat="1" ht="15">
      <c r="B86" s="187" t="str">
        <f>Calculations!A373</f>
        <v>Effective Gross Income</v>
      </c>
      <c r="C86" s="344">
        <f>Calculations!B373</f>
        <v>0</v>
      </c>
      <c r="D86" s="344">
        <f>Calculations!C373</f>
        <v>0</v>
      </c>
      <c r="E86" s="344">
        <f>Calculations!D373</f>
        <v>0</v>
      </c>
      <c r="F86" s="344">
        <f>Calculations!E373</f>
        <v>0</v>
      </c>
      <c r="G86" s="344">
        <f>Calculations!F373</f>
        <v>0</v>
      </c>
      <c r="H86" s="344">
        <f>Calculations!G373</f>
        <v>0</v>
      </c>
      <c r="I86" s="344">
        <f>Calculations!H373</f>
        <v>0</v>
      </c>
      <c r="J86" s="344">
        <f>Calculations!I373</f>
        <v>0</v>
      </c>
    </row>
    <row r="87" spans="1:12" s="88" customFormat="1" ht="15">
      <c r="B87" s="187" t="str">
        <f>Calculations!A374</f>
        <v>Total Project Expenses</v>
      </c>
      <c r="C87" s="344">
        <f>Calculations!B374</f>
        <v>0</v>
      </c>
      <c r="D87" s="344">
        <f>Calculations!C374</f>
        <v>0</v>
      </c>
      <c r="E87" s="344">
        <f>Calculations!D374</f>
        <v>0</v>
      </c>
      <c r="F87" s="344">
        <f>Calculations!E374</f>
        <v>0</v>
      </c>
      <c r="G87" s="344">
        <f>Calculations!F374</f>
        <v>0</v>
      </c>
      <c r="H87" s="344">
        <f>Calculations!G374</f>
        <v>0</v>
      </c>
      <c r="I87" s="344">
        <f>Calculations!H374</f>
        <v>0</v>
      </c>
      <c r="J87" s="344">
        <f>Calculations!I374</f>
        <v>0</v>
      </c>
    </row>
    <row r="88" spans="1:12" s="88" customFormat="1" ht="15">
      <c r="B88" s="187" t="str">
        <f>Calculations!A375</f>
        <v>Net Operating Income</v>
      </c>
      <c r="C88" s="344">
        <f>Calculations!B375</f>
        <v>0</v>
      </c>
      <c r="D88" s="344">
        <f>Calculations!C375</f>
        <v>0</v>
      </c>
      <c r="E88" s="344">
        <f>Calculations!D375</f>
        <v>0</v>
      </c>
      <c r="F88" s="344">
        <f>Calculations!E375</f>
        <v>0</v>
      </c>
      <c r="G88" s="344">
        <f>Calculations!F375</f>
        <v>0</v>
      </c>
      <c r="H88" s="344">
        <f>Calculations!G375</f>
        <v>0</v>
      </c>
      <c r="I88" s="344">
        <f>Calculations!H375</f>
        <v>0</v>
      </c>
      <c r="J88" s="344">
        <f>Calculations!I375</f>
        <v>0</v>
      </c>
    </row>
    <row r="89" spans="1:12" s="88" customFormat="1" ht="15">
      <c r="B89" s="187" t="str">
        <f>Calculations!A376</f>
        <v>First Mortgage</v>
      </c>
      <c r="C89" s="344">
        <f>Calculations!B376</f>
        <v>0</v>
      </c>
      <c r="D89" s="344">
        <f>Calculations!C376</f>
        <v>0</v>
      </c>
      <c r="E89" s="344">
        <f>Calculations!D376</f>
        <v>0</v>
      </c>
      <c r="F89" s="344">
        <f>Calculations!E376</f>
        <v>0</v>
      </c>
      <c r="G89" s="344">
        <f>Calculations!F376</f>
        <v>0</v>
      </c>
      <c r="H89" s="344">
        <f>Calculations!G376</f>
        <v>0</v>
      </c>
      <c r="I89" s="344">
        <f>Calculations!H376</f>
        <v>0</v>
      </c>
      <c r="J89" s="344">
        <f>Calculations!I376</f>
        <v>0</v>
      </c>
    </row>
    <row r="90" spans="1:12" s="88" customFormat="1" ht="15">
      <c r="B90" s="187" t="str">
        <f>Calculations!A377</f>
        <v>Second Mortgage</v>
      </c>
      <c r="C90" s="344">
        <f>Calculations!B377</f>
        <v>0</v>
      </c>
      <c r="D90" s="344">
        <f>Calculations!C377</f>
        <v>0</v>
      </c>
      <c r="E90" s="344">
        <f>Calculations!D377</f>
        <v>0</v>
      </c>
      <c r="F90" s="344">
        <f>Calculations!E377</f>
        <v>0</v>
      </c>
      <c r="G90" s="344">
        <f>Calculations!F377</f>
        <v>0</v>
      </c>
      <c r="H90" s="344">
        <f>Calculations!G377</f>
        <v>0</v>
      </c>
      <c r="I90" s="344">
        <f>Calculations!H377</f>
        <v>0</v>
      </c>
      <c r="J90" s="344">
        <f>Calculations!I377</f>
        <v>0</v>
      </c>
    </row>
    <row r="91" spans="1:12" s="88" customFormat="1" ht="15">
      <c r="B91" s="187" t="str">
        <f>Calculations!A378</f>
        <v>Third Mortgage</v>
      </c>
      <c r="C91" s="344">
        <f>Calculations!B378</f>
        <v>0</v>
      </c>
      <c r="D91" s="344">
        <f>Calculations!C378</f>
        <v>0</v>
      </c>
      <c r="E91" s="344">
        <f>Calculations!D378</f>
        <v>0</v>
      </c>
      <c r="F91" s="344">
        <f>Calculations!E378</f>
        <v>0</v>
      </c>
      <c r="G91" s="344">
        <f>Calculations!F378</f>
        <v>0</v>
      </c>
      <c r="H91" s="344">
        <f>Calculations!G378</f>
        <v>0</v>
      </c>
      <c r="I91" s="344">
        <f>Calculations!H378</f>
        <v>0</v>
      </c>
      <c r="J91" s="344">
        <f>Calculations!I378</f>
        <v>0</v>
      </c>
    </row>
    <row r="92" spans="1:12" s="88" customFormat="1" ht="15">
      <c r="B92" s="187" t="str">
        <f>Calculations!A379</f>
        <v>Net Project Cash Flow</v>
      </c>
      <c r="C92" s="344">
        <f>Calculations!B379</f>
        <v>0</v>
      </c>
      <c r="D92" s="344">
        <f>Calculations!C379</f>
        <v>0</v>
      </c>
      <c r="E92" s="344">
        <f>Calculations!D379</f>
        <v>0</v>
      </c>
      <c r="F92" s="344">
        <f>Calculations!E379</f>
        <v>0</v>
      </c>
      <c r="G92" s="344">
        <f>Calculations!F379</f>
        <v>0</v>
      </c>
      <c r="H92" s="344">
        <f>Calculations!G379</f>
        <v>0</v>
      </c>
      <c r="I92" s="344">
        <f>Calculations!H379</f>
        <v>0</v>
      </c>
      <c r="J92" s="344">
        <f>Calculations!I379</f>
        <v>0</v>
      </c>
    </row>
    <row r="93" spans="1:12" s="88" customFormat="1" ht="15">
      <c r="B93" s="187" t="str">
        <f>Calculations!A380</f>
        <v>Debt Coverage Ratio</v>
      </c>
      <c r="C93" s="347" t="str">
        <f>Calculations!B380</f>
        <v>Loans Missing</v>
      </c>
      <c r="D93" s="347" t="str">
        <f>Calculations!C380</f>
        <v>Loans Missing</v>
      </c>
      <c r="E93" s="347" t="str">
        <f>Calculations!D380</f>
        <v>Loans Missing</v>
      </c>
      <c r="F93" s="347" t="str">
        <f>Calculations!E380</f>
        <v>Loans Missing</v>
      </c>
      <c r="G93" s="347" t="str">
        <f>Calculations!F380</f>
        <v>Loans Missing</v>
      </c>
      <c r="H93" s="347" t="str">
        <f>Calculations!G380</f>
        <v>Loans Missing</v>
      </c>
      <c r="I93" s="347" t="str">
        <f>Calculations!H380</f>
        <v>Loans Missing</v>
      </c>
      <c r="J93" s="347" t="str">
        <f>Calculations!I380</f>
        <v>Loans Missing</v>
      </c>
    </row>
    <row r="94" spans="1:12" s="88" customFormat="1" ht="30">
      <c r="B94" s="852" t="str">
        <f>Calculations!A382</f>
        <v>Cash Flow Available for Distribution</v>
      </c>
      <c r="C94" s="113">
        <f>Calculations!B382</f>
        <v>0</v>
      </c>
      <c r="D94" s="113">
        <f>Calculations!C382</f>
        <v>0</v>
      </c>
      <c r="E94" s="113">
        <f>Calculations!D382</f>
        <v>0</v>
      </c>
      <c r="F94" s="113">
        <f>Calculations!E382</f>
        <v>0</v>
      </c>
      <c r="G94" s="113">
        <f>Calculations!F382</f>
        <v>0</v>
      </c>
      <c r="H94" s="113">
        <f>Calculations!G382</f>
        <v>0</v>
      </c>
      <c r="I94" s="113">
        <f>Calculations!H382</f>
        <v>0</v>
      </c>
      <c r="J94" s="113">
        <f>Calculations!I382</f>
        <v>0</v>
      </c>
    </row>
    <row r="95" spans="1:12" s="88" customFormat="1" ht="15">
      <c r="B95" s="853" t="str">
        <f>Calculations!A383</f>
        <v>Partnership/Asset Mgt. Fees</v>
      </c>
      <c r="C95" s="113">
        <f>Calculations!B383</f>
        <v>0</v>
      </c>
      <c r="D95" s="113">
        <f>Calculations!C383</f>
        <v>0</v>
      </c>
      <c r="E95" s="113">
        <f>Calculations!D383</f>
        <v>0</v>
      </c>
      <c r="F95" s="113">
        <f>Calculations!E383</f>
        <v>0</v>
      </c>
      <c r="G95" s="113">
        <f>Calculations!F383</f>
        <v>0</v>
      </c>
      <c r="H95" s="113">
        <f>Calculations!G383</f>
        <v>0</v>
      </c>
      <c r="I95" s="113">
        <f>Calculations!H383</f>
        <v>0</v>
      </c>
      <c r="J95" s="113">
        <f>Calculations!I383</f>
        <v>0</v>
      </c>
    </row>
    <row r="96" spans="1:12" s="88" customFormat="1" ht="15" hidden="1">
      <c r="B96" s="853" t="str">
        <f>Calculations!A384</f>
        <v>Bond Fees (if applicable)</v>
      </c>
      <c r="C96" s="113">
        <f>Calculations!B384</f>
        <v>0</v>
      </c>
      <c r="D96" s="113">
        <f>Calculations!C384</f>
        <v>0</v>
      </c>
      <c r="E96" s="113">
        <f>Calculations!D384</f>
        <v>0</v>
      </c>
      <c r="F96" s="113">
        <f>Calculations!E384</f>
        <v>0</v>
      </c>
      <c r="G96" s="113">
        <f>Calculations!F384</f>
        <v>0</v>
      </c>
      <c r="H96" s="113">
        <f>Calculations!G384</f>
        <v>0</v>
      </c>
      <c r="I96" s="113">
        <f>Calculations!H384</f>
        <v>0</v>
      </c>
      <c r="J96" s="113">
        <f>Calculations!I384</f>
        <v>0</v>
      </c>
    </row>
    <row r="97" spans="2:10" s="88" customFormat="1" ht="15">
      <c r="B97" s="853" t="str">
        <f>Calculations!A385</f>
        <v>Deferred Developer Fee Repayment*</v>
      </c>
      <c r="C97" s="113">
        <f>Calculations!B385</f>
        <v>0</v>
      </c>
      <c r="D97" s="113">
        <f>Calculations!C385</f>
        <v>0</v>
      </c>
      <c r="E97" s="113">
        <f>Calculations!D385</f>
        <v>0</v>
      </c>
      <c r="F97" s="113">
        <f>Calculations!E385</f>
        <v>0</v>
      </c>
      <c r="G97" s="113">
        <f>Calculations!F385</f>
        <v>0</v>
      </c>
      <c r="H97" s="113">
        <f>Calculations!G385</f>
        <v>0</v>
      </c>
      <c r="I97" s="113">
        <f>Calculations!H385</f>
        <v>0</v>
      </c>
      <c r="J97" s="113">
        <f>Calculations!I385</f>
        <v>0</v>
      </c>
    </row>
    <row r="98" spans="2:10" s="88" customFormat="1" ht="15">
      <c r="B98" s="853" t="str">
        <f>Calculations!A386</f>
        <v>Other (Specify)</v>
      </c>
      <c r="C98" s="113">
        <f>Calculations!B386</f>
        <v>0</v>
      </c>
      <c r="D98" s="113">
        <f>Calculations!C386</f>
        <v>0</v>
      </c>
      <c r="E98" s="113">
        <f>Calculations!D386</f>
        <v>0</v>
      </c>
      <c r="F98" s="113">
        <f>Calculations!E386</f>
        <v>0</v>
      </c>
      <c r="G98" s="113">
        <f>Calculations!F386</f>
        <v>0</v>
      </c>
      <c r="H98" s="113">
        <f>Calculations!G386</f>
        <v>0</v>
      </c>
      <c r="I98" s="113">
        <f>Calculations!H386</f>
        <v>0</v>
      </c>
      <c r="J98" s="113">
        <f>Calculations!I386</f>
        <v>0</v>
      </c>
    </row>
    <row r="99" spans="2:10" s="88" customFormat="1" ht="15">
      <c r="B99" s="852" t="str">
        <f>Calculations!A387</f>
        <v>Cash Flow Paid for Services</v>
      </c>
      <c r="C99" s="113">
        <f>Calculations!B387</f>
        <v>0</v>
      </c>
      <c r="D99" s="113">
        <f>Calculations!C387</f>
        <v>0</v>
      </c>
      <c r="E99" s="113">
        <f>Calculations!D387</f>
        <v>0</v>
      </c>
      <c r="F99" s="113">
        <f>Calculations!E387</f>
        <v>0</v>
      </c>
      <c r="G99" s="113">
        <f>Calculations!F387</f>
        <v>0</v>
      </c>
      <c r="H99" s="113">
        <f>Calculations!G387</f>
        <v>0</v>
      </c>
      <c r="I99" s="113">
        <f>Calculations!H387</f>
        <v>0</v>
      </c>
      <c r="J99" s="113">
        <f>Calculations!I387</f>
        <v>0</v>
      </c>
    </row>
    <row r="100" spans="2:10" s="88" customFormat="1" ht="30">
      <c r="B100" s="852" t="str">
        <f>Calculations!A388</f>
        <v>Cash Flow Available after above obligations</v>
      </c>
      <c r="C100" s="113">
        <f>Calculations!B388</f>
        <v>0</v>
      </c>
      <c r="D100" s="113">
        <f>Calculations!C388</f>
        <v>0</v>
      </c>
      <c r="E100" s="113">
        <f>Calculations!D388</f>
        <v>0</v>
      </c>
      <c r="F100" s="113">
        <f>Calculations!E388</f>
        <v>0</v>
      </c>
      <c r="G100" s="113">
        <f>Calculations!F388</f>
        <v>0</v>
      </c>
      <c r="H100" s="113">
        <f>Calculations!G388</f>
        <v>0</v>
      </c>
      <c r="I100" s="113">
        <f>Calculations!H388</f>
        <v>0</v>
      </c>
      <c r="J100" s="113">
        <f>Calculations!I388</f>
        <v>0</v>
      </c>
    </row>
    <row r="101" spans="2:10" s="88" customFormat="1" ht="15"/>
    <row r="102" spans="2:10" s="88" customFormat="1" ht="15">
      <c r="C102" s="74" t="s">
        <v>567</v>
      </c>
      <c r="D102" s="74" t="s">
        <v>568</v>
      </c>
      <c r="E102" s="74" t="s">
        <v>569</v>
      </c>
      <c r="F102" s="74" t="s">
        <v>570</v>
      </c>
      <c r="G102" s="74" t="s">
        <v>571</v>
      </c>
      <c r="H102" s="74" t="s">
        <v>572</v>
      </c>
      <c r="I102" s="74" t="s">
        <v>573</v>
      </c>
      <c r="J102" s="182"/>
    </row>
    <row r="103" spans="2:10" s="88" customFormat="1" ht="15">
      <c r="B103" s="187" t="str">
        <f>Calculations!A373</f>
        <v>Effective Gross Income</v>
      </c>
      <c r="C103" s="438">
        <f>Calculations!J373</f>
        <v>0</v>
      </c>
      <c r="D103" s="438">
        <f>Calculations!K373</f>
        <v>0</v>
      </c>
      <c r="E103" s="438">
        <f>Calculations!L373</f>
        <v>0</v>
      </c>
      <c r="F103" s="438">
        <f>Calculations!M373</f>
        <v>0</v>
      </c>
      <c r="G103" s="438">
        <f>Calculations!N373</f>
        <v>0</v>
      </c>
      <c r="H103" s="438">
        <f>Calculations!O373</f>
        <v>0</v>
      </c>
      <c r="I103" s="438">
        <f>Calculations!P373</f>
        <v>0</v>
      </c>
    </row>
    <row r="104" spans="2:10" s="88" customFormat="1" ht="15">
      <c r="B104" s="187" t="str">
        <f>Calculations!A374</f>
        <v>Total Project Expenses</v>
      </c>
      <c r="C104" s="438">
        <f>Calculations!J374</f>
        <v>0</v>
      </c>
      <c r="D104" s="438">
        <f>Calculations!K374</f>
        <v>0</v>
      </c>
      <c r="E104" s="438">
        <f>Calculations!L374</f>
        <v>0</v>
      </c>
      <c r="F104" s="438">
        <f>Calculations!M374</f>
        <v>0</v>
      </c>
      <c r="G104" s="438">
        <f>Calculations!N374</f>
        <v>0</v>
      </c>
      <c r="H104" s="438">
        <f>Calculations!O374</f>
        <v>0</v>
      </c>
      <c r="I104" s="438">
        <f>Calculations!P374</f>
        <v>0</v>
      </c>
    </row>
    <row r="105" spans="2:10" s="88" customFormat="1" ht="15">
      <c r="B105" s="187" t="str">
        <f>Calculations!A375</f>
        <v>Net Operating Income</v>
      </c>
      <c r="C105" s="438">
        <f>Calculations!J375</f>
        <v>0</v>
      </c>
      <c r="D105" s="438">
        <f>Calculations!K375</f>
        <v>0</v>
      </c>
      <c r="E105" s="438">
        <f>Calculations!L375</f>
        <v>0</v>
      </c>
      <c r="F105" s="438">
        <f>Calculations!M375</f>
        <v>0</v>
      </c>
      <c r="G105" s="438">
        <f>Calculations!N375</f>
        <v>0</v>
      </c>
      <c r="H105" s="438">
        <f>Calculations!O375</f>
        <v>0</v>
      </c>
      <c r="I105" s="438">
        <f>Calculations!P375</f>
        <v>0</v>
      </c>
    </row>
    <row r="106" spans="2:10" s="88" customFormat="1" ht="15">
      <c r="B106" s="187" t="str">
        <f>Calculations!A376</f>
        <v>First Mortgage</v>
      </c>
      <c r="C106" s="438">
        <f>Calculations!J376</f>
        <v>0</v>
      </c>
      <c r="D106" s="438">
        <f>Calculations!K376</f>
        <v>0</v>
      </c>
      <c r="E106" s="438">
        <f>Calculations!L376</f>
        <v>0</v>
      </c>
      <c r="F106" s="438">
        <f>Calculations!M376</f>
        <v>0</v>
      </c>
      <c r="G106" s="438">
        <f>Calculations!N376</f>
        <v>0</v>
      </c>
      <c r="H106" s="438">
        <f>Calculations!O376</f>
        <v>0</v>
      </c>
      <c r="I106" s="438">
        <f>Calculations!P376</f>
        <v>0</v>
      </c>
    </row>
    <row r="107" spans="2:10" s="88" customFormat="1" ht="15">
      <c r="B107" s="187" t="str">
        <f>Calculations!A377</f>
        <v>Second Mortgage</v>
      </c>
      <c r="C107" s="438">
        <f>Calculations!J377</f>
        <v>0</v>
      </c>
      <c r="D107" s="438">
        <f>Calculations!K377</f>
        <v>0</v>
      </c>
      <c r="E107" s="438">
        <f>Calculations!L377</f>
        <v>0</v>
      </c>
      <c r="F107" s="438">
        <f>Calculations!M377</f>
        <v>0</v>
      </c>
      <c r="G107" s="438">
        <f>Calculations!N377</f>
        <v>0</v>
      </c>
      <c r="H107" s="438">
        <f>Calculations!O377</f>
        <v>0</v>
      </c>
      <c r="I107" s="438">
        <f>Calculations!P377</f>
        <v>0</v>
      </c>
    </row>
    <row r="108" spans="2:10" s="88" customFormat="1" ht="15">
      <c r="B108" s="187" t="str">
        <f>Calculations!A378</f>
        <v>Third Mortgage</v>
      </c>
      <c r="C108" s="438">
        <f>Calculations!J378</f>
        <v>0</v>
      </c>
      <c r="D108" s="438">
        <f>Calculations!K378</f>
        <v>0</v>
      </c>
      <c r="E108" s="438">
        <f>Calculations!L378</f>
        <v>0</v>
      </c>
      <c r="F108" s="438">
        <f>Calculations!M378</f>
        <v>0</v>
      </c>
      <c r="G108" s="438">
        <f>Calculations!N378</f>
        <v>0</v>
      </c>
      <c r="H108" s="438">
        <f>Calculations!O378</f>
        <v>0</v>
      </c>
      <c r="I108" s="438">
        <f>Calculations!P378</f>
        <v>0</v>
      </c>
    </row>
    <row r="109" spans="2:10" s="88" customFormat="1" ht="15">
      <c r="B109" s="187" t="str">
        <f>Calculations!A379</f>
        <v>Net Project Cash Flow</v>
      </c>
      <c r="C109" s="438">
        <f>Calculations!J379</f>
        <v>0</v>
      </c>
      <c r="D109" s="438">
        <f>Calculations!K379</f>
        <v>0</v>
      </c>
      <c r="E109" s="438">
        <f>Calculations!L379</f>
        <v>0</v>
      </c>
      <c r="F109" s="438">
        <f>Calculations!M379</f>
        <v>0</v>
      </c>
      <c r="G109" s="438">
        <f>Calculations!N379</f>
        <v>0</v>
      </c>
      <c r="H109" s="438">
        <f>Calculations!O379</f>
        <v>0</v>
      </c>
      <c r="I109" s="438">
        <f>Calculations!P379</f>
        <v>0</v>
      </c>
    </row>
    <row r="110" spans="2:10" s="88" customFormat="1" ht="15">
      <c r="B110" s="187" t="str">
        <f>Calculations!A380</f>
        <v>Debt Coverage Ratio</v>
      </c>
      <c r="C110" s="437" t="str">
        <f>Calculations!J380</f>
        <v>Loans Missing</v>
      </c>
      <c r="D110" s="437" t="str">
        <f>Calculations!K380</f>
        <v>Loans Missing</v>
      </c>
      <c r="E110" s="437" t="str">
        <f>Calculations!L380</f>
        <v>Loans Missing</v>
      </c>
      <c r="F110" s="437" t="str">
        <f>Calculations!M380</f>
        <v>Loans Missing</v>
      </c>
      <c r="G110" s="437" t="str">
        <f>Calculations!N380</f>
        <v>Loans Missing</v>
      </c>
      <c r="H110" s="437" t="str">
        <f>Calculations!O380</f>
        <v>Loans Missing</v>
      </c>
      <c r="I110" s="437" t="str">
        <f>Calculations!P380</f>
        <v>Loans Missing</v>
      </c>
    </row>
    <row r="111" spans="2:10" s="88" customFormat="1" ht="30">
      <c r="B111" s="852" t="str">
        <f>Calculations!A382</f>
        <v>Cash Flow Available for Distribution</v>
      </c>
      <c r="C111" s="851">
        <f>Calculations!J382</f>
        <v>0</v>
      </c>
      <c r="D111" s="851">
        <f>Calculations!K382</f>
        <v>0</v>
      </c>
      <c r="E111" s="851">
        <f>Calculations!L382</f>
        <v>0</v>
      </c>
      <c r="F111" s="851">
        <f>Calculations!M382</f>
        <v>0</v>
      </c>
      <c r="G111" s="851">
        <f>Calculations!N382</f>
        <v>0</v>
      </c>
      <c r="H111" s="851">
        <f>Calculations!O382</f>
        <v>0</v>
      </c>
      <c r="I111" s="851">
        <f>Calculations!P382</f>
        <v>0</v>
      </c>
    </row>
    <row r="112" spans="2:10" s="88" customFormat="1" ht="30">
      <c r="B112" s="852" t="str">
        <f>Calculations!A383</f>
        <v>Partnership/Asset Mgt. Fees</v>
      </c>
      <c r="C112" s="851">
        <f>Calculations!J383</f>
        <v>0</v>
      </c>
      <c r="D112" s="851">
        <f>Calculations!K383</f>
        <v>0</v>
      </c>
      <c r="E112" s="851">
        <f>Calculations!L383</f>
        <v>0</v>
      </c>
      <c r="F112" s="851">
        <f>Calculations!M383</f>
        <v>0</v>
      </c>
      <c r="G112" s="851">
        <f>Calculations!N383</f>
        <v>0</v>
      </c>
      <c r="H112" s="851">
        <f>Calculations!O383</f>
        <v>0</v>
      </c>
      <c r="I112" s="851">
        <f>Calculations!P383</f>
        <v>0</v>
      </c>
    </row>
    <row r="113" spans="1:11" s="88" customFormat="1" ht="15" hidden="1">
      <c r="B113" s="852" t="str">
        <f>Calculations!A384</f>
        <v>Bond Fees (if applicable)</v>
      </c>
      <c r="C113" s="851">
        <f>Calculations!J384</f>
        <v>0</v>
      </c>
      <c r="D113" s="851">
        <f>Calculations!K384</f>
        <v>0</v>
      </c>
      <c r="E113" s="851">
        <f>Calculations!L384</f>
        <v>0</v>
      </c>
      <c r="F113" s="851">
        <f>Calculations!M384</f>
        <v>0</v>
      </c>
      <c r="G113" s="851">
        <f>Calculations!N384</f>
        <v>0</v>
      </c>
      <c r="H113" s="851">
        <f>Calculations!O384</f>
        <v>0</v>
      </c>
      <c r="I113" s="851">
        <f>Calculations!P384</f>
        <v>0</v>
      </c>
    </row>
    <row r="114" spans="1:11" s="88" customFormat="1" ht="30">
      <c r="B114" s="852" t="str">
        <f>Calculations!A385</f>
        <v>Deferred Developer Fee Repayment*</v>
      </c>
      <c r="C114" s="851">
        <f>Calculations!J385</f>
        <v>0</v>
      </c>
      <c r="D114" s="851">
        <f>Calculations!K385</f>
        <v>0</v>
      </c>
      <c r="E114" s="851">
        <f>Calculations!L385</f>
        <v>0</v>
      </c>
      <c r="F114" s="851">
        <f>Calculations!M385</f>
        <v>0</v>
      </c>
      <c r="G114" s="851">
        <f>Calculations!N385</f>
        <v>0</v>
      </c>
      <c r="H114" s="851">
        <f>Calculations!O385</f>
        <v>0</v>
      </c>
      <c r="I114" s="851">
        <f>Calculations!P385</f>
        <v>0</v>
      </c>
    </row>
    <row r="115" spans="1:11" s="88" customFormat="1" ht="15">
      <c r="B115" s="852" t="str">
        <f>Calculations!A386</f>
        <v>Other (Specify)</v>
      </c>
      <c r="C115" s="851">
        <f>Calculations!J386</f>
        <v>0</v>
      </c>
      <c r="D115" s="851">
        <f>Calculations!K386</f>
        <v>0</v>
      </c>
      <c r="E115" s="851">
        <f>Calculations!L386</f>
        <v>0</v>
      </c>
      <c r="F115" s="851">
        <f>Calculations!M386</f>
        <v>0</v>
      </c>
      <c r="G115" s="851">
        <f>Calculations!N386</f>
        <v>0</v>
      </c>
      <c r="H115" s="851">
        <f>Calculations!O386</f>
        <v>0</v>
      </c>
      <c r="I115" s="851">
        <f>Calculations!P386</f>
        <v>0</v>
      </c>
    </row>
    <row r="116" spans="1:11" s="88" customFormat="1" ht="15">
      <c r="B116" s="852" t="str">
        <f>Calculations!A387</f>
        <v>Cash Flow Paid for Services</v>
      </c>
      <c r="C116" s="851">
        <f>Calculations!J387</f>
        <v>0</v>
      </c>
      <c r="D116" s="851">
        <f>Calculations!K387</f>
        <v>0</v>
      </c>
      <c r="E116" s="851">
        <f>Calculations!L387</f>
        <v>0</v>
      </c>
      <c r="F116" s="851">
        <f>Calculations!M387</f>
        <v>0</v>
      </c>
      <c r="G116" s="851">
        <f>Calculations!N387</f>
        <v>0</v>
      </c>
      <c r="H116" s="851">
        <f>Calculations!O387</f>
        <v>0</v>
      </c>
      <c r="I116" s="851">
        <f>Calculations!P387</f>
        <v>0</v>
      </c>
    </row>
    <row r="117" spans="1:11" s="88" customFormat="1" ht="30">
      <c r="B117" s="852" t="str">
        <f>Calculations!A388</f>
        <v>Cash Flow Available after above obligations</v>
      </c>
      <c r="C117" s="851">
        <f>Calculations!J388</f>
        <v>0</v>
      </c>
      <c r="D117" s="851">
        <f>Calculations!K388</f>
        <v>0</v>
      </c>
      <c r="E117" s="851">
        <f>Calculations!L388</f>
        <v>0</v>
      </c>
      <c r="F117" s="851">
        <f>Calculations!M388</f>
        <v>0</v>
      </c>
      <c r="G117" s="851">
        <f>Calculations!N388</f>
        <v>0</v>
      </c>
      <c r="H117" s="851">
        <f>Calculations!O388</f>
        <v>0</v>
      </c>
      <c r="I117" s="851">
        <f>Calculations!P388</f>
        <v>0</v>
      </c>
    </row>
    <row r="118" spans="1:11" s="88" customFormat="1" ht="15">
      <c r="B118" s="188"/>
      <c r="C118" s="336"/>
      <c r="D118" s="336"/>
      <c r="E118" s="336"/>
      <c r="F118" s="336"/>
      <c r="G118" s="336"/>
      <c r="H118" s="336"/>
      <c r="I118" s="336"/>
    </row>
    <row r="119" spans="1:11" s="88" customFormat="1" ht="15">
      <c r="B119" s="188"/>
      <c r="C119" s="114" t="s">
        <v>397</v>
      </c>
      <c r="D119" s="336">
        <f>Calculations!B139</f>
        <v>0</v>
      </c>
      <c r="E119" s="336"/>
      <c r="F119" t="str">
        <f>Calculations!C390</f>
        <v>DDF Paid off</v>
      </c>
      <c r="G119" s="152" t="str">
        <f>Calculations!D390</f>
        <v>IN YEAR 1</v>
      </c>
    </row>
    <row r="120" spans="1:11" ht="15">
      <c r="C120" s="114" t="s">
        <v>1006</v>
      </c>
      <c r="D120" s="336">
        <f>Calculations!B391</f>
        <v>0</v>
      </c>
      <c r="F120" s="283" t="str">
        <f>Calculations!G391</f>
        <v>The 10 Year cash flow available after obligations payable test has been met</v>
      </c>
      <c r="H120" s="336"/>
      <c r="I120" s="336"/>
    </row>
    <row r="121" spans="1:11" ht="15">
      <c r="C121" s="114" t="s">
        <v>1007</v>
      </c>
      <c r="D121" s="336">
        <f>Calculations!B392</f>
        <v>0</v>
      </c>
      <c r="F121" s="283" t="str">
        <f>Calculations!G392</f>
        <v>The 15 Year cash flow available after obligations payable test has been met</v>
      </c>
      <c r="H121" s="336"/>
      <c r="I121" s="336"/>
    </row>
    <row r="122" spans="1:11" customFormat="1" ht="15" customHeight="1">
      <c r="A122" s="927" t="s">
        <v>1032</v>
      </c>
      <c r="B122" s="927"/>
      <c r="C122" s="927"/>
      <c r="D122" s="927"/>
      <c r="E122" s="927"/>
      <c r="F122" s="927"/>
      <c r="G122" s="927"/>
      <c r="H122" s="927"/>
      <c r="I122" s="927"/>
      <c r="J122" s="927"/>
      <c r="K122" s="927"/>
    </row>
    <row r="123" spans="1:11" customFormat="1" ht="15"/>
    <row r="124" spans="1:11" customFormat="1" ht="30">
      <c r="B124" s="145" t="s">
        <v>917</v>
      </c>
      <c r="C124" s="74" t="s">
        <v>918</v>
      </c>
      <c r="D124" s="74"/>
      <c r="E124" s="74" t="str">
        <f>Calculations!B32</f>
        <v>0 Bed*</v>
      </c>
      <c r="F124" s="74" t="str">
        <f>Calculations!C32</f>
        <v>1 Bed*</v>
      </c>
      <c r="G124" s="74" t="str">
        <f>Calculations!D32</f>
        <v>2 Bed*</v>
      </c>
      <c r="H124" s="74" t="str">
        <f>Calculations!E32</f>
        <v>3 Bed*</v>
      </c>
      <c r="I124" s="74" t="str">
        <f>Calculations!F32</f>
        <v>4 Bed*</v>
      </c>
      <c r="J124" s="74" t="str">
        <f>Calculations!G32</f>
        <v>5 Bed*</v>
      </c>
      <c r="K124" s="74" t="str">
        <f>Calculations!H32</f>
        <v>Total Units</v>
      </c>
    </row>
    <row r="125" spans="1:11" customFormat="1" ht="15">
      <c r="B125" s="143" t="s">
        <v>1033</v>
      </c>
      <c r="C125" s="182">
        <f>Calculations!H33</f>
        <v>0</v>
      </c>
      <c r="D125" s="182"/>
      <c r="E125" s="74">
        <f>Calculations!B33</f>
        <v>0</v>
      </c>
      <c r="F125" s="74">
        <f>Calculations!C33</f>
        <v>0</v>
      </c>
      <c r="G125" s="74">
        <f>Calculations!D33</f>
        <v>0</v>
      </c>
      <c r="H125" s="74">
        <f>Calculations!E33</f>
        <v>0</v>
      </c>
      <c r="I125" s="74">
        <f>Calculations!F33</f>
        <v>0</v>
      </c>
      <c r="J125" s="74">
        <f>Calculations!G33</f>
        <v>0</v>
      </c>
      <c r="K125" s="74">
        <f>Calculations!H33</f>
        <v>0</v>
      </c>
    </row>
    <row r="126" spans="1:11" customFormat="1" ht="15">
      <c r="B126" s="143" t="s">
        <v>1034</v>
      </c>
      <c r="C126" s="182">
        <f>Calculations!H34</f>
        <v>0</v>
      </c>
      <c r="D126" s="80"/>
      <c r="E126" s="74">
        <f>Calculations!B34</f>
        <v>0</v>
      </c>
      <c r="F126" s="74">
        <f>Calculations!C34</f>
        <v>0</v>
      </c>
      <c r="G126" s="74">
        <f>Calculations!D34</f>
        <v>0</v>
      </c>
      <c r="H126" s="74">
        <f>Calculations!E34</f>
        <v>0</v>
      </c>
      <c r="I126" s="74">
        <f>Calculations!F34</f>
        <v>0</v>
      </c>
      <c r="J126" s="74">
        <f>Calculations!G34</f>
        <v>0</v>
      </c>
      <c r="K126" s="74">
        <f>Calculations!H34</f>
        <v>0</v>
      </c>
    </row>
    <row r="127" spans="1:11" customFormat="1" ht="15">
      <c r="B127" s="143" t="s">
        <v>1035</v>
      </c>
      <c r="C127" s="182">
        <f>Calculations!H35</f>
        <v>0</v>
      </c>
      <c r="D127" s="80"/>
      <c r="E127" s="74">
        <f>Calculations!B35</f>
        <v>0</v>
      </c>
      <c r="F127" s="74">
        <f>Calculations!C35</f>
        <v>0</v>
      </c>
      <c r="G127" s="74">
        <f>Calculations!D35</f>
        <v>0</v>
      </c>
      <c r="H127" s="74">
        <f>Calculations!E35</f>
        <v>0</v>
      </c>
      <c r="I127" s="74">
        <f>Calculations!F35</f>
        <v>0</v>
      </c>
      <c r="J127" s="74">
        <f>Calculations!G35</f>
        <v>0</v>
      </c>
      <c r="K127" s="74">
        <f>Calculations!H35</f>
        <v>0</v>
      </c>
    </row>
    <row r="128" spans="1:11" customFormat="1" ht="15">
      <c r="B128" s="143" t="s">
        <v>1036</v>
      </c>
      <c r="C128" s="182">
        <f>Calculations!H36</f>
        <v>0</v>
      </c>
      <c r="D128" s="80"/>
      <c r="E128" s="74">
        <f>Calculations!B36</f>
        <v>0</v>
      </c>
      <c r="F128" s="74">
        <f>Calculations!C36</f>
        <v>0</v>
      </c>
      <c r="G128" s="74">
        <f>Calculations!D36</f>
        <v>0</v>
      </c>
      <c r="H128" s="74">
        <f>Calculations!E36</f>
        <v>0</v>
      </c>
      <c r="I128" s="74">
        <f>Calculations!F36</f>
        <v>0</v>
      </c>
      <c r="J128" s="74">
        <f>Calculations!G36</f>
        <v>0</v>
      </c>
      <c r="K128" s="74">
        <f>Calculations!H36</f>
        <v>0</v>
      </c>
    </row>
    <row r="129" spans="2:11" customFormat="1" ht="15">
      <c r="B129" s="143" t="s">
        <v>1037</v>
      </c>
      <c r="C129" s="182">
        <f>Calculations!H37</f>
        <v>0</v>
      </c>
      <c r="D129" s="80"/>
      <c r="E129" s="74">
        <f>Calculations!B37</f>
        <v>0</v>
      </c>
      <c r="F129" s="74">
        <f>Calculations!C37</f>
        <v>0</v>
      </c>
      <c r="G129" s="74">
        <f>Calculations!D37</f>
        <v>0</v>
      </c>
      <c r="H129" s="74">
        <f>Calculations!E37</f>
        <v>0</v>
      </c>
      <c r="I129" s="74">
        <f>Calculations!F37</f>
        <v>0</v>
      </c>
      <c r="J129" s="74">
        <f>Calculations!G37</f>
        <v>0</v>
      </c>
      <c r="K129" s="74">
        <f>Calculations!H37</f>
        <v>0</v>
      </c>
    </row>
    <row r="130" spans="2:11" customFormat="1" ht="15">
      <c r="B130" s="143" t="s">
        <v>1038</v>
      </c>
      <c r="C130" s="182">
        <f>Calculations!H38</f>
        <v>0</v>
      </c>
      <c r="D130" s="80"/>
      <c r="E130" s="74">
        <f>Calculations!B38</f>
        <v>0</v>
      </c>
      <c r="F130" s="74">
        <f>Calculations!C38</f>
        <v>0</v>
      </c>
      <c r="G130" s="74">
        <f>Calculations!D38</f>
        <v>0</v>
      </c>
      <c r="H130" s="74">
        <f>Calculations!E38</f>
        <v>0</v>
      </c>
      <c r="I130" s="74">
        <f>Calculations!F38</f>
        <v>0</v>
      </c>
      <c r="J130" s="74">
        <f>Calculations!G38</f>
        <v>0</v>
      </c>
      <c r="K130" s="74">
        <f>Calculations!H38</f>
        <v>0</v>
      </c>
    </row>
    <row r="131" spans="2:11" customFormat="1" ht="15">
      <c r="B131" s="143" t="s">
        <v>1039</v>
      </c>
      <c r="C131" s="182">
        <f>Calculations!H39</f>
        <v>0</v>
      </c>
      <c r="D131" s="79"/>
      <c r="E131" s="74">
        <f>Calculations!B39</f>
        <v>0</v>
      </c>
      <c r="F131" s="74">
        <f>Calculations!C39</f>
        <v>0</v>
      </c>
      <c r="G131" s="74">
        <f>Calculations!D39</f>
        <v>0</v>
      </c>
      <c r="H131" s="74">
        <f>Calculations!E39</f>
        <v>0</v>
      </c>
      <c r="I131" s="74">
        <f>Calculations!F39</f>
        <v>0</v>
      </c>
      <c r="J131" s="74">
        <f>Calculations!G39</f>
        <v>0</v>
      </c>
      <c r="K131" s="74">
        <f>Calculations!H39</f>
        <v>0</v>
      </c>
    </row>
    <row r="132" spans="2:11" customFormat="1" ht="15">
      <c r="B132" s="144" t="s">
        <v>1040</v>
      </c>
      <c r="C132" s="182">
        <f>Calculations!H40</f>
        <v>0</v>
      </c>
      <c r="D132" s="80"/>
      <c r="E132" s="74">
        <f>Calculations!B40</f>
        <v>0</v>
      </c>
      <c r="F132" s="74">
        <f>Calculations!C40</f>
        <v>0</v>
      </c>
      <c r="G132" s="74">
        <f>Calculations!D40</f>
        <v>0</v>
      </c>
      <c r="H132" s="74">
        <f>Calculations!E40</f>
        <v>0</v>
      </c>
      <c r="I132" s="74">
        <f>Calculations!F40</f>
        <v>0</v>
      </c>
      <c r="J132" s="74">
        <f>Calculations!G40</f>
        <v>0</v>
      </c>
      <c r="K132" s="74">
        <f>Calculations!H40</f>
        <v>0</v>
      </c>
    </row>
    <row r="133" spans="2:11" customFormat="1" ht="15">
      <c r="B133" s="143" t="s">
        <v>1041</v>
      </c>
      <c r="C133" s="182">
        <f>Calculations!H42</f>
        <v>0</v>
      </c>
      <c r="D133" s="80"/>
      <c r="E133" s="139"/>
    </row>
    <row r="134" spans="2:11" customFormat="1" ht="15" customHeight="1">
      <c r="B134" s="142" t="s">
        <v>1350</v>
      </c>
      <c r="C134" s="182">
        <f>Calculations!H43</f>
        <v>0</v>
      </c>
      <c r="D134" s="79"/>
      <c r="E134" s="141"/>
    </row>
    <row r="135" spans="2:11" customFormat="1" ht="15">
      <c r="B135" s="1" t="s">
        <v>1043</v>
      </c>
      <c r="C135" s="182">
        <f>Calculations!H44</f>
        <v>0</v>
      </c>
      <c r="D135" s="80"/>
      <c r="E135" s="140"/>
    </row>
    <row r="136" spans="2:11" customFormat="1" ht="30" customHeight="1">
      <c r="B136" s="1" t="s">
        <v>1044</v>
      </c>
      <c r="C136" s="74"/>
      <c r="D136" s="74" t="s">
        <v>1045</v>
      </c>
      <c r="E136" s="115" t="s">
        <v>1046</v>
      </c>
    </row>
    <row r="137" spans="2:11" customFormat="1" ht="15" customHeight="1">
      <c r="B137" s="76" t="s">
        <v>1047</v>
      </c>
      <c r="D137" s="80">
        <f>Calculations!M52</f>
        <v>0</v>
      </c>
      <c r="E137" s="376" t="e">
        <f>Calculations!O52</f>
        <v>#DIV/0!</v>
      </c>
    </row>
    <row r="138" spans="2:11" customFormat="1" ht="15" customHeight="1">
      <c r="B138" s="78" t="s">
        <v>1048</v>
      </c>
      <c r="C138" s="78"/>
      <c r="D138" s="80">
        <f>Calculations!M53</f>
        <v>0</v>
      </c>
      <c r="E138" s="376" t="e">
        <f>Calculations!O53</f>
        <v>#DIV/0!</v>
      </c>
    </row>
    <row r="139" spans="2:11" customFormat="1" ht="15" customHeight="1">
      <c r="B139" s="1" t="s">
        <v>1049</v>
      </c>
      <c r="C139" s="1"/>
      <c r="D139" s="80">
        <f>Calculations!M54</f>
        <v>0</v>
      </c>
      <c r="E139" s="376" t="e">
        <f>Calculations!O54</f>
        <v>#DIV/0!</v>
      </c>
    </row>
    <row r="140" spans="2:11" customFormat="1" ht="15" customHeight="1">
      <c r="B140" s="78" t="s">
        <v>1043</v>
      </c>
      <c r="C140" s="78"/>
      <c r="D140" s="80">
        <f>Calculations!H59</f>
        <v>0</v>
      </c>
      <c r="E140" s="376" t="e">
        <f>Calculations!O48</f>
        <v>#DIV/0!</v>
      </c>
    </row>
    <row r="141" spans="2:11" customFormat="1" ht="15" customHeight="1">
      <c r="B141" s="1" t="s">
        <v>1050</v>
      </c>
      <c r="C141" s="1"/>
      <c r="D141" s="80">
        <f>Calculations!M55</f>
        <v>0</v>
      </c>
      <c r="E141" s="80"/>
    </row>
    <row r="142" spans="2:11" customFormat="1" ht="15" customHeight="1">
      <c r="D142" s="77"/>
    </row>
    <row r="143" spans="2:11" customFormat="1" ht="28.5" customHeight="1">
      <c r="C143" s="74" t="s">
        <v>918</v>
      </c>
      <c r="D143" s="74" t="s">
        <v>1045</v>
      </c>
    </row>
    <row r="144" spans="2:11" customFormat="1" ht="15">
      <c r="B144" s="518" t="s">
        <v>896</v>
      </c>
      <c r="C144" s="137">
        <f>Calculations!K72</f>
        <v>0</v>
      </c>
      <c r="D144" s="137">
        <f>Calculations!L72</f>
        <v>0</v>
      </c>
    </row>
    <row r="145" spans="1:12" customFormat="1" ht="28.5" customHeight="1">
      <c r="B145" s="932" t="s">
        <v>1052</v>
      </c>
      <c r="C145" s="932"/>
      <c r="D145" s="392">
        <f>Calculations!K73</f>
        <v>0</v>
      </c>
      <c r="H145" s="121" t="s">
        <v>1351</v>
      </c>
      <c r="I145" s="137">
        <f>Calculations!L40</f>
        <v>0</v>
      </c>
    </row>
    <row r="146" spans="1:12" customFormat="1" ht="15" customHeight="1">
      <c r="B146" s="138"/>
      <c r="D146" s="137"/>
    </row>
    <row r="147" spans="1:12" s="88" customFormat="1" ht="15">
      <c r="A147" s="927" t="s">
        <v>1053</v>
      </c>
      <c r="B147" s="927"/>
      <c r="C147" s="927"/>
      <c r="D147" s="927"/>
      <c r="E147" s="927"/>
      <c r="F147" s="927"/>
      <c r="G147" s="927"/>
      <c r="H147" s="927"/>
      <c r="I147" s="927"/>
      <c r="J147" s="927"/>
      <c r="K147" s="927"/>
      <c r="L147" s="927"/>
    </row>
    <row r="148" spans="1:12" s="88" customFormat="1" ht="15">
      <c r="A148" s="935" t="s">
        <v>1352</v>
      </c>
      <c r="B148" s="935"/>
      <c r="C148" s="935"/>
      <c r="D148" s="935"/>
      <c r="E148" s="935"/>
      <c r="F148" s="935"/>
      <c r="G148" s="935"/>
      <c r="H148" s="935"/>
      <c r="I148" s="935"/>
      <c r="J148" s="935"/>
      <c r="K148" s="935"/>
      <c r="L148" s="935"/>
    </row>
    <row r="149" spans="1:12" s="88" customFormat="1" ht="15"/>
    <row r="150" spans="1:12" s="88" customFormat="1" ht="45" customHeight="1">
      <c r="B150" s="115" t="s">
        <v>373</v>
      </c>
      <c r="C150" s="952" t="s">
        <v>374</v>
      </c>
      <c r="D150" s="952"/>
      <c r="E150" s="115" t="s">
        <v>1353</v>
      </c>
      <c r="F150" s="115" t="s">
        <v>908</v>
      </c>
      <c r="G150" s="115" t="s">
        <v>377</v>
      </c>
      <c r="H150" s="434" t="s">
        <v>1055</v>
      </c>
      <c r="I150" s="115" t="s">
        <v>1354</v>
      </c>
      <c r="K150" s="182"/>
    </row>
    <row r="151" spans="1:12" s="88" customFormat="1" ht="15" customHeight="1">
      <c r="B151" s="413">
        <f>Calculations!A833</f>
        <v>0</v>
      </c>
      <c r="C151" s="951">
        <f>Calculations!B833</f>
        <v>0</v>
      </c>
      <c r="D151" s="951"/>
      <c r="E151" s="481">
        <f>Calculations!C833</f>
        <v>0</v>
      </c>
      <c r="F151" s="482">
        <f>Calculations!D833</f>
        <v>0</v>
      </c>
      <c r="G151" s="411">
        <f>Calculations!E833</f>
        <v>0</v>
      </c>
      <c r="H151" s="435">
        <f>Calculations!F833</f>
        <v>0</v>
      </c>
      <c r="I151" s="411">
        <f>Calculations!G833</f>
        <v>0</v>
      </c>
      <c r="J151" s="414" t="str">
        <f>Calculations!H833</f>
        <v/>
      </c>
      <c r="K151" s="182"/>
    </row>
    <row r="152" spans="1:12" s="88" customFormat="1" ht="15" customHeight="1">
      <c r="B152" s="413">
        <f>Calculations!A834</f>
        <v>0</v>
      </c>
      <c r="C152" s="951">
        <f>Calculations!B834</f>
        <v>0</v>
      </c>
      <c r="D152" s="951"/>
      <c r="E152" s="412">
        <f>Calculations!C834</f>
        <v>0</v>
      </c>
      <c r="F152" s="409">
        <f>Calculations!D834</f>
        <v>0</v>
      </c>
      <c r="G152" s="411">
        <f>Calculations!E834</f>
        <v>0</v>
      </c>
      <c r="H152" s="435">
        <f>Calculations!F834</f>
        <v>0</v>
      </c>
      <c r="I152" s="411">
        <f>Calculations!G834</f>
        <v>0</v>
      </c>
      <c r="J152" s="414" t="str">
        <f>Calculations!H834</f>
        <v/>
      </c>
      <c r="K152" s="183"/>
    </row>
    <row r="153" spans="1:12" s="88" customFormat="1" ht="15" customHeight="1">
      <c r="B153" s="413">
        <f>Calculations!A835</f>
        <v>0</v>
      </c>
      <c r="C153" s="951">
        <f>Calculations!B835</f>
        <v>0</v>
      </c>
      <c r="D153" s="951"/>
      <c r="E153" s="412">
        <f>Calculations!C835</f>
        <v>0</v>
      </c>
      <c r="F153" s="409">
        <f>Calculations!D835</f>
        <v>0</v>
      </c>
      <c r="G153" s="411">
        <f>Calculations!E835</f>
        <v>0</v>
      </c>
      <c r="H153" s="435">
        <f>Calculations!F835</f>
        <v>0</v>
      </c>
      <c r="I153" s="411">
        <f>Calculations!G835</f>
        <v>0</v>
      </c>
      <c r="J153" s="414" t="str">
        <f>Calculations!H835</f>
        <v/>
      </c>
      <c r="K153" s="183"/>
    </row>
    <row r="154" spans="1:12" s="88" customFormat="1" ht="15" customHeight="1">
      <c r="B154" s="413">
        <f>Calculations!A836</f>
        <v>0</v>
      </c>
      <c r="C154" s="951">
        <f>Calculations!B836</f>
        <v>0</v>
      </c>
      <c r="D154" s="951"/>
      <c r="E154" s="412">
        <f>Calculations!C836</f>
        <v>0</v>
      </c>
      <c r="F154" s="409">
        <f>Calculations!D836</f>
        <v>0</v>
      </c>
      <c r="G154" s="411">
        <f>Calculations!E836</f>
        <v>0</v>
      </c>
      <c r="H154" s="435">
        <f>Calculations!F836</f>
        <v>0</v>
      </c>
      <c r="I154" s="411">
        <f>Calculations!G836</f>
        <v>0</v>
      </c>
      <c r="J154" s="414" t="str">
        <f>Calculations!H836</f>
        <v/>
      </c>
      <c r="K154" s="183"/>
    </row>
    <row r="155" spans="1:12" s="88" customFormat="1" ht="15" customHeight="1">
      <c r="B155" s="413">
        <f>Calculations!A837</f>
        <v>0</v>
      </c>
      <c r="C155" s="951">
        <f>Calculations!B837</f>
        <v>0</v>
      </c>
      <c r="D155" s="951"/>
      <c r="E155" s="412">
        <f>Calculations!C837</f>
        <v>0</v>
      </c>
      <c r="F155" s="409">
        <f>Calculations!D837</f>
        <v>0</v>
      </c>
      <c r="G155" s="411">
        <f>Calculations!E837</f>
        <v>0</v>
      </c>
      <c r="H155" s="435">
        <f>Calculations!F837</f>
        <v>0</v>
      </c>
      <c r="I155" s="411">
        <f>Calculations!G837</f>
        <v>0</v>
      </c>
      <c r="J155" s="414" t="str">
        <f>Calculations!H837</f>
        <v/>
      </c>
      <c r="K155" s="183"/>
    </row>
    <row r="156" spans="1:12" s="88" customFormat="1" ht="15" customHeight="1">
      <c r="B156" s="413">
        <f>Calculations!A838</f>
        <v>0</v>
      </c>
      <c r="C156" s="951">
        <f>Calculations!B838</f>
        <v>0</v>
      </c>
      <c r="D156" s="951"/>
      <c r="E156" s="481">
        <f>Calculations!C838</f>
        <v>0</v>
      </c>
      <c r="F156" s="482">
        <f>Calculations!D838</f>
        <v>0</v>
      </c>
      <c r="G156" s="411">
        <f>Calculations!E838</f>
        <v>0</v>
      </c>
      <c r="H156" s="435">
        <f>Calculations!F838</f>
        <v>0</v>
      </c>
      <c r="I156" s="411">
        <f>Calculations!G838</f>
        <v>0</v>
      </c>
      <c r="J156" s="414" t="str">
        <f>Calculations!H838</f>
        <v/>
      </c>
      <c r="K156" s="483"/>
    </row>
    <row r="157" spans="1:12" s="88" customFormat="1" ht="15" customHeight="1">
      <c r="B157" s="413">
        <f>Calculations!A839</f>
        <v>0</v>
      </c>
      <c r="C157" s="951">
        <f>Calculations!B839</f>
        <v>0</v>
      </c>
      <c r="D157" s="951"/>
      <c r="E157" s="481">
        <f>Calculations!C839</f>
        <v>0</v>
      </c>
      <c r="F157" s="482">
        <f>Calculations!D839</f>
        <v>0</v>
      </c>
      <c r="G157" s="411">
        <f>Calculations!E839</f>
        <v>0</v>
      </c>
      <c r="H157" s="435">
        <f>Calculations!F839</f>
        <v>0</v>
      </c>
      <c r="I157" s="411">
        <f>Calculations!G839</f>
        <v>0</v>
      </c>
      <c r="J157" s="414" t="str">
        <f>Calculations!H839</f>
        <v/>
      </c>
      <c r="K157" s="483"/>
    </row>
    <row r="158" spans="1:12" s="88" customFormat="1" ht="15" customHeight="1">
      <c r="B158" s="413">
        <f>Calculations!A840</f>
        <v>0</v>
      </c>
      <c r="C158" s="951">
        <f>Calculations!B840</f>
        <v>0</v>
      </c>
      <c r="D158" s="951"/>
      <c r="E158" s="412">
        <f>Calculations!C840</f>
        <v>0</v>
      </c>
      <c r="F158" s="409">
        <f>Calculations!D840</f>
        <v>0</v>
      </c>
      <c r="G158" s="411">
        <f>Calculations!E840</f>
        <v>0</v>
      </c>
      <c r="H158" s="435">
        <f>Calculations!F840</f>
        <v>0</v>
      </c>
      <c r="I158" s="411">
        <f>Calculations!G840</f>
        <v>0</v>
      </c>
      <c r="J158" s="414" t="str">
        <f>Calculations!H840</f>
        <v/>
      </c>
      <c r="K158" s="183"/>
    </row>
    <row r="159" spans="1:12" s="88" customFormat="1" ht="15" customHeight="1">
      <c r="B159" s="413">
        <f>Calculations!A841</f>
        <v>0</v>
      </c>
      <c r="C159" s="951">
        <f>Calculations!B841</f>
        <v>0</v>
      </c>
      <c r="D159" s="951"/>
      <c r="E159" s="412">
        <f>Calculations!C841</f>
        <v>0</v>
      </c>
      <c r="F159" s="409">
        <f>Calculations!D841</f>
        <v>0</v>
      </c>
      <c r="G159" s="411">
        <f>Calculations!E841</f>
        <v>0</v>
      </c>
      <c r="H159" s="435">
        <f>Calculations!F841</f>
        <v>0</v>
      </c>
      <c r="I159" s="411">
        <f>Calculations!G841</f>
        <v>0</v>
      </c>
      <c r="J159" s="414" t="str">
        <f>Calculations!H841</f>
        <v/>
      </c>
    </row>
    <row r="160" spans="1:12" s="88" customFormat="1" ht="15" customHeight="1">
      <c r="B160" s="413">
        <f>Calculations!A842</f>
        <v>0</v>
      </c>
      <c r="C160" s="951">
        <f>Calculations!B842</f>
        <v>0</v>
      </c>
      <c r="D160" s="951"/>
      <c r="E160" s="412">
        <f>Calculations!C842</f>
        <v>0</v>
      </c>
      <c r="F160" s="409">
        <f>Calculations!D842</f>
        <v>0</v>
      </c>
      <c r="G160" s="411">
        <f>Calculations!E842</f>
        <v>0</v>
      </c>
      <c r="H160" s="435">
        <f>Calculations!F842</f>
        <v>0</v>
      </c>
      <c r="I160" s="411">
        <f>Calculations!G842</f>
        <v>0</v>
      </c>
      <c r="J160" s="414" t="str">
        <f>Calculations!H842</f>
        <v/>
      </c>
    </row>
    <row r="161" spans="2:19" s="88" customFormat="1" ht="15" customHeight="1">
      <c r="B161" s="413">
        <f>Calculations!A843</f>
        <v>0</v>
      </c>
      <c r="C161" s="951">
        <f>Calculations!B843</f>
        <v>0</v>
      </c>
      <c r="D161" s="951"/>
      <c r="E161" s="412">
        <f>Calculations!C843</f>
        <v>0</v>
      </c>
      <c r="F161" s="409">
        <f>Calculations!D843</f>
        <v>0</v>
      </c>
      <c r="G161" s="411">
        <f>Calculations!E843</f>
        <v>0</v>
      </c>
      <c r="H161" s="435">
        <f>Calculations!F843</f>
        <v>0</v>
      </c>
      <c r="I161" s="411">
        <f>Calculations!G843</f>
        <v>0</v>
      </c>
      <c r="J161" s="414" t="str">
        <f>Calculations!H843</f>
        <v/>
      </c>
      <c r="K161" s="183"/>
    </row>
    <row r="162" spans="2:19" s="88" customFormat="1" ht="15">
      <c r="B162" s="413">
        <f>Calculations!A844</f>
        <v>0</v>
      </c>
      <c r="C162" s="951">
        <f>Calculations!B844</f>
        <v>0</v>
      </c>
      <c r="D162" s="951"/>
      <c r="E162" s="412">
        <f>Calculations!C844</f>
        <v>0</v>
      </c>
      <c r="F162" s="409">
        <f>Calculations!D844</f>
        <v>0</v>
      </c>
      <c r="G162" s="411">
        <f>Calculations!E844</f>
        <v>0</v>
      </c>
      <c r="H162" s="435">
        <f>Calculations!F844</f>
        <v>0</v>
      </c>
      <c r="I162" s="411">
        <f>Calculations!G844</f>
        <v>0</v>
      </c>
      <c r="J162" s="414" t="str">
        <f>Calculations!H844</f>
        <v/>
      </c>
      <c r="K162" s="183"/>
    </row>
    <row r="163" spans="2:19" s="88" customFormat="1" ht="15">
      <c r="B163" s="413">
        <f>Calculations!A845</f>
        <v>0</v>
      </c>
      <c r="C163" s="951">
        <f>Calculations!B845</f>
        <v>0</v>
      </c>
      <c r="D163" s="951"/>
      <c r="E163" s="412">
        <f>Calculations!C845</f>
        <v>0</v>
      </c>
      <c r="F163" s="409">
        <f>Calculations!D845</f>
        <v>0</v>
      </c>
      <c r="G163" s="411">
        <f>Calculations!E845</f>
        <v>0</v>
      </c>
      <c r="H163" s="435">
        <f>Calculations!F845</f>
        <v>0</v>
      </c>
      <c r="I163" s="411">
        <f>Calculations!G845</f>
        <v>0</v>
      </c>
      <c r="J163" s="414" t="str">
        <f>Calculations!H845</f>
        <v/>
      </c>
    </row>
    <row r="164" spans="2:19" ht="15">
      <c r="B164" s="413">
        <f>Calculations!A846</f>
        <v>0</v>
      </c>
      <c r="C164" s="951">
        <f>Calculations!B846</f>
        <v>0</v>
      </c>
      <c r="D164" s="951"/>
      <c r="E164" s="412">
        <f>Calculations!C846</f>
        <v>0</v>
      </c>
      <c r="F164" s="409">
        <f>Calculations!D846</f>
        <v>0</v>
      </c>
      <c r="G164" s="411">
        <f>Calculations!E846</f>
        <v>0</v>
      </c>
      <c r="H164" s="435">
        <f>Calculations!F846</f>
        <v>0</v>
      </c>
      <c r="I164" s="411">
        <f>Calculations!G846</f>
        <v>0</v>
      </c>
      <c r="J164" s="414" t="str">
        <f>Calculations!H846</f>
        <v/>
      </c>
      <c r="K164" s="242"/>
      <c r="L164" s="242"/>
      <c r="M164" s="242"/>
      <c r="N164" s="242"/>
      <c r="O164" s="242"/>
      <c r="P164" s="242"/>
      <c r="Q164" s="242"/>
      <c r="R164" s="242"/>
      <c r="S164" s="242"/>
    </row>
    <row r="165" spans="2:19" ht="15">
      <c r="B165" s="413">
        <f>Calculations!A847</f>
        <v>0</v>
      </c>
      <c r="C165" s="951">
        <f>Calculations!B847</f>
        <v>0</v>
      </c>
      <c r="D165" s="951"/>
      <c r="E165" s="412">
        <f>Calculations!C847</f>
        <v>0</v>
      </c>
      <c r="F165" s="409">
        <f>Calculations!D847</f>
        <v>0</v>
      </c>
      <c r="G165" s="411">
        <f>Calculations!E847</f>
        <v>0</v>
      </c>
      <c r="H165" s="435">
        <f>Calculations!F847</f>
        <v>0</v>
      </c>
      <c r="I165" s="411">
        <f>Calculations!G847</f>
        <v>0</v>
      </c>
      <c r="J165" s="414" t="str">
        <f>Calculations!H847</f>
        <v/>
      </c>
      <c r="K165" s="242"/>
      <c r="L165" s="242"/>
      <c r="M165" s="242"/>
      <c r="N165" s="242"/>
      <c r="O165" s="242"/>
      <c r="P165" s="242"/>
      <c r="Q165" s="242"/>
      <c r="R165" s="242"/>
      <c r="S165" s="242"/>
    </row>
    <row r="166" spans="2:19" ht="15">
      <c r="B166" s="413">
        <f>Calculations!A848</f>
        <v>0</v>
      </c>
      <c r="C166" s="951">
        <f>Calculations!B848</f>
        <v>0</v>
      </c>
      <c r="D166" s="951"/>
      <c r="E166" s="412">
        <f>Calculations!C848</f>
        <v>0</v>
      </c>
      <c r="F166" s="409">
        <f>Calculations!D848</f>
        <v>0</v>
      </c>
      <c r="G166" s="411">
        <f>Calculations!E848</f>
        <v>0</v>
      </c>
      <c r="H166" s="435">
        <f>Calculations!F848</f>
        <v>0</v>
      </c>
      <c r="I166" s="411">
        <f>Calculations!G848</f>
        <v>0</v>
      </c>
      <c r="J166" s="414" t="str">
        <f>Calculations!H848</f>
        <v/>
      </c>
      <c r="K166" s="242"/>
      <c r="L166" s="242"/>
      <c r="M166" s="242"/>
      <c r="N166" s="242"/>
      <c r="O166" s="242"/>
      <c r="P166" s="242"/>
      <c r="Q166" s="242"/>
      <c r="R166" s="242"/>
      <c r="S166" s="242"/>
    </row>
    <row r="167" spans="2:19" ht="15">
      <c r="B167" s="413">
        <f>Calculations!A849</f>
        <v>0</v>
      </c>
      <c r="C167" s="951">
        <f>Calculations!B849</f>
        <v>0</v>
      </c>
      <c r="D167" s="951"/>
      <c r="E167" s="412">
        <f>Calculations!C849</f>
        <v>0</v>
      </c>
      <c r="F167" s="409">
        <f>Calculations!D849</f>
        <v>0</v>
      </c>
      <c r="G167" s="411">
        <f>Calculations!E849</f>
        <v>0</v>
      </c>
      <c r="H167" s="435">
        <f>Calculations!F849</f>
        <v>0</v>
      </c>
      <c r="I167" s="411">
        <f>Calculations!G849</f>
        <v>0</v>
      </c>
      <c r="J167" s="414" t="str">
        <f>Calculations!H849</f>
        <v/>
      </c>
      <c r="K167" s="242"/>
      <c r="L167" s="242"/>
      <c r="M167" s="242"/>
      <c r="N167" s="242"/>
      <c r="O167" s="242"/>
      <c r="P167" s="242"/>
      <c r="Q167" s="242"/>
      <c r="R167" s="242"/>
      <c r="S167" s="242"/>
    </row>
    <row r="168" spans="2:19" ht="15">
      <c r="B168" s="413">
        <f>Calculations!A850</f>
        <v>0</v>
      </c>
      <c r="C168" s="951">
        <f>Calculations!B850</f>
        <v>0</v>
      </c>
      <c r="D168" s="951"/>
      <c r="E168" s="412">
        <f>Calculations!C850</f>
        <v>0</v>
      </c>
      <c r="F168" s="409">
        <f>Calculations!D850</f>
        <v>0</v>
      </c>
      <c r="G168" s="411">
        <f>Calculations!E850</f>
        <v>0</v>
      </c>
      <c r="H168" s="435">
        <f>Calculations!F850</f>
        <v>0</v>
      </c>
      <c r="I168" s="411">
        <f>Calculations!G850</f>
        <v>0</v>
      </c>
      <c r="J168" s="414" t="str">
        <f>Calculations!H850</f>
        <v/>
      </c>
      <c r="K168" s="242"/>
      <c r="L168" s="242"/>
      <c r="M168" s="242"/>
      <c r="N168" s="242"/>
      <c r="O168" s="242"/>
      <c r="P168" s="242"/>
      <c r="Q168" s="242"/>
      <c r="R168" s="242"/>
      <c r="S168" s="242"/>
    </row>
    <row r="169" spans="2:19" ht="15">
      <c r="B169" s="413">
        <f>Calculations!A851</f>
        <v>0</v>
      </c>
      <c r="C169" s="951">
        <f>Calculations!B851</f>
        <v>0</v>
      </c>
      <c r="D169" s="951"/>
      <c r="E169" s="412">
        <f>Calculations!C851</f>
        <v>0</v>
      </c>
      <c r="F169" s="409">
        <f>Calculations!D851</f>
        <v>0</v>
      </c>
      <c r="G169" s="411">
        <f>Calculations!E851</f>
        <v>0</v>
      </c>
      <c r="H169" s="435">
        <f>Calculations!F851</f>
        <v>0</v>
      </c>
      <c r="I169" s="411">
        <f>Calculations!G851</f>
        <v>0</v>
      </c>
      <c r="J169" s="414" t="str">
        <f>Calculations!H851</f>
        <v/>
      </c>
      <c r="K169" s="242"/>
      <c r="L169" s="242"/>
      <c r="M169" s="242"/>
      <c r="N169" s="242"/>
      <c r="O169" s="242"/>
      <c r="P169" s="242"/>
      <c r="Q169" s="242"/>
      <c r="R169" s="242"/>
      <c r="S169" s="242"/>
    </row>
    <row r="170" spans="2:19" ht="15">
      <c r="B170" s="413">
        <f>Calculations!A852</f>
        <v>0</v>
      </c>
      <c r="C170" s="951">
        <f>Calculations!B852</f>
        <v>0</v>
      </c>
      <c r="D170" s="951"/>
      <c r="E170" s="412">
        <f>Calculations!C852</f>
        <v>0</v>
      </c>
      <c r="F170" s="409">
        <f>Calculations!D852</f>
        <v>0</v>
      </c>
      <c r="G170" s="411">
        <f>Calculations!E852</f>
        <v>0</v>
      </c>
      <c r="H170" s="435">
        <f>Calculations!F852</f>
        <v>0</v>
      </c>
      <c r="I170" s="411">
        <f>Calculations!G852</f>
        <v>0</v>
      </c>
      <c r="J170" s="414" t="str">
        <f>Calculations!H852</f>
        <v/>
      </c>
      <c r="K170" s="242"/>
      <c r="L170" s="242"/>
      <c r="M170" s="242"/>
      <c r="N170" s="242"/>
      <c r="O170" s="242"/>
      <c r="P170" s="242"/>
      <c r="Q170" s="242"/>
      <c r="R170" s="242"/>
      <c r="S170" s="242"/>
    </row>
    <row r="171" spans="2:19" ht="15">
      <c r="B171" s="413">
        <f>Calculations!A853</f>
        <v>0</v>
      </c>
      <c r="C171" s="951">
        <f>Calculations!B853</f>
        <v>0</v>
      </c>
      <c r="D171" s="951"/>
      <c r="E171" s="412">
        <f>Calculations!C853</f>
        <v>0</v>
      </c>
      <c r="F171" s="409">
        <f>Calculations!D853</f>
        <v>0</v>
      </c>
      <c r="G171" s="411">
        <f>Calculations!E853</f>
        <v>0</v>
      </c>
      <c r="H171" s="435">
        <f>Calculations!F853</f>
        <v>0</v>
      </c>
      <c r="I171" s="411">
        <f>Calculations!G853</f>
        <v>0</v>
      </c>
      <c r="J171" s="414" t="str">
        <f>Calculations!H853</f>
        <v/>
      </c>
      <c r="K171" s="242"/>
      <c r="L171" s="242"/>
      <c r="M171" s="242"/>
      <c r="N171" s="242"/>
      <c r="O171" s="242"/>
      <c r="P171" s="242"/>
      <c r="Q171" s="242"/>
      <c r="R171" s="242"/>
      <c r="S171" s="242"/>
    </row>
    <row r="172" spans="2:19" ht="15">
      <c r="B172" s="413">
        <f>Calculations!A854</f>
        <v>0</v>
      </c>
      <c r="C172" s="951">
        <f>Calculations!B854</f>
        <v>0</v>
      </c>
      <c r="D172" s="951"/>
      <c r="E172" s="412">
        <f>Calculations!C854</f>
        <v>0</v>
      </c>
      <c r="F172" s="409">
        <f>Calculations!D854</f>
        <v>0</v>
      </c>
      <c r="G172" s="411">
        <f>Calculations!E854</f>
        <v>0</v>
      </c>
      <c r="H172" s="435">
        <f>Calculations!F854</f>
        <v>0</v>
      </c>
      <c r="I172" s="411">
        <f>Calculations!G854</f>
        <v>0</v>
      </c>
      <c r="J172" s="414" t="str">
        <f>Calculations!H854</f>
        <v/>
      </c>
      <c r="K172" s="242"/>
      <c r="L172" s="242"/>
      <c r="M172" s="242"/>
      <c r="N172" s="242"/>
      <c r="O172" s="242"/>
      <c r="P172" s="242"/>
      <c r="Q172" s="242"/>
      <c r="R172" s="242"/>
      <c r="S172" s="242"/>
    </row>
    <row r="173" spans="2:19" ht="15">
      <c r="B173" s="413">
        <f>Calculations!A855</f>
        <v>0</v>
      </c>
      <c r="C173" s="951">
        <f>Calculations!B855</f>
        <v>0</v>
      </c>
      <c r="D173" s="951"/>
      <c r="E173" s="412">
        <f>Calculations!C855</f>
        <v>0</v>
      </c>
      <c r="F173" s="409">
        <f>Calculations!D855</f>
        <v>0</v>
      </c>
      <c r="G173" s="411">
        <f>Calculations!E855</f>
        <v>0</v>
      </c>
      <c r="H173" s="435">
        <f>Calculations!F855</f>
        <v>0</v>
      </c>
      <c r="I173" s="411">
        <f>Calculations!G855</f>
        <v>0</v>
      </c>
      <c r="J173" s="414" t="str">
        <f>Calculations!H855</f>
        <v/>
      </c>
      <c r="K173" s="242"/>
      <c r="L173" s="242"/>
      <c r="M173" s="242"/>
      <c r="N173" s="242"/>
      <c r="O173" s="242"/>
      <c r="P173" s="242"/>
      <c r="Q173" s="242"/>
      <c r="R173" s="242"/>
      <c r="S173" s="242"/>
    </row>
    <row r="174" spans="2:19" ht="15">
      <c r="B174" s="413">
        <f>Calculations!A856</f>
        <v>0</v>
      </c>
      <c r="C174" s="951">
        <f>Calculations!B856</f>
        <v>0</v>
      </c>
      <c r="D174" s="951"/>
      <c r="E174" s="412">
        <f>Calculations!C856</f>
        <v>0</v>
      </c>
      <c r="F174" s="409">
        <f>Calculations!D856</f>
        <v>0</v>
      </c>
      <c r="G174" s="411">
        <f>Calculations!E856</f>
        <v>0</v>
      </c>
      <c r="H174" s="435">
        <f>Calculations!F856</f>
        <v>0</v>
      </c>
      <c r="I174" s="411">
        <f>Calculations!G856</f>
        <v>0</v>
      </c>
      <c r="J174" s="414" t="str">
        <f>Calculations!H856</f>
        <v/>
      </c>
      <c r="K174" s="242"/>
      <c r="L174" s="242"/>
      <c r="M174" s="242"/>
      <c r="N174" s="242"/>
      <c r="O174" s="242"/>
      <c r="P174" s="242"/>
      <c r="Q174" s="242"/>
      <c r="R174" s="242"/>
      <c r="S174" s="242"/>
    </row>
    <row r="175" spans="2:19" ht="15">
      <c r="B175" s="413">
        <f>Calculations!A857</f>
        <v>0</v>
      </c>
      <c r="C175" s="951">
        <f>Calculations!B857</f>
        <v>0</v>
      </c>
      <c r="D175" s="951"/>
      <c r="E175" s="412">
        <f>Calculations!C857</f>
        <v>0</v>
      </c>
      <c r="F175" s="409">
        <f>Calculations!D857</f>
        <v>0</v>
      </c>
      <c r="G175" s="411">
        <f>Calculations!E857</f>
        <v>0</v>
      </c>
      <c r="H175" s="435">
        <f>Calculations!F857</f>
        <v>0</v>
      </c>
      <c r="I175" s="411">
        <f>Calculations!G857</f>
        <v>0</v>
      </c>
      <c r="J175" s="414" t="str">
        <f>Calculations!H857</f>
        <v/>
      </c>
      <c r="K175" s="242"/>
      <c r="L175" s="242"/>
      <c r="M175" s="242"/>
      <c r="N175" s="242"/>
      <c r="O175" s="242"/>
      <c r="P175" s="242"/>
      <c r="Q175" s="242"/>
      <c r="R175" s="242"/>
      <c r="S175" s="242"/>
    </row>
    <row r="176" spans="2:19" ht="15">
      <c r="B176" s="413">
        <f>Calculations!A858</f>
        <v>0</v>
      </c>
      <c r="C176" s="951">
        <f>Calculations!B858</f>
        <v>0</v>
      </c>
      <c r="D176" s="951"/>
      <c r="E176" s="412">
        <f>Calculations!C858</f>
        <v>0</v>
      </c>
      <c r="F176" s="409">
        <f>Calculations!D858</f>
        <v>0</v>
      </c>
      <c r="G176" s="411">
        <f>Calculations!E858</f>
        <v>0</v>
      </c>
      <c r="H176" s="435">
        <f>Calculations!F858</f>
        <v>0</v>
      </c>
      <c r="I176" s="411">
        <f>Calculations!G858</f>
        <v>0</v>
      </c>
      <c r="J176" s="414" t="str">
        <f>Calculations!H858</f>
        <v/>
      </c>
      <c r="K176" s="242"/>
      <c r="L176" s="242"/>
      <c r="M176" s="242"/>
      <c r="N176" s="242"/>
      <c r="O176" s="242"/>
      <c r="P176" s="242"/>
      <c r="Q176" s="242"/>
      <c r="R176" s="242"/>
      <c r="S176" s="242"/>
    </row>
    <row r="177" spans="2:19" ht="15" customHeight="1">
      <c r="B177" s="413">
        <f>Calculations!A859</f>
        <v>0</v>
      </c>
      <c r="C177" s="951">
        <f>Calculations!B859</f>
        <v>0</v>
      </c>
      <c r="D177" s="951"/>
      <c r="E177" s="412">
        <f>Calculations!C859</f>
        <v>0</v>
      </c>
      <c r="F177" s="409">
        <f>Calculations!D859</f>
        <v>0</v>
      </c>
      <c r="G177" s="411">
        <f>Calculations!E859</f>
        <v>0</v>
      </c>
      <c r="H177" s="435">
        <f>Calculations!F859</f>
        <v>0</v>
      </c>
      <c r="I177" s="411">
        <f>Calculations!G859</f>
        <v>0</v>
      </c>
      <c r="J177" s="414" t="str">
        <f>Calculations!H859</f>
        <v/>
      </c>
      <c r="K177" s="242"/>
      <c r="L177" s="242"/>
      <c r="M177" s="242"/>
      <c r="N177" s="242"/>
      <c r="O177" s="242"/>
      <c r="P177" s="242"/>
      <c r="Q177" s="242"/>
      <c r="R177" s="242"/>
      <c r="S177" s="242"/>
    </row>
    <row r="178" spans="2:19" s="88" customFormat="1" ht="15">
      <c r="B178" s="413">
        <f>Calculations!A860</f>
        <v>0</v>
      </c>
      <c r="C178" s="951">
        <f>Calculations!B860</f>
        <v>0</v>
      </c>
      <c r="D178" s="951"/>
      <c r="E178" s="412">
        <f>Calculations!C860</f>
        <v>0</v>
      </c>
      <c r="F178" s="409">
        <f>Calculations!D860</f>
        <v>0</v>
      </c>
      <c r="G178" s="411">
        <f>Calculations!E860</f>
        <v>0</v>
      </c>
      <c r="H178" s="411">
        <f>Calculations!F860</f>
        <v>0</v>
      </c>
      <c r="I178" s="411">
        <f>Calculations!G860</f>
        <v>0</v>
      </c>
      <c r="J178" s="414" t="str">
        <f>Calculations!H860</f>
        <v/>
      </c>
    </row>
    <row r="179" spans="2:19" ht="15">
      <c r="B179" s="413">
        <f>Calculations!A861</f>
        <v>0</v>
      </c>
      <c r="C179" s="951">
        <f>Calculations!B861</f>
        <v>0</v>
      </c>
      <c r="D179" s="951"/>
      <c r="E179" s="412">
        <f>Calculations!C861</f>
        <v>0</v>
      </c>
      <c r="F179" s="409">
        <f>Calculations!D861</f>
        <v>0</v>
      </c>
      <c r="G179" s="411">
        <f>Calculations!E861</f>
        <v>0</v>
      </c>
      <c r="H179" s="411">
        <f>Calculations!F861</f>
        <v>0</v>
      </c>
      <c r="I179" s="411">
        <f>Calculations!G861</f>
        <v>0</v>
      </c>
      <c r="J179" s="414" t="str">
        <f>Calculations!H861</f>
        <v/>
      </c>
    </row>
    <row r="180" spans="2:19" s="88" customFormat="1" ht="15">
      <c r="B180" s="413">
        <f>Calculations!A862</f>
        <v>0</v>
      </c>
      <c r="C180" s="951">
        <f>Calculations!B862</f>
        <v>0</v>
      </c>
      <c r="D180" s="951"/>
      <c r="E180" s="412">
        <f>Calculations!C862</f>
        <v>0</v>
      </c>
      <c r="F180" s="409">
        <f>Calculations!D862</f>
        <v>0</v>
      </c>
      <c r="G180" s="411">
        <f>Calculations!E862</f>
        <v>0</v>
      </c>
      <c r="H180" s="411">
        <f>Calculations!F862</f>
        <v>0</v>
      </c>
      <c r="I180" s="411">
        <f>Calculations!G862</f>
        <v>0</v>
      </c>
      <c r="J180" s="414" t="str">
        <f>Calculations!H862</f>
        <v/>
      </c>
    </row>
    <row r="181" spans="2:19" s="88" customFormat="1" ht="15">
      <c r="B181" s="413">
        <f>Calculations!A863</f>
        <v>0</v>
      </c>
      <c r="C181" s="951">
        <f>Calculations!B863</f>
        <v>0</v>
      </c>
      <c r="D181" s="951"/>
      <c r="E181" s="412">
        <f>Calculations!C863</f>
        <v>0</v>
      </c>
      <c r="F181" s="409">
        <f>Calculations!D863</f>
        <v>0</v>
      </c>
      <c r="G181" s="411">
        <f>Calculations!E863</f>
        <v>0</v>
      </c>
      <c r="H181" s="411">
        <f>Calculations!F863</f>
        <v>0</v>
      </c>
      <c r="I181" s="411">
        <f>Calculations!G863</f>
        <v>0</v>
      </c>
      <c r="J181" s="414" t="str">
        <f>Calculations!H863</f>
        <v/>
      </c>
    </row>
    <row r="182" spans="2:19" s="88" customFormat="1" ht="15">
      <c r="B182" s="413">
        <f>Calculations!A864</f>
        <v>0</v>
      </c>
      <c r="C182" s="951">
        <f>Calculations!B864</f>
        <v>0</v>
      </c>
      <c r="D182" s="951"/>
      <c r="E182" s="412">
        <f>Calculations!C864</f>
        <v>0</v>
      </c>
      <c r="F182" s="409">
        <f>Calculations!D864</f>
        <v>0</v>
      </c>
      <c r="G182" s="411">
        <f>Calculations!E864</f>
        <v>0</v>
      </c>
      <c r="H182" s="411">
        <f>Calculations!F864</f>
        <v>0</v>
      </c>
      <c r="I182" s="411">
        <f>Calculations!G864</f>
        <v>0</v>
      </c>
      <c r="J182" s="414" t="str">
        <f>Calculations!H864</f>
        <v/>
      </c>
    </row>
    <row r="183" spans="2:19" s="88" customFormat="1" ht="15">
      <c r="B183" s="413">
        <f>Calculations!A865</f>
        <v>0</v>
      </c>
      <c r="C183" s="951">
        <f>Calculations!B865</f>
        <v>0</v>
      </c>
      <c r="D183" s="951"/>
      <c r="E183" s="412">
        <f>Calculations!C865</f>
        <v>0</v>
      </c>
      <c r="F183" s="409">
        <f>Calculations!D865</f>
        <v>0</v>
      </c>
      <c r="G183" s="411">
        <f>Calculations!E865</f>
        <v>0</v>
      </c>
      <c r="H183" s="411">
        <f>Calculations!F865</f>
        <v>0</v>
      </c>
      <c r="I183" s="411">
        <f>Calculations!G865</f>
        <v>0</v>
      </c>
      <c r="J183" s="414" t="str">
        <f>Calculations!H865</f>
        <v/>
      </c>
    </row>
    <row r="184" spans="2:19" s="88" customFormat="1" ht="15">
      <c r="B184" s="413">
        <f>Calculations!A866</f>
        <v>0</v>
      </c>
      <c r="C184" s="951">
        <f>Calculations!B866</f>
        <v>0</v>
      </c>
      <c r="D184" s="951"/>
      <c r="E184" s="412">
        <f>Calculations!C866</f>
        <v>0</v>
      </c>
      <c r="F184" s="409">
        <f>Calculations!D866</f>
        <v>0</v>
      </c>
      <c r="G184" s="411">
        <f>Calculations!E866</f>
        <v>0</v>
      </c>
      <c r="H184" s="411">
        <f>Calculations!F866</f>
        <v>0</v>
      </c>
      <c r="I184" s="411">
        <f>Calculations!G866</f>
        <v>0</v>
      </c>
      <c r="J184" s="414" t="str">
        <f>Calculations!H866</f>
        <v/>
      </c>
    </row>
    <row r="185" spans="2:19" s="88" customFormat="1" ht="15">
      <c r="B185" s="413">
        <f>Calculations!A867</f>
        <v>0</v>
      </c>
      <c r="C185" s="951">
        <f>Calculations!B867</f>
        <v>0</v>
      </c>
      <c r="D185" s="951"/>
      <c r="E185" s="412">
        <f>Calculations!C867</f>
        <v>0</v>
      </c>
      <c r="F185" s="409">
        <f>Calculations!D867</f>
        <v>0</v>
      </c>
      <c r="G185" s="411">
        <f>Calculations!E867</f>
        <v>0</v>
      </c>
      <c r="H185" s="411">
        <f>Calculations!F867</f>
        <v>0</v>
      </c>
      <c r="I185" s="411">
        <f>Calculations!G867</f>
        <v>0</v>
      </c>
      <c r="J185" s="414" t="str">
        <f>Calculations!H867</f>
        <v/>
      </c>
    </row>
    <row r="186" spans="2:19" s="88" customFormat="1" ht="15">
      <c r="B186" s="413">
        <f>Calculations!A868</f>
        <v>0</v>
      </c>
      <c r="C186" s="951">
        <f>Calculations!B868</f>
        <v>0</v>
      </c>
      <c r="D186" s="951"/>
      <c r="E186" s="412">
        <f>Calculations!C868</f>
        <v>0</v>
      </c>
      <c r="F186" s="409">
        <f>Calculations!D868</f>
        <v>0</v>
      </c>
      <c r="G186" s="411">
        <f>Calculations!E868</f>
        <v>0</v>
      </c>
      <c r="H186" s="411">
        <f>Calculations!F868</f>
        <v>0</v>
      </c>
      <c r="I186" s="411">
        <f>Calculations!G868</f>
        <v>0</v>
      </c>
      <c r="J186" s="414" t="str">
        <f>Calculations!H868</f>
        <v/>
      </c>
    </row>
    <row r="187" spans="2:19" s="88" customFormat="1" ht="15">
      <c r="B187" s="413">
        <f>Calculations!A869</f>
        <v>0</v>
      </c>
      <c r="C187" s="951">
        <f>Calculations!B869</f>
        <v>0</v>
      </c>
      <c r="D187" s="951"/>
      <c r="E187" s="412">
        <f>Calculations!C869</f>
        <v>0</v>
      </c>
      <c r="F187" s="409">
        <f>Calculations!D869</f>
        <v>0</v>
      </c>
      <c r="G187" s="411">
        <f>Calculations!E869</f>
        <v>0</v>
      </c>
      <c r="H187" s="411">
        <f>Calculations!F869</f>
        <v>0</v>
      </c>
      <c r="I187" s="411">
        <f>Calculations!G869</f>
        <v>0</v>
      </c>
      <c r="J187" s="414" t="str">
        <f>Calculations!H869</f>
        <v/>
      </c>
    </row>
    <row r="188" spans="2:19" s="88" customFormat="1" ht="15">
      <c r="B188" s="413">
        <f>Calculations!A870</f>
        <v>0</v>
      </c>
      <c r="C188" s="951">
        <f>Calculations!B870</f>
        <v>0</v>
      </c>
      <c r="D188" s="951"/>
      <c r="E188" s="412">
        <f>Calculations!C870</f>
        <v>0</v>
      </c>
      <c r="F188" s="409">
        <f>Calculations!D870</f>
        <v>0</v>
      </c>
      <c r="G188" s="411">
        <f>Calculations!E870</f>
        <v>0</v>
      </c>
      <c r="H188" s="411">
        <f>Calculations!F870</f>
        <v>0</v>
      </c>
      <c r="I188" s="411">
        <f>Calculations!G870</f>
        <v>0</v>
      </c>
      <c r="J188" s="414" t="str">
        <f>Calculations!H870</f>
        <v/>
      </c>
    </row>
    <row r="189" spans="2:19" s="88" customFormat="1" ht="15">
      <c r="B189" s="413">
        <f>Calculations!A871</f>
        <v>0</v>
      </c>
      <c r="C189" s="951">
        <f>Calculations!B871</f>
        <v>0</v>
      </c>
      <c r="D189" s="951"/>
      <c r="E189" s="412">
        <f>Calculations!C871</f>
        <v>0</v>
      </c>
      <c r="F189" s="409">
        <f>Calculations!D871</f>
        <v>0</v>
      </c>
      <c r="G189" s="411">
        <f>Calculations!E871</f>
        <v>0</v>
      </c>
      <c r="H189" s="411">
        <f>Calculations!F871</f>
        <v>0</v>
      </c>
      <c r="I189" s="411">
        <f>Calculations!G871</f>
        <v>0</v>
      </c>
      <c r="J189" s="414" t="str">
        <f>Calculations!H871</f>
        <v/>
      </c>
    </row>
    <row r="190" spans="2:19" s="88" customFormat="1" ht="15">
      <c r="B190" s="413">
        <f>Calculations!A872</f>
        <v>0</v>
      </c>
      <c r="C190" s="951">
        <f>Calculations!B872</f>
        <v>0</v>
      </c>
      <c r="D190" s="951"/>
      <c r="E190" s="412">
        <f>Calculations!C872</f>
        <v>0</v>
      </c>
      <c r="F190" s="409">
        <f>Calculations!D872</f>
        <v>0</v>
      </c>
      <c r="G190" s="411">
        <f>Calculations!E872</f>
        <v>0</v>
      </c>
      <c r="H190" s="411">
        <f>Calculations!F872</f>
        <v>0</v>
      </c>
      <c r="I190" s="411">
        <f>Calculations!G872</f>
        <v>0</v>
      </c>
      <c r="J190" s="414" t="str">
        <f>Calculations!H872</f>
        <v/>
      </c>
    </row>
    <row r="191" spans="2:19" s="88" customFormat="1" ht="15">
      <c r="B191" s="413">
        <f>Calculations!A873</f>
        <v>0</v>
      </c>
      <c r="C191" s="951">
        <f>Calculations!B873</f>
        <v>0</v>
      </c>
      <c r="D191" s="951"/>
      <c r="E191" s="412">
        <f>Calculations!C873</f>
        <v>0</v>
      </c>
      <c r="F191" s="409">
        <f>Calculations!D873</f>
        <v>0</v>
      </c>
      <c r="G191" s="411">
        <f>Calculations!E873</f>
        <v>0</v>
      </c>
      <c r="H191" s="411">
        <f>Calculations!F873</f>
        <v>0</v>
      </c>
      <c r="I191" s="411">
        <f>Calculations!G873</f>
        <v>0</v>
      </c>
      <c r="J191" s="414" t="str">
        <f>Calculations!H873</f>
        <v/>
      </c>
    </row>
    <row r="192" spans="2:19" s="88" customFormat="1" ht="15">
      <c r="B192" s="413">
        <f>Calculations!A874</f>
        <v>0</v>
      </c>
      <c r="C192" s="951">
        <f>Calculations!B874</f>
        <v>0</v>
      </c>
      <c r="D192" s="951"/>
      <c r="E192" s="412">
        <f>Calculations!C874</f>
        <v>0</v>
      </c>
      <c r="F192" s="409">
        <f>Calculations!D874</f>
        <v>0</v>
      </c>
      <c r="G192" s="411">
        <f>Calculations!E874</f>
        <v>0</v>
      </c>
      <c r="H192" s="411">
        <f>Calculations!F874</f>
        <v>0</v>
      </c>
      <c r="I192" s="411">
        <f>Calculations!G874</f>
        <v>0</v>
      </c>
      <c r="J192" s="414" t="str">
        <f>Calculations!H874</f>
        <v/>
      </c>
    </row>
    <row r="193" spans="2:10" s="88" customFormat="1" ht="15">
      <c r="B193" s="413">
        <f>Calculations!A875</f>
        <v>0</v>
      </c>
      <c r="C193" s="951">
        <f>Calculations!B875</f>
        <v>0</v>
      </c>
      <c r="D193" s="951"/>
      <c r="E193" s="412">
        <f>Calculations!C875</f>
        <v>0</v>
      </c>
      <c r="F193" s="409">
        <f>Calculations!D875</f>
        <v>0</v>
      </c>
      <c r="G193" s="411">
        <f>Calculations!E875</f>
        <v>0</v>
      </c>
      <c r="H193" s="411">
        <f>Calculations!F875</f>
        <v>0</v>
      </c>
      <c r="I193" s="411">
        <f>Calculations!G875</f>
        <v>0</v>
      </c>
      <c r="J193" s="414" t="str">
        <f>Calculations!H875</f>
        <v/>
      </c>
    </row>
    <row r="194" spans="2:10" s="88" customFormat="1" ht="15">
      <c r="B194" s="413">
        <f>Calculations!A876</f>
        <v>0</v>
      </c>
      <c r="C194" s="951">
        <f>Calculations!B876</f>
        <v>0</v>
      </c>
      <c r="D194" s="951"/>
      <c r="E194" s="412">
        <f>Calculations!C876</f>
        <v>0</v>
      </c>
      <c r="F194" s="409">
        <f>Calculations!D876</f>
        <v>0</v>
      </c>
      <c r="G194" s="411">
        <f>Calculations!E876</f>
        <v>0</v>
      </c>
      <c r="H194" s="411">
        <f>Calculations!F876</f>
        <v>0</v>
      </c>
      <c r="I194" s="411">
        <f>Calculations!G876</f>
        <v>0</v>
      </c>
      <c r="J194" s="414" t="str">
        <f>Calculations!H876</f>
        <v/>
      </c>
    </row>
    <row r="195" spans="2:10" s="88" customFormat="1" ht="15">
      <c r="B195" s="413">
        <f>Calculations!A877</f>
        <v>0</v>
      </c>
      <c r="C195" s="951">
        <f>Calculations!B877</f>
        <v>0</v>
      </c>
      <c r="D195" s="951"/>
      <c r="E195" s="412">
        <f>Calculations!C877</f>
        <v>0</v>
      </c>
      <c r="F195" s="409">
        <f>Calculations!D877</f>
        <v>0</v>
      </c>
      <c r="G195" s="411">
        <f>Calculations!E877</f>
        <v>0</v>
      </c>
      <c r="H195" s="411">
        <f>Calculations!F877</f>
        <v>0</v>
      </c>
      <c r="I195" s="411">
        <f>Calculations!G877</f>
        <v>0</v>
      </c>
      <c r="J195" s="414" t="str">
        <f>Calculations!H877</f>
        <v/>
      </c>
    </row>
    <row r="196" spans="2:10" s="88" customFormat="1" ht="15">
      <c r="B196" s="413">
        <f>Calculations!A878</f>
        <v>0</v>
      </c>
      <c r="C196" s="951">
        <f>Calculations!B878</f>
        <v>0</v>
      </c>
      <c r="D196" s="951"/>
      <c r="E196" s="412">
        <f>Calculations!C878</f>
        <v>0</v>
      </c>
      <c r="F196" s="409">
        <f>Calculations!D878</f>
        <v>0</v>
      </c>
      <c r="G196" s="411">
        <f>Calculations!E878</f>
        <v>0</v>
      </c>
      <c r="H196" s="411">
        <f>Calculations!F878</f>
        <v>0</v>
      </c>
      <c r="I196" s="411">
        <f>Calculations!G878</f>
        <v>0</v>
      </c>
      <c r="J196" s="414" t="str">
        <f>Calculations!H878</f>
        <v/>
      </c>
    </row>
    <row r="197" spans="2:10" s="88" customFormat="1" ht="15">
      <c r="B197" s="413">
        <f>Calculations!A879</f>
        <v>0</v>
      </c>
      <c r="C197" s="951">
        <f>Calculations!B879</f>
        <v>0</v>
      </c>
      <c r="D197" s="951"/>
      <c r="E197" s="412">
        <f>Calculations!C879</f>
        <v>0</v>
      </c>
      <c r="F197" s="409">
        <f>Calculations!D879</f>
        <v>0</v>
      </c>
      <c r="G197" s="411">
        <f>Calculations!E879</f>
        <v>0</v>
      </c>
      <c r="H197" s="411">
        <f>Calculations!F879</f>
        <v>0</v>
      </c>
      <c r="I197" s="411">
        <f>Calculations!G879</f>
        <v>0</v>
      </c>
      <c r="J197" s="414" t="str">
        <f>Calculations!H879</f>
        <v/>
      </c>
    </row>
    <row r="198" spans="2:10" s="88" customFormat="1" ht="15">
      <c r="B198" s="413">
        <f>Calculations!A880</f>
        <v>0</v>
      </c>
      <c r="C198" s="951">
        <f>Calculations!B880</f>
        <v>0</v>
      </c>
      <c r="D198" s="951"/>
      <c r="E198" s="412">
        <f>Calculations!C880</f>
        <v>0</v>
      </c>
      <c r="F198" s="409">
        <f>Calculations!D880</f>
        <v>0</v>
      </c>
      <c r="G198" s="411">
        <f>Calculations!E880</f>
        <v>0</v>
      </c>
      <c r="H198" s="411">
        <f>Calculations!F880</f>
        <v>0</v>
      </c>
      <c r="I198" s="411">
        <f>Calculations!G880</f>
        <v>0</v>
      </c>
      <c r="J198" s="414" t="str">
        <f>Calculations!H880</f>
        <v/>
      </c>
    </row>
    <row r="199" spans="2:10" s="88" customFormat="1" ht="15">
      <c r="B199" s="413">
        <f>Calculations!A881</f>
        <v>0</v>
      </c>
      <c r="C199" s="951">
        <f>Calculations!B881</f>
        <v>0</v>
      </c>
      <c r="D199" s="951"/>
      <c r="E199" s="412">
        <f>Calculations!C881</f>
        <v>0</v>
      </c>
      <c r="F199" s="409">
        <f>Calculations!D881</f>
        <v>0</v>
      </c>
      <c r="G199" s="411">
        <f>Calculations!E881</f>
        <v>0</v>
      </c>
      <c r="H199" s="411">
        <f>Calculations!F881</f>
        <v>0</v>
      </c>
      <c r="I199" s="411">
        <f>Calculations!G881</f>
        <v>0</v>
      </c>
      <c r="J199" s="414" t="str">
        <f>Calculations!H881</f>
        <v/>
      </c>
    </row>
    <row r="200" spans="2:10" s="88" customFormat="1" ht="15">
      <c r="B200" s="413">
        <f>Calculations!A882</f>
        <v>0</v>
      </c>
      <c r="C200" s="951">
        <f>Calculations!B882</f>
        <v>0</v>
      </c>
      <c r="D200" s="951"/>
      <c r="E200" s="412">
        <f>Calculations!C882</f>
        <v>0</v>
      </c>
      <c r="F200" s="409">
        <f>Calculations!D882</f>
        <v>0</v>
      </c>
      <c r="G200" s="411">
        <f>Calculations!E882</f>
        <v>0</v>
      </c>
      <c r="H200" s="411">
        <f>Calculations!F882</f>
        <v>0</v>
      </c>
      <c r="I200" s="411">
        <f>Calculations!G882</f>
        <v>0</v>
      </c>
      <c r="J200" s="414" t="str">
        <f>Calculations!H882</f>
        <v/>
      </c>
    </row>
    <row r="201" spans="2:10" s="88" customFormat="1" ht="15">
      <c r="B201" s="413">
        <f>Calculations!A883</f>
        <v>0</v>
      </c>
      <c r="C201" s="951">
        <f>Calculations!B883</f>
        <v>0</v>
      </c>
      <c r="D201" s="951"/>
      <c r="E201" s="412">
        <f>Calculations!C883</f>
        <v>0</v>
      </c>
      <c r="F201" s="409">
        <f>Calculations!D883</f>
        <v>0</v>
      </c>
      <c r="G201" s="411">
        <f>Calculations!E883</f>
        <v>0</v>
      </c>
      <c r="H201" s="411">
        <f>Calculations!F883</f>
        <v>0</v>
      </c>
      <c r="I201" s="411">
        <f>Calculations!G883</f>
        <v>0</v>
      </c>
      <c r="J201" s="414" t="str">
        <f>Calculations!H883</f>
        <v/>
      </c>
    </row>
    <row r="202" spans="2:10" s="88" customFormat="1" ht="15">
      <c r="B202" s="413">
        <f>Calculations!A884</f>
        <v>0</v>
      </c>
      <c r="C202" s="951">
        <f>Calculations!B884</f>
        <v>0</v>
      </c>
      <c r="D202" s="951"/>
      <c r="E202" s="412">
        <f>Calculations!C884</f>
        <v>0</v>
      </c>
      <c r="F202" s="409">
        <f>Calculations!D884</f>
        <v>0</v>
      </c>
      <c r="G202" s="411">
        <f>Calculations!E884</f>
        <v>0</v>
      </c>
      <c r="H202" s="411">
        <f>Calculations!F884</f>
        <v>0</v>
      </c>
      <c r="I202" s="411">
        <f>Calculations!G884</f>
        <v>0</v>
      </c>
      <c r="J202" s="414" t="str">
        <f>Calculations!H884</f>
        <v/>
      </c>
    </row>
    <row r="203" spans="2:10" s="88" customFormat="1" ht="15">
      <c r="B203" s="413">
        <f>Calculations!A885</f>
        <v>0</v>
      </c>
      <c r="C203" s="951">
        <f>Calculations!B885</f>
        <v>0</v>
      </c>
      <c r="D203" s="951"/>
      <c r="E203" s="412">
        <f>Calculations!C885</f>
        <v>0</v>
      </c>
      <c r="F203" s="409">
        <f>Calculations!D885</f>
        <v>0</v>
      </c>
      <c r="G203" s="411">
        <f>Calculations!E885</f>
        <v>0</v>
      </c>
      <c r="H203" s="411">
        <f>Calculations!F885</f>
        <v>0</v>
      </c>
      <c r="I203" s="411">
        <f>Calculations!G885</f>
        <v>0</v>
      </c>
      <c r="J203" s="414" t="str">
        <f>Calculations!H885</f>
        <v/>
      </c>
    </row>
    <row r="204" spans="2:10" s="88" customFormat="1" ht="15">
      <c r="B204" s="413">
        <f>Calculations!A886</f>
        <v>0</v>
      </c>
      <c r="C204" s="951">
        <f>Calculations!B886</f>
        <v>0</v>
      </c>
      <c r="D204" s="951"/>
      <c r="E204" s="412">
        <f>Calculations!C886</f>
        <v>0</v>
      </c>
      <c r="F204" s="409">
        <f>Calculations!D886</f>
        <v>0</v>
      </c>
      <c r="G204" s="411">
        <f>Calculations!E886</f>
        <v>0</v>
      </c>
      <c r="H204" s="411">
        <f>Calculations!F886</f>
        <v>0</v>
      </c>
      <c r="I204" s="411">
        <f>Calculations!G886</f>
        <v>0</v>
      </c>
      <c r="J204" s="414" t="str">
        <f>Calculations!H886</f>
        <v/>
      </c>
    </row>
    <row r="205" spans="2:10" s="88" customFormat="1" ht="15">
      <c r="B205" s="413">
        <f>Calculations!A887</f>
        <v>0</v>
      </c>
      <c r="C205" s="951">
        <f>Calculations!B887</f>
        <v>0</v>
      </c>
      <c r="D205" s="951"/>
      <c r="E205" s="412">
        <f>Calculations!C887</f>
        <v>0</v>
      </c>
      <c r="F205" s="409">
        <f>Calculations!D887</f>
        <v>0</v>
      </c>
      <c r="G205" s="411">
        <f>Calculations!E887</f>
        <v>0</v>
      </c>
      <c r="H205" s="411">
        <f>Calculations!F887</f>
        <v>0</v>
      </c>
      <c r="I205" s="411">
        <f>Calculations!G887</f>
        <v>0</v>
      </c>
      <c r="J205" s="414" t="str">
        <f>Calculations!H887</f>
        <v/>
      </c>
    </row>
    <row r="206" spans="2:10" s="88" customFormat="1" ht="15">
      <c r="B206" s="413">
        <f>Calculations!A888</f>
        <v>0</v>
      </c>
      <c r="C206" s="951">
        <f>Calculations!B888</f>
        <v>0</v>
      </c>
      <c r="D206" s="951"/>
      <c r="E206" s="412">
        <f>Calculations!C888</f>
        <v>0</v>
      </c>
      <c r="F206" s="409">
        <f>Calculations!D888</f>
        <v>0</v>
      </c>
      <c r="G206" s="411">
        <f>Calculations!E888</f>
        <v>0</v>
      </c>
      <c r="H206" s="411">
        <f>Calculations!F888</f>
        <v>0</v>
      </c>
      <c r="I206" s="411">
        <f>Calculations!G888</f>
        <v>0</v>
      </c>
      <c r="J206" s="414" t="str">
        <f>Calculations!H888</f>
        <v/>
      </c>
    </row>
    <row r="207" spans="2:10" s="88" customFormat="1" ht="15">
      <c r="B207" s="413">
        <f>Calculations!A889</f>
        <v>0</v>
      </c>
      <c r="C207" s="951">
        <f>Calculations!B889</f>
        <v>0</v>
      </c>
      <c r="D207" s="951"/>
      <c r="E207" s="412">
        <f>Calculations!C889</f>
        <v>0</v>
      </c>
      <c r="F207" s="409">
        <f>Calculations!D889</f>
        <v>0</v>
      </c>
      <c r="G207" s="411">
        <f>Calculations!E889</f>
        <v>0</v>
      </c>
      <c r="H207" s="411">
        <f>Calculations!F889</f>
        <v>0</v>
      </c>
      <c r="I207" s="411">
        <f>Calculations!G889</f>
        <v>0</v>
      </c>
      <c r="J207" s="414" t="str">
        <f>Calculations!H889</f>
        <v/>
      </c>
    </row>
    <row r="208" spans="2:10" s="88" customFormat="1" ht="15">
      <c r="B208" s="413">
        <f>Calculations!A890</f>
        <v>0</v>
      </c>
      <c r="C208" s="951">
        <f>Calculations!B890</f>
        <v>0</v>
      </c>
      <c r="D208" s="951"/>
      <c r="E208" s="412">
        <f>Calculations!C890</f>
        <v>0</v>
      </c>
      <c r="F208" s="409">
        <f>Calculations!D890</f>
        <v>0</v>
      </c>
      <c r="G208" s="411">
        <f>Calculations!E890</f>
        <v>0</v>
      </c>
      <c r="H208" s="411">
        <f>Calculations!F890</f>
        <v>0</v>
      </c>
      <c r="I208" s="411">
        <f>Calculations!G890</f>
        <v>0</v>
      </c>
      <c r="J208" s="414" t="str">
        <f>Calculations!H890</f>
        <v/>
      </c>
    </row>
    <row r="209" spans="2:10" s="88" customFormat="1" ht="15">
      <c r="B209" s="413">
        <f>Calculations!A891</f>
        <v>0</v>
      </c>
      <c r="C209" s="951">
        <f>Calculations!B891</f>
        <v>0</v>
      </c>
      <c r="D209" s="951"/>
      <c r="E209" s="412">
        <f>Calculations!C891</f>
        <v>0</v>
      </c>
      <c r="F209" s="409">
        <f>Calculations!D891</f>
        <v>0</v>
      </c>
      <c r="G209" s="411">
        <f>Calculations!E891</f>
        <v>0</v>
      </c>
      <c r="H209" s="411">
        <f>Calculations!F891</f>
        <v>0</v>
      </c>
      <c r="I209" s="411">
        <f>Calculations!G891</f>
        <v>0</v>
      </c>
      <c r="J209" s="414" t="str">
        <f>Calculations!H891</f>
        <v/>
      </c>
    </row>
    <row r="210" spans="2:10" s="88" customFormat="1" ht="15">
      <c r="B210" s="413">
        <f>Calculations!A892</f>
        <v>0</v>
      </c>
      <c r="C210" s="951">
        <f>Calculations!B892</f>
        <v>0</v>
      </c>
      <c r="D210" s="951"/>
      <c r="E210" s="412">
        <f>Calculations!C892</f>
        <v>0</v>
      </c>
      <c r="F210" s="409">
        <f>Calculations!D892</f>
        <v>0</v>
      </c>
      <c r="G210" s="411">
        <f>Calculations!E892</f>
        <v>0</v>
      </c>
      <c r="H210" s="411">
        <f>Calculations!F892</f>
        <v>0</v>
      </c>
      <c r="I210" s="411">
        <f>Calculations!G892</f>
        <v>0</v>
      </c>
      <c r="J210" s="414" t="str">
        <f>Calculations!H892</f>
        <v/>
      </c>
    </row>
    <row r="211" spans="2:10" s="88" customFormat="1" ht="15">
      <c r="B211" s="407"/>
      <c r="C211" s="407"/>
      <c r="D211" s="408"/>
      <c r="E211" s="409"/>
      <c r="F211" s="410"/>
      <c r="G211" s="410"/>
      <c r="H211" s="410"/>
      <c r="I211" s="183"/>
      <c r="J211" s="183"/>
    </row>
    <row r="212" spans="2:10" s="88" customFormat="1" ht="15">
      <c r="B212" s="407"/>
      <c r="C212" s="407"/>
      <c r="D212" s="408"/>
      <c r="E212" s="409"/>
      <c r="F212" s="410"/>
      <c r="G212" s="410"/>
      <c r="H212" s="410"/>
      <c r="I212" s="183"/>
      <c r="J212" s="183"/>
    </row>
    <row r="213" spans="2:10" s="88" customFormat="1" ht="15">
      <c r="B213" s="407"/>
      <c r="C213" s="407"/>
      <c r="D213" s="408"/>
      <c r="E213" s="409"/>
      <c r="F213" s="410"/>
      <c r="G213" s="410"/>
      <c r="H213" s="410"/>
      <c r="I213" s="183"/>
      <c r="J213" s="183"/>
    </row>
    <row r="214" spans="2:10" s="88" customFormat="1" ht="15">
      <c r="B214" s="407"/>
      <c r="C214" s="407"/>
      <c r="D214" s="408"/>
      <c r="E214" s="409"/>
      <c r="F214" s="410"/>
      <c r="G214" s="410"/>
      <c r="H214" s="410"/>
      <c r="I214" s="183"/>
      <c r="J214" s="183"/>
    </row>
    <row r="215" spans="2:10" s="88" customFormat="1" ht="15">
      <c r="B215" s="407"/>
      <c r="C215" s="407"/>
      <c r="D215" s="408"/>
      <c r="E215" s="409"/>
      <c r="F215" s="410"/>
      <c r="G215" s="410"/>
      <c r="H215" s="410"/>
      <c r="I215" s="183"/>
      <c r="J215" s="183"/>
    </row>
    <row r="216" spans="2:10" s="88" customFormat="1" ht="15">
      <c r="B216" s="407"/>
      <c r="C216" s="407"/>
      <c r="D216" s="408"/>
      <c r="E216" s="409"/>
      <c r="F216" s="410"/>
      <c r="G216" s="410"/>
      <c r="H216" s="410"/>
      <c r="I216" s="183"/>
      <c r="J216" s="183"/>
    </row>
  </sheetData>
  <sheetProtection algorithmName="SHA-512" hashValue="6Oq5E+pUSnljZUZtGwLLsQsm6+fXJwfPp86sfjF/Oo6ZaaRlrfgmfFSyxfm10gvoGNxMIv2NVrOoeagbMaBf5w==" saltValue="u4jTl24LYEEeT9a+nlU8sg==" spinCount="100000" sheet="1" objects="1" scenarios="1"/>
  <mergeCells count="77">
    <mergeCell ref="A148:L148"/>
    <mergeCell ref="A1:L1"/>
    <mergeCell ref="A8:L8"/>
    <mergeCell ref="B56:C56"/>
    <mergeCell ref="A49:L49"/>
    <mergeCell ref="I70:J70"/>
    <mergeCell ref="A68:L68"/>
    <mergeCell ref="A83:L83"/>
    <mergeCell ref="A84:L84"/>
    <mergeCell ref="B9:L9"/>
    <mergeCell ref="B28:L28"/>
    <mergeCell ref="A122:K122"/>
    <mergeCell ref="B145:C145"/>
    <mergeCell ref="A147:L147"/>
    <mergeCell ref="K52:L52"/>
    <mergeCell ref="K53:L53"/>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10:D210"/>
    <mergeCell ref="C205:D205"/>
    <mergeCell ref="C206:D206"/>
    <mergeCell ref="C207:D207"/>
    <mergeCell ref="C208:D208"/>
    <mergeCell ref="C209:D209"/>
  </mergeCells>
  <phoneticPr fontId="91"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8:K68" location="Determination_TC_Range" display="Determination of Annual Tax Credit Amount" xr:uid="{00000000-0004-0000-1500-000000000000}"/>
    <hyperlink ref="A83:J83" location="'Proforma, Income &amp; Expense'!A1" display="15 Year Pro Forma" xr:uid="{00000000-0004-0000-1500-000001000000}"/>
    <hyperlink ref="A49:K49" location="Financing!A1" display="Development Financing" xr:uid="{00000000-0004-0000-1500-000002000000}"/>
    <hyperlink ref="A147:J147" location="'Unit Mix &amp; Rents'!A1" display="Units Mix &amp; Rents" xr:uid="{00000000-0004-0000-1500-000003000000}"/>
    <hyperlink ref="A122:K122"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2" max="16383" man="1"/>
    <brk id="121" max="11" man="1"/>
    <brk id="146"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V1452"/>
  <sheetViews>
    <sheetView topLeftCell="A1046" zoomScaleNormal="100" workbookViewId="0">
      <selection activeCell="C1075" sqref="C1075"/>
    </sheetView>
  </sheetViews>
  <sheetFormatPr defaultColWidth="9" defaultRowHeight="15"/>
  <cols>
    <col min="1" max="1" width="63.140625" customWidth="1"/>
    <col min="2" max="2" width="37.140625" customWidth="1"/>
    <col min="3" max="3" width="69.5703125" customWidth="1"/>
    <col min="4" max="4" width="5.28515625" customWidth="1"/>
    <col min="5" max="5" width="48.5703125" customWidth="1"/>
    <col min="6" max="6" width="14.140625" customWidth="1"/>
    <col min="7" max="7" width="31.5703125" customWidth="1"/>
    <col min="8" max="8" width="14.140625" customWidth="1"/>
    <col min="10" max="10" width="41.5703125" customWidth="1"/>
    <col min="11" max="11" width="13.5703125" bestFit="1" customWidth="1"/>
    <col min="12" max="12" width="26.5703125" bestFit="1" customWidth="1"/>
    <col min="17" max="17" width="12.5703125" customWidth="1"/>
  </cols>
  <sheetData>
    <row r="1" spans="1:18">
      <c r="A1" s="1" t="s">
        <v>1355</v>
      </c>
      <c r="B1" s="1" t="s">
        <v>1356</v>
      </c>
      <c r="C1" s="1" t="s">
        <v>1357</v>
      </c>
      <c r="D1" s="1" t="s">
        <v>1358</v>
      </c>
    </row>
    <row r="2" spans="1:18">
      <c r="A2" t="s">
        <v>989</v>
      </c>
      <c r="B2" t="s">
        <v>1359</v>
      </c>
      <c r="C2">
        <f>Calculations!B359</f>
        <v>0</v>
      </c>
      <c r="D2" t="s">
        <v>1360</v>
      </c>
    </row>
    <row r="3" spans="1:18">
      <c r="A3" t="s">
        <v>990</v>
      </c>
      <c r="B3" t="s">
        <v>1361</v>
      </c>
      <c r="C3">
        <f>Calculations!B360</f>
        <v>0</v>
      </c>
      <c r="D3" t="s">
        <v>1362</v>
      </c>
    </row>
    <row r="4" spans="1:18">
      <c r="B4" t="s">
        <v>1363</v>
      </c>
      <c r="C4" t="str">
        <f>Calculations!$B$380</f>
        <v>Loans Missing</v>
      </c>
      <c r="D4" t="s">
        <v>1364</v>
      </c>
    </row>
    <row r="5" spans="1:18">
      <c r="B5" t="s">
        <v>1365</v>
      </c>
      <c r="C5" t="str">
        <f>Calculations!$C$380</f>
        <v>Loans Missing</v>
      </c>
      <c r="D5" t="s">
        <v>1366</v>
      </c>
    </row>
    <row r="6" spans="1:18">
      <c r="B6" t="s">
        <v>1367</v>
      </c>
      <c r="C6" t="str">
        <f>Calculations!$P$380</f>
        <v>Loans Missing</v>
      </c>
    </row>
    <row r="7" spans="1:18">
      <c r="B7" t="s">
        <v>1368</v>
      </c>
      <c r="C7">
        <f>ABS(Calculations!B383)</f>
        <v>0</v>
      </c>
    </row>
    <row r="8" spans="1:18" s="366" customFormat="1">
      <c r="A8"/>
      <c r="B8" t="s">
        <v>1369</v>
      </c>
      <c r="C8">
        <f>ABS(Calculations!B384)</f>
        <v>0</v>
      </c>
      <c r="D8"/>
      <c r="E8"/>
      <c r="F8"/>
      <c r="G8"/>
      <c r="H8"/>
      <c r="I8"/>
      <c r="J8"/>
      <c r="K8"/>
      <c r="L8"/>
      <c r="M8"/>
      <c r="N8"/>
      <c r="O8"/>
      <c r="P8"/>
      <c r="Q8"/>
      <c r="R8"/>
    </row>
    <row r="9" spans="1:18" s="366" customFormat="1">
      <c r="A9"/>
      <c r="B9" t="s">
        <v>1370</v>
      </c>
      <c r="C9">
        <f>ABS(Calculations!B385)</f>
        <v>0</v>
      </c>
      <c r="D9"/>
      <c r="E9"/>
      <c r="F9"/>
      <c r="G9"/>
      <c r="H9"/>
      <c r="I9"/>
      <c r="J9"/>
      <c r="K9"/>
      <c r="L9"/>
      <c r="M9"/>
      <c r="N9"/>
      <c r="O9"/>
      <c r="P9"/>
      <c r="Q9"/>
      <c r="R9"/>
    </row>
    <row r="10" spans="1:18">
      <c r="B10" t="s">
        <v>1371</v>
      </c>
      <c r="C10">
        <f>ABS(Calculations!B386)</f>
        <v>0</v>
      </c>
    </row>
    <row r="11" spans="1:18">
      <c r="B11" t="s">
        <v>1372</v>
      </c>
      <c r="C11" t="str">
        <f>Calculations!A386</f>
        <v>Other (Specify)</v>
      </c>
    </row>
    <row r="12" spans="1:18">
      <c r="B12" t="s">
        <v>1373</v>
      </c>
      <c r="C12">
        <f>ABS(Calculations!B387)</f>
        <v>0</v>
      </c>
    </row>
    <row r="13" spans="1:18">
      <c r="B13" t="s">
        <v>1374</v>
      </c>
      <c r="C13">
        <f>ABS(Calculations!B388)</f>
        <v>0</v>
      </c>
    </row>
    <row r="14" spans="1:18">
      <c r="B14" t="s">
        <v>1375</v>
      </c>
      <c r="C14">
        <f>ABS(Calculations!C383)</f>
        <v>0</v>
      </c>
    </row>
    <row r="15" spans="1:18">
      <c r="B15" t="s">
        <v>1376</v>
      </c>
      <c r="C15">
        <f>ABS(Calculations!C384)</f>
        <v>0</v>
      </c>
    </row>
    <row r="16" spans="1:18">
      <c r="B16" t="s">
        <v>1377</v>
      </c>
      <c r="C16">
        <f>ABS(Calculations!C385)</f>
        <v>0</v>
      </c>
    </row>
    <row r="17" spans="2:3">
      <c r="B17" t="s">
        <v>1378</v>
      </c>
      <c r="C17">
        <f>ABS(Calculations!C386)</f>
        <v>0</v>
      </c>
    </row>
    <row r="18" spans="2:3">
      <c r="B18" t="s">
        <v>1379</v>
      </c>
      <c r="C18" t="str">
        <f>Calculations!A386</f>
        <v>Other (Specify)</v>
      </c>
    </row>
    <row r="19" spans="2:3">
      <c r="B19" t="s">
        <v>1380</v>
      </c>
      <c r="C19">
        <f>Calculations!C387</f>
        <v>0</v>
      </c>
    </row>
    <row r="20" spans="2:3">
      <c r="B20" t="s">
        <v>1381</v>
      </c>
      <c r="C20">
        <f>Calculations!C388</f>
        <v>0</v>
      </c>
    </row>
    <row r="21" spans="2:3">
      <c r="B21" t="s">
        <v>1382</v>
      </c>
      <c r="C21">
        <f>ABS(Calculations!D383)</f>
        <v>0</v>
      </c>
    </row>
    <row r="22" spans="2:3">
      <c r="B22" t="s">
        <v>1383</v>
      </c>
      <c r="C22">
        <f>ABS(Calculations!D384)</f>
        <v>0</v>
      </c>
    </row>
    <row r="23" spans="2:3">
      <c r="B23" t="s">
        <v>1384</v>
      </c>
      <c r="C23">
        <f>ABS(Calculations!D385)</f>
        <v>0</v>
      </c>
    </row>
    <row r="24" spans="2:3">
      <c r="B24" t="s">
        <v>1385</v>
      </c>
      <c r="C24">
        <f>ABS(Calculations!D386)</f>
        <v>0</v>
      </c>
    </row>
    <row r="25" spans="2:3">
      <c r="B25" t="s">
        <v>1386</v>
      </c>
      <c r="C25" t="str">
        <f>Calculations!A386</f>
        <v>Other (Specify)</v>
      </c>
    </row>
    <row r="26" spans="2:3">
      <c r="B26" t="s">
        <v>1387</v>
      </c>
      <c r="C26">
        <f>ABS(Calculations!D387)</f>
        <v>0</v>
      </c>
    </row>
    <row r="27" spans="2:3">
      <c r="B27" t="s">
        <v>1388</v>
      </c>
      <c r="C27">
        <f>ABS(Calculations!D388)</f>
        <v>0</v>
      </c>
    </row>
    <row r="28" spans="2:3">
      <c r="B28" t="s">
        <v>1389</v>
      </c>
      <c r="C28">
        <f>ABS(Calculations!E383)</f>
        <v>0</v>
      </c>
    </row>
    <row r="29" spans="2:3">
      <c r="B29" t="s">
        <v>1390</v>
      </c>
      <c r="C29">
        <f>ABS(Calculations!E384)</f>
        <v>0</v>
      </c>
    </row>
    <row r="30" spans="2:3">
      <c r="B30" t="s">
        <v>1391</v>
      </c>
      <c r="C30">
        <f>ABS(Calculations!E385)</f>
        <v>0</v>
      </c>
    </row>
    <row r="31" spans="2:3">
      <c r="B31" t="s">
        <v>1392</v>
      </c>
      <c r="C31">
        <f>ABS(Calculations!E386)</f>
        <v>0</v>
      </c>
    </row>
    <row r="32" spans="2:3">
      <c r="B32" t="s">
        <v>1393</v>
      </c>
      <c r="C32" t="str">
        <f>Calculations!A386</f>
        <v>Other (Specify)</v>
      </c>
    </row>
    <row r="33" spans="2:3">
      <c r="B33" t="s">
        <v>1394</v>
      </c>
      <c r="C33">
        <f>ABS(Calculations!E387)</f>
        <v>0</v>
      </c>
    </row>
    <row r="34" spans="2:3">
      <c r="B34" t="s">
        <v>1395</v>
      </c>
      <c r="C34">
        <f>ABS(Calculations!E388)</f>
        <v>0</v>
      </c>
    </row>
    <row r="35" spans="2:3">
      <c r="B35" t="s">
        <v>1396</v>
      </c>
      <c r="C35">
        <f>ABS(Calculations!F383)</f>
        <v>0</v>
      </c>
    </row>
    <row r="36" spans="2:3">
      <c r="B36" t="s">
        <v>1397</v>
      </c>
      <c r="C36">
        <f>ABS(Calculations!F384)</f>
        <v>0</v>
      </c>
    </row>
    <row r="37" spans="2:3">
      <c r="B37" t="s">
        <v>1398</v>
      </c>
      <c r="C37">
        <f>ABS(Calculations!F385)</f>
        <v>0</v>
      </c>
    </row>
    <row r="38" spans="2:3">
      <c r="B38" t="s">
        <v>1399</v>
      </c>
      <c r="C38">
        <f>ABS(Calculations!F386)</f>
        <v>0</v>
      </c>
    </row>
    <row r="39" spans="2:3">
      <c r="B39" t="s">
        <v>1400</v>
      </c>
      <c r="C39" t="str">
        <f>Calculations!A386</f>
        <v>Other (Specify)</v>
      </c>
    </row>
    <row r="40" spans="2:3">
      <c r="B40" t="s">
        <v>1401</v>
      </c>
      <c r="C40">
        <f>ABS(Calculations!F387)</f>
        <v>0</v>
      </c>
    </row>
    <row r="41" spans="2:3">
      <c r="B41" t="s">
        <v>1402</v>
      </c>
      <c r="C41">
        <f>ABS(Calculations!F388)</f>
        <v>0</v>
      </c>
    </row>
    <row r="42" spans="2:3">
      <c r="B42" t="s">
        <v>1403</v>
      </c>
      <c r="C42">
        <f>ABS(Calculations!G383)</f>
        <v>0</v>
      </c>
    </row>
    <row r="43" spans="2:3">
      <c r="B43" t="s">
        <v>1404</v>
      </c>
      <c r="C43">
        <f>ABS(Calculations!G384)</f>
        <v>0</v>
      </c>
    </row>
    <row r="44" spans="2:3">
      <c r="B44" t="s">
        <v>1405</v>
      </c>
      <c r="C44">
        <f>ABS(Calculations!G385)</f>
        <v>0</v>
      </c>
    </row>
    <row r="45" spans="2:3">
      <c r="B45" t="s">
        <v>1406</v>
      </c>
      <c r="C45">
        <f>ABS(Calculations!G386)</f>
        <v>0</v>
      </c>
    </row>
    <row r="46" spans="2:3">
      <c r="B46" t="s">
        <v>1407</v>
      </c>
      <c r="C46" t="str">
        <f>Calculations!A386</f>
        <v>Other (Specify)</v>
      </c>
    </row>
    <row r="47" spans="2:3">
      <c r="B47" t="s">
        <v>1408</v>
      </c>
      <c r="C47">
        <f>ABS(Calculations!G387)</f>
        <v>0</v>
      </c>
    </row>
    <row r="48" spans="2:3">
      <c r="B48" t="s">
        <v>1409</v>
      </c>
      <c r="C48">
        <f>ABS(Calculations!G388)</f>
        <v>0</v>
      </c>
    </row>
    <row r="49" spans="2:6">
      <c r="B49" t="s">
        <v>1410</v>
      </c>
      <c r="C49">
        <f>ABS(Calculations!H383)</f>
        <v>0</v>
      </c>
      <c r="F49" t="s">
        <v>1411</v>
      </c>
    </row>
    <row r="50" spans="2:6">
      <c r="B50" t="s">
        <v>1412</v>
      </c>
      <c r="C50">
        <f>ABS(Calculations!H384)</f>
        <v>0</v>
      </c>
    </row>
    <row r="51" spans="2:6">
      <c r="B51" t="s">
        <v>1413</v>
      </c>
      <c r="C51">
        <f>ABS(Calculations!H385)</f>
        <v>0</v>
      </c>
    </row>
    <row r="52" spans="2:6">
      <c r="B52" t="s">
        <v>1414</v>
      </c>
      <c r="C52">
        <f>ABS(Calculations!H386)</f>
        <v>0</v>
      </c>
    </row>
    <row r="53" spans="2:6">
      <c r="B53" t="s">
        <v>1415</v>
      </c>
      <c r="C53" t="str">
        <f>Calculations!A386</f>
        <v>Other (Specify)</v>
      </c>
    </row>
    <row r="54" spans="2:6">
      <c r="B54" t="s">
        <v>1416</v>
      </c>
      <c r="C54">
        <f>ABS(Calculations!H387)</f>
        <v>0</v>
      </c>
    </row>
    <row r="55" spans="2:6">
      <c r="B55" t="s">
        <v>1417</v>
      </c>
      <c r="C55">
        <f>ABS(Calculations!H388)</f>
        <v>0</v>
      </c>
    </row>
    <row r="56" spans="2:6">
      <c r="B56" t="s">
        <v>1418</v>
      </c>
      <c r="C56">
        <f>ABS(Calculations!I383)</f>
        <v>0</v>
      </c>
    </row>
    <row r="57" spans="2:6">
      <c r="B57" t="s">
        <v>1419</v>
      </c>
      <c r="C57">
        <f>ABS(Calculations!I384)</f>
        <v>0</v>
      </c>
    </row>
    <row r="58" spans="2:6">
      <c r="B58" t="s">
        <v>1420</v>
      </c>
      <c r="C58">
        <f>ABS(Calculations!I385)</f>
        <v>0</v>
      </c>
    </row>
    <row r="59" spans="2:6">
      <c r="B59" t="s">
        <v>1421</v>
      </c>
      <c r="C59">
        <f>ABS(Calculations!I386)</f>
        <v>0</v>
      </c>
    </row>
    <row r="60" spans="2:6">
      <c r="B60" t="s">
        <v>1422</v>
      </c>
      <c r="C60" t="str">
        <f>Calculations!A386</f>
        <v>Other (Specify)</v>
      </c>
    </row>
    <row r="61" spans="2:6">
      <c r="B61" t="s">
        <v>1423</v>
      </c>
      <c r="C61">
        <f>ABS(Calculations!I387)</f>
        <v>0</v>
      </c>
    </row>
    <row r="62" spans="2:6">
      <c r="B62" t="s">
        <v>1424</v>
      </c>
      <c r="C62">
        <f>ABS(Calculations!I388)</f>
        <v>0</v>
      </c>
    </row>
    <row r="63" spans="2:6">
      <c r="B63" t="s">
        <v>1425</v>
      </c>
      <c r="C63">
        <f>ABS(Calculations!J383)</f>
        <v>0</v>
      </c>
    </row>
    <row r="64" spans="2:6">
      <c r="B64" t="s">
        <v>1426</v>
      </c>
      <c r="C64">
        <f>ABS(Calculations!J384)</f>
        <v>0</v>
      </c>
    </row>
    <row r="65" spans="2:3">
      <c r="B65" t="s">
        <v>1427</v>
      </c>
      <c r="C65">
        <f>ABS(Calculations!J385)</f>
        <v>0</v>
      </c>
    </row>
    <row r="66" spans="2:3">
      <c r="B66" t="s">
        <v>1428</v>
      </c>
      <c r="C66">
        <f>ABS(Calculations!J386)</f>
        <v>0</v>
      </c>
    </row>
    <row r="67" spans="2:3">
      <c r="B67" t="s">
        <v>1429</v>
      </c>
      <c r="C67" t="str">
        <f>Calculations!A386</f>
        <v>Other (Specify)</v>
      </c>
    </row>
    <row r="68" spans="2:3">
      <c r="B68" t="s">
        <v>1430</v>
      </c>
      <c r="C68">
        <f>ABS(Calculations!J387)</f>
        <v>0</v>
      </c>
    </row>
    <row r="69" spans="2:3">
      <c r="B69" t="s">
        <v>1431</v>
      </c>
      <c r="C69">
        <f>ABS(Calculations!J388)</f>
        <v>0</v>
      </c>
    </row>
    <row r="70" spans="2:3">
      <c r="B70" t="s">
        <v>1432</v>
      </c>
      <c r="C70">
        <f>ABS(Calculations!K383)</f>
        <v>0</v>
      </c>
    </row>
    <row r="71" spans="2:3">
      <c r="B71" t="s">
        <v>1433</v>
      </c>
      <c r="C71">
        <f>ABS(Calculations!K384)</f>
        <v>0</v>
      </c>
    </row>
    <row r="72" spans="2:3">
      <c r="B72" t="s">
        <v>1434</v>
      </c>
      <c r="C72">
        <f>ABS(Calculations!K385)</f>
        <v>0</v>
      </c>
    </row>
    <row r="73" spans="2:3">
      <c r="B73" t="s">
        <v>1435</v>
      </c>
      <c r="C73">
        <f>ABS(Calculations!K386)</f>
        <v>0</v>
      </c>
    </row>
    <row r="74" spans="2:3">
      <c r="B74" t="s">
        <v>1436</v>
      </c>
      <c r="C74" t="str">
        <f>Calculations!A386</f>
        <v>Other (Specify)</v>
      </c>
    </row>
    <row r="75" spans="2:3">
      <c r="B75" t="s">
        <v>1437</v>
      </c>
      <c r="C75">
        <f>ABS(Calculations!K387)</f>
        <v>0</v>
      </c>
    </row>
    <row r="76" spans="2:3">
      <c r="B76" t="s">
        <v>1438</v>
      </c>
      <c r="C76">
        <f>ABS(Calculations!K388)</f>
        <v>0</v>
      </c>
    </row>
    <row r="77" spans="2:3">
      <c r="B77" t="s">
        <v>1439</v>
      </c>
      <c r="C77">
        <f>ABS(Calculations!L383)</f>
        <v>0</v>
      </c>
    </row>
    <row r="78" spans="2:3">
      <c r="B78" t="s">
        <v>1440</v>
      </c>
      <c r="C78">
        <f>ABS(Calculations!L384)</f>
        <v>0</v>
      </c>
    </row>
    <row r="79" spans="2:3">
      <c r="B79" t="s">
        <v>1441</v>
      </c>
      <c r="C79">
        <f>ABS(Calculations!L385)</f>
        <v>0</v>
      </c>
    </row>
    <row r="80" spans="2:3">
      <c r="B80" t="s">
        <v>1442</v>
      </c>
      <c r="C80">
        <f>ABS(Calculations!L386)</f>
        <v>0</v>
      </c>
    </row>
    <row r="81" spans="2:3">
      <c r="B81" t="s">
        <v>1443</v>
      </c>
      <c r="C81" t="str">
        <f>Calculations!A386</f>
        <v>Other (Specify)</v>
      </c>
    </row>
    <row r="82" spans="2:3">
      <c r="B82" t="s">
        <v>1444</v>
      </c>
      <c r="C82">
        <f>ABS(Calculations!L387)</f>
        <v>0</v>
      </c>
    </row>
    <row r="83" spans="2:3">
      <c r="B83" t="s">
        <v>1445</v>
      </c>
      <c r="C83">
        <f>ABS(Calculations!L388)</f>
        <v>0</v>
      </c>
    </row>
    <row r="84" spans="2:3">
      <c r="B84" t="s">
        <v>1446</v>
      </c>
      <c r="C84">
        <f>ABS(Calculations!M383)</f>
        <v>0</v>
      </c>
    </row>
    <row r="85" spans="2:3">
      <c r="B85" t="s">
        <v>1447</v>
      </c>
      <c r="C85">
        <f>ABS(Calculations!M384)</f>
        <v>0</v>
      </c>
    </row>
    <row r="86" spans="2:3">
      <c r="B86" t="s">
        <v>1448</v>
      </c>
      <c r="C86">
        <f>ABS(Calculations!M385)</f>
        <v>0</v>
      </c>
    </row>
    <row r="87" spans="2:3">
      <c r="B87" t="s">
        <v>1449</v>
      </c>
      <c r="C87">
        <f>ABS(Calculations!M386)</f>
        <v>0</v>
      </c>
    </row>
    <row r="88" spans="2:3">
      <c r="B88" t="s">
        <v>1450</v>
      </c>
      <c r="C88" t="str">
        <f>Calculations!A386</f>
        <v>Other (Specify)</v>
      </c>
    </row>
    <row r="89" spans="2:3">
      <c r="B89" t="s">
        <v>1451</v>
      </c>
      <c r="C89">
        <f>ABS(Calculations!M3877)</f>
        <v>0</v>
      </c>
    </row>
    <row r="90" spans="2:3">
      <c r="B90" t="s">
        <v>1452</v>
      </c>
      <c r="C90">
        <f>ABS(Calculations!M388)</f>
        <v>0</v>
      </c>
    </row>
    <row r="91" spans="2:3">
      <c r="B91" t="s">
        <v>1453</v>
      </c>
      <c r="C91">
        <f>ABS(Calculations!N383)</f>
        <v>0</v>
      </c>
    </row>
    <row r="92" spans="2:3">
      <c r="B92" t="s">
        <v>1454</v>
      </c>
      <c r="C92">
        <f>ABS(Calculations!N384)</f>
        <v>0</v>
      </c>
    </row>
    <row r="93" spans="2:3">
      <c r="B93" t="s">
        <v>1455</v>
      </c>
      <c r="C93">
        <f>ABS(Calculations!N385)</f>
        <v>0</v>
      </c>
    </row>
    <row r="94" spans="2:3">
      <c r="B94" t="s">
        <v>1456</v>
      </c>
      <c r="C94">
        <f>ABS(Calculations!N386)</f>
        <v>0</v>
      </c>
    </row>
    <row r="95" spans="2:3">
      <c r="B95" t="s">
        <v>1457</v>
      </c>
      <c r="C95" t="str">
        <f>Calculations!A386</f>
        <v>Other (Specify)</v>
      </c>
    </row>
    <row r="96" spans="2:3">
      <c r="B96" t="s">
        <v>1458</v>
      </c>
      <c r="C96">
        <f>ABS(Calculations!N387)</f>
        <v>0</v>
      </c>
    </row>
    <row r="97" spans="1:3">
      <c r="B97" t="s">
        <v>1459</v>
      </c>
      <c r="C97">
        <f>ABS(Calculations!N388)</f>
        <v>0</v>
      </c>
    </row>
    <row r="98" spans="1:3">
      <c r="B98" t="s">
        <v>1460</v>
      </c>
      <c r="C98">
        <f>ABS(Calculations!O383)</f>
        <v>0</v>
      </c>
    </row>
    <row r="99" spans="1:3">
      <c r="B99" t="s">
        <v>1461</v>
      </c>
      <c r="C99">
        <f>ABS(Calculations!O384)</f>
        <v>0</v>
      </c>
    </row>
    <row r="100" spans="1:3">
      <c r="B100" t="s">
        <v>1462</v>
      </c>
      <c r="C100">
        <f>ABS(Calculations!O385)</f>
        <v>0</v>
      </c>
    </row>
    <row r="101" spans="1:3">
      <c r="B101" t="s">
        <v>1463</v>
      </c>
      <c r="C101">
        <f>ABS(Calculations!O386)</f>
        <v>0</v>
      </c>
    </row>
    <row r="102" spans="1:3">
      <c r="B102" t="s">
        <v>1464</v>
      </c>
      <c r="C102" t="str">
        <f>Calculations!A386</f>
        <v>Other (Specify)</v>
      </c>
    </row>
    <row r="103" spans="1:3">
      <c r="B103" t="s">
        <v>1465</v>
      </c>
      <c r="C103">
        <f>ABS(Calculations!O387)</f>
        <v>0</v>
      </c>
    </row>
    <row r="104" spans="1:3">
      <c r="B104" t="s">
        <v>1466</v>
      </c>
      <c r="C104">
        <f>ABS(Calculations!O388)</f>
        <v>0</v>
      </c>
    </row>
    <row r="105" spans="1:3">
      <c r="B105" t="s">
        <v>1467</v>
      </c>
      <c r="C105">
        <f>ABS(Calculations!P383)</f>
        <v>0</v>
      </c>
    </row>
    <row r="106" spans="1:3">
      <c r="B106" t="s">
        <v>1468</v>
      </c>
      <c r="C106">
        <f>ABS(Calculations!P384)</f>
        <v>0</v>
      </c>
    </row>
    <row r="107" spans="1:3">
      <c r="B107" t="s">
        <v>1469</v>
      </c>
      <c r="C107">
        <f>ABS(Calculations!P385)</f>
        <v>0</v>
      </c>
    </row>
    <row r="108" spans="1:3">
      <c r="B108" t="s">
        <v>1470</v>
      </c>
      <c r="C108">
        <f>ABS(Calculations!P386)</f>
        <v>0</v>
      </c>
    </row>
    <row r="109" spans="1:3">
      <c r="B109" t="s">
        <v>1471</v>
      </c>
      <c r="C109" t="str">
        <f>Calculations!A386</f>
        <v>Other (Specify)</v>
      </c>
    </row>
    <row r="110" spans="1:3">
      <c r="B110" t="s">
        <v>1472</v>
      </c>
      <c r="C110">
        <f>ABS(Calculations!P387)</f>
        <v>0</v>
      </c>
    </row>
    <row r="111" spans="1:3">
      <c r="B111" t="s">
        <v>1473</v>
      </c>
      <c r="C111">
        <f>ABS(Calculations!P388)</f>
        <v>0</v>
      </c>
    </row>
    <row r="112" spans="1:3">
      <c r="A112" s="67"/>
      <c r="B112" t="s">
        <v>1474</v>
      </c>
      <c r="C112">
        <f>Calculations!B382</f>
        <v>0</v>
      </c>
    </row>
    <row r="113" spans="1:3">
      <c r="B113" t="s">
        <v>1475</v>
      </c>
      <c r="C113">
        <f>Calculations!C382</f>
        <v>0</v>
      </c>
    </row>
    <row r="114" spans="1:3">
      <c r="B114" t="s">
        <v>1476</v>
      </c>
      <c r="C114">
        <f>Calculations!D382</f>
        <v>0</v>
      </c>
    </row>
    <row r="115" spans="1:3">
      <c r="B115" t="s">
        <v>1477</v>
      </c>
      <c r="C115">
        <f>Calculations!E382</f>
        <v>0</v>
      </c>
    </row>
    <row r="116" spans="1:3">
      <c r="B116" t="s">
        <v>1478</v>
      </c>
      <c r="C116">
        <f>Calculations!F382</f>
        <v>0</v>
      </c>
    </row>
    <row r="117" spans="1:3">
      <c r="B117" t="s">
        <v>1479</v>
      </c>
      <c r="C117">
        <f>Calculations!G382</f>
        <v>0</v>
      </c>
    </row>
    <row r="118" spans="1:3">
      <c r="B118" t="s">
        <v>1480</v>
      </c>
      <c r="C118">
        <f>Calculations!H382</f>
        <v>0</v>
      </c>
    </row>
    <row r="119" spans="1:3">
      <c r="B119" t="s">
        <v>1481</v>
      </c>
      <c r="C119">
        <f>Calculations!I382</f>
        <v>0</v>
      </c>
    </row>
    <row r="120" spans="1:3">
      <c r="B120" t="s">
        <v>1482</v>
      </c>
      <c r="C120">
        <f>Calculations!J382</f>
        <v>0</v>
      </c>
    </row>
    <row r="121" spans="1:3">
      <c r="B121" t="s">
        <v>1483</v>
      </c>
      <c r="C121">
        <f>Calculations!K382</f>
        <v>0</v>
      </c>
    </row>
    <row r="122" spans="1:3">
      <c r="B122" t="s">
        <v>1484</v>
      </c>
      <c r="C122">
        <f>Calculations!L382</f>
        <v>0</v>
      </c>
    </row>
    <row r="123" spans="1:3">
      <c r="B123" t="s">
        <v>1485</v>
      </c>
      <c r="C123">
        <f>Calculations!M382</f>
        <v>0</v>
      </c>
    </row>
    <row r="124" spans="1:3">
      <c r="B124" t="s">
        <v>1486</v>
      </c>
      <c r="C124">
        <f>Calculations!N382</f>
        <v>0</v>
      </c>
    </row>
    <row r="125" spans="1:3">
      <c r="B125" t="s">
        <v>1487</v>
      </c>
      <c r="C125">
        <f>Calculations!O382</f>
        <v>0</v>
      </c>
    </row>
    <row r="126" spans="1:3">
      <c r="B126" t="s">
        <v>1488</v>
      </c>
      <c r="C126">
        <f>Calculations!P382</f>
        <v>0</v>
      </c>
    </row>
    <row r="127" spans="1:3">
      <c r="A127" s="67"/>
      <c r="B127" t="s">
        <v>1489</v>
      </c>
      <c r="C127">
        <f>Calculations!B388</f>
        <v>0</v>
      </c>
    </row>
    <row r="128" spans="1:3">
      <c r="B128" t="s">
        <v>1490</v>
      </c>
      <c r="C128">
        <f>Calculations!C388</f>
        <v>0</v>
      </c>
    </row>
    <row r="129" spans="2:3">
      <c r="B129" t="s">
        <v>1491</v>
      </c>
      <c r="C129">
        <f>Calculations!D388</f>
        <v>0</v>
      </c>
    </row>
    <row r="130" spans="2:3">
      <c r="B130" t="s">
        <v>1492</v>
      </c>
      <c r="C130">
        <f>Calculations!E388</f>
        <v>0</v>
      </c>
    </row>
    <row r="131" spans="2:3">
      <c r="B131" t="s">
        <v>1493</v>
      </c>
      <c r="C131">
        <f>Calculations!F388</f>
        <v>0</v>
      </c>
    </row>
    <row r="132" spans="2:3">
      <c r="B132" t="s">
        <v>1494</v>
      </c>
      <c r="C132">
        <f>Calculations!G388</f>
        <v>0</v>
      </c>
    </row>
    <row r="133" spans="2:3">
      <c r="B133" t="s">
        <v>1495</v>
      </c>
      <c r="C133">
        <f>Calculations!H388</f>
        <v>0</v>
      </c>
    </row>
    <row r="134" spans="2:3">
      <c r="B134" t="s">
        <v>1496</v>
      </c>
      <c r="C134">
        <f>Calculations!I388</f>
        <v>0</v>
      </c>
    </row>
    <row r="135" spans="2:3">
      <c r="B135" t="s">
        <v>1497</v>
      </c>
      <c r="C135">
        <f>Calculations!J388</f>
        <v>0</v>
      </c>
    </row>
    <row r="136" spans="2:3">
      <c r="B136" t="s">
        <v>1498</v>
      </c>
      <c r="C136">
        <f>Calculations!K388</f>
        <v>0</v>
      </c>
    </row>
    <row r="137" spans="2:3">
      <c r="B137" t="s">
        <v>1499</v>
      </c>
      <c r="C137">
        <f>Calculations!L388</f>
        <v>0</v>
      </c>
    </row>
    <row r="138" spans="2:3">
      <c r="B138" t="s">
        <v>1500</v>
      </c>
      <c r="C138">
        <f>Calculations!M388</f>
        <v>0</v>
      </c>
    </row>
    <row r="139" spans="2:3">
      <c r="B139" t="s">
        <v>1501</v>
      </c>
      <c r="C139">
        <f>Calculations!N388</f>
        <v>0</v>
      </c>
    </row>
    <row r="140" spans="2:3">
      <c r="B140" t="s">
        <v>1502</v>
      </c>
      <c r="C140">
        <f>Calculations!O388</f>
        <v>0</v>
      </c>
    </row>
    <row r="141" spans="2:3">
      <c r="B141" t="s">
        <v>1503</v>
      </c>
      <c r="C141">
        <f>Calculations!P388</f>
        <v>0</v>
      </c>
    </row>
    <row r="142" spans="2:3">
      <c r="B142" t="s">
        <v>397</v>
      </c>
      <c r="C142">
        <f>Calculations!B139</f>
        <v>0</v>
      </c>
    </row>
    <row r="143" spans="2:3">
      <c r="B143" t="s">
        <v>1006</v>
      </c>
      <c r="C143">
        <f>Calculations!B391</f>
        <v>0</v>
      </c>
    </row>
    <row r="144" spans="2:3">
      <c r="B144" t="s">
        <v>1007</v>
      </c>
      <c r="C144">
        <f>Calculations!B392</f>
        <v>0</v>
      </c>
    </row>
    <row r="145" spans="1:4">
      <c r="B145" t="s">
        <v>1504</v>
      </c>
      <c r="C145" t="b">
        <f>Calculations!F391</f>
        <v>1</v>
      </c>
    </row>
    <row r="146" spans="1:4">
      <c r="B146" t="s">
        <v>1505</v>
      </c>
      <c r="C146" t="b">
        <f>Calculations!F392</f>
        <v>1</v>
      </c>
    </row>
    <row r="147" spans="1:4">
      <c r="A147" t="str">
        <f>'Proforma, Income &amp; Expense'!A22</f>
        <v>Accounting</v>
      </c>
      <c r="B147" t="s">
        <v>1506</v>
      </c>
      <c r="C147">
        <f>'Proforma, Income &amp; Expense'!B22</f>
        <v>0</v>
      </c>
      <c r="D147" t="s">
        <v>1507</v>
      </c>
    </row>
    <row r="148" spans="1:4">
      <c r="A148" t="str">
        <f>'Proforma, Income &amp; Expense'!A23</f>
        <v>Advertising</v>
      </c>
      <c r="B148" t="s">
        <v>1508</v>
      </c>
      <c r="C148">
        <f>'Proforma, Income &amp; Expense'!B23</f>
        <v>0</v>
      </c>
      <c r="D148" t="s">
        <v>1509</v>
      </c>
    </row>
    <row r="149" spans="1:4">
      <c r="A149" t="str">
        <f>'Proforma, Income &amp; Expense'!A24</f>
        <v>Legal</v>
      </c>
      <c r="B149" t="s">
        <v>1510</v>
      </c>
      <c r="C149">
        <f>'Proforma, Income &amp; Expense'!B24</f>
        <v>0</v>
      </c>
      <c r="D149" t="s">
        <v>1511</v>
      </c>
    </row>
    <row r="150" spans="1:4">
      <c r="A150" t="str">
        <f>'Proforma, Income &amp; Expense'!A25</f>
        <v>Leased Equipment</v>
      </c>
      <c r="B150" t="s">
        <v>1512</v>
      </c>
      <c r="C150">
        <f>'Proforma, Income &amp; Expense'!B25</f>
        <v>0</v>
      </c>
      <c r="D150" t="s">
        <v>1513</v>
      </c>
    </row>
    <row r="151" spans="1:4">
      <c r="A151" t="str">
        <f>'Proforma, Income &amp; Expense'!A26</f>
        <v>Management Fees</v>
      </c>
      <c r="B151" t="s">
        <v>1514</v>
      </c>
      <c r="C151">
        <f>'Proforma, Income &amp; Expense'!B26</f>
        <v>0</v>
      </c>
      <c r="D151" t="s">
        <v>1515</v>
      </c>
    </row>
    <row r="152" spans="1:4">
      <c r="A152" t="str">
        <f>'Proforma, Income &amp; Expense'!A27</f>
        <v>Management Salaries</v>
      </c>
      <c r="B152" t="s">
        <v>1516</v>
      </c>
      <c r="C152">
        <f>'Proforma, Income &amp; Expense'!B27</f>
        <v>0</v>
      </c>
      <c r="D152" t="s">
        <v>1517</v>
      </c>
    </row>
    <row r="153" spans="1:4">
      <c r="A153" t="str">
        <f>'Proforma, Income &amp; Expense'!A28</f>
        <v>Management Payroll Tax</v>
      </c>
      <c r="B153" t="s">
        <v>1518</v>
      </c>
      <c r="C153">
        <f>'Proforma, Income &amp; Expense'!B28</f>
        <v>0</v>
      </c>
      <c r="D153" t="s">
        <v>1519</v>
      </c>
    </row>
    <row r="154" spans="1:4">
      <c r="A154" t="str">
        <f>'Proforma, Income &amp; Expense'!A29</f>
        <v>Model Apartment</v>
      </c>
      <c r="B154" t="s">
        <v>1520</v>
      </c>
      <c r="C154">
        <f>'Proforma, Income &amp; Expense'!B29</f>
        <v>0</v>
      </c>
      <c r="D154" t="s">
        <v>1521</v>
      </c>
    </row>
    <row r="155" spans="1:4">
      <c r="A155" t="str">
        <f>'Proforma, Income &amp; Expense'!A30</f>
        <v>Office Supplies</v>
      </c>
      <c r="B155" t="s">
        <v>1522</v>
      </c>
      <c r="C155">
        <f>'Proforma, Income &amp; Expense'!B30</f>
        <v>0</v>
      </c>
      <c r="D155" t="s">
        <v>1523</v>
      </c>
    </row>
    <row r="156" spans="1:4">
      <c r="A156" t="str">
        <f>'Proforma, Income &amp; Expense'!A31</f>
        <v>Telephone</v>
      </c>
      <c r="B156" t="s">
        <v>1524</v>
      </c>
      <c r="C156">
        <f>'Proforma, Income &amp; Expense'!B31</f>
        <v>0</v>
      </c>
      <c r="D156" t="s">
        <v>1525</v>
      </c>
    </row>
    <row r="157" spans="1:4">
      <c r="A157" t="str">
        <f>'Proforma, Income &amp; Expense'!A32</f>
        <v>Other (Specify)</v>
      </c>
      <c r="B157" t="s">
        <v>1526</v>
      </c>
      <c r="C157">
        <f>'Proforma, Income &amp; Expense'!B32</f>
        <v>0</v>
      </c>
      <c r="D157" t="s">
        <v>1527</v>
      </c>
    </row>
    <row r="158" spans="1:4">
      <c r="A158" t="str">
        <f>'Proforma, Income &amp; Expense'!A33</f>
        <v>Other (Specify)</v>
      </c>
      <c r="B158" t="s">
        <v>1528</v>
      </c>
      <c r="C158">
        <f>'Proforma, Income &amp; Expense'!B33</f>
        <v>0</v>
      </c>
      <c r="D158" t="s">
        <v>1529</v>
      </c>
    </row>
    <row r="159" spans="1:4">
      <c r="A159" t="str">
        <f>'Proforma, Income &amp; Expense'!A34</f>
        <v>Other (Specify)</v>
      </c>
      <c r="B159" t="s">
        <v>1530</v>
      </c>
      <c r="C159">
        <f>'Proforma, Income &amp; Expense'!B34</f>
        <v>0</v>
      </c>
      <c r="D159" t="s">
        <v>1531</v>
      </c>
    </row>
    <row r="160" spans="1:4">
      <c r="A160" t="str">
        <f>'Proforma, Income &amp; Expense'!A37</f>
        <v>Fuel (Heat/Water)</v>
      </c>
      <c r="B160" t="s">
        <v>1532</v>
      </c>
      <c r="C160">
        <f>'Proforma, Income &amp; Expense'!B37</f>
        <v>0</v>
      </c>
      <c r="D160" t="s">
        <v>1533</v>
      </c>
    </row>
    <row r="161" spans="1:4">
      <c r="A161" t="str">
        <f>'Proforma, Income &amp; Expense'!A38</f>
        <v>Electricity</v>
      </c>
      <c r="B161" t="s">
        <v>1534</v>
      </c>
      <c r="C161">
        <f>'Proforma, Income &amp; Expense'!B38</f>
        <v>0</v>
      </c>
      <c r="D161" t="s">
        <v>1535</v>
      </c>
    </row>
    <row r="162" spans="1:4">
      <c r="A162" t="str">
        <f>'Proforma, Income &amp; Expense'!A39</f>
        <v>Water</v>
      </c>
      <c r="B162" t="s">
        <v>1536</v>
      </c>
      <c r="C162">
        <f>'Proforma, Income &amp; Expense'!B39</f>
        <v>0</v>
      </c>
      <c r="D162" t="s">
        <v>1537</v>
      </c>
    </row>
    <row r="163" spans="1:4">
      <c r="A163" t="str">
        <f>'Proforma, Income &amp; Expense'!A40</f>
        <v>Sewer</v>
      </c>
      <c r="B163" t="s">
        <v>1538</v>
      </c>
      <c r="C163">
        <f>'Proforma, Income &amp; Expense'!B40</f>
        <v>0</v>
      </c>
      <c r="D163" t="s">
        <v>1539</v>
      </c>
    </row>
    <row r="164" spans="1:4">
      <c r="A164" t="str">
        <f>'Proforma, Income &amp; Expense'!A41</f>
        <v>Gas</v>
      </c>
      <c r="B164" t="s">
        <v>1540</v>
      </c>
      <c r="C164">
        <f>'Proforma, Income &amp; Expense'!B41</f>
        <v>0</v>
      </c>
      <c r="D164" t="s">
        <v>1541</v>
      </c>
    </row>
    <row r="165" spans="1:4">
      <c r="A165" t="str">
        <f>'Proforma, Income &amp; Expense'!A42</f>
        <v>Trash</v>
      </c>
      <c r="B165" t="s">
        <v>1542</v>
      </c>
      <c r="C165">
        <f>'Proforma, Income &amp; Expense'!B42</f>
        <v>0</v>
      </c>
      <c r="D165" t="s">
        <v>1543</v>
      </c>
    </row>
    <row r="166" spans="1:4">
      <c r="A166" t="str">
        <f>'Proforma, Income &amp; Expense'!A43</f>
        <v>Security</v>
      </c>
      <c r="B166" t="s">
        <v>1544</v>
      </c>
      <c r="C166">
        <f>'Proforma, Income &amp; Expense'!B43</f>
        <v>0</v>
      </c>
      <c r="D166" t="s">
        <v>1545</v>
      </c>
    </row>
    <row r="167" spans="1:4">
      <c r="A167" t="str">
        <f>'Proforma, Income &amp; Expense'!A44</f>
        <v>Cable</v>
      </c>
      <c r="B167" t="s">
        <v>1546</v>
      </c>
      <c r="C167">
        <f>'Proforma, Income &amp; Expense'!B44</f>
        <v>0</v>
      </c>
      <c r="D167" t="s">
        <v>1547</v>
      </c>
    </row>
    <row r="168" spans="1:4">
      <c r="A168" t="str">
        <f>'Proforma, Income &amp; Expense'!A45</f>
        <v>Other (Specify)</v>
      </c>
      <c r="B168" t="s">
        <v>1548</v>
      </c>
      <c r="C168">
        <f>'Proforma, Income &amp; Expense'!B45</f>
        <v>0</v>
      </c>
      <c r="D168" t="s">
        <v>1549</v>
      </c>
    </row>
    <row r="169" spans="1:4">
      <c r="A169" t="str">
        <f>'Proforma, Income &amp; Expense'!A46</f>
        <v>Other (Specify)</v>
      </c>
      <c r="B169" t="s">
        <v>1550</v>
      </c>
      <c r="C169">
        <f>'Proforma, Income &amp; Expense'!B46</f>
        <v>0</v>
      </c>
      <c r="D169" t="s">
        <v>1551</v>
      </c>
    </row>
    <row r="170" spans="1:4">
      <c r="A170" t="str">
        <f>'Proforma, Income &amp; Expense'!A47</f>
        <v>Other (Specify)</v>
      </c>
      <c r="B170" t="s">
        <v>1552</v>
      </c>
      <c r="C170">
        <f>'Proforma, Income &amp; Expense'!B47</f>
        <v>0</v>
      </c>
      <c r="D170" t="s">
        <v>1553</v>
      </c>
    </row>
    <row r="171" spans="1:4">
      <c r="A171" t="str">
        <f>'Proforma, Income &amp; Expense'!A48</f>
        <v>Other (Specify)</v>
      </c>
      <c r="B171" t="s">
        <v>1554</v>
      </c>
      <c r="C171">
        <f>'Proforma, Income &amp; Expense'!B48</f>
        <v>0</v>
      </c>
      <c r="D171" t="s">
        <v>1555</v>
      </c>
    </row>
    <row r="172" spans="1:4">
      <c r="A172" t="str">
        <f>'Proforma, Income &amp; Expense'!A51</f>
        <v>Elevator</v>
      </c>
      <c r="B172" t="s">
        <v>1556</v>
      </c>
      <c r="C172">
        <f>'Proforma, Income &amp; Expense'!B51</f>
        <v>0</v>
      </c>
      <c r="D172" t="s">
        <v>1557</v>
      </c>
    </row>
    <row r="173" spans="1:4">
      <c r="A173" t="str">
        <f>'Proforma, Income &amp; Expense'!A52</f>
        <v>Extermination</v>
      </c>
      <c r="B173" t="s">
        <v>1558</v>
      </c>
      <c r="C173">
        <f>'Proforma, Income &amp; Expense'!B52</f>
        <v>0</v>
      </c>
      <c r="D173" t="s">
        <v>1559</v>
      </c>
    </row>
    <row r="174" spans="1:4">
      <c r="A174" t="str">
        <f>'Proforma, Income &amp; Expense'!A53</f>
        <v>Grounds</v>
      </c>
      <c r="B174" t="s">
        <v>1560</v>
      </c>
      <c r="C174">
        <f>'Proforma, Income &amp; Expense'!B53</f>
        <v>0</v>
      </c>
      <c r="D174" t="s">
        <v>1561</v>
      </c>
    </row>
    <row r="175" spans="1:4">
      <c r="A175" t="str">
        <f>'Proforma, Income &amp; Expense'!A54</f>
        <v>Repairs</v>
      </c>
      <c r="B175" t="s">
        <v>1562</v>
      </c>
      <c r="C175">
        <f>'Proforma, Income &amp; Expense'!B54</f>
        <v>0</v>
      </c>
      <c r="D175" t="s">
        <v>1563</v>
      </c>
    </row>
    <row r="176" spans="1:4">
      <c r="A176" t="str">
        <f>'Proforma, Income &amp; Expense'!A55</f>
        <v>Maintenance Salaries</v>
      </c>
      <c r="B176" t="s">
        <v>1564</v>
      </c>
      <c r="C176">
        <f>'Proforma, Income &amp; Expense'!B55</f>
        <v>0</v>
      </c>
      <c r="D176" t="s">
        <v>1565</v>
      </c>
    </row>
    <row r="177" spans="1:4">
      <c r="A177" t="str">
        <f>'Proforma, Income &amp; Expense'!A56</f>
        <v>Maintenance Supplies</v>
      </c>
      <c r="B177" t="s">
        <v>1566</v>
      </c>
      <c r="C177">
        <f>'Proforma, Income &amp; Expense'!B56</f>
        <v>0</v>
      </c>
      <c r="D177" t="s">
        <v>1567</v>
      </c>
    </row>
    <row r="178" spans="1:4">
      <c r="A178" t="str">
        <f>'Proforma, Income &amp; Expense'!A57</f>
        <v>Contracts</v>
      </c>
      <c r="B178" t="s">
        <v>1568</v>
      </c>
      <c r="C178">
        <f>'Proforma, Income &amp; Expense'!B57</f>
        <v>0</v>
      </c>
      <c r="D178" t="s">
        <v>1569</v>
      </c>
    </row>
    <row r="179" spans="1:4">
      <c r="A179" t="str">
        <f>'Proforma, Income &amp; Expense'!A58</f>
        <v>Decorating</v>
      </c>
      <c r="B179" t="s">
        <v>1570</v>
      </c>
      <c r="C179">
        <f>'Proforma, Income &amp; Expense'!B58</f>
        <v>0</v>
      </c>
      <c r="D179" t="s">
        <v>1571</v>
      </c>
    </row>
    <row r="180" spans="1:4">
      <c r="A180" t="str">
        <f>'Proforma, Income &amp; Expense'!A59</f>
        <v>Snow Removal</v>
      </c>
      <c r="B180" t="s">
        <v>1572</v>
      </c>
      <c r="C180">
        <f>'Proforma, Income &amp; Expense'!B59</f>
        <v>0</v>
      </c>
      <c r="D180" t="s">
        <v>1573</v>
      </c>
    </row>
    <row r="181" spans="1:4">
      <c r="A181" t="str">
        <f>'Proforma, Income &amp; Expense'!A60</f>
        <v>Other (Specify)</v>
      </c>
      <c r="B181" t="s">
        <v>1574</v>
      </c>
      <c r="C181">
        <f>'Proforma, Income &amp; Expense'!B60</f>
        <v>0</v>
      </c>
      <c r="D181" t="s">
        <v>1575</v>
      </c>
    </row>
    <row r="182" spans="1:4">
      <c r="A182" t="str">
        <f>'Proforma, Income &amp; Expense'!A61</f>
        <v>Other (Specify)</v>
      </c>
      <c r="B182" t="s">
        <v>1576</v>
      </c>
      <c r="C182">
        <f>'Proforma, Income &amp; Expense'!B61</f>
        <v>0</v>
      </c>
      <c r="D182" t="s">
        <v>1577</v>
      </c>
    </row>
    <row r="183" spans="1:4">
      <c r="A183" t="str">
        <f>'Proforma, Income &amp; Expense'!A62</f>
        <v>Other (Specify)</v>
      </c>
      <c r="B183" t="s">
        <v>1578</v>
      </c>
      <c r="C183">
        <f>'Proforma, Income &amp; Expense'!B62</f>
        <v>0</v>
      </c>
      <c r="D183" t="s">
        <v>1579</v>
      </c>
    </row>
    <row r="184" spans="1:4">
      <c r="A184" t="str">
        <f>'Proforma, Income &amp; Expense'!A65</f>
        <v>Real Estate Taxes</v>
      </c>
      <c r="B184" t="s">
        <v>1580</v>
      </c>
      <c r="C184">
        <f>'Proforma, Income &amp; Expense'!B65</f>
        <v>0</v>
      </c>
      <c r="D184" t="s">
        <v>1581</v>
      </c>
    </row>
    <row r="185" spans="1:4">
      <c r="A185" t="str">
        <f>'Proforma, Income &amp; Expense'!A66</f>
        <v>Payment in Lieu of Taxes</v>
      </c>
      <c r="B185" t="s">
        <v>1582</v>
      </c>
      <c r="C185">
        <f>'Proforma, Income &amp; Expense'!B66</f>
        <v>0</v>
      </c>
      <c r="D185" t="s">
        <v>1583</v>
      </c>
    </row>
    <row r="186" spans="1:4">
      <c r="A186" t="str">
        <f>'Proforma, Income &amp; Expense'!A67</f>
        <v>Other Tax Assessments</v>
      </c>
      <c r="B186" t="s">
        <v>1584</v>
      </c>
      <c r="C186">
        <f>'Proforma, Income &amp; Expense'!B67</f>
        <v>0</v>
      </c>
      <c r="D186" t="s">
        <v>1585</v>
      </c>
    </row>
    <row r="187" spans="1:4">
      <c r="A187" t="str">
        <f>'Proforma, Income &amp; Expense'!A68</f>
        <v>Insurance</v>
      </c>
      <c r="B187" t="s">
        <v>1586</v>
      </c>
      <c r="C187">
        <f>'Proforma, Income &amp; Expense'!B68</f>
        <v>0</v>
      </c>
      <c r="D187" t="s">
        <v>1587</v>
      </c>
    </row>
    <row r="188" spans="1:4">
      <c r="A188" t="str">
        <f>'Proforma, Income &amp; Expense'!A69</f>
        <v>Payroll Tax</v>
      </c>
      <c r="B188" t="s">
        <v>1588</v>
      </c>
      <c r="C188">
        <f>'Proforma, Income &amp; Expense'!B69</f>
        <v>0</v>
      </c>
      <c r="D188" t="s">
        <v>1589</v>
      </c>
    </row>
    <row r="189" spans="1:4">
      <c r="A189" t="str">
        <f>'Proforma, Income &amp; Expense'!A70</f>
        <v>Other (Specify)</v>
      </c>
      <c r="B189" t="s">
        <v>1590</v>
      </c>
      <c r="C189">
        <f>'Proforma, Income &amp; Expense'!B70</f>
        <v>0</v>
      </c>
      <c r="D189" t="s">
        <v>1591</v>
      </c>
    </row>
    <row r="190" spans="1:4">
      <c r="A190" t="str">
        <f>'Proforma, Income &amp; Expense'!A71</f>
        <v>Other (Specify)</v>
      </c>
      <c r="B190" t="s">
        <v>1592</v>
      </c>
      <c r="C190">
        <f>'Proforma, Income &amp; Expense'!B71</f>
        <v>0</v>
      </c>
      <c r="D190" t="s">
        <v>1593</v>
      </c>
    </row>
    <row r="192" spans="1:4">
      <c r="A192" t="s">
        <v>1594</v>
      </c>
      <c r="B192" t="s">
        <v>1595</v>
      </c>
      <c r="C192">
        <f>Calculations!C346</f>
        <v>0</v>
      </c>
      <c r="D192" t="s">
        <v>1596</v>
      </c>
    </row>
    <row r="193" spans="1:4">
      <c r="A193" t="s">
        <v>1597</v>
      </c>
      <c r="B193" t="s">
        <v>1598</v>
      </c>
      <c r="C193">
        <f>Calculations!B346</f>
        <v>0</v>
      </c>
      <c r="D193" t="s">
        <v>1599</v>
      </c>
    </row>
    <row r="194" spans="1:4">
      <c r="A194" s="439" t="s">
        <v>1600</v>
      </c>
      <c r="B194" s="439" t="s">
        <v>1601</v>
      </c>
      <c r="C194" s="439">
        <f>Calculations!B345</f>
        <v>0</v>
      </c>
      <c r="D194" s="439" t="s">
        <v>1602</v>
      </c>
    </row>
    <row r="195" spans="1:4">
      <c r="A195" s="439" t="s">
        <v>626</v>
      </c>
      <c r="B195" s="439" t="s">
        <v>1603</v>
      </c>
      <c r="C195" s="439">
        <f>Calculations!B341</f>
        <v>0</v>
      </c>
      <c r="D195" s="439" t="s">
        <v>1604</v>
      </c>
    </row>
    <row r="196" spans="1:4">
      <c r="A196" s="440" t="s">
        <v>1605</v>
      </c>
      <c r="B196" s="440"/>
      <c r="C196" s="440">
        <f>Calculations!D349</f>
        <v>0</v>
      </c>
      <c r="D196" s="440" t="s">
        <v>1606</v>
      </c>
    </row>
    <row r="197" spans="1:4">
      <c r="A197" s="440"/>
      <c r="B197" s="440" t="s">
        <v>1607</v>
      </c>
      <c r="C197" s="440" t="e">
        <f>Calculations!B468</f>
        <v>#N/A</v>
      </c>
      <c r="D197" s="440"/>
    </row>
    <row r="198" spans="1:4">
      <c r="A198" s="440"/>
      <c r="B198" s="440" t="s">
        <v>1608</v>
      </c>
      <c r="C198" s="440" t="e">
        <f>Calculations!B521</f>
        <v>#N/A</v>
      </c>
      <c r="D198" s="440"/>
    </row>
    <row r="199" spans="1:4">
      <c r="A199" s="440"/>
      <c r="B199" s="440" t="s">
        <v>1609</v>
      </c>
      <c r="C199" s="440">
        <f>Calculations!B475</f>
        <v>0</v>
      </c>
      <c r="D199" s="440"/>
    </row>
    <row r="200" spans="1:4">
      <c r="A200" s="440"/>
      <c r="B200" s="440" t="s">
        <v>1610</v>
      </c>
      <c r="C200" s="440" t="e">
        <f>Calculations!B529</f>
        <v>#N/A</v>
      </c>
      <c r="D200" s="440"/>
    </row>
    <row r="201" spans="1:4">
      <c r="A201" s="440"/>
      <c r="B201" s="440" t="s">
        <v>1611</v>
      </c>
      <c r="C201" s="440">
        <f>Calculations!B496</f>
        <v>0</v>
      </c>
      <c r="D201" s="440"/>
    </row>
    <row r="202" spans="1:4">
      <c r="A202" s="440"/>
      <c r="B202" s="440" t="s">
        <v>1612</v>
      </c>
      <c r="C202" s="440">
        <f>Calculations!B550</f>
        <v>0</v>
      </c>
      <c r="D202" s="440"/>
    </row>
    <row r="203" spans="1:4">
      <c r="A203" s="440"/>
      <c r="B203" s="440" t="s">
        <v>1613</v>
      </c>
      <c r="C203" s="440">
        <f>Financing!$B$38</f>
        <v>0</v>
      </c>
      <c r="D203" s="440" t="s">
        <v>1614</v>
      </c>
    </row>
    <row r="204" spans="1:4">
      <c r="A204" s="440"/>
      <c r="B204" s="440" t="s">
        <v>1615</v>
      </c>
      <c r="C204" s="440">
        <f>Calculations!$B$473</f>
        <v>0</v>
      </c>
      <c r="D204" s="440" t="s">
        <v>1616</v>
      </c>
    </row>
    <row r="205" spans="1:4">
      <c r="A205" s="440"/>
      <c r="B205" s="440" t="s">
        <v>1617</v>
      </c>
      <c r="C205" s="440">
        <f>Calculations!B141</f>
        <v>0</v>
      </c>
      <c r="D205" s="440"/>
    </row>
    <row r="206" spans="1:4">
      <c r="A206" s="440"/>
      <c r="B206" s="440" t="s">
        <v>1618</v>
      </c>
      <c r="C206" s="440">
        <f>Application!$B$15</f>
        <v>0</v>
      </c>
      <c r="D206" s="440" t="s">
        <v>1619</v>
      </c>
    </row>
    <row r="207" spans="1:4">
      <c r="A207" s="440"/>
      <c r="B207" s="440" t="s">
        <v>1620</v>
      </c>
      <c r="C207" s="440">
        <f>IFERROR(Calculations!$B$505, 0)</f>
        <v>0</v>
      </c>
      <c r="D207" s="440" t="s">
        <v>1621</v>
      </c>
    </row>
    <row r="208" spans="1:4">
      <c r="A208" s="440"/>
      <c r="B208" s="440" t="s">
        <v>1622</v>
      </c>
      <c r="C208" s="440">
        <f>IFERROR(Calculations!$B$505, 0)</f>
        <v>0</v>
      </c>
      <c r="D208" s="440"/>
    </row>
    <row r="209" spans="1:4">
      <c r="A209" s="440" t="str">
        <f>Calculations!$A$564</f>
        <v>Federal Tax Credit Equity</v>
      </c>
      <c r="B209" s="440" t="s">
        <v>1623</v>
      </c>
      <c r="C209" s="440">
        <f>IFERROR(Calculations!$B$566, 0)</f>
        <v>0</v>
      </c>
      <c r="D209" s="440" t="s">
        <v>1624</v>
      </c>
    </row>
    <row r="210" spans="1:4">
      <c r="A210" s="440" t="s">
        <v>1625</v>
      </c>
      <c r="B210" s="440" t="s">
        <v>1626</v>
      </c>
      <c r="C210" s="440">
        <f>Calculations!B555</f>
        <v>0</v>
      </c>
      <c r="D210" s="440"/>
    </row>
    <row r="211" spans="1:4">
      <c r="A211" s="440" t="s">
        <v>1627</v>
      </c>
      <c r="B211" s="440"/>
      <c r="C211" s="440">
        <f>Calculations!B576</f>
        <v>0</v>
      </c>
      <c r="D211" s="440" t="s">
        <v>1606</v>
      </c>
    </row>
    <row r="212" spans="1:4">
      <c r="A212" s="440" t="s">
        <v>1628</v>
      </c>
      <c r="B212" s="440" t="s">
        <v>1629</v>
      </c>
      <c r="C212" s="440" t="e">
        <f>Calculations!B517</f>
        <v>#N/A</v>
      </c>
      <c r="D212" s="440"/>
    </row>
    <row r="213" spans="1:4">
      <c r="A213" s="440" t="s">
        <v>1630</v>
      </c>
      <c r="B213" s="440" t="s">
        <v>1631</v>
      </c>
      <c r="C213" s="440" t="e">
        <f>Calculations!B556</f>
        <v>#N/A</v>
      </c>
      <c r="D213" s="440"/>
    </row>
    <row r="214" spans="1:4">
      <c r="A214" s="440" t="s">
        <v>226</v>
      </c>
      <c r="B214" s="440" t="s">
        <v>1632</v>
      </c>
      <c r="C214" s="440" t="b">
        <f>Application!$B$14="Yes"</f>
        <v>0</v>
      </c>
      <c r="D214" s="440" t="s">
        <v>1633</v>
      </c>
    </row>
    <row r="215" spans="1:4">
      <c r="A215" s="439" t="s">
        <v>1634</v>
      </c>
      <c r="B215" s="439" t="s">
        <v>1635</v>
      </c>
      <c r="C215" s="445">
        <f>Application!$B$17</f>
        <v>0.09</v>
      </c>
      <c r="D215" s="439" t="s">
        <v>1636</v>
      </c>
    </row>
    <row r="216" spans="1:4">
      <c r="A216" t="s">
        <v>235</v>
      </c>
      <c r="B216" t="s">
        <v>1637</v>
      </c>
      <c r="C216" s="691" t="str">
        <f>IF(ISBLANK(Application!B24), "", TEXT(Application!B24, "mm/dd/yyyy"))</f>
        <v/>
      </c>
      <c r="D216" t="s">
        <v>1638</v>
      </c>
    </row>
    <row r="217" spans="1:4">
      <c r="A217" t="s">
        <v>1639</v>
      </c>
      <c r="B217" s="73"/>
      <c r="C217" s="692" t="str">
        <f>IF(ISBLANK(Application!B139), "", TEXT(Application!B139, "mm/dd/yyyy"))</f>
        <v/>
      </c>
    </row>
    <row r="218" spans="1:4">
      <c r="A218" t="str">
        <f>Application!A58</f>
        <v>Number of Floors in the Tallest Building</v>
      </c>
      <c r="B218" t="s">
        <v>1640</v>
      </c>
      <c r="C218" s="691" t="str">
        <f>CONCATENATE(Application!B58)</f>
        <v/>
      </c>
      <c r="D218" t="s">
        <v>1641</v>
      </c>
    </row>
    <row r="219" spans="1:4">
      <c r="A219" t="s">
        <v>1642</v>
      </c>
      <c r="B219" t="s">
        <v>1643</v>
      </c>
      <c r="C219">
        <f>Calculations!F3</f>
        <v>0</v>
      </c>
    </row>
    <row r="220" spans="1:4" ht="17.25" customHeight="1">
      <c r="A220" t="s">
        <v>1644</v>
      </c>
      <c r="B220" t="s">
        <v>1645</v>
      </c>
      <c r="C220">
        <f>Application!B73</f>
        <v>0</v>
      </c>
    </row>
    <row r="221" spans="1:4" ht="17.25" customHeight="1">
      <c r="A221" t="s">
        <v>1646</v>
      </c>
      <c r="B221" t="s">
        <v>1646</v>
      </c>
      <c r="C221" t="str">
        <f>CONCATENATE('Contact Summary'!G28, " ", 'Contact Summary'!H28)</f>
        <v xml:space="preserve"> </v>
      </c>
    </row>
    <row r="222" spans="1:4" ht="17.25" customHeight="1">
      <c r="A222" t="s">
        <v>1647</v>
      </c>
      <c r="B222" t="s">
        <v>1647</v>
      </c>
      <c r="C222">
        <f>'Contact Summary'!C28</f>
        <v>0</v>
      </c>
    </row>
    <row r="223" spans="1:4" ht="17.25" customHeight="1">
      <c r="A223" t="s">
        <v>1648</v>
      </c>
      <c r="B223" t="s">
        <v>1648</v>
      </c>
      <c r="C223">
        <f>'Contact Summary'!D28</f>
        <v>0</v>
      </c>
    </row>
    <row r="224" spans="1:4" ht="17.25" customHeight="1">
      <c r="A224" t="s">
        <v>1649</v>
      </c>
      <c r="B224" t="s">
        <v>1649</v>
      </c>
      <c r="C224">
        <f>'Contact Summary'!E28</f>
        <v>0</v>
      </c>
    </row>
    <row r="225" spans="1:8" ht="17.25" customHeight="1">
      <c r="A225" t="s">
        <v>1650</v>
      </c>
      <c r="B225" t="s">
        <v>1650</v>
      </c>
      <c r="C225" s="92">
        <f>'Contact Summary'!F28</f>
        <v>0</v>
      </c>
    </row>
    <row r="226" spans="1:8">
      <c r="A226" t="s">
        <v>1651</v>
      </c>
      <c r="B226" t="s">
        <v>1652</v>
      </c>
      <c r="C226" s="440">
        <f>Calculations!B819</f>
        <v>0</v>
      </c>
    </row>
    <row r="227" spans="1:8" ht="16.5" customHeight="1">
      <c r="A227" t="s">
        <v>1653</v>
      </c>
      <c r="B227" t="s">
        <v>1654</v>
      </c>
      <c r="C227" s="440">
        <f>Calculations!B819</f>
        <v>0</v>
      </c>
    </row>
    <row r="228" spans="1:8">
      <c r="A228" t="s">
        <v>1655</v>
      </c>
      <c r="B228" t="s">
        <v>1656</v>
      </c>
      <c r="C228" s="441">
        <f>Calculations!B821</f>
        <v>0</v>
      </c>
    </row>
    <row r="229" spans="1:8">
      <c r="A229" t="s">
        <v>1657</v>
      </c>
      <c r="B229" t="s">
        <v>1658</v>
      </c>
      <c r="C229" s="321">
        <f>Calculations!B614</f>
        <v>0</v>
      </c>
    </row>
    <row r="230" spans="1:8">
      <c r="A230" t="s">
        <v>1659</v>
      </c>
      <c r="B230" t="s">
        <v>1660</v>
      </c>
      <c r="C230" s="321">
        <f>Calculations!B605</f>
        <v>0</v>
      </c>
    </row>
    <row r="231" spans="1:8">
      <c r="A231" t="s">
        <v>1661</v>
      </c>
      <c r="C231" s="321" t="b">
        <f>Application!B8="Yes"</f>
        <v>0</v>
      </c>
    </row>
    <row r="232" spans="1:8">
      <c r="B232" t="s">
        <v>1662</v>
      </c>
      <c r="C232" t="b">
        <f>Application!$B$72="Yes"</f>
        <v>0</v>
      </c>
      <c r="D232" t="s">
        <v>1663</v>
      </c>
    </row>
    <row r="233" spans="1:8">
      <c r="B233" s="321" t="s">
        <v>1664</v>
      </c>
      <c r="C233" s="321" t="str">
        <f>CONCATENATE(Application!$B$27)</f>
        <v/>
      </c>
    </row>
    <row r="234" spans="1:8">
      <c r="B234" t="s">
        <v>1665</v>
      </c>
      <c r="C234" t="str">
        <f>CONCATENATE(Application!$B$28)</f>
        <v/>
      </c>
      <c r="D234" t="s">
        <v>1666</v>
      </c>
    </row>
    <row r="235" spans="1:8">
      <c r="B235" t="s">
        <v>238</v>
      </c>
      <c r="C235" t="str">
        <f>CONCATENATE(Application!$B$29)</f>
        <v/>
      </c>
      <c r="D235" t="s">
        <v>1667</v>
      </c>
    </row>
    <row r="236" spans="1:8">
      <c r="B236" t="s">
        <v>122</v>
      </c>
      <c r="C236" s="367" t="s">
        <v>1668</v>
      </c>
      <c r="D236" s="321"/>
    </row>
    <row r="237" spans="1:8">
      <c r="B237" t="s">
        <v>1669</v>
      </c>
      <c r="C237" t="str">
        <f>CONCATENATE(Application!$B$30)</f>
        <v/>
      </c>
      <c r="D237" t="s">
        <v>1670</v>
      </c>
    </row>
    <row r="238" spans="1:8">
      <c r="B238" t="s">
        <v>1671</v>
      </c>
      <c r="C238" t="str">
        <f>CONCATENATE(Application!$B$32)</f>
        <v/>
      </c>
      <c r="D238" t="s">
        <v>1672</v>
      </c>
      <c r="H238" t="b">
        <f>AND(Calculations!$B$8, Application!$B$66="Yes")</f>
        <v>0</v>
      </c>
    </row>
    <row r="239" spans="1:8">
      <c r="B239" t="s">
        <v>1673</v>
      </c>
      <c r="C239" t="str">
        <f>CONCATENATE(Application!$B$35)</f>
        <v/>
      </c>
      <c r="D239" t="s">
        <v>1674</v>
      </c>
      <c r="H239" t="b">
        <f>AND(Calculations!$B$8, Application!$B$66&lt;&gt;"Yes")</f>
        <v>0</v>
      </c>
    </row>
    <row r="240" spans="1:8">
      <c r="B240" t="s">
        <v>1675</v>
      </c>
      <c r="C240" t="str">
        <f>CONCATENATE(Application!$B$33)</f>
        <v/>
      </c>
      <c r="D240" t="s">
        <v>1676</v>
      </c>
    </row>
    <row r="241" spans="1:22">
      <c r="B241" t="s">
        <v>1677</v>
      </c>
      <c r="C241" t="str">
        <f>CONCATENATE(Application!$B$34)</f>
        <v/>
      </c>
      <c r="D241" t="s">
        <v>1678</v>
      </c>
    </row>
    <row r="242" spans="1:22">
      <c r="B242" t="s">
        <v>1679</v>
      </c>
      <c r="C242" s="14" t="str">
        <f>CONCATENATE(Application!B31)</f>
        <v/>
      </c>
    </row>
    <row r="244" spans="1:22">
      <c r="B244" t="s">
        <v>1680</v>
      </c>
      <c r="C244" t="b">
        <f>Application!$B$40="Yes"</f>
        <v>0</v>
      </c>
      <c r="D244" t="s">
        <v>1681</v>
      </c>
    </row>
    <row r="245" spans="1:22">
      <c r="B245" t="s">
        <v>1682</v>
      </c>
      <c r="C245" t="b">
        <f>Application!$B$69="Yes"</f>
        <v>0</v>
      </c>
      <c r="D245" t="s">
        <v>1683</v>
      </c>
    </row>
    <row r="246" spans="1:22">
      <c r="B246" t="s">
        <v>1684</v>
      </c>
      <c r="C246" t="b">
        <f>Application!$B$70="Yes"</f>
        <v>0</v>
      </c>
    </row>
    <row r="247" spans="1:22">
      <c r="B247" t="s">
        <v>1685</v>
      </c>
      <c r="C247" t="b">
        <f>Application!$B$94="Yes"</f>
        <v>0</v>
      </c>
      <c r="D247" t="s">
        <v>1686</v>
      </c>
    </row>
    <row r="248" spans="1:22">
      <c r="B248" t="s">
        <v>1687</v>
      </c>
      <c r="C248" t="b">
        <f>Application!$B$80="Yes"</f>
        <v>0</v>
      </c>
      <c r="D248" t="s">
        <v>1688</v>
      </c>
    </row>
    <row r="249" spans="1:22">
      <c r="B249" t="s">
        <v>1689</v>
      </c>
      <c r="C249" t="b">
        <f>Application!$B$97="Yes"</f>
        <v>0</v>
      </c>
      <c r="D249" t="s">
        <v>1690</v>
      </c>
    </row>
    <row r="250" spans="1:22">
      <c r="B250" t="s">
        <v>1691</v>
      </c>
      <c r="C250" t="b">
        <f>Application!$B$66="Yes"</f>
        <v>0</v>
      </c>
      <c r="D250" t="s">
        <v>1692</v>
      </c>
    </row>
    <row r="251" spans="1:22">
      <c r="A251" t="s">
        <v>305</v>
      </c>
      <c r="B251" t="s">
        <v>1693</v>
      </c>
      <c r="C251" t="b">
        <f>Application!$B$93="Yes"</f>
        <v>0</v>
      </c>
      <c r="D251" t="s">
        <v>1694</v>
      </c>
    </row>
    <row r="252" spans="1:22">
      <c r="A252" t="str">
        <f>Application!A82</f>
        <v>Federal Historic Rehabilitation Tax Credits</v>
      </c>
      <c r="B252" t="s">
        <v>1695</v>
      </c>
      <c r="C252" t="b">
        <f>Application!B82="Yes"</f>
        <v>0</v>
      </c>
      <c r="D252" t="s">
        <v>1696</v>
      </c>
    </row>
    <row r="253" spans="1:22">
      <c r="A253" t="str">
        <f>Application!A84</f>
        <v>State Historic Rehabilitation Tax Credits</v>
      </c>
      <c r="B253" t="s">
        <v>1697</v>
      </c>
      <c r="C253" t="b">
        <f>Application!B84="Yes"</f>
        <v>0</v>
      </c>
    </row>
    <row r="254" spans="1:22" s="366" customFormat="1">
      <c r="A254"/>
      <c r="B254" t="s">
        <v>1698</v>
      </c>
      <c r="C254" s="14" t="str">
        <f>IF(Application!B44= "","", Application!B44)</f>
        <v/>
      </c>
      <c r="D254" s="321"/>
      <c r="E254" s="321"/>
      <c r="F254" s="321"/>
      <c r="G254" s="321"/>
      <c r="H254" s="321"/>
      <c r="I254" s="321"/>
      <c r="J254" s="321"/>
      <c r="K254" s="321"/>
      <c r="L254" s="321"/>
      <c r="M254" s="321"/>
      <c r="N254" s="321"/>
      <c r="O254" s="321"/>
      <c r="P254" s="321"/>
      <c r="Q254" s="321"/>
      <c r="R254" s="321"/>
      <c r="S254" s="321"/>
      <c r="T254" s="321"/>
      <c r="U254" s="321"/>
      <c r="V254" s="321"/>
    </row>
    <row r="255" spans="1:22" s="366" customFormat="1">
      <c r="A255"/>
      <c r="B255" t="s">
        <v>1699</v>
      </c>
      <c r="C255" s="14" t="str">
        <f>IF(Application!B45= "","", Application!B45)</f>
        <v/>
      </c>
      <c r="D255" s="321"/>
      <c r="E255" s="321"/>
      <c r="F255" s="321"/>
      <c r="G255" s="321"/>
      <c r="H255" s="321"/>
      <c r="I255" s="321"/>
      <c r="J255" s="321"/>
      <c r="K255" s="321"/>
      <c r="L255" s="321"/>
      <c r="M255" s="321"/>
      <c r="N255" s="321"/>
      <c r="O255" s="321"/>
      <c r="P255" s="321"/>
      <c r="Q255" s="321"/>
      <c r="R255" s="321"/>
      <c r="S255" s="321"/>
      <c r="T255" s="321"/>
      <c r="U255" s="321"/>
      <c r="V255" s="321"/>
    </row>
    <row r="256" spans="1:22" s="366" customFormat="1">
      <c r="A256"/>
      <c r="B256" t="s">
        <v>1700</v>
      </c>
      <c r="C256" s="14" t="str">
        <f>IF(Application!B46= "","", Application!B46)</f>
        <v/>
      </c>
      <c r="D256" s="321"/>
      <c r="E256" s="321"/>
      <c r="F256" s="321"/>
      <c r="G256" s="321"/>
      <c r="H256" s="321"/>
      <c r="I256" s="321"/>
      <c r="J256" s="321"/>
      <c r="K256" s="321"/>
      <c r="L256" s="321"/>
      <c r="M256" s="321"/>
      <c r="N256" s="321"/>
      <c r="O256" s="321"/>
      <c r="P256" s="321"/>
      <c r="Q256" s="321"/>
      <c r="R256" s="321"/>
      <c r="S256" s="321"/>
      <c r="T256" s="321"/>
      <c r="U256" s="321"/>
      <c r="V256" s="321"/>
    </row>
    <row r="257" spans="1:22" s="366" customFormat="1">
      <c r="A257"/>
      <c r="B257" t="s">
        <v>1701</v>
      </c>
      <c r="C257" s="14" t="str">
        <f>IF(Application!B47= "","", Application!B47)</f>
        <v/>
      </c>
      <c r="D257" s="321"/>
      <c r="E257" s="321"/>
      <c r="F257" s="321"/>
      <c r="G257" s="321"/>
      <c r="H257" s="321"/>
      <c r="I257" s="321"/>
      <c r="J257" s="321"/>
      <c r="K257" s="321"/>
      <c r="L257" s="321"/>
      <c r="M257" s="321"/>
      <c r="N257" s="321"/>
      <c r="O257" s="321"/>
      <c r="P257" s="321"/>
      <c r="Q257" s="321"/>
      <c r="R257" s="321"/>
      <c r="S257" s="321"/>
      <c r="T257" s="321"/>
      <c r="U257" s="321"/>
      <c r="V257" s="321"/>
    </row>
    <row r="258" spans="1:22" s="366" customFormat="1">
      <c r="A258"/>
      <c r="B258" t="s">
        <v>257</v>
      </c>
      <c r="C258" s="14" t="str">
        <f>IF(Application!B48= "","", Application!B48)</f>
        <v/>
      </c>
      <c r="D258"/>
      <c r="E258" s="321"/>
      <c r="F258" s="321"/>
      <c r="G258" s="321"/>
      <c r="H258" s="321"/>
      <c r="I258" s="321"/>
      <c r="J258" s="321"/>
      <c r="K258" s="321"/>
      <c r="L258" s="321"/>
      <c r="M258" s="321"/>
      <c r="N258" s="321"/>
      <c r="O258" s="321"/>
      <c r="P258" s="321"/>
      <c r="Q258" s="321"/>
      <c r="R258" s="321"/>
      <c r="S258" s="321"/>
      <c r="T258" s="321"/>
      <c r="U258" s="321"/>
      <c r="V258" s="321"/>
    </row>
    <row r="259" spans="1:22" s="366" customFormat="1">
      <c r="A259"/>
      <c r="B259" t="s">
        <v>258</v>
      </c>
      <c r="C259" s="14" t="str">
        <f>IF(Application!B49= "","", Application!B49)</f>
        <v/>
      </c>
      <c r="D259" s="321"/>
      <c r="E259" s="321"/>
      <c r="F259" s="321"/>
      <c r="G259" s="321"/>
      <c r="H259" s="321"/>
      <c r="I259" s="321"/>
      <c r="J259" s="321"/>
      <c r="K259" s="321"/>
      <c r="L259" s="321"/>
      <c r="M259" s="321"/>
      <c r="N259" s="321"/>
      <c r="O259" s="321"/>
      <c r="P259" s="321"/>
      <c r="Q259" s="321"/>
      <c r="R259" s="321"/>
      <c r="S259" s="321"/>
      <c r="T259" s="321"/>
      <c r="U259" s="321"/>
      <c r="V259" s="321"/>
    </row>
    <row r="260" spans="1:22" s="366" customFormat="1">
      <c r="A260"/>
      <c r="B260" t="s">
        <v>1702</v>
      </c>
      <c r="C260" s="14" t="str">
        <f>IF(Application!B50= "","", Application!B50)</f>
        <v/>
      </c>
      <c r="D260" s="321"/>
      <c r="E260" s="321"/>
      <c r="F260" s="321"/>
      <c r="G260" s="321"/>
      <c r="H260" s="321"/>
      <c r="I260" s="321"/>
      <c r="J260" s="321"/>
      <c r="K260" s="321"/>
      <c r="L260" s="321"/>
      <c r="M260" s="321"/>
      <c r="N260" s="321"/>
      <c r="O260" s="321"/>
      <c r="P260" s="321"/>
      <c r="Q260" s="321"/>
      <c r="R260" s="321"/>
      <c r="S260" s="321"/>
      <c r="T260" s="321"/>
      <c r="U260" s="321"/>
      <c r="V260" s="321"/>
    </row>
    <row r="261" spans="1:22">
      <c r="B261" t="s">
        <v>260</v>
      </c>
      <c r="C261" t="b">
        <f>Application!B51="Yes"</f>
        <v>0</v>
      </c>
    </row>
    <row r="262" spans="1:22">
      <c r="B262" s="1" t="s">
        <v>261</v>
      </c>
      <c r="C262" t="b">
        <f>Application!B52="Yes"</f>
        <v>0</v>
      </c>
      <c r="D262" s="321"/>
      <c r="E262" s="321"/>
      <c r="F262" s="321"/>
      <c r="G262" s="321"/>
    </row>
    <row r="263" spans="1:22">
      <c r="B263" t="s">
        <v>1703</v>
      </c>
      <c r="C263" s="14" t="str">
        <f>IF(Application!B53= "","", Application!B53)</f>
        <v/>
      </c>
      <c r="D263" s="321"/>
      <c r="E263" s="321"/>
      <c r="F263" s="321"/>
      <c r="G263" s="321"/>
    </row>
    <row r="264" spans="1:22">
      <c r="B264" t="s">
        <v>263</v>
      </c>
      <c r="C264" s="367" t="str">
        <f>IF(Application!B54= "","", Application!B54)</f>
        <v/>
      </c>
    </row>
    <row r="265" spans="1:22">
      <c r="B265" t="s">
        <v>1704</v>
      </c>
      <c r="C265">
        <f>Application!B83</f>
        <v>0</v>
      </c>
      <c r="D265" t="s">
        <v>1705</v>
      </c>
    </row>
    <row r="266" spans="1:22">
      <c r="B266" t="s">
        <v>1706</v>
      </c>
      <c r="C266">
        <f>Application!B85</f>
        <v>0</v>
      </c>
    </row>
    <row r="267" spans="1:22">
      <c r="B267" t="s">
        <v>1707</v>
      </c>
      <c r="C267">
        <f>Financing!B34</f>
        <v>0</v>
      </c>
    </row>
    <row r="268" spans="1:22">
      <c r="B268" t="s">
        <v>1708</v>
      </c>
      <c r="C268">
        <f>Financing!B39</f>
        <v>0</v>
      </c>
    </row>
    <row r="269" spans="1:22">
      <c r="A269" t="str">
        <f>Application!A86</f>
        <v>Solar Tax Credits/ETC</v>
      </c>
      <c r="B269" t="s">
        <v>1709</v>
      </c>
      <c r="C269" t="b">
        <f>Application!$B$86="Yes"</f>
        <v>0</v>
      </c>
      <c r="D269" t="s">
        <v>1710</v>
      </c>
    </row>
    <row r="270" spans="1:22">
      <c r="A270" t="str">
        <f>Application!A88</f>
        <v>45L Energy Efficiency Home Credit</v>
      </c>
      <c r="C270" t="b">
        <f>Application!$B$88="Yes"</f>
        <v>0</v>
      </c>
      <c r="E270" t="s">
        <v>1711</v>
      </c>
    </row>
    <row r="271" spans="1:22">
      <c r="A271" t="str">
        <f>Application!A89</f>
        <v>Enter the Amount of the 45L EEH Credit</v>
      </c>
      <c r="C271">
        <f>Application!B89</f>
        <v>0</v>
      </c>
      <c r="E271" t="s">
        <v>1711</v>
      </c>
    </row>
    <row r="272" spans="1:22">
      <c r="A272" t="str">
        <f>Application!A90</f>
        <v>Investment Tax Credit (ITC)</v>
      </c>
      <c r="C272" t="b">
        <f>Application!$B$88="Yes"</f>
        <v>0</v>
      </c>
      <c r="E272" t="s">
        <v>1711</v>
      </c>
    </row>
    <row r="273" spans="1:5">
      <c r="A273" t="str">
        <f>Application!A91</f>
        <v>Enter the Amount of the ITC</v>
      </c>
      <c r="C273">
        <f>Application!B91</f>
        <v>0</v>
      </c>
      <c r="E273" t="s">
        <v>1711</v>
      </c>
    </row>
    <row r="274" spans="1:5">
      <c r="A274" t="str">
        <f>Application!A95</f>
        <v>CDBG DR Funding</v>
      </c>
      <c r="B274" t="s">
        <v>1712</v>
      </c>
      <c r="C274" t="b">
        <f>Application!$B$95="Yes"</f>
        <v>0</v>
      </c>
    </row>
    <row r="275" spans="1:5">
      <c r="A275" t="s">
        <v>281</v>
      </c>
      <c r="C275" t="b">
        <f>Application!B71="Yes"</f>
        <v>0</v>
      </c>
    </row>
    <row r="276" spans="1:5">
      <c r="A276" t="s">
        <v>282</v>
      </c>
      <c r="C276" t="b">
        <f>Application!B72="Yes"</f>
        <v>0</v>
      </c>
    </row>
    <row r="277" spans="1:5">
      <c r="A277" t="s">
        <v>289</v>
      </c>
      <c r="C277" s="321">
        <f>Application!B78</f>
        <v>0</v>
      </c>
    </row>
    <row r="278" spans="1:5">
      <c r="A278" t="s">
        <v>291</v>
      </c>
      <c r="C278" s="321">
        <f>Application!B79</f>
        <v>0</v>
      </c>
    </row>
    <row r="279" spans="1:5">
      <c r="A279" t="str">
        <f>Application!A96</f>
        <v>FHLB Affordable Housing Program Funding</v>
      </c>
      <c r="B279" t="s">
        <v>1713</v>
      </c>
      <c r="C279" t="b">
        <f>Application!$B$96="Yes"</f>
        <v>0</v>
      </c>
      <c r="D279" t="s">
        <v>1714</v>
      </c>
    </row>
    <row r="280" spans="1:5">
      <c r="A280" t="str">
        <f>Application!A74</f>
        <v xml:space="preserve">Enter the Total Amount of A Bonds being issued  </v>
      </c>
      <c r="B280" t="s">
        <v>1715</v>
      </c>
      <c r="C280">
        <f>Application!B74</f>
        <v>0</v>
      </c>
      <c r="D280" t="s">
        <v>1716</v>
      </c>
    </row>
    <row r="281" spans="1:5">
      <c r="A281" t="str">
        <f>Application!A75</f>
        <v xml:space="preserve">Enter the Total Amount of B Bonds being issued  </v>
      </c>
      <c r="B281" t="s">
        <v>1717</v>
      </c>
      <c r="C281">
        <f>Application!B75</f>
        <v>0</v>
      </c>
    </row>
    <row r="282" spans="1:5">
      <c r="A282" t="str">
        <f>Application!A76</f>
        <v xml:space="preserve">Enter the Total Amount of C Bonds being issued </v>
      </c>
      <c r="B282" t="s">
        <v>1718</v>
      </c>
      <c r="C282">
        <f>Application!B76</f>
        <v>0</v>
      </c>
      <c r="D282" t="s">
        <v>1719</v>
      </c>
    </row>
    <row r="283" spans="1:5">
      <c r="A283" t="str">
        <f>Application!A87</f>
        <v>Enter the Amount of the Solar Tax Credit</v>
      </c>
      <c r="B283" t="s">
        <v>1720</v>
      </c>
      <c r="C283">
        <f>Application!B87</f>
        <v>0</v>
      </c>
      <c r="D283" t="s">
        <v>1721</v>
      </c>
    </row>
    <row r="284" spans="1:5">
      <c r="A284" t="str">
        <f>Application!A99</f>
        <v xml:space="preserve">Enter the Number of Project-based Vouchers  </v>
      </c>
      <c r="B284" t="s">
        <v>1722</v>
      </c>
      <c r="C284">
        <f>Application!B99</f>
        <v>0</v>
      </c>
      <c r="D284" t="s">
        <v>1723</v>
      </c>
    </row>
    <row r="285" spans="1:5">
      <c r="B285" t="s">
        <v>1724</v>
      </c>
      <c r="C285" t="b">
        <f>Application!$B$92="Yes"</f>
        <v>0</v>
      </c>
      <c r="D285" t="s">
        <v>1725</v>
      </c>
    </row>
    <row r="286" spans="1:5">
      <c r="A286" t="str">
        <f>Application!A102</f>
        <v>State Funds - DOH Vouchers</v>
      </c>
      <c r="C286" t="b">
        <f>Application!$B$92="Yes"</f>
        <v>0</v>
      </c>
      <c r="E286" t="s">
        <v>1711</v>
      </c>
    </row>
    <row r="287" spans="1:5">
      <c r="A287" t="str">
        <f>Application!A103</f>
        <v>Voucher Administrator(s)</v>
      </c>
      <c r="C287">
        <f>Application!B103</f>
        <v>0</v>
      </c>
      <c r="E287" t="s">
        <v>1711</v>
      </c>
    </row>
    <row r="288" spans="1:5">
      <c r="A288" t="str">
        <f>Application!A104</f>
        <v>Number of Vouchers</v>
      </c>
      <c r="C288">
        <f>Application!B104</f>
        <v>0</v>
      </c>
      <c r="E288" t="s">
        <v>1711</v>
      </c>
    </row>
    <row r="289" spans="1:8">
      <c r="A289" t="str">
        <f>Application!A105</f>
        <v>Type of Vouchers</v>
      </c>
      <c r="C289">
        <f>Application!B105</f>
        <v>0</v>
      </c>
      <c r="E289" t="s">
        <v>1711</v>
      </c>
    </row>
    <row r="290" spans="1:8">
      <c r="A290" t="s">
        <v>1726</v>
      </c>
      <c r="B290" t="s">
        <v>1727</v>
      </c>
      <c r="C290" t="b">
        <f>Application!B68="Yes"</f>
        <v>0</v>
      </c>
    </row>
    <row r="291" spans="1:8">
      <c r="B291" t="s">
        <v>1728</v>
      </c>
      <c r="C291" t="b">
        <f>Application!$B$67="Yes"</f>
        <v>0</v>
      </c>
      <c r="D291" t="s">
        <v>1729</v>
      </c>
    </row>
    <row r="292" spans="1:8">
      <c r="B292" t="s">
        <v>264</v>
      </c>
      <c r="C292" s="367" t="str">
        <f>CONCATENATE(Application!B55)</f>
        <v/>
      </c>
    </row>
    <row r="293" spans="1:8">
      <c r="B293" t="s">
        <v>265</v>
      </c>
      <c r="C293" t="b">
        <f>Application!$B$56="Yes"</f>
        <v>0</v>
      </c>
    </row>
    <row r="294" spans="1:8">
      <c r="B294" t="s">
        <v>1730</v>
      </c>
      <c r="C294" t="b">
        <f>Calculations!$B$19</f>
        <v>0</v>
      </c>
      <c r="D294" t="s">
        <v>1731</v>
      </c>
    </row>
    <row r="295" spans="1:8">
      <c r="B295" t="s">
        <v>1732</v>
      </c>
      <c r="C295" t="b">
        <f>Calculations!$B$17</f>
        <v>0</v>
      </c>
      <c r="D295" t="s">
        <v>1733</v>
      </c>
    </row>
    <row r="296" spans="1:8">
      <c r="A296" t="s">
        <v>1734</v>
      </c>
      <c r="B296" t="s">
        <v>1735</v>
      </c>
      <c r="C296" t="b">
        <f>IFERROR(Calculations!B18, FALSE)</f>
        <v>0</v>
      </c>
    </row>
    <row r="297" spans="1:8">
      <c r="A297" t="s">
        <v>1734</v>
      </c>
      <c r="B297" t="s">
        <v>1734</v>
      </c>
      <c r="C297" t="b">
        <f>IFERROR(Calculations!B18, FALSE)</f>
        <v>0</v>
      </c>
    </row>
    <row r="298" spans="1:8">
      <c r="B298" t="s">
        <v>1736</v>
      </c>
      <c r="C298" s="14" t="str">
        <f>CONCATENATE(Application!$B$6)</f>
        <v/>
      </c>
      <c r="D298" t="s">
        <v>1737</v>
      </c>
    </row>
    <row r="299" spans="1:8" ht="30" customHeight="1">
      <c r="B299" t="str">
        <f>Application!A13</f>
        <v>Is this an existing LIHTC property</v>
      </c>
      <c r="C299" t="b">
        <f>Application!B13="Yes"</f>
        <v>0</v>
      </c>
    </row>
    <row r="300" spans="1:8">
      <c r="B300" t="s">
        <v>1738</v>
      </c>
      <c r="C300" s="14" t="str">
        <f>CONCATENATE(Application!$B$36)</f>
        <v/>
      </c>
      <c r="D300" t="s">
        <v>1739</v>
      </c>
    </row>
    <row r="301" spans="1:8">
      <c r="B301" t="s">
        <v>1740</v>
      </c>
      <c r="C301" s="14" t="str">
        <f>CONCATENATE(Application!B12)</f>
        <v/>
      </c>
      <c r="D301" t="s">
        <v>1741</v>
      </c>
      <c r="E301" t="s">
        <v>1742</v>
      </c>
    </row>
    <row r="302" spans="1:8">
      <c r="F302" s="955" t="s">
        <v>1743</v>
      </c>
      <c r="G302" s="955"/>
      <c r="H302" s="955"/>
    </row>
    <row r="303" spans="1:8">
      <c r="B303" t="s">
        <v>1744</v>
      </c>
      <c r="C303" t="b">
        <f>Application!$B$111 &gt; 0</f>
        <v>0</v>
      </c>
      <c r="D303" t="s">
        <v>1745</v>
      </c>
      <c r="F303" s="693" t="s">
        <v>1746</v>
      </c>
      <c r="G303" s="693" t="s">
        <v>1747</v>
      </c>
      <c r="H303" s="693" t="s">
        <v>1748</v>
      </c>
    </row>
    <row r="304" spans="1:8">
      <c r="B304" t="s">
        <v>1749</v>
      </c>
      <c r="C304" s="425" t="str">
        <f>IF(SUM(Application!$B$109:$B$115)=0,"",H304)</f>
        <v/>
      </c>
      <c r="D304" t="s">
        <v>1750</v>
      </c>
      <c r="F304" s="693">
        <f>COUNTIF(Application!$B$109:$B$115, "&gt; 0")</f>
        <v>0</v>
      </c>
      <c r="G304" s="693" t="str">
        <f>INDEX(Application!$A$109:$A$115,MATCH(MAX(Application!$B$109:$B$115),Application!$B$109:$B$115,0))</f>
        <v>Assisted Living</v>
      </c>
      <c r="H304" s="693" t="str">
        <f>IF(F304 &gt; 1, "Mixed", G304)</f>
        <v>Assisted Living</v>
      </c>
    </row>
    <row r="305" spans="1:11">
      <c r="A305" t="str">
        <f>Application!A109</f>
        <v>Assisted Living</v>
      </c>
      <c r="B305" t="s">
        <v>1751</v>
      </c>
      <c r="C305">
        <f>Application!B109</f>
        <v>0</v>
      </c>
      <c r="D305" t="s">
        <v>1752</v>
      </c>
    </row>
    <row r="306" spans="1:11">
      <c r="A306" t="str">
        <f>Application!A110</f>
        <v>Special Populations</v>
      </c>
      <c r="B306" t="s">
        <v>1753</v>
      </c>
      <c r="C306">
        <f>Application!B110</f>
        <v>0</v>
      </c>
      <c r="D306" t="s">
        <v>1754</v>
      </c>
    </row>
    <row r="307" spans="1:11">
      <c r="A307" t="str">
        <f>Application!A111</f>
        <v>Family</v>
      </c>
      <c r="B307" t="s">
        <v>1755</v>
      </c>
      <c r="C307">
        <f>Application!B111</f>
        <v>0</v>
      </c>
      <c r="D307" t="s">
        <v>1756</v>
      </c>
    </row>
    <row r="308" spans="1:11">
      <c r="A308" t="str">
        <f>Application!A112</f>
        <v>Homeless (not PSH)</v>
      </c>
      <c r="B308" t="s">
        <v>1757</v>
      </c>
      <c r="C308">
        <f>Application!B112</f>
        <v>0</v>
      </c>
      <c r="D308" t="s">
        <v>1758</v>
      </c>
    </row>
    <row r="309" spans="1:11">
      <c r="A309" t="str">
        <f>Application!A113</f>
        <v>Older Adult</v>
      </c>
      <c r="B309" t="s">
        <v>1759</v>
      </c>
      <c r="C309">
        <f>Application!B113</f>
        <v>0</v>
      </c>
      <c r="D309" t="s">
        <v>1760</v>
      </c>
    </row>
    <row r="310" spans="1:11">
      <c r="A310" t="str">
        <f>Application!A114</f>
        <v>Veterans</v>
      </c>
      <c r="B310" t="s">
        <v>1761</v>
      </c>
      <c r="C310">
        <f>Application!B114</f>
        <v>0</v>
      </c>
    </row>
    <row r="311" spans="1:11">
      <c r="A311" t="s">
        <v>329</v>
      </c>
      <c r="B311" t="s">
        <v>1762</v>
      </c>
      <c r="C311">
        <f>Application!B115</f>
        <v>0</v>
      </c>
    </row>
    <row r="312" spans="1:11">
      <c r="A312" t="s">
        <v>331</v>
      </c>
      <c r="C312">
        <f>Application!B117</f>
        <v>0</v>
      </c>
    </row>
    <row r="313" spans="1:11">
      <c r="A313" t="s">
        <v>332</v>
      </c>
      <c r="C313">
        <f>Application!B118</f>
        <v>0</v>
      </c>
    </row>
    <row r="314" spans="1:11" s="16" customFormat="1">
      <c r="A314" s="16" t="s">
        <v>1763</v>
      </c>
      <c r="B314" s="16" t="s">
        <v>1764</v>
      </c>
      <c r="C314" s="804">
        <f>Application!B57</f>
        <v>0</v>
      </c>
      <c r="D314" s="16" t="s">
        <v>1765</v>
      </c>
    </row>
    <row r="315" spans="1:11">
      <c r="B315" t="s">
        <v>1766</v>
      </c>
      <c r="C315" t="b">
        <f>OR(Application!$B$57 = 1, Application!$B$57 = 2)</f>
        <v>0</v>
      </c>
      <c r="D315" t="s">
        <v>1767</v>
      </c>
      <c r="E315" t="s">
        <v>1768</v>
      </c>
      <c r="G315" s="16" t="s">
        <v>1769</v>
      </c>
      <c r="K315" s="49"/>
    </row>
    <row r="316" spans="1:11">
      <c r="B316" t="s">
        <v>1770</v>
      </c>
      <c r="C316" t="b">
        <f>OR(Application!$B$57 = 3, Application!$B$57 = 4)</f>
        <v>0</v>
      </c>
      <c r="D316" t="s">
        <v>1771</v>
      </c>
      <c r="E316" t="s">
        <v>1772</v>
      </c>
      <c r="G316" s="16" t="s">
        <v>1769</v>
      </c>
    </row>
    <row r="317" spans="1:11">
      <c r="B317" t="s">
        <v>1773</v>
      </c>
      <c r="C317" t="b">
        <f>Application!$B$57 &gt;= 5</f>
        <v>0</v>
      </c>
      <c r="D317" t="s">
        <v>1774</v>
      </c>
      <c r="E317" t="s">
        <v>1775</v>
      </c>
      <c r="G317" s="16" t="s">
        <v>1769</v>
      </c>
    </row>
    <row r="318" spans="1:11">
      <c r="B318" t="s">
        <v>1776</v>
      </c>
      <c r="C318" t="b">
        <f>Application!$B$60="Elevator"</f>
        <v>0</v>
      </c>
    </row>
    <row r="319" spans="1:11">
      <c r="A319" t="s">
        <v>1777</v>
      </c>
      <c r="B319" t="s">
        <v>1778</v>
      </c>
      <c r="C319">
        <f>Application!B61</f>
        <v>0</v>
      </c>
    </row>
    <row r="320" spans="1:11">
      <c r="A320" t="s">
        <v>269</v>
      </c>
      <c r="B320" t="s">
        <v>1779</v>
      </c>
      <c r="C320" t="str">
        <f>CONCATENATE(Application!B59)</f>
        <v/>
      </c>
    </row>
    <row r="321" spans="1:3">
      <c r="A321" t="s">
        <v>1780</v>
      </c>
      <c r="B321" t="s">
        <v>1781</v>
      </c>
      <c r="C321">
        <f>Application!B140</f>
        <v>0</v>
      </c>
    </row>
    <row r="322" spans="1:3">
      <c r="A322" t="s">
        <v>1782</v>
      </c>
      <c r="B322" t="s">
        <v>1782</v>
      </c>
      <c r="C322">
        <f>Financing!B3</f>
        <v>0</v>
      </c>
    </row>
    <row r="323" spans="1:3">
      <c r="A323" t="s">
        <v>1783</v>
      </c>
      <c r="B323" t="s">
        <v>1783</v>
      </c>
      <c r="C323">
        <f>Financing!B4</f>
        <v>0</v>
      </c>
    </row>
    <row r="324" spans="1:3">
      <c r="A324" t="s">
        <v>1784</v>
      </c>
      <c r="B324" t="s">
        <v>1784</v>
      </c>
      <c r="C324" s="350">
        <f>SUM('Development Budget'!C48:D48)</f>
        <v>0</v>
      </c>
    </row>
    <row r="326" spans="1:3" ht="15.75">
      <c r="A326" s="694" t="s">
        <v>1785</v>
      </c>
      <c r="B326" s="786" t="str">
        <f>IF(Application!B126="", "", Application!B126)</f>
        <v/>
      </c>
      <c r="C326" t="str">
        <f>IF(Application!B126="", "", Application!B126)</f>
        <v/>
      </c>
    </row>
    <row r="327" spans="1:3" ht="15.75">
      <c r="A327" s="695" t="s">
        <v>1786</v>
      </c>
      <c r="B327" s="786" t="str">
        <f>IF(Application!B127="","",Application!B127)</f>
        <v/>
      </c>
      <c r="C327" t="str">
        <f>IF(Application!B127="", "", Application!B127)</f>
        <v/>
      </c>
    </row>
    <row r="328" spans="1:3" ht="15.75">
      <c r="A328" s="695" t="s">
        <v>1787</v>
      </c>
      <c r="B328" s="786" t="str">
        <f>IF(Application!B128="","",Application!B128)</f>
        <v/>
      </c>
      <c r="C328" t="str">
        <f>IF(Application!B128="", "", Application!B128)</f>
        <v/>
      </c>
    </row>
    <row r="329" spans="1:3" ht="15.75">
      <c r="A329" s="695" t="s">
        <v>343</v>
      </c>
      <c r="B329" s="786" t="str">
        <f>IF(Application!B129="","",Application!B129)</f>
        <v/>
      </c>
      <c r="C329" t="str">
        <f>IF(Application!B129="", "", Application!B129)</f>
        <v/>
      </c>
    </row>
    <row r="330" spans="1:3" ht="15.75">
      <c r="A330" s="695" t="s">
        <v>1788</v>
      </c>
      <c r="B330" s="786" t="str">
        <f>IF(Application!B130="","",Application!B130)</f>
        <v/>
      </c>
      <c r="C330" t="str">
        <f>IF(Application!B130="", "", Application!B130)</f>
        <v/>
      </c>
    </row>
    <row r="331" spans="1:3" ht="15.75">
      <c r="A331" s="695" t="s">
        <v>345</v>
      </c>
      <c r="B331" s="786" t="str">
        <f>IF(Application!B131="","",Application!B131)</f>
        <v/>
      </c>
      <c r="C331" t="str">
        <f>IF(Application!B131="", "", Application!B131)</f>
        <v/>
      </c>
    </row>
    <row r="332" spans="1:3" ht="15.75">
      <c r="A332" s="695" t="s">
        <v>1789</v>
      </c>
      <c r="B332" s="786" t="str">
        <f>IF(Application!B132="","",Application!B132)</f>
        <v/>
      </c>
      <c r="C332" t="str">
        <f>IF(Application!B132="", "", Application!B132)</f>
        <v/>
      </c>
    </row>
    <row r="333" spans="1:3" ht="15.75">
      <c r="A333" s="695" t="s">
        <v>1790</v>
      </c>
      <c r="B333" s="786" t="str">
        <f>IF(Application!B133="","",Application!B133)</f>
        <v/>
      </c>
      <c r="C333" t="str">
        <f>IF(Application!B133="", "", Application!B133)</f>
        <v/>
      </c>
    </row>
    <row r="334" spans="1:3" ht="31.5">
      <c r="A334" s="864" t="s">
        <v>1791</v>
      </c>
      <c r="B334" s="786" t="str">
        <f>IF(Application!B135="","",Application!B135)</f>
        <v/>
      </c>
      <c r="C334" t="str">
        <f>IF(Application!B135="", "", Application!B135)</f>
        <v/>
      </c>
    </row>
    <row r="335" spans="1:3" ht="16.5" customHeight="1">
      <c r="A335" s="695" t="s">
        <v>1792</v>
      </c>
      <c r="B335" s="786" t="str">
        <f>IF(Application!B136="","",Application!B136)</f>
        <v/>
      </c>
      <c r="C335" t="str">
        <f>IF(Application!B136="", "", Application!B136)</f>
        <v/>
      </c>
    </row>
    <row r="336" spans="1:3" ht="15.75">
      <c r="A336" s="695" t="s">
        <v>1793</v>
      </c>
      <c r="B336" s="786" t="str">
        <f>IF(Application!B137="","",Application!B137)</f>
        <v/>
      </c>
      <c r="C336" t="str">
        <f>IF(Application!B137="", "", Application!B137)</f>
        <v/>
      </c>
    </row>
    <row r="337" spans="1:7" ht="15.75">
      <c r="A337" s="695" t="s">
        <v>1794</v>
      </c>
      <c r="B337" s="786" t="str">
        <f>IF(Application!B138="","",Application!B138)</f>
        <v/>
      </c>
      <c r="C337" t="str">
        <f>IF(Application!B138="", "", Application!B138)</f>
        <v/>
      </c>
    </row>
    <row r="338" spans="1:7" ht="16.5" customHeight="1">
      <c r="A338" s="695" t="s">
        <v>1795</v>
      </c>
      <c r="B338" s="786" t="str">
        <f>IF(Application!B139="","",Application!B139)</f>
        <v/>
      </c>
      <c r="C338" t="str">
        <f>IF(Application!B139="", "", Application!B139)</f>
        <v/>
      </c>
    </row>
    <row r="339" spans="1:7" ht="15.75">
      <c r="A339" s="695" t="s">
        <v>1796</v>
      </c>
      <c r="B339" s="786" t="str">
        <f>IF(Application!B142="","",Application!B142)</f>
        <v/>
      </c>
      <c r="C339" t="str">
        <f>IF(Application!B142="", "", Application!B142)</f>
        <v/>
      </c>
    </row>
    <row r="340" spans="1:7" ht="15.75">
      <c r="A340" s="695" t="s">
        <v>1797</v>
      </c>
      <c r="B340" s="786" t="str">
        <f>IF(Application!B143="","",Application!B143)</f>
        <v/>
      </c>
      <c r="C340" t="str">
        <f>IF(Application!B143="", "", Application!B143)</f>
        <v/>
      </c>
    </row>
    <row r="341" spans="1:7" ht="15.75">
      <c r="A341" s="695" t="s">
        <v>1798</v>
      </c>
      <c r="B341" s="786" t="str">
        <f>IF(Application!B144="","",Application!B144)</f>
        <v/>
      </c>
      <c r="C341" t="str">
        <f>IF(Application!B144="", "", Application!B144)</f>
        <v/>
      </c>
    </row>
    <row r="342" spans="1:7" ht="15.75">
      <c r="A342" s="695" t="s">
        <v>1799</v>
      </c>
      <c r="B342" s="786" t="str">
        <f>IF(Application!B145="","",Application!B145)</f>
        <v/>
      </c>
      <c r="C342" t="str">
        <f>IF(Application!B145="", "", Application!B145)</f>
        <v/>
      </c>
    </row>
    <row r="343" spans="1:7" ht="15.75">
      <c r="A343" s="695" t="s">
        <v>362</v>
      </c>
      <c r="B343" s="786" t="str">
        <f>IF(Application!B146="","",Application!B146)</f>
        <v/>
      </c>
      <c r="C343" t="str">
        <f>IF(Application!B146="", "", Application!B146)</f>
        <v/>
      </c>
    </row>
    <row r="344" spans="1:7" ht="16.5" customHeight="1">
      <c r="A344" t="str">
        <f>'Development Budget'!A4</f>
        <v>Land</v>
      </c>
      <c r="B344" t="s">
        <v>1800</v>
      </c>
      <c r="C344">
        <f>'Development Budget'!B4</f>
        <v>0</v>
      </c>
      <c r="D344" t="s">
        <v>1801</v>
      </c>
    </row>
    <row r="345" spans="1:7">
      <c r="A345" t="str">
        <f>'Development Budget'!A5</f>
        <v>Existing Structures</v>
      </c>
      <c r="B345" t="s">
        <v>1802</v>
      </c>
      <c r="C345">
        <f>'Development Budget'!B5</f>
        <v>0</v>
      </c>
      <c r="D345" t="s">
        <v>1803</v>
      </c>
      <c r="G345" s="318"/>
    </row>
    <row r="346" spans="1:7">
      <c r="A346" t="str">
        <f>'Development Budget'!A6</f>
        <v>Demolition</v>
      </c>
      <c r="B346" t="s">
        <v>420</v>
      </c>
      <c r="C346">
        <f>'Development Budget'!B6</f>
        <v>0</v>
      </c>
      <c r="D346" t="s">
        <v>1804</v>
      </c>
      <c r="G346" s="318"/>
    </row>
    <row r="347" spans="1:7">
      <c r="A347" t="str">
        <f>'Development Budget'!A9</f>
        <v>On Site Work</v>
      </c>
      <c r="B347" t="s">
        <v>1805</v>
      </c>
      <c r="C347">
        <f>'Development Budget'!B9</f>
        <v>0</v>
      </c>
      <c r="D347">
        <f>'Development Budget'!$D$11</f>
        <v>0</v>
      </c>
      <c r="G347" s="318"/>
    </row>
    <row r="348" spans="1:7">
      <c r="A348" t="str">
        <f>'Development Budget'!A10</f>
        <v>Off Site Work</v>
      </c>
      <c r="B348" t="s">
        <v>1806</v>
      </c>
      <c r="C348">
        <f>'Development Budget'!B10</f>
        <v>0</v>
      </c>
      <c r="D348" t="s">
        <v>1807</v>
      </c>
      <c r="G348" s="318"/>
    </row>
    <row r="349" spans="1:7">
      <c r="A349" t="str">
        <f>'Development Budget'!A13</f>
        <v>New Structures</v>
      </c>
      <c r="B349" t="s">
        <v>1808</v>
      </c>
      <c r="C349">
        <f>'Development Budget'!B13</f>
        <v>0</v>
      </c>
      <c r="D349" t="s">
        <v>1809</v>
      </c>
      <c r="G349" s="318"/>
    </row>
    <row r="350" spans="1:7">
      <c r="A350" t="str">
        <f>'Development Budget'!A14</f>
        <v>Rehabilitation</v>
      </c>
      <c r="B350" t="s">
        <v>1810</v>
      </c>
      <c r="C350">
        <f>'Development Budget'!B14</f>
        <v>0</v>
      </c>
      <c r="D350" t="s">
        <v>1811</v>
      </c>
      <c r="G350" s="318"/>
    </row>
    <row r="351" spans="1:7">
      <c r="A351" t="str">
        <f>'Development Budget'!A15</f>
        <v>Accessory Structures (CSF, storage, garage(s))</v>
      </c>
      <c r="B351" t="s">
        <v>1812</v>
      </c>
      <c r="C351">
        <f>'Development Budget'!B15</f>
        <v>0</v>
      </c>
      <c r="D351" t="s">
        <v>1813</v>
      </c>
      <c r="G351" s="318"/>
    </row>
    <row r="352" spans="1:7">
      <c r="A352" t="str">
        <f>'Development Budget'!A16</f>
        <v>Green Systems (Solar, Geothermal, Other, etc.)</v>
      </c>
      <c r="B352" t="s">
        <v>1814</v>
      </c>
      <c r="C352">
        <f>'Development Budget'!B16</f>
        <v>0</v>
      </c>
      <c r="D352" t="s">
        <v>1815</v>
      </c>
      <c r="G352" s="318"/>
    </row>
    <row r="353" spans="1:7">
      <c r="A353" t="str">
        <f>'Development Budget'!A17</f>
        <v>General Requirements</v>
      </c>
      <c r="B353" t="s">
        <v>1816</v>
      </c>
      <c r="C353">
        <f>'Development Budget'!B17</f>
        <v>0</v>
      </c>
      <c r="D353" t="s">
        <v>1817</v>
      </c>
      <c r="G353" s="318"/>
    </row>
    <row r="354" spans="1:7">
      <c r="A354" t="str">
        <f>'Development Budget'!A18</f>
        <v>Contractor Overhead</v>
      </c>
      <c r="B354" t="s">
        <v>1818</v>
      </c>
      <c r="C354">
        <f>'Development Budget'!B18</f>
        <v>0</v>
      </c>
      <c r="D354" t="s">
        <v>1819</v>
      </c>
      <c r="G354" s="318"/>
    </row>
    <row r="355" spans="1:7">
      <c r="A355" t="str">
        <f>'Development Budget'!A19</f>
        <v>Contractor Profit</v>
      </c>
      <c r="B355" t="s">
        <v>1820</v>
      </c>
      <c r="C355">
        <f>'Development Budget'!B19</f>
        <v>0</v>
      </c>
      <c r="D355" t="s">
        <v>1821</v>
      </c>
      <c r="G355" s="318"/>
    </row>
    <row r="356" spans="1:7">
      <c r="A356" t="str">
        <f>'Development Budget'!A20</f>
        <v>Contractor Construction Contingency</v>
      </c>
      <c r="B356" t="s">
        <v>1822</v>
      </c>
      <c r="C356">
        <f>'Development Budget'!B20</f>
        <v>0</v>
      </c>
      <c r="D356" t="s">
        <v>1823</v>
      </c>
      <c r="G356" s="318"/>
    </row>
    <row r="357" spans="1:7">
      <c r="A357" t="str">
        <f>'Development Budget'!A21</f>
        <v>Owner Hard Cost Contingency</v>
      </c>
      <c r="B357" t="s">
        <v>1824</v>
      </c>
      <c r="C357">
        <f>'Development Budget'!B21</f>
        <v>0</v>
      </c>
      <c r="D357" t="s">
        <v>1825</v>
      </c>
    </row>
    <row r="358" spans="1:7">
      <c r="A358" t="str">
        <f>'Development Budget'!A22</f>
        <v>Furniture, Fixtures, &amp; Equipment</v>
      </c>
      <c r="B358" t="s">
        <v>1826</v>
      </c>
      <c r="C358">
        <f>'Development Budget'!B22</f>
        <v>0</v>
      </c>
      <c r="D358" t="s">
        <v>1827</v>
      </c>
    </row>
    <row r="359" spans="1:7">
      <c r="A359" t="str">
        <f>'Development Budget'!A23</f>
        <v>Building Permits</v>
      </c>
      <c r="B359" t="s">
        <v>1828</v>
      </c>
      <c r="C359">
        <f>'Development Budget'!B23</f>
        <v>0</v>
      </c>
      <c r="D359" t="s">
        <v>1829</v>
      </c>
    </row>
    <row r="360" spans="1:7">
      <c r="A360" t="str">
        <f>'Development Budget'!A24</f>
        <v>Other (Specify)</v>
      </c>
      <c r="B360" t="s">
        <v>1830</v>
      </c>
      <c r="C360">
        <f>'Development Budget'!B24</f>
        <v>0</v>
      </c>
      <c r="D360" t="s">
        <v>1831</v>
      </c>
    </row>
    <row r="361" spans="1:7">
      <c r="A361" t="str">
        <f>'Development Budget'!A25</f>
        <v>Other (Specify)</v>
      </c>
      <c r="B361" t="s">
        <v>1832</v>
      </c>
      <c r="C361">
        <f>'Development Budget'!B25</f>
        <v>0</v>
      </c>
      <c r="D361" t="s">
        <v>1833</v>
      </c>
    </row>
    <row r="362" spans="1:7">
      <c r="A362" t="str">
        <f>'Development Budget'!A26</f>
        <v>Other (Specify)</v>
      </c>
      <c r="B362" t="s">
        <v>1834</v>
      </c>
      <c r="C362">
        <f>'Development Budget'!B26</f>
        <v>0</v>
      </c>
      <c r="D362" t="s">
        <v>1835</v>
      </c>
    </row>
    <row r="363" spans="1:7">
      <c r="A363" t="str">
        <f>'Development Budget'!A29</f>
        <v>Architect, Design</v>
      </c>
      <c r="B363" t="s">
        <v>1836</v>
      </c>
      <c r="C363">
        <f>'Development Budget'!B29</f>
        <v>0</v>
      </c>
      <c r="D363" t="s">
        <v>1837</v>
      </c>
    </row>
    <row r="364" spans="1:7" ht="14.45" customHeight="1">
      <c r="A364" t="str">
        <f>'Development Budget'!A30</f>
        <v>Architect Construction Management/Admin</v>
      </c>
      <c r="B364" t="s">
        <v>1838</v>
      </c>
      <c r="C364">
        <f>'Development Budget'!B30</f>
        <v>0</v>
      </c>
      <c r="D364" t="s">
        <v>1839</v>
      </c>
    </row>
    <row r="365" spans="1:7">
      <c r="A365" t="str">
        <f>'Development Budget'!A31</f>
        <v>Landscape Design</v>
      </c>
      <c r="B365" t="s">
        <v>1840</v>
      </c>
      <c r="C365">
        <f>'Development Budget'!B31</f>
        <v>0</v>
      </c>
      <c r="D365" t="s">
        <v>1841</v>
      </c>
    </row>
    <row r="366" spans="1:7">
      <c r="A366" t="str">
        <f>'Development Budget'!A32</f>
        <v>Structural Engineering</v>
      </c>
      <c r="B366" t="s">
        <v>1842</v>
      </c>
      <c r="C366">
        <f>'Development Budget'!B32</f>
        <v>0</v>
      </c>
      <c r="D366" t="s">
        <v>1843</v>
      </c>
    </row>
    <row r="367" spans="1:7">
      <c r="A367" t="str">
        <f>'Development Budget'!A33</f>
        <v>Civil Engineering</v>
      </c>
      <c r="B367" t="s">
        <v>1844</v>
      </c>
      <c r="C367">
        <f>'Development Budget'!B33</f>
        <v>0</v>
      </c>
      <c r="D367" t="s">
        <v>1845</v>
      </c>
    </row>
    <row r="368" spans="1:7">
      <c r="A368" t="str">
        <f>'Development Budget'!A34</f>
        <v>Other Engineering</v>
      </c>
      <c r="B368" t="s">
        <v>1846</v>
      </c>
      <c r="C368">
        <f>'Development Budget'!B34</f>
        <v>0</v>
      </c>
      <c r="D368" t="s">
        <v>1847</v>
      </c>
    </row>
    <row r="369" spans="1:4">
      <c r="A369" t="str">
        <f>'Development Budget'!A35</f>
        <v>Surveyor</v>
      </c>
      <c r="B369" t="s">
        <v>1848</v>
      </c>
      <c r="C369">
        <f>'Development Budget'!B35</f>
        <v>0</v>
      </c>
      <c r="D369" t="s">
        <v>1849</v>
      </c>
    </row>
    <row r="370" spans="1:4">
      <c r="A370" t="str">
        <f>'Development Budget'!A36</f>
        <v>Attorney, Real Estate</v>
      </c>
      <c r="B370" t="s">
        <v>1850</v>
      </c>
      <c r="C370">
        <f>'Development Budget'!B36</f>
        <v>0</v>
      </c>
      <c r="D370" t="s">
        <v>1851</v>
      </c>
    </row>
    <row r="371" spans="1:4">
      <c r="A371" t="str">
        <f>'Development Budget'!A37</f>
        <v>Green Consultant</v>
      </c>
      <c r="B371" t="s">
        <v>1852</v>
      </c>
      <c r="C371">
        <f>'Development Budget'!B37</f>
        <v>0</v>
      </c>
      <c r="D371" t="s">
        <v>1853</v>
      </c>
    </row>
    <row r="372" spans="1:4">
      <c r="A372" t="str">
        <f>'Development Budget'!A38</f>
        <v>Green Charrette</v>
      </c>
      <c r="B372" t="s">
        <v>1854</v>
      </c>
      <c r="C372">
        <f>'Development Budget'!B38</f>
        <v>0</v>
      </c>
      <c r="D372" t="s">
        <v>1855</v>
      </c>
    </row>
    <row r="373" spans="1:4">
      <c r="A373" t="str">
        <f>'Development Budget'!A39</f>
        <v>Construction Accounting</v>
      </c>
      <c r="B373" t="s">
        <v>1856</v>
      </c>
      <c r="C373">
        <f>'Development Budget'!B39</f>
        <v>0</v>
      </c>
      <c r="D373" t="s">
        <v>1857</v>
      </c>
    </row>
    <row r="374" spans="1:4">
      <c r="A374" t="str">
        <f>'Development Budget'!A40</f>
        <v>Other (Specify)</v>
      </c>
      <c r="B374" t="s">
        <v>1858</v>
      </c>
      <c r="C374">
        <f>'Development Budget'!B40</f>
        <v>0</v>
      </c>
      <c r="D374" t="s">
        <v>1859</v>
      </c>
    </row>
    <row r="375" spans="1:4">
      <c r="A375" t="str">
        <f>'Development Budget'!A41</f>
        <v>Other (Specify)</v>
      </c>
      <c r="B375" t="s">
        <v>1860</v>
      </c>
      <c r="C375">
        <f>'Development Budget'!B41</f>
        <v>0</v>
      </c>
      <c r="D375" t="s">
        <v>1861</v>
      </c>
    </row>
    <row r="376" spans="1:4">
      <c r="A376" t="str">
        <f>'Development Budget'!A42</f>
        <v>Other (Specify)</v>
      </c>
      <c r="B376" t="s">
        <v>1862</v>
      </c>
      <c r="C376">
        <f>'Development Budget'!B42</f>
        <v>0</v>
      </c>
      <c r="D376" t="s">
        <v>1863</v>
      </c>
    </row>
    <row r="377" spans="1:4">
      <c r="A377" t="str">
        <f>'Development Budget'!A45</f>
        <v>Hazard &amp; Liability Insurance</v>
      </c>
      <c r="B377" t="s">
        <v>1864</v>
      </c>
      <c r="C377">
        <f>'Development Budget'!B45</f>
        <v>0</v>
      </c>
      <c r="D377" t="s">
        <v>1865</v>
      </c>
    </row>
    <row r="378" spans="1:4">
      <c r="A378" t="str">
        <f>'Development Budget'!A46</f>
        <v>Builder's Risk Insurance</v>
      </c>
      <c r="B378" t="s">
        <v>1866</v>
      </c>
      <c r="C378">
        <f>'Development Budget'!B46</f>
        <v>0</v>
      </c>
      <c r="D378" t="s">
        <v>1867</v>
      </c>
    </row>
    <row r="379" spans="1:4">
      <c r="A379" t="str">
        <f>'Development Budget'!A47</f>
        <v>Perform. &amp; Pymt Bonds</v>
      </c>
      <c r="B379" t="s">
        <v>1868</v>
      </c>
      <c r="C379">
        <f>'Development Budget'!B47</f>
        <v>0</v>
      </c>
      <c r="D379" t="s">
        <v>1869</v>
      </c>
    </row>
    <row r="380" spans="1:4">
      <c r="A380" t="str">
        <f>'Development Budget'!A48</f>
        <v>Construction Interest</v>
      </c>
      <c r="B380" t="s">
        <v>1870</v>
      </c>
      <c r="C380">
        <f>'Development Budget'!B48</f>
        <v>0</v>
      </c>
      <c r="D380" t="s">
        <v>1871</v>
      </c>
    </row>
    <row r="381" spans="1:4">
      <c r="A381" t="str">
        <f>'Development Budget'!A49</f>
        <v>Constr. Origination Fees</v>
      </c>
      <c r="B381" t="s">
        <v>1872</v>
      </c>
      <c r="C381">
        <f>'Development Budget'!B49</f>
        <v>0</v>
      </c>
      <c r="D381" t="s">
        <v>1873</v>
      </c>
    </row>
    <row r="382" spans="1:4">
      <c r="A382" t="str">
        <f>'Development Budget'!A50</f>
        <v>Tap Fees (Water/Sewer)</v>
      </c>
      <c r="B382" t="s">
        <v>1874</v>
      </c>
      <c r="C382">
        <f>'Development Budget'!B50</f>
        <v>0</v>
      </c>
      <c r="D382" t="s">
        <v>1875</v>
      </c>
    </row>
    <row r="383" spans="1:4">
      <c r="A383" t="str">
        <f>'Development Budget'!A51</f>
        <v>Impact fees</v>
      </c>
      <c r="B383" t="s">
        <v>1876</v>
      </c>
      <c r="C383">
        <f>'Development Budget'!B51</f>
        <v>0</v>
      </c>
      <c r="D383" t="s">
        <v>1877</v>
      </c>
    </row>
    <row r="384" spans="1:4">
      <c r="A384" t="str">
        <f>'Development Budget'!A52</f>
        <v>Materials Testing</v>
      </c>
      <c r="B384" t="s">
        <v>1878</v>
      </c>
      <c r="C384">
        <f>'Development Budget'!B52</f>
        <v>0</v>
      </c>
      <c r="D384" t="s">
        <v>1879</v>
      </c>
    </row>
    <row r="385" spans="1:4">
      <c r="A385" t="str">
        <f>'Development Budget'!A53</f>
        <v>Power and Telecom Provider fees</v>
      </c>
      <c r="B385" t="s">
        <v>1880</v>
      </c>
      <c r="C385">
        <f>'Development Budget'!B53</f>
        <v>0</v>
      </c>
      <c r="D385" t="s">
        <v>1881</v>
      </c>
    </row>
    <row r="386" spans="1:4">
      <c r="A386" t="str">
        <f>'Development Budget'!A54</f>
        <v>3rd Party/Bank Inspections/Admin</v>
      </c>
      <c r="B386" t="s">
        <v>1882</v>
      </c>
      <c r="C386">
        <f>'Development Budget'!B54</f>
        <v>0</v>
      </c>
      <c r="D386" t="s">
        <v>1883</v>
      </c>
    </row>
    <row r="387" spans="1:4">
      <c r="A387" t="str">
        <f>'Development Budget'!A55</f>
        <v>Title &amp; Recording</v>
      </c>
      <c r="B387" t="s">
        <v>1884</v>
      </c>
      <c r="C387">
        <f>'Development Budget'!B55</f>
        <v>0</v>
      </c>
      <c r="D387" t="s">
        <v>1885</v>
      </c>
    </row>
    <row r="388" spans="1:4">
      <c r="A388" t="str">
        <f>'Development Budget'!A56</f>
        <v>Construction Lender Legal Fees</v>
      </c>
      <c r="B388" t="s">
        <v>1886</v>
      </c>
      <c r="C388">
        <f>'Development Budget'!B56</f>
        <v>0</v>
      </c>
      <c r="D388" t="s">
        <v>1887</v>
      </c>
    </row>
    <row r="389" spans="1:4">
      <c r="A389" t="str">
        <f>'Development Budget'!A57</f>
        <v>Prop. Taxes During Construction</v>
      </c>
      <c r="B389" t="s">
        <v>1888</v>
      </c>
      <c r="C389">
        <f>'Development Budget'!B57</f>
        <v>0</v>
      </c>
      <c r="D389" t="s">
        <v>1889</v>
      </c>
    </row>
    <row r="390" spans="1:4">
      <c r="A390" t="str">
        <f>'Development Budget'!A58</f>
        <v>Bridge Loan</v>
      </c>
      <c r="B390" t="s">
        <v>1890</v>
      </c>
      <c r="C390">
        <f>'Development Budget'!B58</f>
        <v>0</v>
      </c>
      <c r="D390" t="s">
        <v>1891</v>
      </c>
    </row>
    <row r="391" spans="1:4">
      <c r="A391" t="s">
        <v>462</v>
      </c>
      <c r="C391">
        <f>'Development Budget'!B59</f>
        <v>0</v>
      </c>
    </row>
    <row r="392" spans="1:4">
      <c r="A392" t="str">
        <f>'Development Budget'!A60</f>
        <v>Other (Specify)</v>
      </c>
      <c r="B392" t="s">
        <v>1892</v>
      </c>
      <c r="C392">
        <f>'Development Budget'!B60</f>
        <v>0</v>
      </c>
      <c r="D392" t="s">
        <v>1893</v>
      </c>
    </row>
    <row r="393" spans="1:4">
      <c r="A393" t="str">
        <f>'Development Budget'!A61</f>
        <v>Other (Specify)</v>
      </c>
      <c r="B393" t="s">
        <v>1894</v>
      </c>
      <c r="C393">
        <f>'Development Budget'!B61</f>
        <v>0</v>
      </c>
      <c r="D393" t="s">
        <v>1895</v>
      </c>
    </row>
    <row r="394" spans="1:4">
      <c r="A394" t="str">
        <f>'Development Budget'!A62</f>
        <v>Other (Specify)</v>
      </c>
      <c r="B394" t="s">
        <v>1896</v>
      </c>
      <c r="C394">
        <f>'Development Budget'!B62</f>
        <v>0</v>
      </c>
      <c r="D394" t="s">
        <v>1897</v>
      </c>
    </row>
    <row r="395" spans="1:4">
      <c r="A395" t="str">
        <f>'Development Budget'!A65</f>
        <v>Bond Premium</v>
      </c>
      <c r="B395" t="s">
        <v>1898</v>
      </c>
      <c r="C395">
        <f>'Development Budget'!B65</f>
        <v>0</v>
      </c>
      <c r="D395" t="s">
        <v>1899</v>
      </c>
    </row>
    <row r="396" spans="1:4">
      <c r="A396" t="str">
        <f>'Development Budget'!A66</f>
        <v>Bond Issue 30-day lag reserve</v>
      </c>
      <c r="B396" t="s">
        <v>1900</v>
      </c>
      <c r="C396">
        <f>'Development Budget'!B66</f>
        <v>0</v>
      </c>
      <c r="D396" t="s">
        <v>1901</v>
      </c>
    </row>
    <row r="397" spans="1:4">
      <c r="A397" t="str">
        <f>'Development Budget'!A67</f>
        <v>Bond Cost of Issuance</v>
      </c>
      <c r="B397" t="s">
        <v>1902</v>
      </c>
      <c r="C397">
        <f>'Development Budget'!B67</f>
        <v>0</v>
      </c>
      <c r="D397" t="s">
        <v>1903</v>
      </c>
    </row>
    <row r="398" spans="1:4">
      <c r="A398" t="str">
        <f>'Development Budget'!A68</f>
        <v>Discount Points</v>
      </c>
      <c r="B398" t="s">
        <v>1904</v>
      </c>
      <c r="C398">
        <f>'Development Budget'!B68</f>
        <v>0</v>
      </c>
      <c r="D398" t="s">
        <v>1905</v>
      </c>
    </row>
    <row r="399" spans="1:4">
      <c r="A399" t="str">
        <f>'Development Budget'!A69</f>
        <v>Perm Loan Origination</v>
      </c>
      <c r="B399" t="s">
        <v>1906</v>
      </c>
      <c r="C399">
        <f>'Development Budget'!B69</f>
        <v>0</v>
      </c>
      <c r="D399" t="s">
        <v>1907</v>
      </c>
    </row>
    <row r="400" spans="1:4">
      <c r="A400" t="str">
        <f>'Development Budget'!A70</f>
        <v>Credit Enhancement</v>
      </c>
      <c r="B400" t="s">
        <v>1908</v>
      </c>
      <c r="C400">
        <f>'Development Budget'!B70</f>
        <v>0</v>
      </c>
      <c r="D400" t="s">
        <v>1909</v>
      </c>
    </row>
    <row r="401" spans="1:4">
      <c r="A401" t="str">
        <f>'Development Budget'!A71</f>
        <v>Title &amp; Recording</v>
      </c>
      <c r="B401" t="s">
        <v>1910</v>
      </c>
      <c r="C401">
        <f>'Development Budget'!B71</f>
        <v>0</v>
      </c>
      <c r="D401" t="s">
        <v>1911</v>
      </c>
    </row>
    <row r="402" spans="1:4">
      <c r="A402" t="str">
        <f>'Development Budget'!A72</f>
        <v>Legal Fees</v>
      </c>
      <c r="B402" t="s">
        <v>1912</v>
      </c>
      <c r="C402">
        <f>'Development Budget'!B72</f>
        <v>0</v>
      </c>
      <c r="D402" t="s">
        <v>1913</v>
      </c>
    </row>
    <row r="403" spans="1:4">
      <c r="A403" t="str">
        <f>'Development Budget'!A73</f>
        <v>Prepaid MIP</v>
      </c>
      <c r="B403" t="s">
        <v>1914</v>
      </c>
      <c r="C403">
        <f>'Development Budget'!B73</f>
        <v>0</v>
      </c>
      <c r="D403" t="s">
        <v>1915</v>
      </c>
    </row>
    <row r="404" spans="1:4">
      <c r="A404" t="str">
        <f>'Development Budget'!A74</f>
        <v>Forward Rate Lock</v>
      </c>
      <c r="B404" t="s">
        <v>1916</v>
      </c>
      <c r="C404">
        <f>'Development Budget'!B74</f>
        <v>0</v>
      </c>
      <c r="D404" t="s">
        <v>1917</v>
      </c>
    </row>
    <row r="405" spans="1:4">
      <c r="A405" t="str">
        <f>'Development Budget'!A75</f>
        <v>Conversion Fee</v>
      </c>
      <c r="B405" t="s">
        <v>1918</v>
      </c>
      <c r="C405">
        <f>'Development Budget'!B75</f>
        <v>0</v>
      </c>
      <c r="D405" t="s">
        <v>1919</v>
      </c>
    </row>
    <row r="406" spans="1:4">
      <c r="A406" t="str">
        <f>'Development Budget'!A76</f>
        <v>Other (Specify)</v>
      </c>
      <c r="B406" t="s">
        <v>1920</v>
      </c>
      <c r="C406">
        <f>'Development Budget'!B76</f>
        <v>0</v>
      </c>
      <c r="D406" t="s">
        <v>1921</v>
      </c>
    </row>
    <row r="407" spans="1:4">
      <c r="A407" t="str">
        <f>'Development Budget'!A77</f>
        <v>Other (Specify)</v>
      </c>
      <c r="B407" t="s">
        <v>1922</v>
      </c>
      <c r="C407">
        <f>'Development Budget'!B77</f>
        <v>0</v>
      </c>
      <c r="D407" t="s">
        <v>1923</v>
      </c>
    </row>
    <row r="408" spans="1:4">
      <c r="A408" t="str">
        <f>'Development Budget'!A78</f>
        <v>Other (Specify)</v>
      </c>
      <c r="B408" t="s">
        <v>1924</v>
      </c>
      <c r="C408">
        <f>'Development Budget'!B78</f>
        <v>0</v>
      </c>
      <c r="D408" t="s">
        <v>1925</v>
      </c>
    </row>
    <row r="409" spans="1:4">
      <c r="A409" t="str">
        <f>'Development Budget'!A81</f>
        <v>Marketing/Leasing Costs</v>
      </c>
      <c r="B409" t="s">
        <v>1926</v>
      </c>
      <c r="C409">
        <f>'Development Budget'!B81</f>
        <v>0</v>
      </c>
      <c r="D409" t="s">
        <v>1927</v>
      </c>
    </row>
    <row r="410" spans="1:4">
      <c r="A410" t="str">
        <f>'Development Budget'!A82</f>
        <v>Cost Estimating/Capital Needs Assessment</v>
      </c>
      <c r="B410" t="s">
        <v>1928</v>
      </c>
      <c r="C410">
        <f>'Development Budget'!B82</f>
        <v>0</v>
      </c>
      <c r="D410" t="s">
        <v>1929</v>
      </c>
    </row>
    <row r="411" spans="1:4">
      <c r="A411" t="str">
        <f>'Development Budget'!A83</f>
        <v>Geotechnical/Soils Study</v>
      </c>
      <c r="B411" t="s">
        <v>1930</v>
      </c>
      <c r="C411">
        <f>'Development Budget'!B83</f>
        <v>0</v>
      </c>
      <c r="D411" t="s">
        <v>1931</v>
      </c>
    </row>
    <row r="412" spans="1:4">
      <c r="A412" t="str">
        <f>'Development Budget'!A84</f>
        <v>Appraisal</v>
      </c>
      <c r="B412" t="s">
        <v>1932</v>
      </c>
      <c r="C412">
        <f>'Development Budget'!B84</f>
        <v>0</v>
      </c>
      <c r="D412" t="s">
        <v>1933</v>
      </c>
    </row>
    <row r="413" spans="1:4">
      <c r="A413" t="str">
        <f>'Development Budget'!A85</f>
        <v>Market Study</v>
      </c>
      <c r="B413" t="s">
        <v>1934</v>
      </c>
      <c r="C413">
        <f>'Development Budget'!B85</f>
        <v>0</v>
      </c>
      <c r="D413" t="s">
        <v>1935</v>
      </c>
    </row>
    <row r="414" spans="1:4">
      <c r="A414" t="str">
        <f>'Development Budget'!A86</f>
        <v>Environmental Study (Phase 1, Phase 2, Lead, Asbestos, etc.)</v>
      </c>
      <c r="B414" t="s">
        <v>1936</v>
      </c>
      <c r="C414">
        <f>'Development Budget'!B86</f>
        <v>0</v>
      </c>
      <c r="D414" t="s">
        <v>1937</v>
      </c>
    </row>
    <row r="415" spans="1:4">
      <c r="A415" t="str">
        <f>'Development Budget'!A87</f>
        <v>Other Studies (traffic, wetlands, etc.)</v>
      </c>
      <c r="B415" t="s">
        <v>1938</v>
      </c>
      <c r="C415">
        <f>'Development Budget'!B87</f>
        <v>0</v>
      </c>
      <c r="D415" t="s">
        <v>1939</v>
      </c>
    </row>
    <row r="416" spans="1:4">
      <c r="A416" t="str">
        <f>'Development Budget'!A88</f>
        <v>Tax Credit Fees</v>
      </c>
      <c r="B416" t="s">
        <v>1940</v>
      </c>
      <c r="C416">
        <f>'Development Budget'!B88</f>
        <v>0</v>
      </c>
      <c r="D416" t="s">
        <v>1941</v>
      </c>
    </row>
    <row r="417" spans="1:4">
      <c r="A417" t="str">
        <f>'Development Budget'!A89</f>
        <v>Compliance Fees</v>
      </c>
      <c r="B417" t="s">
        <v>1942</v>
      </c>
      <c r="C417">
        <f>'Development Budget'!B89</f>
        <v>0</v>
      </c>
      <c r="D417" t="s">
        <v>1943</v>
      </c>
    </row>
    <row r="418" spans="1:4">
      <c r="A418" t="str">
        <f>'Development Budget'!A90</f>
        <v>Cost Certification</v>
      </c>
      <c r="B418" t="s">
        <v>1944</v>
      </c>
      <c r="C418">
        <f>'Development Budget'!B90</f>
        <v>0</v>
      </c>
      <c r="D418" t="s">
        <v>1945</v>
      </c>
    </row>
    <row r="419" spans="1:4">
      <c r="A419" t="str">
        <f>'Development Budget'!A91</f>
        <v>Green Certification Fees (LEED Certification, etc.)</v>
      </c>
      <c r="B419" t="s">
        <v>1946</v>
      </c>
      <c r="C419">
        <f>'Development Budget'!B91</f>
        <v>0</v>
      </c>
      <c r="D419" t="s">
        <v>1947</v>
      </c>
    </row>
    <row r="420" spans="1:4">
      <c r="A420" t="str">
        <f>'Development Budget'!A92</f>
        <v>Relocation - Temporary</v>
      </c>
      <c r="B420" t="s">
        <v>1948</v>
      </c>
      <c r="C420">
        <f>'Development Budget'!B92</f>
        <v>0</v>
      </c>
      <c r="D420" t="s">
        <v>1949</v>
      </c>
    </row>
    <row r="421" spans="1:4">
      <c r="A421" t="str">
        <f>'Development Budget'!A93</f>
        <v>Relocation - Permanent</v>
      </c>
      <c r="B421" t="s">
        <v>1950</v>
      </c>
      <c r="C421">
        <f>'Development Budget'!B93</f>
        <v>0</v>
      </c>
    </row>
    <row r="422" spans="1:4">
      <c r="A422" t="str">
        <f>'Development Budget'!A94</f>
        <v>Soft Cost Contingency</v>
      </c>
      <c r="B422" t="s">
        <v>1951</v>
      </c>
      <c r="C422">
        <f>'Development Budget'!B94</f>
        <v>0</v>
      </c>
      <c r="D422" t="s">
        <v>1952</v>
      </c>
    </row>
    <row r="423" spans="1:4">
      <c r="A423" t="str">
        <f>'Development Budget'!A95</f>
        <v>Other (Specify)</v>
      </c>
      <c r="B423" t="s">
        <v>1953</v>
      </c>
      <c r="C423">
        <f>'Development Budget'!B95</f>
        <v>0</v>
      </c>
      <c r="D423" t="s">
        <v>1954</v>
      </c>
    </row>
    <row r="424" spans="1:4">
      <c r="A424" t="str">
        <f>'Development Budget'!A96</f>
        <v>Other (Specify)</v>
      </c>
      <c r="B424" t="s">
        <v>1955</v>
      </c>
      <c r="C424">
        <f>'Development Budget'!B96</f>
        <v>0</v>
      </c>
      <c r="D424" t="s">
        <v>1956</v>
      </c>
    </row>
    <row r="425" spans="1:4">
      <c r="A425" t="str">
        <f>'Development Budget'!A97</f>
        <v>Other (Specify)</v>
      </c>
      <c r="B425" t="s">
        <v>1957</v>
      </c>
      <c r="C425">
        <f>'Development Budget'!B97</f>
        <v>0</v>
      </c>
      <c r="D425" t="s">
        <v>1958</v>
      </c>
    </row>
    <row r="426" spans="1:4">
      <c r="A426" t="str">
        <f>'Development Budget'!A100</f>
        <v>Organization Costs</v>
      </c>
      <c r="B426" t="s">
        <v>1959</v>
      </c>
      <c r="C426">
        <f>'Development Budget'!B100</f>
        <v>0</v>
      </c>
      <c r="D426" t="s">
        <v>1960</v>
      </c>
    </row>
    <row r="427" spans="1:4">
      <c r="A427" t="str">
        <f>'Development Budget'!A101</f>
        <v>Tax Opinion</v>
      </c>
      <c r="B427" t="s">
        <v>1961</v>
      </c>
      <c r="C427">
        <f>'Development Budget'!B101</f>
        <v>0</v>
      </c>
      <c r="D427" t="s">
        <v>1962</v>
      </c>
    </row>
    <row r="428" spans="1:4">
      <c r="A428" t="str">
        <f>'Development Budget'!A102</f>
        <v>Syndication Legal Fees</v>
      </c>
      <c r="B428" t="s">
        <v>1963</v>
      </c>
      <c r="C428">
        <f>'Development Budget'!B102</f>
        <v>0</v>
      </c>
      <c r="D428" t="s">
        <v>1964</v>
      </c>
    </row>
    <row r="429" spans="1:4">
      <c r="A429" t="str">
        <f>'Development Budget'!A103</f>
        <v>Other (Specify)</v>
      </c>
      <c r="B429" t="s">
        <v>1965</v>
      </c>
      <c r="C429">
        <f>'Development Budget'!B103</f>
        <v>0</v>
      </c>
      <c r="D429" t="s">
        <v>1966</v>
      </c>
    </row>
    <row r="430" spans="1:4">
      <c r="A430" t="str">
        <f>'Development Budget'!A104</f>
        <v>Other (Specify)</v>
      </c>
      <c r="B430" t="s">
        <v>1967</v>
      </c>
      <c r="C430">
        <f>'Development Budget'!B104</f>
        <v>0</v>
      </c>
      <c r="D430" t="s">
        <v>1968</v>
      </c>
    </row>
    <row r="431" spans="1:4" ht="15.75" customHeight="1">
      <c r="A431" t="str">
        <f>'Development Budget'!A105</f>
        <v>Other (Specify)</v>
      </c>
      <c r="B431" t="s">
        <v>1969</v>
      </c>
      <c r="C431">
        <f>'Development Budget'!B105</f>
        <v>0</v>
      </c>
      <c r="D431" t="s">
        <v>1970</v>
      </c>
    </row>
    <row r="432" spans="1:4">
      <c r="A432" t="str">
        <f>'Development Budget'!A108</f>
        <v>Developer Fee</v>
      </c>
      <c r="B432" t="s">
        <v>1971</v>
      </c>
      <c r="C432">
        <f>'Development Budget'!B108</f>
        <v>0</v>
      </c>
      <c r="D432" t="s">
        <v>1972</v>
      </c>
    </row>
    <row r="433" spans="1:5">
      <c r="A433" t="str">
        <f>'Development Budget'!A109</f>
        <v>Developer Overhead</v>
      </c>
      <c r="B433" t="s">
        <v>1973</v>
      </c>
      <c r="C433">
        <f>'Development Budget'!B109</f>
        <v>0</v>
      </c>
      <c r="D433" t="s">
        <v>1974</v>
      </c>
    </row>
    <row r="434" spans="1:5">
      <c r="A434" t="str">
        <f>'Development Budget'!A110</f>
        <v>Developer Profit</v>
      </c>
      <c r="B434" t="s">
        <v>1975</v>
      </c>
      <c r="C434">
        <f>'Development Budget'!B110</f>
        <v>0</v>
      </c>
      <c r="D434" t="s">
        <v>1976</v>
      </c>
    </row>
    <row r="435" spans="1:5">
      <c r="A435" t="str">
        <f>'Development Budget'!A111</f>
        <v>PSH developer fee boost (up to 5%)</v>
      </c>
      <c r="B435" t="s">
        <v>1977</v>
      </c>
      <c r="C435">
        <f>'Development Budget'!B111</f>
        <v>0</v>
      </c>
      <c r="D435" t="s">
        <v>1978</v>
      </c>
    </row>
    <row r="436" spans="1:5">
      <c r="A436" t="str">
        <f>'Development Budget'!A112</f>
        <v>Third Party Development Management/Owner's Rep</v>
      </c>
      <c r="B436" t="s">
        <v>1979</v>
      </c>
      <c r="C436">
        <f>'Development Budget'!B112</f>
        <v>0</v>
      </c>
      <c r="D436" t="s">
        <v>1980</v>
      </c>
    </row>
    <row r="437" spans="1:5">
      <c r="A437" t="str">
        <f>'Development Budget'!A113</f>
        <v>Financial/Tax Credit Consultant, Application Preparation, etc.</v>
      </c>
      <c r="B437" t="s">
        <v>1981</v>
      </c>
      <c r="C437">
        <f>'Development Budget'!B113</f>
        <v>0</v>
      </c>
      <c r="D437" t="s">
        <v>1982</v>
      </c>
    </row>
    <row r="438" spans="1:5">
      <c r="A438" t="str">
        <f>'Development Budget'!A114</f>
        <v>Other Consultant Fees</v>
      </c>
      <c r="B438" t="s">
        <v>1983</v>
      </c>
      <c r="C438">
        <f>'Development Budget'!B114</f>
        <v>0</v>
      </c>
      <c r="D438" t="s">
        <v>1984</v>
      </c>
    </row>
    <row r="439" spans="1:5">
      <c r="A439" t="str">
        <f>'Development Budget'!A117</f>
        <v>Rent-up Reserves</v>
      </c>
      <c r="B439" t="s">
        <v>1985</v>
      </c>
      <c r="C439">
        <f>'Development Budget'!B117</f>
        <v>0</v>
      </c>
      <c r="D439" s="14" t="s">
        <v>1986</v>
      </c>
    </row>
    <row r="440" spans="1:5">
      <c r="A440" t="str">
        <f>'Development Budget'!A118</f>
        <v>Operating Reserves</v>
      </c>
      <c r="B440" t="s">
        <v>1987</v>
      </c>
      <c r="C440">
        <f>'Development Budget'!B118</f>
        <v>0</v>
      </c>
      <c r="D440" s="14" t="s">
        <v>1988</v>
      </c>
    </row>
    <row r="441" spans="1:5">
      <c r="A441" t="str">
        <f>'Development Budget'!A119</f>
        <v>Replacement Reserves</v>
      </c>
      <c r="B441" t="s">
        <v>1989</v>
      </c>
      <c r="C441">
        <f>'Development Budget'!$B$119</f>
        <v>0</v>
      </c>
      <c r="D441" s="14" t="s">
        <v>1990</v>
      </c>
      <c r="E441" t="s">
        <v>1991</v>
      </c>
    </row>
    <row r="442" spans="1:5">
      <c r="A442" t="str">
        <f>'Development Budget'!A120</f>
        <v>Debt Service Reserves</v>
      </c>
      <c r="B442" t="s">
        <v>1992</v>
      </c>
      <c r="C442">
        <f>'Development Budget'!B120</f>
        <v>0</v>
      </c>
      <c r="D442" s="14" t="s">
        <v>1993</v>
      </c>
    </row>
    <row r="443" spans="1:5">
      <c r="A443" t="str">
        <f>'Development Budget'!A121</f>
        <v>Other (Specify)</v>
      </c>
      <c r="B443" t="s">
        <v>1994</v>
      </c>
      <c r="C443">
        <f>'Development Budget'!B121</f>
        <v>0</v>
      </c>
      <c r="D443" t="s">
        <v>1995</v>
      </c>
    </row>
    <row r="444" spans="1:5">
      <c r="A444" t="str">
        <f>'Development Budget'!A122</f>
        <v>Other (Specify)</v>
      </c>
      <c r="B444" t="s">
        <v>1996</v>
      </c>
      <c r="C444">
        <f>'Development Budget'!B122</f>
        <v>0</v>
      </c>
      <c r="D444" t="s">
        <v>1997</v>
      </c>
    </row>
    <row r="445" spans="1:5">
      <c r="A445" t="s">
        <v>1998</v>
      </c>
      <c r="B445" t="s">
        <v>1999</v>
      </c>
      <c r="C445">
        <f>Calculations!B288</f>
        <v>0</v>
      </c>
      <c r="D445" t="s">
        <v>2000</v>
      </c>
    </row>
    <row r="446" spans="1:5">
      <c r="A446" t="s">
        <v>2001</v>
      </c>
      <c r="B446" t="s">
        <v>2002</v>
      </c>
      <c r="C446">
        <f>Calculations!C288</f>
        <v>0</v>
      </c>
      <c r="D446" t="s">
        <v>2003</v>
      </c>
    </row>
    <row r="447" spans="1:5">
      <c r="A447" t="s">
        <v>2004</v>
      </c>
      <c r="B447" t="s">
        <v>2005</v>
      </c>
      <c r="C447">
        <f>Calculations!D288</f>
        <v>0</v>
      </c>
      <c r="D447" t="s">
        <v>2006</v>
      </c>
    </row>
    <row r="448" spans="1:5">
      <c r="A448" t="s">
        <v>2007</v>
      </c>
      <c r="B448" t="s">
        <v>2008</v>
      </c>
      <c r="C448">
        <f>Calculations!B820</f>
        <v>0</v>
      </c>
      <c r="D448" t="s">
        <v>2009</v>
      </c>
    </row>
    <row r="449" spans="1:4">
      <c r="A449" t="s">
        <v>2010</v>
      </c>
      <c r="B449" t="s">
        <v>2011</v>
      </c>
      <c r="C449">
        <f>Calculations!B819</f>
        <v>0</v>
      </c>
      <c r="D449" t="s">
        <v>2012</v>
      </c>
    </row>
    <row r="450" spans="1:4">
      <c r="A450" t="s">
        <v>2013</v>
      </c>
      <c r="B450" t="s">
        <v>2014</v>
      </c>
      <c r="C450" s="137">
        <f>Calculations!B821</f>
        <v>0</v>
      </c>
    </row>
    <row r="451" spans="1:4">
      <c r="A451" t="s">
        <v>2015</v>
      </c>
      <c r="B451" t="s">
        <v>2016</v>
      </c>
      <c r="C451">
        <f>Calculations!G824</f>
        <v>0</v>
      </c>
      <c r="D451" t="s">
        <v>2017</v>
      </c>
    </row>
    <row r="452" spans="1:4">
      <c r="A452" t="s">
        <v>2018</v>
      </c>
      <c r="B452" t="s">
        <v>2019</v>
      </c>
      <c r="C452">
        <f>Calculations!E824</f>
        <v>0</v>
      </c>
      <c r="D452" t="s">
        <v>2020</v>
      </c>
    </row>
    <row r="453" spans="1:4">
      <c r="A453" t="s">
        <v>2021</v>
      </c>
      <c r="B453" t="s">
        <v>2022</v>
      </c>
      <c r="C453">
        <f>Calculations!G825</f>
        <v>0</v>
      </c>
    </row>
    <row r="454" spans="1:4">
      <c r="A454" t="s">
        <v>2023</v>
      </c>
      <c r="B454" t="s">
        <v>2024</v>
      </c>
      <c r="C454">
        <f>Calculations!E825</f>
        <v>0</v>
      </c>
    </row>
    <row r="455" spans="1:4">
      <c r="A455" t="s">
        <v>2025</v>
      </c>
      <c r="B455" t="s">
        <v>2026</v>
      </c>
      <c r="C455">
        <f>Calculations!G823</f>
        <v>0</v>
      </c>
      <c r="D455" t="s">
        <v>2027</v>
      </c>
    </row>
    <row r="456" spans="1:4">
      <c r="A456" t="s">
        <v>2028</v>
      </c>
      <c r="B456" t="s">
        <v>2029</v>
      </c>
      <c r="C456">
        <f>Calculations!E823</f>
        <v>0</v>
      </c>
      <c r="D456" t="s">
        <v>2030</v>
      </c>
    </row>
    <row r="457" spans="1:4">
      <c r="A457" t="s">
        <v>2031</v>
      </c>
      <c r="B457" t="s">
        <v>2032</v>
      </c>
      <c r="C457">
        <f>Calculations!G827</f>
        <v>0</v>
      </c>
      <c r="D457" t="s">
        <v>2033</v>
      </c>
    </row>
    <row r="458" spans="1:4">
      <c r="A458" t="s">
        <v>2034</v>
      </c>
      <c r="B458" t="s">
        <v>2035</v>
      </c>
      <c r="C458">
        <f>Calculations!E827</f>
        <v>0</v>
      </c>
      <c r="D458" t="s">
        <v>2036</v>
      </c>
    </row>
    <row r="459" spans="1:4">
      <c r="A459" t="s">
        <v>2037</v>
      </c>
      <c r="B459" t="s">
        <v>2038</v>
      </c>
      <c r="C459">
        <f>Calculations!$G$826</f>
        <v>0</v>
      </c>
      <c r="D459" t="s">
        <v>2039</v>
      </c>
    </row>
    <row r="460" spans="1:4">
      <c r="A460" t="s">
        <v>2040</v>
      </c>
      <c r="B460" t="s">
        <v>2041</v>
      </c>
      <c r="C460">
        <f>Calculations!$E$826</f>
        <v>0</v>
      </c>
      <c r="D460" t="s">
        <v>2042</v>
      </c>
    </row>
    <row r="463" spans="1:4">
      <c r="A463" t="s">
        <v>2043</v>
      </c>
      <c r="B463" t="s">
        <v>2044</v>
      </c>
      <c r="C463">
        <f>Calculations!H288</f>
        <v>0</v>
      </c>
      <c r="D463" t="s">
        <v>2045</v>
      </c>
    </row>
    <row r="464" spans="1:4">
      <c r="B464" t="s">
        <v>2046</v>
      </c>
      <c r="C464">
        <f>Calculations!K285</f>
        <v>0</v>
      </c>
      <c r="D464" t="s">
        <v>2047</v>
      </c>
    </row>
    <row r="466" spans="2:3">
      <c r="B466" s="400" t="s">
        <v>2048</v>
      </c>
      <c r="C466" s="14" t="s">
        <v>888</v>
      </c>
    </row>
    <row r="467" spans="2:3">
      <c r="B467" s="70">
        <v>0.2</v>
      </c>
      <c r="C467" s="70">
        <v>0.2</v>
      </c>
    </row>
    <row r="468" spans="2:3">
      <c r="B468" t="s">
        <v>2049</v>
      </c>
      <c r="C468">
        <f>Calculations!H33</f>
        <v>0</v>
      </c>
    </row>
    <row r="469" spans="2:3">
      <c r="B469" s="400" t="s">
        <v>2050</v>
      </c>
      <c r="C469" s="14" t="s">
        <v>888</v>
      </c>
    </row>
    <row r="470" spans="2:3">
      <c r="B470" s="70">
        <v>0.3</v>
      </c>
      <c r="C470" s="70">
        <v>0.3</v>
      </c>
    </row>
    <row r="471" spans="2:3">
      <c r="B471" t="s">
        <v>2051</v>
      </c>
      <c r="C471">
        <f>Calculations!H34</f>
        <v>0</v>
      </c>
    </row>
    <row r="472" spans="2:3">
      <c r="B472" s="400" t="s">
        <v>2052</v>
      </c>
      <c r="C472" s="14" t="s">
        <v>888</v>
      </c>
    </row>
    <row r="473" spans="2:3">
      <c r="B473" s="70">
        <v>0.4</v>
      </c>
      <c r="C473" s="70">
        <v>0.4</v>
      </c>
    </row>
    <row r="474" spans="2:3">
      <c r="B474" t="s">
        <v>2053</v>
      </c>
      <c r="C474">
        <f>Calculations!H35</f>
        <v>0</v>
      </c>
    </row>
    <row r="475" spans="2:3">
      <c r="B475" s="400" t="s">
        <v>2054</v>
      </c>
      <c r="C475" s="14" t="s">
        <v>888</v>
      </c>
    </row>
    <row r="476" spans="2:3">
      <c r="B476" s="70">
        <v>0.5</v>
      </c>
      <c r="C476" s="70">
        <v>0.5</v>
      </c>
    </row>
    <row r="477" spans="2:3">
      <c r="B477" t="s">
        <v>2055</v>
      </c>
      <c r="C477">
        <f>Calculations!H36</f>
        <v>0</v>
      </c>
    </row>
    <row r="478" spans="2:3">
      <c r="B478" s="400" t="s">
        <v>2056</v>
      </c>
      <c r="C478" s="14" t="s">
        <v>888</v>
      </c>
    </row>
    <row r="479" spans="2:3">
      <c r="B479" s="70">
        <v>0.6</v>
      </c>
      <c r="C479" s="70">
        <v>0.6</v>
      </c>
    </row>
    <row r="480" spans="2:3">
      <c r="B480" t="s">
        <v>2057</v>
      </c>
      <c r="C480">
        <f>Calculations!H37</f>
        <v>0</v>
      </c>
    </row>
    <row r="481" spans="1:4">
      <c r="B481" s="400" t="s">
        <v>2058</v>
      </c>
      <c r="C481" s="14" t="s">
        <v>888</v>
      </c>
    </row>
    <row r="482" spans="1:4">
      <c r="B482" s="70">
        <v>0.7</v>
      </c>
      <c r="C482" s="70">
        <v>0.7</v>
      </c>
    </row>
    <row r="483" spans="1:4">
      <c r="B483" t="s">
        <v>2059</v>
      </c>
      <c r="C483">
        <f>Calculations!H38</f>
        <v>0</v>
      </c>
    </row>
    <row r="484" spans="1:4">
      <c r="B484" s="400" t="s">
        <v>2060</v>
      </c>
      <c r="C484" s="14" t="s">
        <v>888</v>
      </c>
    </row>
    <row r="485" spans="1:4">
      <c r="B485" s="70">
        <v>0.8</v>
      </c>
      <c r="C485" s="70">
        <v>0.8</v>
      </c>
    </row>
    <row r="486" spans="1:4">
      <c r="B486" t="s">
        <v>2061</v>
      </c>
      <c r="C486">
        <f>Calculations!H39</f>
        <v>0</v>
      </c>
    </row>
    <row r="487" spans="1:4">
      <c r="B487" s="400" t="s">
        <v>2062</v>
      </c>
      <c r="C487" s="14" t="s">
        <v>888</v>
      </c>
    </row>
    <row r="488" spans="1:4">
      <c r="B488" s="70">
        <v>1</v>
      </c>
      <c r="C488" s="70">
        <v>1</v>
      </c>
    </row>
    <row r="489" spans="1:4">
      <c r="B489" t="s">
        <v>2063</v>
      </c>
      <c r="C489">
        <f>Calculations!H43</f>
        <v>0</v>
      </c>
    </row>
    <row r="490" spans="1:4" ht="14.45" customHeight="1">
      <c r="A490" t="s">
        <v>2064</v>
      </c>
      <c r="C490">
        <f>Calculations!H45</f>
        <v>0</v>
      </c>
    </row>
    <row r="491" spans="1:4" ht="14.45" customHeight="1">
      <c r="A491" t="s">
        <v>2065</v>
      </c>
      <c r="B491" t="s">
        <v>2066</v>
      </c>
      <c r="C491">
        <f>Calculations!H42</f>
        <v>0</v>
      </c>
      <c r="D491" t="s">
        <v>2067</v>
      </c>
    </row>
    <row r="492" spans="1:4">
      <c r="A492" t="s">
        <v>2068</v>
      </c>
      <c r="B492" t="s">
        <v>2069</v>
      </c>
      <c r="C492">
        <f>Calculations!M55</f>
        <v>0</v>
      </c>
      <c r="D492" t="s">
        <v>2070</v>
      </c>
    </row>
    <row r="493" spans="1:4">
      <c r="B493" t="s">
        <v>2071</v>
      </c>
      <c r="C493">
        <f>Calculations!H44</f>
        <v>0</v>
      </c>
      <c r="D493" t="s">
        <v>2072</v>
      </c>
    </row>
    <row r="494" spans="1:4">
      <c r="B494" t="s">
        <v>2073</v>
      </c>
      <c r="C494" s="12">
        <f>'Unit Mix &amp; Rents'!B7</f>
        <v>0</v>
      </c>
      <c r="D494" t="s">
        <v>2074</v>
      </c>
    </row>
    <row r="495" spans="1:4">
      <c r="B495" t="s">
        <v>2075</v>
      </c>
      <c r="C495" s="12">
        <f>'Unit Mix &amp; Rents'!B8</f>
        <v>0</v>
      </c>
      <c r="D495" t="s">
        <v>2076</v>
      </c>
    </row>
    <row r="496" spans="1:4">
      <c r="B496" t="s">
        <v>2077</v>
      </c>
      <c r="C496" s="12">
        <f>'Unit Mix &amp; Rents'!B9</f>
        <v>0</v>
      </c>
      <c r="D496" t="s">
        <v>2078</v>
      </c>
    </row>
    <row r="497" spans="1:4">
      <c r="B497" t="s">
        <v>2079</v>
      </c>
      <c r="C497" s="12">
        <f>'Unit Mix &amp; Rents'!B10</f>
        <v>0</v>
      </c>
      <c r="D497" t="s">
        <v>2080</v>
      </c>
    </row>
    <row r="498" spans="1:4">
      <c r="B498" t="s">
        <v>2081</v>
      </c>
      <c r="C498" s="12">
        <f>'Unit Mix &amp; Rents'!B11</f>
        <v>0</v>
      </c>
      <c r="D498" t="s">
        <v>2082</v>
      </c>
    </row>
    <row r="499" spans="1:4">
      <c r="A499" t="s">
        <v>2083</v>
      </c>
      <c r="B499" s="440" t="s">
        <v>2084</v>
      </c>
      <c r="C499" s="442">
        <f>'Unit Mix &amp; Rents'!B12</f>
        <v>0</v>
      </c>
    </row>
    <row r="500" spans="1:4">
      <c r="A500" t="s">
        <v>2085</v>
      </c>
      <c r="B500" t="s">
        <v>2086</v>
      </c>
      <c r="C500" t="b">
        <f>'Unit Mix &amp; Rents'!B4 = "Yes"</f>
        <v>0</v>
      </c>
      <c r="D500" t="s">
        <v>2087</v>
      </c>
    </row>
    <row r="501" spans="1:4">
      <c r="A501" t="s">
        <v>2088</v>
      </c>
      <c r="B501" t="s">
        <v>2089</v>
      </c>
      <c r="C501">
        <f>Calculations!H59</f>
        <v>0</v>
      </c>
      <c r="D501" t="s">
        <v>2090</v>
      </c>
    </row>
    <row r="502" spans="1:4">
      <c r="A502" t="s">
        <v>2091</v>
      </c>
      <c r="B502" t="s">
        <v>2092</v>
      </c>
      <c r="C502">
        <f>Calculations!H57</f>
        <v>0</v>
      </c>
      <c r="D502" t="s">
        <v>2093</v>
      </c>
    </row>
    <row r="503" spans="1:4">
      <c r="A503" t="s">
        <v>2094</v>
      </c>
      <c r="B503" t="s">
        <v>2095</v>
      </c>
      <c r="C503" s="265">
        <f>Application!B62</f>
        <v>0</v>
      </c>
      <c r="D503" t="s">
        <v>2096</v>
      </c>
    </row>
    <row r="504" spans="1:4">
      <c r="B504" t="s">
        <v>2097</v>
      </c>
      <c r="C504">
        <f>Calculations!H40</f>
        <v>0</v>
      </c>
      <c r="D504" t="s">
        <v>2098</v>
      </c>
    </row>
    <row r="505" spans="1:4">
      <c r="B505" t="s">
        <v>2099</v>
      </c>
      <c r="C505" s="265">
        <f>Application!B63</f>
        <v>0</v>
      </c>
      <c r="D505" t="s">
        <v>2100</v>
      </c>
    </row>
    <row r="506" spans="1:4">
      <c r="B506" t="s">
        <v>2101</v>
      </c>
      <c r="C506">
        <f>Calculations!H55</f>
        <v>0</v>
      </c>
      <c r="D506" t="s">
        <v>2102</v>
      </c>
    </row>
    <row r="507" spans="1:4">
      <c r="B507" t="s">
        <v>2103</v>
      </c>
      <c r="C507">
        <f>Calculations!H58</f>
        <v>0</v>
      </c>
      <c r="D507" t="s">
        <v>2104</v>
      </c>
    </row>
    <row r="508" spans="1:4">
      <c r="A508" t="s">
        <v>2105</v>
      </c>
      <c r="B508" t="s">
        <v>2106</v>
      </c>
      <c r="C508" s="137">
        <f>Calculations!L72</f>
        <v>0</v>
      </c>
      <c r="D508" t="s">
        <v>2107</v>
      </c>
    </row>
    <row r="509" spans="1:4">
      <c r="B509" t="s">
        <v>2108</v>
      </c>
      <c r="C509">
        <f>Calculations!H45</f>
        <v>0</v>
      </c>
    </row>
    <row r="511" spans="1:4">
      <c r="B511" t="s">
        <v>2109</v>
      </c>
      <c r="C511" s="14" t="str">
        <f>IF(ISNA(MATCH(Scoring!$B$11, Extended_Low_Income_Use_Table[Extended Low-Income Use], 0)), "", INDEX(Extended_Low_Income_Use_Table[Years], MATCH(Scoring!$B$11, Extended_Low_Income_Use_Table[Extended Low-Income Use], 0)))</f>
        <v/>
      </c>
      <c r="D511" t="s">
        <v>2110</v>
      </c>
    </row>
    <row r="512" spans="1:4">
      <c r="B512" t="s">
        <v>2111</v>
      </c>
      <c r="C512" s="92">
        <f>Calculations!B317</f>
        <v>15</v>
      </c>
      <c r="D512" t="s">
        <v>2112</v>
      </c>
    </row>
    <row r="513" spans="1:4">
      <c r="A513" t="s">
        <v>2113</v>
      </c>
      <c r="B513" t="s">
        <v>2114</v>
      </c>
      <c r="C513" s="440" t="e">
        <f>IF(Scoring!$B$5="Average Income", FALSE, INDEX(Scoring_Threshold_Table[Score 60%], MATCH(Scoring!$B$5, Scoring_Threshold_Table[Scoring Threshold], 0), 1))</f>
        <v>#N/A</v>
      </c>
      <c r="D513" t="s">
        <v>2115</v>
      </c>
    </row>
    <row r="514" spans="1:4">
      <c r="A514" t="s">
        <v>2116</v>
      </c>
      <c r="B514" t="s">
        <v>2117</v>
      </c>
      <c r="C514" s="440" t="e">
        <f>IF(Scoring!$B$5="Average Income", FALSE, NOT(INDEX(Scoring_Threshold_Table[Score 60%], MATCH(Scoring!$B$5, Scoring_Threshold_Table[Scoring Threshold], 0), 1)))</f>
        <v>#N/A</v>
      </c>
      <c r="D514" t="s">
        <v>2118</v>
      </c>
    </row>
    <row r="515" spans="1:4">
      <c r="A515" t="s">
        <v>2119</v>
      </c>
      <c r="B515" t="s">
        <v>2120</v>
      </c>
      <c r="C515" s="440" t="b">
        <f>Scoring!$B$5="Average Income"</f>
        <v>0</v>
      </c>
      <c r="D515" s="403"/>
    </row>
    <row r="516" spans="1:4">
      <c r="A516" t="s">
        <v>2121</v>
      </c>
      <c r="B516" t="s">
        <v>2122</v>
      </c>
      <c r="C516" s="443">
        <f>Calculations!L40</f>
        <v>0</v>
      </c>
      <c r="D516" s="403"/>
    </row>
    <row r="517" spans="1:4">
      <c r="A517" s="70" t="s">
        <v>2123</v>
      </c>
      <c r="B517" t="s">
        <v>2124</v>
      </c>
      <c r="C517" t="e">
        <f>IF($C$513, Calculations!B296, 0)</f>
        <v>#N/A</v>
      </c>
      <c r="D517" t="s">
        <v>2125</v>
      </c>
    </row>
    <row r="518" spans="1:4">
      <c r="A518" s="70" t="s">
        <v>2126</v>
      </c>
      <c r="B518" t="s">
        <v>2127</v>
      </c>
      <c r="C518" t="e">
        <f>IF($C$513, Calculations!B297, 0)</f>
        <v>#N/A</v>
      </c>
      <c r="D518" t="s">
        <v>2128</v>
      </c>
    </row>
    <row r="519" spans="1:4">
      <c r="A519" s="70" t="s">
        <v>2129</v>
      </c>
      <c r="B519" t="s">
        <v>2130</v>
      </c>
      <c r="C519" t="e">
        <f>IF($C$513, Calculations!B298, 0)</f>
        <v>#N/A</v>
      </c>
      <c r="D519" t="s">
        <v>2131</v>
      </c>
    </row>
    <row r="520" spans="1:4">
      <c r="A520" s="70" t="s">
        <v>2132</v>
      </c>
      <c r="B520" t="s">
        <v>2133</v>
      </c>
      <c r="C520" t="e">
        <f>IF($C$514, Calculations!B297, 0)</f>
        <v>#N/A</v>
      </c>
      <c r="D520" t="s">
        <v>2134</v>
      </c>
    </row>
    <row r="521" spans="1:4">
      <c r="A521" s="70" t="s">
        <v>2135</v>
      </c>
      <c r="B521" t="s">
        <v>2136</v>
      </c>
      <c r="C521" t="e">
        <f>IF($C$514, Calculations!B298, 0)</f>
        <v>#N/A</v>
      </c>
      <c r="D521" t="s">
        <v>2137</v>
      </c>
    </row>
    <row r="522" spans="1:4">
      <c r="A522" t="s">
        <v>2138</v>
      </c>
      <c r="B522" t="s">
        <v>2139</v>
      </c>
      <c r="C522" t="e">
        <f>IF(Calculations!$D$300 = 2, Calculations!$B$300, 0)</f>
        <v>#N/A</v>
      </c>
      <c r="D522" t="s">
        <v>2140</v>
      </c>
    </row>
    <row r="523" spans="1:4">
      <c r="A523" t="s">
        <v>2141</v>
      </c>
      <c r="B523" t="s">
        <v>2142</v>
      </c>
      <c r="C523" t="e">
        <f>IF(Calculations!$D$300 = 3, Calculations!$B$300, 0)</f>
        <v>#N/A</v>
      </c>
      <c r="D523" t="s">
        <v>2143</v>
      </c>
    </row>
    <row r="524" spans="1:4">
      <c r="A524" t="s">
        <v>2144</v>
      </c>
      <c r="B524" t="s">
        <v>2145</v>
      </c>
      <c r="C524" t="e">
        <f>IF(Calculations!$D$300 = 4, Calculations!$B$300, 0)</f>
        <v>#N/A</v>
      </c>
      <c r="D524" t="s">
        <v>2146</v>
      </c>
    </row>
    <row r="525" spans="1:4">
      <c r="A525" t="s">
        <v>2147</v>
      </c>
      <c r="B525" t="s">
        <v>2148</v>
      </c>
      <c r="C525" t="e">
        <f>IF(Calculations!$D$301=3, Calculations!$B$301, 0)</f>
        <v>#N/A</v>
      </c>
      <c r="D525" t="s">
        <v>2149</v>
      </c>
    </row>
    <row r="526" spans="1:4">
      <c r="A526" t="s">
        <v>2150</v>
      </c>
      <c r="B526" t="s">
        <v>2151</v>
      </c>
      <c r="C526" t="e">
        <f>IF(Calculations!$D$301=5, Calculations!$B$301, 0)</f>
        <v>#N/A</v>
      </c>
      <c r="D526" t="s">
        <v>2152</v>
      </c>
    </row>
    <row r="527" spans="1:4">
      <c r="A527" t="s">
        <v>2153</v>
      </c>
      <c r="B527" t="s">
        <v>2154</v>
      </c>
      <c r="C527">
        <f>Calculations!B303</f>
        <v>0</v>
      </c>
      <c r="D527" t="s">
        <v>2155</v>
      </c>
    </row>
    <row r="528" spans="1:4">
      <c r="A528" t="s">
        <v>2156</v>
      </c>
      <c r="B528" t="s">
        <v>2157</v>
      </c>
      <c r="C528">
        <f>Calculations!B306</f>
        <v>0</v>
      </c>
      <c r="D528" t="s">
        <v>2158</v>
      </c>
    </row>
    <row r="529" spans="1:4">
      <c r="A529" t="s">
        <v>2159</v>
      </c>
      <c r="B529" t="s">
        <v>2160</v>
      </c>
      <c r="C529">
        <f>IF(Calculations!$D$315 = 2, Calculations!$B$315, 0)</f>
        <v>0</v>
      </c>
      <c r="D529" t="s">
        <v>2161</v>
      </c>
    </row>
    <row r="530" spans="1:4">
      <c r="A530" t="s">
        <v>2162</v>
      </c>
      <c r="B530" t="s">
        <v>2163</v>
      </c>
      <c r="C530">
        <f>IF(Calculations!$D$315 = 3, Calculations!$B$315, 0)</f>
        <v>0</v>
      </c>
      <c r="D530" t="s">
        <v>2164</v>
      </c>
    </row>
    <row r="531" spans="1:4">
      <c r="A531" t="s">
        <v>2165</v>
      </c>
      <c r="B531" t="s">
        <v>2166</v>
      </c>
      <c r="C531">
        <f>Calculations!B302</f>
        <v>0</v>
      </c>
      <c r="D531" t="s">
        <v>2167</v>
      </c>
    </row>
    <row r="532" spans="1:4">
      <c r="A532" t="s">
        <v>2168</v>
      </c>
      <c r="B532" t="s">
        <v>2169</v>
      </c>
      <c r="C532" t="e">
        <f>IF(Calculations!$D$307 = 2, Calculations!$B$307, 0)</f>
        <v>#N/A</v>
      </c>
      <c r="D532" t="s">
        <v>2170</v>
      </c>
    </row>
    <row r="533" spans="1:4">
      <c r="A533" t="s">
        <v>2171</v>
      </c>
      <c r="B533" t="s">
        <v>2172</v>
      </c>
      <c r="C533" t="e">
        <f>IF(Calculations!$D$307 = 3, Calculations!$B$307, 0)</f>
        <v>#N/A</v>
      </c>
      <c r="D533" t="s">
        <v>2173</v>
      </c>
    </row>
    <row r="534" spans="1:4">
      <c r="A534" t="s">
        <v>2174</v>
      </c>
      <c r="B534" t="s">
        <v>2175</v>
      </c>
      <c r="C534">
        <f>Calculations!B308</f>
        <v>0</v>
      </c>
      <c r="D534" t="s">
        <v>2176</v>
      </c>
    </row>
    <row r="535" spans="1:4">
      <c r="A535" t="s">
        <v>2177</v>
      </c>
      <c r="B535" t="s">
        <v>2178</v>
      </c>
      <c r="C535">
        <f>Calculations!B309</f>
        <v>0</v>
      </c>
      <c r="D535" t="s">
        <v>2179</v>
      </c>
    </row>
    <row r="536" spans="1:4">
      <c r="A536" t="s">
        <v>2180</v>
      </c>
      <c r="B536" t="s">
        <v>2181</v>
      </c>
      <c r="C536">
        <f>Calculations!B310</f>
        <v>0</v>
      </c>
      <c r="D536" t="s">
        <v>2182</v>
      </c>
    </row>
    <row r="537" spans="1:4">
      <c r="A537" t="s">
        <v>2183</v>
      </c>
      <c r="B537" t="s">
        <v>2184</v>
      </c>
      <c r="C537">
        <f>Calculations!B311</f>
        <v>0</v>
      </c>
      <c r="D537" t="s">
        <v>2185</v>
      </c>
    </row>
    <row r="538" spans="1:4">
      <c r="A538" t="s">
        <v>2186</v>
      </c>
      <c r="B538" t="s">
        <v>2187</v>
      </c>
      <c r="C538">
        <f>Calculations!B312</f>
        <v>0</v>
      </c>
      <c r="D538" t="s">
        <v>2188</v>
      </c>
    </row>
    <row r="539" spans="1:4">
      <c r="A539" t="s">
        <v>550</v>
      </c>
      <c r="B539" t="s">
        <v>2189</v>
      </c>
      <c r="C539">
        <f>Calculations!B314</f>
        <v>0</v>
      </c>
      <c r="D539" t="s">
        <v>2190</v>
      </c>
    </row>
    <row r="540" spans="1:4">
      <c r="A540" t="s">
        <v>884</v>
      </c>
      <c r="B540" t="s">
        <v>2191</v>
      </c>
      <c r="C540">
        <f>Calculations!B316</f>
        <v>0</v>
      </c>
      <c r="D540" t="s">
        <v>2192</v>
      </c>
    </row>
    <row r="541" spans="1:4">
      <c r="A541" s="18"/>
      <c r="B541" t="s">
        <v>2193</v>
      </c>
      <c r="C541" t="str">
        <f ca="1">CONCATENATE('Contact Summary'!B4)</f>
        <v/>
      </c>
      <c r="D541" t="str">
        <f ca="1">C541</f>
        <v/>
      </c>
    </row>
    <row r="542" spans="1:4">
      <c r="B542" t="s">
        <v>2194</v>
      </c>
      <c r="C542" t="str">
        <f ca="1">CONCATENATE('Contact Summary'!G4)</f>
        <v/>
      </c>
      <c r="D542" t="s">
        <v>2195</v>
      </c>
    </row>
    <row r="543" spans="1:4">
      <c r="B543" t="s">
        <v>2196</v>
      </c>
      <c r="C543" t="str">
        <f ca="1">CONCATENATE('Contact Summary'!H4)</f>
        <v/>
      </c>
      <c r="D543" t="s">
        <v>2195</v>
      </c>
    </row>
    <row r="544" spans="1:4">
      <c r="B544" t="s">
        <v>2197</v>
      </c>
      <c r="C544" t="str">
        <f ca="1">CONCATENATE('Contact Summary'!C4)</f>
        <v/>
      </c>
    </row>
    <row r="545" spans="2:4">
      <c r="B545" t="s">
        <v>2198</v>
      </c>
      <c r="C545" t="str">
        <f ca="1">CONCATENATE('Contact Summary'!D4)</f>
        <v/>
      </c>
    </row>
    <row r="546" spans="2:4">
      <c r="B546" t="s">
        <v>2199</v>
      </c>
      <c r="C546" t="str">
        <f ca="1">CONCATENATE('Contact Summary'!I4)</f>
        <v/>
      </c>
      <c r="D546" t="s">
        <v>2195</v>
      </c>
    </row>
    <row r="547" spans="2:4">
      <c r="B547" t="s">
        <v>2200</v>
      </c>
      <c r="C547" t="str">
        <f ca="1">CONCATENATE('Contact Summary'!J4)</f>
        <v/>
      </c>
      <c r="D547" t="s">
        <v>2195</v>
      </c>
    </row>
    <row r="548" spans="2:4">
      <c r="B548" t="s">
        <v>2201</v>
      </c>
      <c r="C548" t="str">
        <f ca="1">CONCATENATE('Contact Summary'!E4)</f>
        <v/>
      </c>
    </row>
    <row r="549" spans="2:4">
      <c r="B549" t="s">
        <v>2202</v>
      </c>
      <c r="C549" t="str">
        <f ca="1">CONCATENATE('Contact Summary'!F4)</f>
        <v/>
      </c>
    </row>
    <row r="550" spans="2:4">
      <c r="B550" t="s">
        <v>2203</v>
      </c>
      <c r="C550">
        <f>'Contact Information'!B20</f>
        <v>0</v>
      </c>
    </row>
    <row r="551" spans="2:4">
      <c r="B551" t="s">
        <v>2204</v>
      </c>
      <c r="C551">
        <f>'Contact Information'!B21</f>
        <v>0</v>
      </c>
    </row>
    <row r="552" spans="2:4">
      <c r="B552" t="s">
        <v>2205</v>
      </c>
      <c r="C552" s="321" t="str">
        <f ca="1">CONCATENATE('Contact Summary'!B8)</f>
        <v/>
      </c>
      <c r="D552" t="s">
        <v>2206</v>
      </c>
    </row>
    <row r="553" spans="2:4">
      <c r="B553" t="s">
        <v>2207</v>
      </c>
      <c r="C553" s="321" t="str">
        <f ca="1">CONCATENATE('Contact Summary'!G8)</f>
        <v/>
      </c>
      <c r="D553" t="s">
        <v>2208</v>
      </c>
    </row>
    <row r="554" spans="2:4">
      <c r="B554" t="s">
        <v>2209</v>
      </c>
      <c r="C554" s="321" t="str">
        <f ca="1">CONCATENATE('Contact Summary'!H8)</f>
        <v/>
      </c>
      <c r="D554" t="s">
        <v>2210</v>
      </c>
    </row>
    <row r="555" spans="2:4">
      <c r="B555" t="s">
        <v>2211</v>
      </c>
      <c r="C555" s="321" t="str">
        <f ca="1">CONCATENATE('Contact Summary'!C8)</f>
        <v/>
      </c>
      <c r="D555" t="s">
        <v>2212</v>
      </c>
    </row>
    <row r="556" spans="2:4">
      <c r="B556" t="s">
        <v>2213</v>
      </c>
      <c r="C556" s="321" t="str">
        <f ca="1">CONCATENATE('Contact Summary'!D8)</f>
        <v/>
      </c>
      <c r="D556" t="s">
        <v>2214</v>
      </c>
    </row>
    <row r="557" spans="2:4">
      <c r="B557" t="s">
        <v>2215</v>
      </c>
      <c r="C557" s="367" t="str">
        <f ca="1">CONCATENATE('Contact Summary'!E8)</f>
        <v/>
      </c>
      <c r="D557" t="s">
        <v>2216</v>
      </c>
    </row>
    <row r="558" spans="2:4">
      <c r="B558" t="s">
        <v>2217</v>
      </c>
      <c r="C558" s="321" t="str">
        <f ca="1">CONCATENATE('Contact Summary'!F8)</f>
        <v/>
      </c>
      <c r="D558" t="s">
        <v>2218</v>
      </c>
    </row>
    <row r="559" spans="2:4">
      <c r="B559" t="s">
        <v>2219</v>
      </c>
      <c r="C559" s="321" t="str">
        <f>IF('Contact Information'!B100= "","", 'Contact Information'!B100)</f>
        <v/>
      </c>
      <c r="D559" t="s">
        <v>2220</v>
      </c>
    </row>
    <row r="560" spans="2:4">
      <c r="B560" t="s">
        <v>2221</v>
      </c>
      <c r="C560" s="321" t="str">
        <f ca="1">CONCATENATE('Contact Summary'!I8)</f>
        <v/>
      </c>
      <c r="D560" t="s">
        <v>2222</v>
      </c>
    </row>
    <row r="561" spans="2:4">
      <c r="B561" t="s">
        <v>2223</v>
      </c>
      <c r="C561" s="321" t="str">
        <f ca="1">CONCATENATE('Contact Summary'!J8)</f>
        <v/>
      </c>
      <c r="D561" t="s">
        <v>2224</v>
      </c>
    </row>
    <row r="562" spans="2:4">
      <c r="B562" t="s">
        <v>2225</v>
      </c>
      <c r="C562" s="321" t="str">
        <f ca="1">CONCATENATE('Contact Summary'!I8)</f>
        <v/>
      </c>
    </row>
    <row r="563" spans="2:4" ht="30">
      <c r="B563" s="9" t="s">
        <v>148</v>
      </c>
      <c r="C563">
        <f>'Contact Information'!B96</f>
        <v>0</v>
      </c>
    </row>
    <row r="564" spans="2:4">
      <c r="B564" t="s">
        <v>2226</v>
      </c>
      <c r="C564">
        <f>'Contact Information'!B97</f>
        <v>0</v>
      </c>
    </row>
    <row r="565" spans="2:4">
      <c r="B565" t="s">
        <v>2227</v>
      </c>
      <c r="C565">
        <f>'Contact Information'!B98</f>
        <v>0</v>
      </c>
    </row>
    <row r="566" spans="2:4" ht="12.6" customHeight="1">
      <c r="B566" t="s">
        <v>2228</v>
      </c>
      <c r="C566" s="321" t="b">
        <f>'Contact Information'!B116= "Yes"</f>
        <v>0</v>
      </c>
      <c r="D566" t="s">
        <v>2229</v>
      </c>
    </row>
    <row r="567" spans="2:4">
      <c r="B567" t="s">
        <v>2230</v>
      </c>
      <c r="C567" s="321" t="str">
        <f ca="1">CONCATENATE('Contact Summary'!G12, "", 'Contact Summary'!H12)</f>
        <v/>
      </c>
      <c r="D567" t="s">
        <v>2231</v>
      </c>
    </row>
    <row r="568" spans="2:4">
      <c r="B568" t="s">
        <v>2232</v>
      </c>
      <c r="C568" s="321" t="str">
        <f ca="1">CONCATENATE('Contact Summary'!B12)</f>
        <v/>
      </c>
      <c r="D568" t="s">
        <v>2233</v>
      </c>
    </row>
    <row r="569" spans="2:4">
      <c r="B569" t="s">
        <v>2234</v>
      </c>
      <c r="C569" s="321" t="str">
        <f ca="1">CONCATENATE('Contact Summary'!G13, " ", 'Contact Summary'!H13)</f>
        <v xml:space="preserve"> </v>
      </c>
      <c r="D569" t="s">
        <v>2235</v>
      </c>
    </row>
    <row r="570" spans="2:4">
      <c r="B570" t="s">
        <v>2236</v>
      </c>
      <c r="C570" s="321" t="str">
        <f ca="1">CONCATENATE('Contact Summary'!B13)</f>
        <v/>
      </c>
      <c r="D570" t="s">
        <v>2237</v>
      </c>
    </row>
    <row r="571" spans="2:4">
      <c r="B571" t="s">
        <v>2238</v>
      </c>
      <c r="C571" s="321" t="str">
        <f ca="1">CONCATENATE('Contact Summary'!J13)</f>
        <v/>
      </c>
    </row>
    <row r="572" spans="2:4">
      <c r="B572" t="s">
        <v>2239</v>
      </c>
      <c r="C572" s="321" t="str">
        <f ca="1">CONCATENATE('Contact Summary'!I13)</f>
        <v/>
      </c>
    </row>
    <row r="573" spans="2:4">
      <c r="B573" t="s">
        <v>2240</v>
      </c>
      <c r="C573" s="321" t="str">
        <f ca="1">CONCATENATE('Contact Summary'!G15, " ", 'Contact Summary'!H15)</f>
        <v xml:space="preserve"> </v>
      </c>
      <c r="D573" t="s">
        <v>2241</v>
      </c>
    </row>
    <row r="574" spans="2:4">
      <c r="B574" t="s">
        <v>2242</v>
      </c>
      <c r="C574" s="321" t="str">
        <f ca="1">CONCATENATE('Contact Summary'!B15)</f>
        <v/>
      </c>
      <c r="D574" t="s">
        <v>2243</v>
      </c>
    </row>
    <row r="575" spans="2:4">
      <c r="B575" t="s">
        <v>2244</v>
      </c>
      <c r="C575" s="321" t="str">
        <f ca="1">CONCATENATE('Contact Summary'!G19, " ", 'Contact Summary'!H19)</f>
        <v xml:space="preserve"> </v>
      </c>
      <c r="D575" t="s">
        <v>2245</v>
      </c>
    </row>
    <row r="576" spans="2:4">
      <c r="B576" t="s">
        <v>2246</v>
      </c>
      <c r="C576" s="321" t="str">
        <f ca="1">CONCATENATE('Contact Summary'!B19)</f>
        <v/>
      </c>
      <c r="D576" t="s">
        <v>2247</v>
      </c>
    </row>
    <row r="577" spans="1:4">
      <c r="B577" t="s">
        <v>2248</v>
      </c>
      <c r="C577" s="321" t="str">
        <f ca="1">CONCATENATE('Contact Summary'!G20, " ", 'Contact Summary'!H20)</f>
        <v xml:space="preserve"> </v>
      </c>
      <c r="D577" t="s">
        <v>2249</v>
      </c>
    </row>
    <row r="578" spans="1:4">
      <c r="B578" t="s">
        <v>2250</v>
      </c>
      <c r="C578" s="321" t="str">
        <f ca="1">CONCATENATE('Contact Summary'!B20)</f>
        <v/>
      </c>
      <c r="D578" t="s">
        <v>2251</v>
      </c>
    </row>
    <row r="579" spans="1:4">
      <c r="B579" t="s">
        <v>2252</v>
      </c>
      <c r="C579" s="321" t="str">
        <f ca="1">CONCATENATE('Contact Summary'!B9)</f>
        <v/>
      </c>
      <c r="D579" t="s">
        <v>2253</v>
      </c>
    </row>
    <row r="580" spans="1:4">
      <c r="B580" t="s">
        <v>2254</v>
      </c>
      <c r="C580" s="321" t="str">
        <f ca="1">CONCATENATE('Contact Summary'!B6)</f>
        <v/>
      </c>
      <c r="D580" t="s">
        <v>2255</v>
      </c>
    </row>
    <row r="581" spans="1:4">
      <c r="A581" t="s">
        <v>2256</v>
      </c>
      <c r="B581" t="s">
        <v>2257</v>
      </c>
      <c r="C581" t="str">
        <f ca="1">CONCATENATE('Contact Summary'!B10)</f>
        <v/>
      </c>
    </row>
    <row r="582" spans="1:4">
      <c r="B582" t="s">
        <v>2258</v>
      </c>
      <c r="C582" s="321" t="str">
        <f ca="1">'Contact Summary'!B23</f>
        <v/>
      </c>
    </row>
    <row r="583" spans="1:4">
      <c r="B583" s="1" t="s">
        <v>114</v>
      </c>
      <c r="C583" t="str">
        <f ca="1">CONCATENATE('Contact Summary'!B5)</f>
        <v/>
      </c>
    </row>
    <row r="584" spans="1:4">
      <c r="B584" t="s">
        <v>115</v>
      </c>
      <c r="C584" t="str">
        <f ca="1">'Contact Summary'!G5</f>
        <v/>
      </c>
    </row>
    <row r="585" spans="1:4">
      <c r="B585" t="s">
        <v>116</v>
      </c>
      <c r="C585" t="str">
        <f ca="1">'Contact Summary'!H5</f>
        <v/>
      </c>
    </row>
    <row r="586" spans="1:4">
      <c r="B586" t="s">
        <v>117</v>
      </c>
      <c r="C586" t="str">
        <f ca="1">'Contact Summary'!I5</f>
        <v/>
      </c>
    </row>
    <row r="587" spans="1:4">
      <c r="B587" t="s">
        <v>118</v>
      </c>
      <c r="C587" t="str">
        <f ca="1">'Contact Summary'!J5</f>
        <v/>
      </c>
    </row>
    <row r="588" spans="1:4" ht="30">
      <c r="B588" s="9" t="s">
        <v>148</v>
      </c>
      <c r="C588" t="str">
        <f>CONCATENATE('Contact Information'!B60)</f>
        <v/>
      </c>
    </row>
    <row r="589" spans="1:4">
      <c r="B589" t="s">
        <v>2259</v>
      </c>
      <c r="C589" t="str">
        <f>CONCATENATE('Contact Information'!B61)</f>
        <v/>
      </c>
    </row>
    <row r="590" spans="1:4">
      <c r="B590" t="s">
        <v>2260</v>
      </c>
      <c r="C590" t="str">
        <f>CONCATENATE('Contact Information'!B62)</f>
        <v/>
      </c>
    </row>
    <row r="591" spans="1:4">
      <c r="A591" t="s">
        <v>2261</v>
      </c>
      <c r="B591" t="s">
        <v>114</v>
      </c>
      <c r="C591" t="str">
        <f ca="1">'Contact Summary'!B11</f>
        <v/>
      </c>
    </row>
    <row r="592" spans="1:4">
      <c r="B592" t="s">
        <v>115</v>
      </c>
      <c r="C592" t="str">
        <f ca="1">'Contact Summary'!G11</f>
        <v/>
      </c>
    </row>
    <row r="593" spans="1:3">
      <c r="B593" t="s">
        <v>116</v>
      </c>
      <c r="C593" t="str">
        <f ca="1">'Contact Summary'!H11</f>
        <v/>
      </c>
    </row>
    <row r="594" spans="1:3">
      <c r="B594" t="s">
        <v>117</v>
      </c>
      <c r="C594" t="str">
        <f ca="1">'Contact Summary'!I11</f>
        <v/>
      </c>
    </row>
    <row r="595" spans="1:3">
      <c r="B595" t="s">
        <v>118</v>
      </c>
      <c r="C595" t="str">
        <f ca="1">'Contact Summary'!J11</f>
        <v/>
      </c>
    </row>
    <row r="596" spans="1:3" ht="30">
      <c r="B596" s="9" t="s">
        <v>148</v>
      </c>
      <c r="C596" t="str">
        <f>CONCATENATE('Contact Information'!B154)</f>
        <v/>
      </c>
    </row>
    <row r="597" spans="1:3">
      <c r="B597" t="s">
        <v>2262</v>
      </c>
      <c r="C597" t="str">
        <f>CONCATENATE('Contact Information'!B155)</f>
        <v/>
      </c>
    </row>
    <row r="598" spans="1:3">
      <c r="B598" t="s">
        <v>2263</v>
      </c>
      <c r="C598" t="str">
        <f>CONCATENATE('Contact Information'!B156)</f>
        <v/>
      </c>
    </row>
    <row r="599" spans="1:3">
      <c r="A599" t="s">
        <v>2264</v>
      </c>
      <c r="B599" s="1" t="s">
        <v>114</v>
      </c>
      <c r="C599" t="str">
        <f ca="1">'Contact Summary'!B6</f>
        <v/>
      </c>
    </row>
    <row r="600" spans="1:3">
      <c r="B600" s="1" t="s">
        <v>115</v>
      </c>
      <c r="C600" t="str">
        <f ca="1">'Contact Summary'!G6</f>
        <v/>
      </c>
    </row>
    <row r="601" spans="1:3">
      <c r="B601" s="1" t="s">
        <v>116</v>
      </c>
      <c r="C601" t="str">
        <f ca="1">'Contact Summary'!H6</f>
        <v/>
      </c>
    </row>
    <row r="602" spans="1:3">
      <c r="B602" s="353" t="s">
        <v>117</v>
      </c>
      <c r="C602" s="92" t="str">
        <f ca="1">'Contact Summary'!I6</f>
        <v/>
      </c>
    </row>
    <row r="603" spans="1:3">
      <c r="B603" s="1" t="s">
        <v>118</v>
      </c>
      <c r="C603" t="str">
        <f ca="1">'Contact Summary'!J6</f>
        <v/>
      </c>
    </row>
    <row r="604" spans="1:3">
      <c r="B604" s="1" t="s">
        <v>114</v>
      </c>
      <c r="C604" t="str">
        <f ca="1">'Contact Summary'!B7</f>
        <v/>
      </c>
    </row>
    <row r="605" spans="1:3">
      <c r="B605" s="1" t="s">
        <v>115</v>
      </c>
      <c r="C605" t="str">
        <f ca="1">'Contact Summary'!G7</f>
        <v/>
      </c>
    </row>
    <row r="606" spans="1:3">
      <c r="B606" s="1" t="s">
        <v>116</v>
      </c>
      <c r="C606" t="str">
        <f ca="1">'Contact Summary'!H7</f>
        <v/>
      </c>
    </row>
    <row r="607" spans="1:3">
      <c r="B607" s="353" t="s">
        <v>117</v>
      </c>
      <c r="C607" s="92" t="str">
        <f ca="1">'Contact Summary'!I7</f>
        <v/>
      </c>
    </row>
    <row r="608" spans="1:3">
      <c r="B608" s="1" t="s">
        <v>118</v>
      </c>
      <c r="C608" t="str">
        <f ca="1">'Contact Summary'!J7</f>
        <v/>
      </c>
    </row>
    <row r="609" spans="2:3">
      <c r="B609" s="1" t="s">
        <v>114</v>
      </c>
      <c r="C609" t="str">
        <f ca="1">'Contact Summary'!B10</f>
        <v/>
      </c>
    </row>
    <row r="610" spans="2:3">
      <c r="B610" s="1" t="s">
        <v>115</v>
      </c>
      <c r="C610" t="str">
        <f ca="1">'Contact Summary'!G10</f>
        <v/>
      </c>
    </row>
    <row r="611" spans="2:3">
      <c r="B611" s="1" t="s">
        <v>116</v>
      </c>
      <c r="C611" t="str">
        <f ca="1">'Contact Summary'!H10</f>
        <v/>
      </c>
    </row>
    <row r="612" spans="2:3">
      <c r="B612" s="353" t="s">
        <v>117</v>
      </c>
      <c r="C612" s="92" t="str">
        <f ca="1">'Contact Summary'!I10</f>
        <v/>
      </c>
    </row>
    <row r="613" spans="2:3">
      <c r="B613" s="1" t="s">
        <v>118</v>
      </c>
      <c r="C613" t="str">
        <f ca="1">'Contact Summary'!J10</f>
        <v/>
      </c>
    </row>
    <row r="614" spans="2:3">
      <c r="B614" s="1" t="s">
        <v>114</v>
      </c>
      <c r="C614" t="str">
        <f ca="1">'Contact Summary'!B12</f>
        <v/>
      </c>
    </row>
    <row r="615" spans="2:3">
      <c r="B615" s="1" t="s">
        <v>115</v>
      </c>
      <c r="C615" t="str">
        <f ca="1">'Contact Summary'!G12</f>
        <v/>
      </c>
    </row>
    <row r="616" spans="2:3">
      <c r="B616" s="1" t="s">
        <v>116</v>
      </c>
      <c r="C616" t="str">
        <f ca="1">'Contact Summary'!H12</f>
        <v/>
      </c>
    </row>
    <row r="617" spans="2:3">
      <c r="B617" s="353" t="s">
        <v>117</v>
      </c>
      <c r="C617" t="str">
        <f ca="1">'Contact Summary'!J12</f>
        <v/>
      </c>
    </row>
    <row r="618" spans="2:3">
      <c r="B618" s="1" t="s">
        <v>118</v>
      </c>
      <c r="C618" t="str">
        <f ca="1">'Contact Summary'!J12</f>
        <v/>
      </c>
    </row>
    <row r="619" spans="2:3" ht="30">
      <c r="B619" s="9" t="s">
        <v>148</v>
      </c>
      <c r="C619" t="str">
        <f>CONCATENATE('Contact Information'!B168)</f>
        <v/>
      </c>
    </row>
    <row r="620" spans="2:3">
      <c r="B620" t="s">
        <v>2265</v>
      </c>
      <c r="C620" t="str">
        <f>CONCATENATE('Contact Information'!B169)</f>
        <v/>
      </c>
    </row>
    <row r="621" spans="2:3">
      <c r="B621" t="s">
        <v>2266</v>
      </c>
      <c r="C621" t="str">
        <f>CONCATENATE('Contact Information'!B170)</f>
        <v/>
      </c>
    </row>
    <row r="622" spans="2:3">
      <c r="B622" s="1" t="s">
        <v>114</v>
      </c>
      <c r="C622" t="str">
        <f ca="1">'Contact Summary'!B13</f>
        <v/>
      </c>
    </row>
    <row r="623" spans="2:3">
      <c r="B623" s="1" t="s">
        <v>115</v>
      </c>
      <c r="C623" t="str">
        <f ca="1">'Contact Summary'!G13</f>
        <v/>
      </c>
    </row>
    <row r="624" spans="2:3">
      <c r="B624" s="1" t="s">
        <v>116</v>
      </c>
      <c r="C624" t="str">
        <f ca="1">'Contact Summary'!H13</f>
        <v/>
      </c>
    </row>
    <row r="625" spans="2:3">
      <c r="B625" s="353" t="s">
        <v>117</v>
      </c>
      <c r="C625" s="92" t="str">
        <f ca="1">'Contact Summary'!I13</f>
        <v/>
      </c>
    </row>
    <row r="626" spans="2:3">
      <c r="B626" s="1" t="s">
        <v>118</v>
      </c>
      <c r="C626" t="str">
        <f ca="1">'Contact Summary'!J13</f>
        <v/>
      </c>
    </row>
    <row r="627" spans="2:3">
      <c r="B627" s="1" t="s">
        <v>114</v>
      </c>
      <c r="C627" t="str">
        <f ca="1">'Contact Summary'!B15</f>
        <v/>
      </c>
    </row>
    <row r="628" spans="2:3">
      <c r="B628" s="1" t="s">
        <v>115</v>
      </c>
      <c r="C628" t="str">
        <f ca="1">'Contact Summary'!G15</f>
        <v/>
      </c>
    </row>
    <row r="629" spans="2:3">
      <c r="B629" s="1" t="s">
        <v>116</v>
      </c>
      <c r="C629" t="str">
        <f ca="1">'Contact Summary'!H15</f>
        <v/>
      </c>
    </row>
    <row r="630" spans="2:3">
      <c r="B630" s="353" t="s">
        <v>117</v>
      </c>
      <c r="C630" s="92" t="str">
        <f ca="1">'Contact Summary'!I15</f>
        <v/>
      </c>
    </row>
    <row r="631" spans="2:3">
      <c r="B631" s="1" t="s">
        <v>118</v>
      </c>
      <c r="C631" s="321" t="str">
        <f ca="1">'Contact Summary'!J15</f>
        <v/>
      </c>
    </row>
    <row r="632" spans="2:3">
      <c r="B632" s="1" t="s">
        <v>114</v>
      </c>
      <c r="C632" t="str">
        <f ca="1">'Contact Summary'!C16</f>
        <v/>
      </c>
    </row>
    <row r="633" spans="2:3">
      <c r="B633" s="1" t="s">
        <v>115</v>
      </c>
      <c r="C633" t="str">
        <f ca="1">'Contact Summary'!G16</f>
        <v/>
      </c>
    </row>
    <row r="634" spans="2:3">
      <c r="B634" s="1" t="s">
        <v>116</v>
      </c>
      <c r="C634" t="str">
        <f ca="1">'Contact Summary'!H16</f>
        <v/>
      </c>
    </row>
    <row r="635" spans="2:3">
      <c r="B635" s="353" t="s">
        <v>117</v>
      </c>
      <c r="C635" s="92" t="str">
        <f ca="1">'Contact Summary'!I16</f>
        <v/>
      </c>
    </row>
    <row r="636" spans="2:3">
      <c r="B636" s="1" t="s">
        <v>118</v>
      </c>
      <c r="C636" t="str">
        <f ca="1">'Contact Summary'!J16</f>
        <v/>
      </c>
    </row>
    <row r="637" spans="2:3">
      <c r="B637" s="1" t="s">
        <v>2267</v>
      </c>
    </row>
    <row r="638" spans="2:3">
      <c r="B638" s="1" t="s">
        <v>114</v>
      </c>
      <c r="C638" t="str">
        <f ca="1">'Contact Summary'!C17</f>
        <v/>
      </c>
    </row>
    <row r="639" spans="2:3">
      <c r="B639" s="1" t="s">
        <v>115</v>
      </c>
      <c r="C639" t="str">
        <f ca="1">'Contact Summary'!G17</f>
        <v/>
      </c>
    </row>
    <row r="640" spans="2:3">
      <c r="B640" s="1" t="s">
        <v>116</v>
      </c>
      <c r="C640" t="str">
        <f ca="1">'Contact Summary'!H17</f>
        <v/>
      </c>
    </row>
    <row r="641" spans="2:3">
      <c r="B641" s="353" t="s">
        <v>117</v>
      </c>
      <c r="C641" s="92" t="str">
        <f ca="1">'Contact Summary'!I17</f>
        <v/>
      </c>
    </row>
    <row r="642" spans="2:3">
      <c r="B642" s="1" t="s">
        <v>118</v>
      </c>
      <c r="C642" t="str">
        <f ca="1">'Contact Summary'!J17</f>
        <v/>
      </c>
    </row>
    <row r="643" spans="2:3">
      <c r="B643" s="1" t="s">
        <v>114</v>
      </c>
      <c r="C643" t="str">
        <f ca="1">'Contact Summary'!B18</f>
        <v/>
      </c>
    </row>
    <row r="644" spans="2:3">
      <c r="B644" s="1" t="s">
        <v>115</v>
      </c>
      <c r="C644" t="str">
        <f ca="1">'Contact Summary'!G18</f>
        <v/>
      </c>
    </row>
    <row r="645" spans="2:3">
      <c r="B645" s="1" t="s">
        <v>116</v>
      </c>
      <c r="C645" t="str">
        <f ca="1">'Contact Summary'!H18</f>
        <v/>
      </c>
    </row>
    <row r="646" spans="2:3">
      <c r="B646" s="353" t="s">
        <v>117</v>
      </c>
      <c r="C646" s="92" t="str">
        <f ca="1">'Contact Summary'!I18</f>
        <v/>
      </c>
    </row>
    <row r="647" spans="2:3">
      <c r="B647" s="1" t="s">
        <v>118</v>
      </c>
      <c r="C647" t="str">
        <f ca="1">'Contact Summary'!J18</f>
        <v/>
      </c>
    </row>
    <row r="648" spans="2:3">
      <c r="B648" s="1" t="s">
        <v>114</v>
      </c>
      <c r="C648" t="str">
        <f ca="1">'Contact Summary'!B19</f>
        <v/>
      </c>
    </row>
    <row r="649" spans="2:3">
      <c r="B649" s="1" t="s">
        <v>115</v>
      </c>
      <c r="C649" t="str">
        <f ca="1">'Contact Summary'!G19</f>
        <v/>
      </c>
    </row>
    <row r="650" spans="2:3">
      <c r="B650" s="1" t="s">
        <v>116</v>
      </c>
      <c r="C650" t="str">
        <f ca="1">'Contact Summary'!H19</f>
        <v/>
      </c>
    </row>
    <row r="651" spans="2:3">
      <c r="B651" s="353" t="s">
        <v>117</v>
      </c>
      <c r="C651" s="92" t="str">
        <f ca="1">'Contact Summary'!I19</f>
        <v/>
      </c>
    </row>
    <row r="652" spans="2:3">
      <c r="B652" s="1" t="s">
        <v>118</v>
      </c>
      <c r="C652" t="str">
        <f ca="1">'Contact Summary'!J19</f>
        <v/>
      </c>
    </row>
    <row r="653" spans="2:3">
      <c r="B653" s="1" t="s">
        <v>114</v>
      </c>
      <c r="C653" t="str">
        <f ca="1">'Contact Summary'!B20</f>
        <v/>
      </c>
    </row>
    <row r="654" spans="2:3">
      <c r="B654" s="1" t="s">
        <v>115</v>
      </c>
      <c r="C654" t="str">
        <f ca="1">'Contact Summary'!G20</f>
        <v/>
      </c>
    </row>
    <row r="655" spans="2:3">
      <c r="B655" s="1" t="s">
        <v>116</v>
      </c>
      <c r="C655" t="str">
        <f ca="1">'Contact Summary'!H20</f>
        <v/>
      </c>
    </row>
    <row r="656" spans="2:3">
      <c r="B656" s="353" t="s">
        <v>117</v>
      </c>
      <c r="C656" s="92" t="str">
        <f ca="1">'Contact Summary'!I20</f>
        <v/>
      </c>
    </row>
    <row r="657" spans="2:3">
      <c r="B657" s="1" t="s">
        <v>118</v>
      </c>
      <c r="C657" t="str">
        <f ca="1">'Contact Summary'!J20</f>
        <v/>
      </c>
    </row>
    <row r="658" spans="2:3">
      <c r="B658" s="1" t="s">
        <v>114</v>
      </c>
      <c r="C658" t="str">
        <f ca="1">'Contact Summary'!B21</f>
        <v/>
      </c>
    </row>
    <row r="659" spans="2:3">
      <c r="B659" s="1" t="s">
        <v>115</v>
      </c>
      <c r="C659" t="str">
        <f ca="1">'Contact Summary'!G21</f>
        <v/>
      </c>
    </row>
    <row r="660" spans="2:3">
      <c r="B660" s="1" t="s">
        <v>116</v>
      </c>
      <c r="C660" t="str">
        <f ca="1">'Contact Summary'!H21</f>
        <v/>
      </c>
    </row>
    <row r="661" spans="2:3">
      <c r="B661" s="353" t="s">
        <v>117</v>
      </c>
      <c r="C661" s="92" t="str">
        <f ca="1">'Contact Summary'!I21</f>
        <v/>
      </c>
    </row>
    <row r="662" spans="2:3">
      <c r="B662" s="1" t="s">
        <v>118</v>
      </c>
      <c r="C662" t="str">
        <f ca="1">'Contact Summary'!J21</f>
        <v/>
      </c>
    </row>
    <row r="663" spans="2:3">
      <c r="B663" s="1" t="s">
        <v>114</v>
      </c>
      <c r="C663" t="str">
        <f ca="1">'Contact Summary'!B23</f>
        <v/>
      </c>
    </row>
    <row r="664" spans="2:3">
      <c r="B664" s="1" t="s">
        <v>115</v>
      </c>
      <c r="C664" t="str">
        <f ca="1">'Contact Summary'!G23</f>
        <v/>
      </c>
    </row>
    <row r="665" spans="2:3">
      <c r="B665" s="1" t="s">
        <v>116</v>
      </c>
      <c r="C665" t="str">
        <f ca="1">'Contact Summary'!H23</f>
        <v/>
      </c>
    </row>
    <row r="666" spans="2:3">
      <c r="B666" s="353" t="s">
        <v>117</v>
      </c>
      <c r="C666" s="92" t="str">
        <f ca="1">'Contact Summary'!I23</f>
        <v/>
      </c>
    </row>
    <row r="667" spans="2:3">
      <c r="B667" s="1" t="s">
        <v>118</v>
      </c>
      <c r="C667" t="str">
        <f ca="1">'Contact Summary'!J23</f>
        <v/>
      </c>
    </row>
    <row r="668" spans="2:3">
      <c r="B668" s="1" t="s">
        <v>114</v>
      </c>
      <c r="C668" t="str">
        <f ca="1">'Contact Summary'!B24</f>
        <v/>
      </c>
    </row>
    <row r="669" spans="2:3">
      <c r="B669" s="1" t="s">
        <v>115</v>
      </c>
      <c r="C669" t="str">
        <f ca="1">'Contact Summary'!G24</f>
        <v/>
      </c>
    </row>
    <row r="670" spans="2:3">
      <c r="B670" s="1" t="s">
        <v>116</v>
      </c>
      <c r="C670" t="str">
        <f ca="1">'Contact Summary'!H24</f>
        <v/>
      </c>
    </row>
    <row r="671" spans="2:3">
      <c r="B671" s="353" t="s">
        <v>117</v>
      </c>
      <c r="C671" s="92" t="str">
        <f ca="1">'Contact Summary'!I24</f>
        <v/>
      </c>
    </row>
    <row r="672" spans="2:3">
      <c r="B672" s="1" t="s">
        <v>118</v>
      </c>
      <c r="C672" t="str">
        <f ca="1">'Contact Summary'!J24</f>
        <v/>
      </c>
    </row>
    <row r="673" spans="2:3">
      <c r="B673" s="1" t="s">
        <v>114</v>
      </c>
      <c r="C673" t="str">
        <f ca="1">'Contact Summary'!B25</f>
        <v/>
      </c>
    </row>
    <row r="674" spans="2:3">
      <c r="B674" s="1" t="s">
        <v>115</v>
      </c>
      <c r="C674" t="str">
        <f ca="1">'Contact Summary'!G25</f>
        <v/>
      </c>
    </row>
    <row r="675" spans="2:3">
      <c r="B675" s="1" t="s">
        <v>116</v>
      </c>
      <c r="C675" t="str">
        <f ca="1">'Contact Summary'!H25</f>
        <v/>
      </c>
    </row>
    <row r="676" spans="2:3">
      <c r="B676" s="353" t="s">
        <v>117</v>
      </c>
      <c r="C676" s="92" t="str">
        <f ca="1">'Contact Summary'!I25</f>
        <v/>
      </c>
    </row>
    <row r="677" spans="2:3">
      <c r="B677" s="1" t="s">
        <v>118</v>
      </c>
      <c r="C677" t="str">
        <f ca="1">'Contact Summary'!J25</f>
        <v/>
      </c>
    </row>
    <row r="678" spans="2:3">
      <c r="B678" s="1" t="s">
        <v>114</v>
      </c>
      <c r="C678">
        <f>'Contact Summary'!B26</f>
        <v>0</v>
      </c>
    </row>
    <row r="679" spans="2:3">
      <c r="B679" s="1" t="s">
        <v>115</v>
      </c>
      <c r="C679">
        <f>'Contact Summary'!G26</f>
        <v>0</v>
      </c>
    </row>
    <row r="680" spans="2:3">
      <c r="B680" s="1" t="s">
        <v>116</v>
      </c>
      <c r="C680">
        <f>'Contact Summary'!H26</f>
        <v>0</v>
      </c>
    </row>
    <row r="681" spans="2:3">
      <c r="B681" s="353" t="s">
        <v>117</v>
      </c>
      <c r="C681" s="92">
        <f>'Contact Summary'!I26</f>
        <v>0</v>
      </c>
    </row>
    <row r="682" spans="2:3">
      <c r="B682" s="1" t="s">
        <v>118</v>
      </c>
      <c r="C682">
        <f>'Contact Summary'!J26</f>
        <v>0</v>
      </c>
    </row>
    <row r="683" spans="2:3">
      <c r="B683" s="1" t="s">
        <v>114</v>
      </c>
      <c r="C683" t="str">
        <f ca="1">'Contact Summary'!B14</f>
        <v/>
      </c>
    </row>
    <row r="684" spans="2:3">
      <c r="B684" s="1" t="s">
        <v>115</v>
      </c>
      <c r="C684" t="str">
        <f ca="1">'Contact Summary'!G14</f>
        <v/>
      </c>
    </row>
    <row r="685" spans="2:3">
      <c r="B685" s="1" t="s">
        <v>116</v>
      </c>
      <c r="C685" t="str">
        <f ca="1">'Contact Summary'!H14</f>
        <v/>
      </c>
    </row>
    <row r="686" spans="2:3">
      <c r="B686" s="1" t="s">
        <v>117</v>
      </c>
      <c r="C686" s="92" t="str">
        <f ca="1">'Contact Summary'!I14</f>
        <v/>
      </c>
    </row>
    <row r="687" spans="2:3">
      <c r="B687" s="1" t="s">
        <v>118</v>
      </c>
      <c r="C687" t="str">
        <f ca="1">'Contact Summary'!J14</f>
        <v/>
      </c>
    </row>
    <row r="688" spans="2:3" ht="30">
      <c r="B688" s="9" t="s">
        <v>148</v>
      </c>
      <c r="C688">
        <f>'Contact Information'!B196</f>
        <v>0</v>
      </c>
    </row>
    <row r="689" spans="1:12">
      <c r="B689" t="s">
        <v>2268</v>
      </c>
      <c r="C689">
        <f>'Contact Information'!B197</f>
        <v>0</v>
      </c>
    </row>
    <row r="690" spans="1:12">
      <c r="B690" t="s">
        <v>2269</v>
      </c>
      <c r="C690">
        <f>'Contact Information'!B198</f>
        <v>0</v>
      </c>
    </row>
    <row r="691" spans="1:12" s="71" customFormat="1"/>
    <row r="692" spans="1:12">
      <c r="A692" t="s">
        <v>2270</v>
      </c>
      <c r="B692" t="s">
        <v>2271</v>
      </c>
      <c r="C692" t="s">
        <v>2272</v>
      </c>
      <c r="D692" t="s">
        <v>2273</v>
      </c>
      <c r="E692" t="s">
        <v>121</v>
      </c>
      <c r="F692" t="s">
        <v>828</v>
      </c>
      <c r="G692" t="s">
        <v>2274</v>
      </c>
      <c r="H692" t="s">
        <v>2275</v>
      </c>
      <c r="I692" t="s">
        <v>2276</v>
      </c>
      <c r="J692" t="s">
        <v>2277</v>
      </c>
      <c r="K692" t="s">
        <v>2278</v>
      </c>
      <c r="L692" t="s">
        <v>2279</v>
      </c>
    </row>
    <row r="693" spans="1:12">
      <c r="A693" s="18">
        <f t="shared" ref="A693:A707" ca="1" si="0">IF(ISNA(MATCH(B693, $A$710:$A$725, 0)), 1, MATCH(B693, $A$710:$A$725, 0))</f>
        <v>1</v>
      </c>
      <c r="B693">
        <v>1</v>
      </c>
      <c r="C693" t="str">
        <f t="shared" ref="C693:K707" ca="1" si="1">CONCATENATE(INDEX($C$710:$L$725, $A693, C$691))</f>
        <v/>
      </c>
      <c r="D693" t="str">
        <f t="shared" ca="1" si="1"/>
        <v/>
      </c>
      <c r="E693" t="str">
        <f t="shared" ca="1" si="1"/>
        <v/>
      </c>
      <c r="F693" s="14" t="str">
        <f t="shared" ca="1" si="1"/>
        <v/>
      </c>
      <c r="G693" t="str">
        <f t="shared" ca="1" si="1"/>
        <v/>
      </c>
      <c r="H693" t="str">
        <f t="shared" ca="1" si="1"/>
        <v/>
      </c>
      <c r="I693" t="str">
        <f t="shared" ca="1" si="1"/>
        <v/>
      </c>
      <c r="J693" s="14" t="str">
        <f t="shared" ca="1" si="1"/>
        <v/>
      </c>
      <c r="K693" s="14" t="str">
        <f t="shared" ca="1" si="1"/>
        <v/>
      </c>
    </row>
    <row r="694" spans="1:12">
      <c r="A694" s="865">
        <f t="shared" ca="1" si="0"/>
        <v>1</v>
      </c>
      <c r="B694">
        <v>2</v>
      </c>
      <c r="C694" t="str">
        <f t="shared" ca="1" si="1"/>
        <v/>
      </c>
      <c r="D694" t="str">
        <f t="shared" ca="1" si="1"/>
        <v/>
      </c>
      <c r="E694" t="str">
        <f t="shared" ca="1" si="1"/>
        <v/>
      </c>
      <c r="F694" s="14" t="str">
        <f t="shared" ca="1" si="1"/>
        <v/>
      </c>
      <c r="G694" t="str">
        <f t="shared" ca="1" si="1"/>
        <v/>
      </c>
      <c r="H694" t="str">
        <f t="shared" ca="1" si="1"/>
        <v/>
      </c>
      <c r="I694" t="str">
        <f t="shared" ca="1" si="1"/>
        <v/>
      </c>
      <c r="J694" s="14" t="str">
        <f t="shared" ca="1" si="1"/>
        <v/>
      </c>
      <c r="K694" s="14" t="str">
        <f t="shared" ca="1" si="1"/>
        <v/>
      </c>
    </row>
    <row r="695" spans="1:12">
      <c r="A695" s="865">
        <f t="shared" ca="1" si="0"/>
        <v>1</v>
      </c>
      <c r="B695">
        <v>3</v>
      </c>
      <c r="C695" t="str">
        <f t="shared" ca="1" si="1"/>
        <v/>
      </c>
      <c r="D695" t="str">
        <f t="shared" ca="1" si="1"/>
        <v/>
      </c>
      <c r="E695" t="str">
        <f t="shared" ca="1" si="1"/>
        <v/>
      </c>
      <c r="F695" s="14" t="str">
        <f t="shared" ca="1" si="1"/>
        <v/>
      </c>
      <c r="G695" t="str">
        <f t="shared" ca="1" si="1"/>
        <v/>
      </c>
      <c r="H695" t="str">
        <f t="shared" ca="1" si="1"/>
        <v/>
      </c>
      <c r="I695" t="str">
        <f t="shared" ca="1" si="1"/>
        <v/>
      </c>
      <c r="J695" s="14" t="str">
        <f t="shared" ca="1" si="1"/>
        <v/>
      </c>
      <c r="K695" s="14" t="str">
        <f t="shared" ca="1" si="1"/>
        <v/>
      </c>
    </row>
    <row r="696" spans="1:12">
      <c r="A696" s="865">
        <f t="shared" ca="1" si="0"/>
        <v>1</v>
      </c>
      <c r="B696">
        <v>4</v>
      </c>
      <c r="C696" t="str">
        <f t="shared" ca="1" si="1"/>
        <v/>
      </c>
      <c r="D696" t="str">
        <f t="shared" ca="1" si="1"/>
        <v/>
      </c>
      <c r="E696" t="str">
        <f t="shared" ca="1" si="1"/>
        <v/>
      </c>
      <c r="F696" s="14" t="str">
        <f t="shared" ca="1" si="1"/>
        <v/>
      </c>
      <c r="G696" t="str">
        <f t="shared" ca="1" si="1"/>
        <v/>
      </c>
      <c r="H696" t="str">
        <f t="shared" ca="1" si="1"/>
        <v/>
      </c>
      <c r="I696" t="str">
        <f t="shared" ca="1" si="1"/>
        <v/>
      </c>
      <c r="J696" s="14" t="str">
        <f t="shared" ca="1" si="1"/>
        <v/>
      </c>
      <c r="K696" s="14" t="str">
        <f t="shared" ca="1" si="1"/>
        <v/>
      </c>
    </row>
    <row r="697" spans="1:12">
      <c r="A697" s="865">
        <f t="shared" ca="1" si="0"/>
        <v>1</v>
      </c>
      <c r="B697">
        <v>5</v>
      </c>
      <c r="C697" t="str">
        <f t="shared" ca="1" si="1"/>
        <v/>
      </c>
      <c r="D697" t="str">
        <f t="shared" ca="1" si="1"/>
        <v/>
      </c>
      <c r="E697" t="str">
        <f t="shared" ca="1" si="1"/>
        <v/>
      </c>
      <c r="F697" s="14" t="str">
        <f t="shared" ca="1" si="1"/>
        <v/>
      </c>
      <c r="G697" t="str">
        <f t="shared" ca="1" si="1"/>
        <v/>
      </c>
      <c r="H697" t="str">
        <f t="shared" ca="1" si="1"/>
        <v/>
      </c>
      <c r="I697" t="str">
        <f t="shared" ca="1" si="1"/>
        <v/>
      </c>
      <c r="J697" s="14" t="str">
        <f t="shared" ca="1" si="1"/>
        <v/>
      </c>
      <c r="K697" s="14" t="str">
        <f t="shared" ca="1" si="1"/>
        <v/>
      </c>
    </row>
    <row r="698" spans="1:12">
      <c r="A698" s="865">
        <f t="shared" ca="1" si="0"/>
        <v>1</v>
      </c>
      <c r="B698">
        <v>6</v>
      </c>
      <c r="C698" t="str">
        <f t="shared" ca="1" si="1"/>
        <v/>
      </c>
      <c r="D698" t="str">
        <f t="shared" ca="1" si="1"/>
        <v/>
      </c>
      <c r="E698" t="str">
        <f t="shared" ca="1" si="1"/>
        <v/>
      </c>
      <c r="F698" s="14" t="str">
        <f t="shared" ca="1" si="1"/>
        <v/>
      </c>
      <c r="G698" t="str">
        <f t="shared" ca="1" si="1"/>
        <v/>
      </c>
      <c r="H698" t="str">
        <f t="shared" ca="1" si="1"/>
        <v/>
      </c>
      <c r="I698" t="str">
        <f t="shared" ca="1" si="1"/>
        <v/>
      </c>
      <c r="J698" s="14" t="str">
        <f t="shared" ca="1" si="1"/>
        <v/>
      </c>
      <c r="K698" s="14" t="str">
        <f t="shared" ca="1" si="1"/>
        <v/>
      </c>
    </row>
    <row r="699" spans="1:12">
      <c r="A699" s="865">
        <f t="shared" ca="1" si="0"/>
        <v>1</v>
      </c>
      <c r="B699">
        <v>7</v>
      </c>
      <c r="C699" t="str">
        <f t="shared" ca="1" si="1"/>
        <v/>
      </c>
      <c r="D699" t="str">
        <f t="shared" ca="1" si="1"/>
        <v/>
      </c>
      <c r="E699" t="str">
        <f t="shared" ca="1" si="1"/>
        <v/>
      </c>
      <c r="F699" s="14" t="str">
        <f t="shared" ca="1" si="1"/>
        <v/>
      </c>
      <c r="G699" t="str">
        <f t="shared" ca="1" si="1"/>
        <v/>
      </c>
      <c r="H699" t="str">
        <f t="shared" ca="1" si="1"/>
        <v/>
      </c>
      <c r="I699" t="str">
        <f t="shared" ca="1" si="1"/>
        <v/>
      </c>
      <c r="J699" s="14" t="str">
        <f t="shared" ca="1" si="1"/>
        <v/>
      </c>
      <c r="K699" s="14" t="str">
        <f t="shared" ca="1" si="1"/>
        <v/>
      </c>
    </row>
    <row r="700" spans="1:12">
      <c r="A700" s="865">
        <f t="shared" ca="1" si="0"/>
        <v>1</v>
      </c>
      <c r="B700">
        <v>8</v>
      </c>
      <c r="C700" t="str">
        <f t="shared" ca="1" si="1"/>
        <v/>
      </c>
      <c r="D700" t="str">
        <f t="shared" ca="1" si="1"/>
        <v/>
      </c>
      <c r="E700" t="str">
        <f t="shared" ca="1" si="1"/>
        <v/>
      </c>
      <c r="F700" s="14" t="str">
        <f t="shared" ca="1" si="1"/>
        <v/>
      </c>
      <c r="G700" t="str">
        <f t="shared" ca="1" si="1"/>
        <v/>
      </c>
      <c r="H700" t="str">
        <f t="shared" ca="1" si="1"/>
        <v/>
      </c>
      <c r="I700" t="str">
        <f t="shared" ca="1" si="1"/>
        <v/>
      </c>
      <c r="J700" s="14" t="str">
        <f t="shared" ca="1" si="1"/>
        <v/>
      </c>
      <c r="K700" s="14" t="str">
        <f t="shared" ca="1" si="1"/>
        <v/>
      </c>
    </row>
    <row r="701" spans="1:12">
      <c r="A701" s="865">
        <f t="shared" ca="1" si="0"/>
        <v>1</v>
      </c>
      <c r="B701">
        <v>9</v>
      </c>
      <c r="C701" t="str">
        <f t="shared" ca="1" si="1"/>
        <v/>
      </c>
      <c r="D701" t="str">
        <f t="shared" ca="1" si="1"/>
        <v/>
      </c>
      <c r="E701" t="str">
        <f t="shared" ca="1" si="1"/>
        <v/>
      </c>
      <c r="F701" s="14" t="str">
        <f t="shared" ca="1" si="1"/>
        <v/>
      </c>
      <c r="G701" t="str">
        <f t="shared" ca="1" si="1"/>
        <v/>
      </c>
      <c r="H701" t="str">
        <f t="shared" ca="1" si="1"/>
        <v/>
      </c>
      <c r="I701" t="str">
        <f t="shared" ca="1" si="1"/>
        <v/>
      </c>
      <c r="J701" s="14" t="str">
        <f t="shared" ca="1" si="1"/>
        <v/>
      </c>
      <c r="K701" s="14" t="str">
        <f t="shared" ca="1" si="1"/>
        <v/>
      </c>
    </row>
    <row r="702" spans="1:12">
      <c r="A702" s="865">
        <f t="shared" ca="1" si="0"/>
        <v>1</v>
      </c>
      <c r="B702">
        <v>10</v>
      </c>
      <c r="C702" t="str">
        <f t="shared" ca="1" si="1"/>
        <v/>
      </c>
      <c r="D702" t="str">
        <f t="shared" ca="1" si="1"/>
        <v/>
      </c>
      <c r="E702" t="str">
        <f t="shared" ca="1" si="1"/>
        <v/>
      </c>
      <c r="F702" s="14" t="str">
        <f t="shared" ca="1" si="1"/>
        <v/>
      </c>
      <c r="G702" t="str">
        <f t="shared" ca="1" si="1"/>
        <v/>
      </c>
      <c r="H702" t="str">
        <f t="shared" ca="1" si="1"/>
        <v/>
      </c>
      <c r="I702" t="str">
        <f t="shared" ca="1" si="1"/>
        <v/>
      </c>
      <c r="J702" s="14" t="str">
        <f t="shared" ca="1" si="1"/>
        <v/>
      </c>
      <c r="K702" s="14" t="str">
        <f t="shared" ca="1" si="1"/>
        <v/>
      </c>
    </row>
    <row r="703" spans="1:12">
      <c r="A703" s="865">
        <f t="shared" ca="1" si="0"/>
        <v>1</v>
      </c>
      <c r="B703">
        <v>11</v>
      </c>
      <c r="C703" t="str">
        <f t="shared" ca="1" si="1"/>
        <v/>
      </c>
      <c r="D703" t="str">
        <f t="shared" ca="1" si="1"/>
        <v/>
      </c>
      <c r="E703" t="str">
        <f t="shared" ca="1" si="1"/>
        <v/>
      </c>
      <c r="F703" s="14" t="str">
        <f t="shared" ca="1" si="1"/>
        <v/>
      </c>
      <c r="G703" t="str">
        <f t="shared" ca="1" si="1"/>
        <v/>
      </c>
      <c r="H703" t="str">
        <f t="shared" ca="1" si="1"/>
        <v/>
      </c>
      <c r="I703" t="str">
        <f t="shared" ca="1" si="1"/>
        <v/>
      </c>
      <c r="J703" s="14" t="str">
        <f t="shared" ca="1" si="1"/>
        <v/>
      </c>
      <c r="K703" s="14" t="str">
        <f t="shared" ca="1" si="1"/>
        <v/>
      </c>
    </row>
    <row r="704" spans="1:12">
      <c r="A704" s="865">
        <f t="shared" ca="1" si="0"/>
        <v>1</v>
      </c>
      <c r="B704">
        <v>12</v>
      </c>
      <c r="C704" t="str">
        <f t="shared" ca="1" si="1"/>
        <v/>
      </c>
      <c r="D704" t="str">
        <f t="shared" ca="1" si="1"/>
        <v/>
      </c>
      <c r="E704" t="str">
        <f t="shared" ca="1" si="1"/>
        <v/>
      </c>
      <c r="F704" s="14" t="str">
        <f t="shared" ca="1" si="1"/>
        <v/>
      </c>
      <c r="G704" t="str">
        <f t="shared" ca="1" si="1"/>
        <v/>
      </c>
      <c r="H704" t="str">
        <f t="shared" ca="1" si="1"/>
        <v/>
      </c>
      <c r="I704" t="str">
        <f t="shared" ca="1" si="1"/>
        <v/>
      </c>
      <c r="J704" s="14" t="str">
        <f t="shared" ca="1" si="1"/>
        <v/>
      </c>
      <c r="K704" s="14" t="str">
        <f t="shared" ca="1" si="1"/>
        <v/>
      </c>
    </row>
    <row r="705" spans="1:11">
      <c r="A705" s="865">
        <f t="shared" ca="1" si="0"/>
        <v>1</v>
      </c>
      <c r="B705">
        <v>13</v>
      </c>
      <c r="C705" t="str">
        <f t="shared" ca="1" si="1"/>
        <v/>
      </c>
      <c r="D705" t="str">
        <f t="shared" ca="1" si="1"/>
        <v/>
      </c>
      <c r="E705" t="str">
        <f t="shared" ca="1" si="1"/>
        <v/>
      </c>
      <c r="F705" s="14" t="str">
        <f t="shared" ca="1" si="1"/>
        <v/>
      </c>
      <c r="G705" t="str">
        <f t="shared" ca="1" si="1"/>
        <v/>
      </c>
      <c r="H705" t="str">
        <f t="shared" ca="1" si="1"/>
        <v/>
      </c>
      <c r="I705" t="str">
        <f t="shared" ca="1" si="1"/>
        <v/>
      </c>
      <c r="J705" s="14" t="str">
        <f t="shared" ca="1" si="1"/>
        <v/>
      </c>
      <c r="K705" s="14" t="str">
        <f t="shared" ca="1" si="1"/>
        <v/>
      </c>
    </row>
    <row r="706" spans="1:11">
      <c r="A706" s="865">
        <f t="shared" ca="1" si="0"/>
        <v>1</v>
      </c>
      <c r="B706">
        <v>14</v>
      </c>
      <c r="C706" t="str">
        <f t="shared" ca="1" si="1"/>
        <v/>
      </c>
      <c r="D706" t="str">
        <f t="shared" ca="1" si="1"/>
        <v/>
      </c>
      <c r="E706" t="str">
        <f t="shared" ca="1" si="1"/>
        <v/>
      </c>
      <c r="F706" s="14" t="str">
        <f t="shared" ca="1" si="1"/>
        <v/>
      </c>
      <c r="G706" t="str">
        <f t="shared" ca="1" si="1"/>
        <v/>
      </c>
      <c r="H706" t="str">
        <f t="shared" ca="1" si="1"/>
        <v/>
      </c>
      <c r="I706" t="str">
        <f t="shared" ca="1" si="1"/>
        <v/>
      </c>
      <c r="J706" s="14" t="str">
        <f t="shared" ca="1" si="1"/>
        <v/>
      </c>
      <c r="K706" s="14" t="str">
        <f t="shared" ca="1" si="1"/>
        <v/>
      </c>
    </row>
    <row r="707" spans="1:11" ht="16.5" customHeight="1">
      <c r="A707" s="865">
        <f t="shared" ca="1" si="0"/>
        <v>1</v>
      </c>
      <c r="B707">
        <v>15</v>
      </c>
      <c r="C707" t="str">
        <f t="shared" ca="1" si="1"/>
        <v/>
      </c>
      <c r="D707" t="str">
        <f t="shared" ca="1" si="1"/>
        <v/>
      </c>
      <c r="E707" t="str">
        <f t="shared" ca="1" si="1"/>
        <v/>
      </c>
      <c r="F707" s="14" t="str">
        <f t="shared" ca="1" si="1"/>
        <v/>
      </c>
      <c r="G707" t="str">
        <f t="shared" ca="1" si="1"/>
        <v/>
      </c>
      <c r="H707" t="str">
        <f t="shared" ca="1" si="1"/>
        <v/>
      </c>
      <c r="I707" t="str">
        <f t="shared" ca="1" si="1"/>
        <v/>
      </c>
      <c r="J707" s="14" t="str">
        <f t="shared" ca="1" si="1"/>
        <v/>
      </c>
      <c r="K707" s="14" t="str">
        <f t="shared" ca="1" si="1"/>
        <v/>
      </c>
    </row>
    <row r="708" spans="1:11">
      <c r="A708" s="1" t="s">
        <v>2280</v>
      </c>
      <c r="F708" s="14"/>
      <c r="J708" s="14"/>
      <c r="K708" s="14"/>
    </row>
    <row r="710" spans="1:11">
      <c r="A710" s="315" t="s">
        <v>2281</v>
      </c>
    </row>
    <row r="711" spans="1:11">
      <c r="A711" s="195" t="str">
        <f ca="1">IF(C711="","",MAX(A709:A$709)+1)</f>
        <v/>
      </c>
      <c r="B711" t="s">
        <v>2282</v>
      </c>
      <c r="C711" t="str">
        <f ca="1">CONCATENATE('Contact Summary'!B5)</f>
        <v/>
      </c>
      <c r="D711" t="str">
        <f ca="1">CONCATENATE('Contact Summary'!C5)</f>
        <v/>
      </c>
      <c r="E711" t="str">
        <f ca="1">CONCATENATE('Contact Summary'!D5)</f>
        <v/>
      </c>
      <c r="F711" t="str">
        <f ca="1">CONCATENATE('Contact Summary'!E5)</f>
        <v/>
      </c>
      <c r="G711" t="str">
        <f ca="1">CONCATENATE('Contact Summary'!F5)</f>
        <v/>
      </c>
      <c r="H711" t="str">
        <f ca="1">CONCATENATE('Contact Summary'!I5)</f>
        <v/>
      </c>
      <c r="I711" t="str">
        <f ca="1">CONCATENATE('Contact Summary'!J5)</f>
        <v/>
      </c>
      <c r="J711" t="s">
        <v>2282</v>
      </c>
      <c r="K711" t="s">
        <v>2283</v>
      </c>
    </row>
    <row r="712" spans="1:11">
      <c r="A712" s="195" t="str">
        <f ca="1">IF(C712="","",MAX(A$711:A711)+1)</f>
        <v/>
      </c>
      <c r="B712" t="s">
        <v>2254</v>
      </c>
      <c r="C712" t="str">
        <f ca="1">CONCATENATE('Contact Summary'!B6)</f>
        <v/>
      </c>
      <c r="D712" t="str">
        <f ca="1">CONCATENATE('Contact Summary'!C6)</f>
        <v/>
      </c>
      <c r="E712" t="str">
        <f ca="1">CONCATENATE('Contact Summary'!D6)</f>
        <v/>
      </c>
      <c r="F712" t="str">
        <f ca="1">CONCATENATE('Contact Summary'!E6)</f>
        <v/>
      </c>
      <c r="G712" t="str">
        <f ca="1">CONCATENATE('Contact Summary'!F6)</f>
        <v/>
      </c>
      <c r="H712" t="str">
        <f ca="1">CONCATENATE('Contact Summary'!I6)</f>
        <v/>
      </c>
      <c r="I712" t="str">
        <f ca="1">CONCATENATE('Contact Summary'!J6)</f>
        <v/>
      </c>
      <c r="J712" t="s">
        <v>2254</v>
      </c>
      <c r="K712" t="s">
        <v>2283</v>
      </c>
    </row>
    <row r="713" spans="1:11">
      <c r="A713" s="195" t="str">
        <f ca="1">IF(C713="","",MAX(A$709:A712)+1)</f>
        <v/>
      </c>
      <c r="B713" t="s">
        <v>2284</v>
      </c>
      <c r="C713" t="str">
        <f ca="1">CONCATENATE('Contact Summary'!B7)</f>
        <v/>
      </c>
      <c r="D713" t="str">
        <f ca="1">CONCATENATE('Contact Summary'!C7)</f>
        <v/>
      </c>
      <c r="E713" t="str">
        <f ca="1">CONCATENATE('Contact Summary'!D7)</f>
        <v/>
      </c>
      <c r="F713" t="str">
        <f ca="1">CONCATENATE('Contact Summary'!E7)</f>
        <v/>
      </c>
      <c r="G713" t="str">
        <f ca="1">CONCATENATE('Contact Summary'!F7)</f>
        <v/>
      </c>
      <c r="H713" t="str">
        <f ca="1">CONCATENATE('Contact Summary'!I7)</f>
        <v/>
      </c>
      <c r="I713" t="str">
        <f ca="1">CONCATENATE('Contact Summary'!J7)</f>
        <v/>
      </c>
      <c r="J713" t="s">
        <v>150</v>
      </c>
      <c r="K713" t="s">
        <v>2283</v>
      </c>
    </row>
    <row r="714" spans="1:11">
      <c r="A714" s="195" t="str">
        <f ca="1">IF(C714="","",MAX(A$709:A713)+1)</f>
        <v/>
      </c>
      <c r="B714" t="s">
        <v>2285</v>
      </c>
      <c r="C714" t="str">
        <f ca="1">CONCATENATE('Contact Summary'!B10)</f>
        <v/>
      </c>
      <c r="D714" t="str">
        <f ca="1">CONCATENATE('Contact Summary'!C10)</f>
        <v/>
      </c>
      <c r="E714" t="str">
        <f ca="1">CONCATENATE('Contact Summary'!D10)</f>
        <v/>
      </c>
      <c r="F714" t="str">
        <f ca="1">CONCATENATE('Contact Summary'!E10)</f>
        <v/>
      </c>
      <c r="G714" t="str">
        <f ca="1">CONCATENATE('Contact Summary'!F10)</f>
        <v/>
      </c>
      <c r="H714" t="str">
        <f ca="1">CONCATENATE('Contact Summary'!I10)</f>
        <v/>
      </c>
      <c r="I714" t="str">
        <f ca="1">CONCATENATE('Contact Summary'!J10)</f>
        <v/>
      </c>
      <c r="J714" t="s">
        <v>2286</v>
      </c>
      <c r="K714" t="s">
        <v>2283</v>
      </c>
    </row>
    <row r="715" spans="1:11">
      <c r="A715" s="195" t="str">
        <f ca="1">IF(C715="","",MAX(A$709:A714)+1)</f>
        <v/>
      </c>
      <c r="B715" t="s">
        <v>2287</v>
      </c>
      <c r="C715" t="str">
        <f ca="1">CONCATENATE('Contact Summary'!B12)</f>
        <v/>
      </c>
      <c r="D715" t="str">
        <f ca="1">CONCATENATE('Contact Summary'!C12)</f>
        <v/>
      </c>
      <c r="E715" t="str">
        <f ca="1">CONCATENATE('Contact Summary'!D12)</f>
        <v/>
      </c>
      <c r="F715" t="str">
        <f ca="1">CONCATENATE('Contact Summary'!E12)</f>
        <v/>
      </c>
      <c r="G715" t="str">
        <f ca="1">CONCATENATE('Contact Summary'!F12)</f>
        <v/>
      </c>
      <c r="H715" t="str">
        <f ca="1">CONCATENATE('Contact Summary'!I12)</f>
        <v/>
      </c>
      <c r="I715" t="str">
        <f ca="1">CONCATENATE('Contact Summary'!J12)</f>
        <v/>
      </c>
      <c r="J715" t="s">
        <v>177</v>
      </c>
      <c r="K715" t="s">
        <v>2283</v>
      </c>
    </row>
    <row r="716" spans="1:11">
      <c r="A716" s="195" t="str">
        <f ca="1">IF(C716="","",MAX(A$709:A715)+1)</f>
        <v/>
      </c>
      <c r="B716" t="s">
        <v>2288</v>
      </c>
      <c r="C716" t="str">
        <f ca="1">CONCATENATE('Contact Summary'!B13)</f>
        <v/>
      </c>
      <c r="D716" t="str">
        <f ca="1">CONCATENATE('Contact Summary'!C13)</f>
        <v/>
      </c>
      <c r="E716" t="str">
        <f ca="1">CONCATENATE('Contact Summary'!D13)</f>
        <v/>
      </c>
      <c r="F716" t="str">
        <f ca="1">CONCATENATE('Contact Summary'!E13)</f>
        <v/>
      </c>
      <c r="G716" t="str">
        <f ca="1">CONCATENATE('Contact Summary'!F13)</f>
        <v/>
      </c>
      <c r="H716" t="str">
        <f ca="1">CONCATENATE('Contact Summary'!I13)</f>
        <v/>
      </c>
      <c r="I716" t="str">
        <f ca="1">CONCATENATE('Contact Summary'!J13)</f>
        <v/>
      </c>
      <c r="J716" t="s">
        <v>2289</v>
      </c>
      <c r="K716" t="s">
        <v>2283</v>
      </c>
    </row>
    <row r="717" spans="1:11">
      <c r="A717" s="195" t="str">
        <f ca="1">IF(C717="","",MAX(A$709:A716)+1)</f>
        <v/>
      </c>
      <c r="B717" t="s">
        <v>2290</v>
      </c>
      <c r="C717" t="str">
        <f ca="1">CONCATENATE('Contact Summary'!B15)</f>
        <v/>
      </c>
      <c r="D717" t="str">
        <f ca="1">CONCATENATE('Contact Summary'!C15)</f>
        <v/>
      </c>
      <c r="E717" t="str">
        <f ca="1">CONCATENATE('Contact Summary'!D15)</f>
        <v/>
      </c>
      <c r="F717" t="str">
        <f ca="1">CONCATENATE('Contact Summary'!E15)</f>
        <v/>
      </c>
      <c r="G717" t="str">
        <f ca="1">CONCATENATE('Contact Summary'!F15)</f>
        <v/>
      </c>
      <c r="H717" t="str">
        <f ca="1">CONCATENATE('Contact Summary'!I15)</f>
        <v/>
      </c>
      <c r="I717" t="str">
        <f ca="1">CONCATENATE('Contact Summary'!J15)</f>
        <v/>
      </c>
      <c r="J717" t="s">
        <v>2290</v>
      </c>
      <c r="K717" t="s">
        <v>2283</v>
      </c>
    </row>
    <row r="718" spans="1:11">
      <c r="A718" s="195" t="str">
        <f ca="1">IF(C718="","",MAX(A$709:A717)+1)</f>
        <v/>
      </c>
      <c r="B718" t="s">
        <v>2291</v>
      </c>
      <c r="C718" t="str">
        <f ca="1">CONCATENATE('Contact Summary'!B18)</f>
        <v/>
      </c>
      <c r="D718" t="str">
        <f ca="1">CONCATENATE('Contact Summary'!C18)</f>
        <v/>
      </c>
      <c r="E718" t="str">
        <f ca="1">CONCATENATE('Contact Summary'!D18)</f>
        <v/>
      </c>
      <c r="F718" t="str">
        <f ca="1">CONCATENATE('Contact Summary'!E18)</f>
        <v/>
      </c>
      <c r="G718" t="str">
        <f ca="1">CONCATENATE('Contact Summary'!F18)</f>
        <v/>
      </c>
      <c r="H718" t="str">
        <f ca="1">CONCATENATE('Contact Summary'!I18)</f>
        <v/>
      </c>
      <c r="I718" t="str">
        <f ca="1">CONCATENATE('Contact Summary'!J18)</f>
        <v/>
      </c>
      <c r="J718" t="s">
        <v>2292</v>
      </c>
      <c r="K718" t="s">
        <v>2283</v>
      </c>
    </row>
    <row r="719" spans="1:11">
      <c r="A719" s="195" t="str">
        <f ca="1">IF(C719="","",MAX(A$709:A718)+1)</f>
        <v/>
      </c>
      <c r="B719" t="s">
        <v>2293</v>
      </c>
      <c r="C719" t="str">
        <f ca="1">CONCATENATE('Contact Summary'!B19)</f>
        <v/>
      </c>
      <c r="D719" t="str">
        <f ca="1">CONCATENATE('Contact Summary'!C19)</f>
        <v/>
      </c>
      <c r="E719" t="str">
        <f ca="1">CONCATENATE('Contact Summary'!D19)</f>
        <v/>
      </c>
      <c r="F719" t="str">
        <f ca="1">CONCATENATE('Contact Summary'!E19)</f>
        <v/>
      </c>
      <c r="G719" t="str">
        <f ca="1">CONCATENATE('Contact Summary'!F19)</f>
        <v/>
      </c>
      <c r="H719" t="str">
        <f ca="1">CONCATENATE('Contact Summary'!I19)</f>
        <v/>
      </c>
      <c r="I719" t="str">
        <f ca="1">CONCATENATE('Contact Summary'!J19)</f>
        <v/>
      </c>
      <c r="J719" t="s">
        <v>2294</v>
      </c>
      <c r="K719" t="s">
        <v>2283</v>
      </c>
    </row>
    <row r="720" spans="1:11">
      <c r="A720" s="195" t="str">
        <f ca="1">IF(C720="","",MAX(A$709:A719)+1)</f>
        <v/>
      </c>
      <c r="B720" t="s">
        <v>2295</v>
      </c>
      <c r="C720" t="str">
        <f ca="1">CONCATENATE('Contact Summary'!B20)</f>
        <v/>
      </c>
      <c r="D720" t="str">
        <f ca="1">CONCATENATE('Contact Summary'!C20)</f>
        <v/>
      </c>
      <c r="E720" t="str">
        <f ca="1">CONCATENATE('Contact Summary'!D20)</f>
        <v/>
      </c>
      <c r="F720" t="str">
        <f ca="1">CONCATENATE('Contact Summary'!E20)</f>
        <v/>
      </c>
      <c r="G720" t="str">
        <f ca="1">CONCATENATE('Contact Summary'!F20)</f>
        <v/>
      </c>
      <c r="H720" t="str">
        <f ca="1">CONCATENATE('Contact Summary'!I20)</f>
        <v/>
      </c>
      <c r="I720" t="str">
        <f ca="1">CONCATENATE('Contact Summary'!J20)</f>
        <v/>
      </c>
      <c r="J720" t="s">
        <v>2296</v>
      </c>
      <c r="K720" t="s">
        <v>2283</v>
      </c>
    </row>
    <row r="721" spans="1:11">
      <c r="A721" s="195" t="str">
        <f ca="1">IF(C721="","",MAX(A$709:A720)+1)</f>
        <v/>
      </c>
      <c r="B721" t="s">
        <v>2297</v>
      </c>
      <c r="C721" t="str">
        <f ca="1">CONCATENATE('Contact Summary'!B21)</f>
        <v/>
      </c>
      <c r="D721" t="str">
        <f ca="1">CONCATENATE('Contact Summary'!C21)</f>
        <v/>
      </c>
      <c r="E721" t="str">
        <f ca="1">CONCATENATE('Contact Summary'!D21)</f>
        <v/>
      </c>
      <c r="F721" t="str">
        <f ca="1">CONCATENATE('Contact Summary'!E21)</f>
        <v/>
      </c>
      <c r="G721" t="str">
        <f ca="1">CONCATENATE('Contact Summary'!F21)</f>
        <v/>
      </c>
      <c r="H721" t="str">
        <f ca="1">CONCATENATE('Contact Summary'!I21)</f>
        <v/>
      </c>
      <c r="I721" t="str">
        <f ca="1">CONCATENATE('Contact Summary'!J21)</f>
        <v/>
      </c>
      <c r="J721" t="s">
        <v>185</v>
      </c>
      <c r="K721" t="s">
        <v>2283</v>
      </c>
    </row>
    <row r="722" spans="1:11">
      <c r="A722" s="195" t="str">
        <f ca="1">IF(C722="","",MAX(A$709:A721)+1)</f>
        <v/>
      </c>
      <c r="B722" t="s">
        <v>2258</v>
      </c>
      <c r="C722" t="str">
        <f ca="1">CONCATENATE('Contact Summary'!B23)</f>
        <v/>
      </c>
      <c r="D722" t="str">
        <f ca="1">CONCATENATE('Contact Summary'!C23)</f>
        <v/>
      </c>
      <c r="E722" t="str">
        <f ca="1">CONCATENATE('Contact Summary'!D23)</f>
        <v/>
      </c>
      <c r="F722" t="str">
        <f ca="1">CONCATENATE('Contact Summary'!E23)</f>
        <v/>
      </c>
      <c r="G722" t="str">
        <f ca="1">CONCATENATE('Contact Summary'!F23)</f>
        <v/>
      </c>
      <c r="H722" t="str">
        <f ca="1">CONCATENATE('Contact Summary'!I23)</f>
        <v/>
      </c>
      <c r="I722" t="str">
        <f ca="1">CONCATENATE('Contact Summary'!J23)</f>
        <v/>
      </c>
      <c r="J722" t="s">
        <v>187</v>
      </c>
      <c r="K722" t="s">
        <v>2283</v>
      </c>
    </row>
    <row r="723" spans="1:11">
      <c r="A723" s="195" t="str">
        <f ca="1">IF(C723="","",MAX(A$709:A722)+1)</f>
        <v/>
      </c>
      <c r="B723" t="s">
        <v>2298</v>
      </c>
      <c r="C723" t="str">
        <f ca="1">CONCATENATE('Contact Summary'!B24)</f>
        <v/>
      </c>
      <c r="D723" t="str">
        <f ca="1">CONCATENATE('Contact Summary'!C24)</f>
        <v/>
      </c>
      <c r="E723" t="str">
        <f ca="1">CONCATENATE('Contact Summary'!D24)</f>
        <v/>
      </c>
      <c r="F723" t="str">
        <f ca="1">CONCATENATE('Contact Summary'!E24)</f>
        <v/>
      </c>
      <c r="G723" t="str">
        <f ca="1">CONCATENATE('Contact Summary'!F24)</f>
        <v/>
      </c>
      <c r="H723" t="str">
        <f ca="1">CONCATENATE('Contact Summary'!I24)</f>
        <v/>
      </c>
      <c r="I723" t="str">
        <f ca="1">CONCATENATE('Contact Summary'!J24)</f>
        <v/>
      </c>
      <c r="J723" t="s">
        <v>2299</v>
      </c>
      <c r="K723" t="s">
        <v>2283</v>
      </c>
    </row>
    <row r="724" spans="1:11">
      <c r="A724" s="195" t="str">
        <f ca="1">IF(C724="","",MAX(A$709:A723)+1)</f>
        <v/>
      </c>
      <c r="B724" t="s">
        <v>2300</v>
      </c>
      <c r="C724" t="str">
        <f ca="1">CONCATENATE('Contact Summary'!B25)</f>
        <v/>
      </c>
      <c r="D724" t="str">
        <f ca="1">CONCATENATE('Contact Summary'!C25)</f>
        <v/>
      </c>
      <c r="E724" t="str">
        <f ca="1">CONCATENATE('Contact Summary'!D25)</f>
        <v/>
      </c>
      <c r="F724" t="str">
        <f ca="1">CONCATENATE('Contact Summary'!E25)</f>
        <v/>
      </c>
      <c r="G724" t="str">
        <f ca="1">CONCATENATE('Contact Summary'!F25)</f>
        <v/>
      </c>
      <c r="H724" t="str">
        <f ca="1">CONCATENATE('Contact Summary'!I25)</f>
        <v/>
      </c>
      <c r="I724" t="str">
        <f ca="1">CONCATENATE('Contact Summary'!J25)</f>
        <v/>
      </c>
      <c r="J724" t="s">
        <v>2254</v>
      </c>
      <c r="K724" t="s">
        <v>2283</v>
      </c>
    </row>
    <row r="725" spans="1:11">
      <c r="A725" s="195" t="str">
        <f>IF(C725="","",MAX(A$709:A724)+1)</f>
        <v/>
      </c>
      <c r="B725" t="s">
        <v>2301</v>
      </c>
      <c r="C725" t="str">
        <f>CONCATENATE('Contact Summary'!B26)</f>
        <v/>
      </c>
      <c r="D725" t="str">
        <f>CONCATENATE('Contact Summary'!C26)</f>
        <v/>
      </c>
      <c r="E725" t="str">
        <f>CONCATENATE('Contact Summary'!D26)</f>
        <v/>
      </c>
      <c r="F725" t="str">
        <f>CONCATENATE('Contact Summary'!E26)</f>
        <v/>
      </c>
      <c r="G725" t="str">
        <f>CONCATENATE('Contact Summary'!F26)</f>
        <v/>
      </c>
      <c r="H725" t="str">
        <f>CONCATENATE('Contact Summary'!I26)</f>
        <v/>
      </c>
      <c r="I725" t="str">
        <f>CONCATENATE('Contact Summary'!J26)</f>
        <v/>
      </c>
      <c r="J725" t="s">
        <v>190</v>
      </c>
      <c r="K725" t="s">
        <v>2283</v>
      </c>
    </row>
    <row r="726" spans="1:11" s="321" customFormat="1">
      <c r="A726" s="866"/>
      <c r="B726" s="866"/>
      <c r="C726" s="866"/>
      <c r="D726" s="866"/>
      <c r="E726" s="866"/>
      <c r="F726" s="866"/>
      <c r="G726" s="866"/>
      <c r="H726" s="866"/>
      <c r="I726" s="866"/>
      <c r="J726" s="866"/>
      <c r="K726" s="866"/>
    </row>
    <row r="731" spans="1:11">
      <c r="A731" t="str">
        <f>'Contact Summary'!A44</f>
        <v xml:space="preserve">Has the applicant, or other principals of the development's ownership entity, previously received tax credits in Colorado? </v>
      </c>
      <c r="B731" t="s">
        <v>2302</v>
      </c>
      <c r="C731" t="b">
        <f>'Contact Information'!B25= "Yes"</f>
        <v>0</v>
      </c>
      <c r="D731" t="s">
        <v>2303</v>
      </c>
    </row>
    <row r="732" spans="1:11">
      <c r="A732" t="str">
        <f>'Contact Summary'!A49</f>
        <v>Has the applicant, or other principals of the development's ownership entity, previously received tax credits in other states?</v>
      </c>
      <c r="B732" t="s">
        <v>2304</v>
      </c>
      <c r="C732" t="b">
        <f>'Contact Information'!B27 = "Yes"</f>
        <v>0</v>
      </c>
      <c r="D732" t="s">
        <v>2305</v>
      </c>
    </row>
    <row r="733" spans="1:11">
      <c r="A733" t="s">
        <v>2306</v>
      </c>
      <c r="B733" t="s">
        <v>2307</v>
      </c>
      <c r="C733" s="321" t="b">
        <f>'Contact Information'!B345="Bonds are Private Placement"</f>
        <v>0</v>
      </c>
      <c r="D733" t="s">
        <v>2308</v>
      </c>
    </row>
    <row r="734" spans="1:11">
      <c r="A734" t="s">
        <v>2309</v>
      </c>
      <c r="B734" t="s">
        <v>2310</v>
      </c>
      <c r="C734" s="321" t="b">
        <f>'Contact Information'!B345="Bonds are Public Placement"</f>
        <v>0</v>
      </c>
      <c r="D734" t="s">
        <v>2311</v>
      </c>
    </row>
    <row r="735" spans="1:11">
      <c r="A735" t="s">
        <v>2312</v>
      </c>
      <c r="B735" t="s">
        <v>2313</v>
      </c>
      <c r="C735" t="str">
        <f>CONCATENATE('Contact Summary'!B30)</f>
        <v/>
      </c>
      <c r="D735" t="s">
        <v>2314</v>
      </c>
    </row>
    <row r="736" spans="1:11">
      <c r="A736" t="s">
        <v>2315</v>
      </c>
      <c r="B736" t="s">
        <v>2316</v>
      </c>
      <c r="C736" s="321" t="str">
        <f>CONCATENATE('Contact Summary'!G30, " ", 'Contact Summary'!H30)</f>
        <v xml:space="preserve"> </v>
      </c>
      <c r="D736" t="s">
        <v>2317</v>
      </c>
    </row>
    <row r="737" spans="1:4">
      <c r="A737" t="s">
        <v>2273</v>
      </c>
      <c r="B737" t="s">
        <v>2318</v>
      </c>
      <c r="C737" t="str">
        <f>CONCATENATE('Contact Summary'!C30)</f>
        <v/>
      </c>
      <c r="D737" t="s">
        <v>2319</v>
      </c>
    </row>
    <row r="738" spans="1:4">
      <c r="A738" t="s">
        <v>121</v>
      </c>
      <c r="B738" t="s">
        <v>2320</v>
      </c>
      <c r="C738" t="str">
        <f>CONCATENATE('Contact Summary'!D30)</f>
        <v/>
      </c>
      <c r="D738" t="s">
        <v>2321</v>
      </c>
    </row>
    <row r="739" spans="1:4">
      <c r="A739" t="s">
        <v>2322</v>
      </c>
      <c r="B739" t="s">
        <v>2323</v>
      </c>
      <c r="C739" t="str">
        <f>CONCATENATE('Contact Summary'!F30)</f>
        <v/>
      </c>
      <c r="D739" t="s">
        <v>2324</v>
      </c>
    </row>
    <row r="740" spans="1:4">
      <c r="A740" t="s">
        <v>2325</v>
      </c>
      <c r="B740" t="s">
        <v>2326</v>
      </c>
      <c r="C740" t="str">
        <f>CONCATENATE('Contact Summary'!I30)</f>
        <v/>
      </c>
      <c r="D740" t="s">
        <v>2327</v>
      </c>
    </row>
    <row r="741" spans="1:4">
      <c r="A741" t="s">
        <v>2328</v>
      </c>
      <c r="C741" t="str">
        <f>CONCATENATE('Contact Summary'!E30)</f>
        <v/>
      </c>
    </row>
    <row r="742" spans="1:4">
      <c r="A742" t="s">
        <v>2329</v>
      </c>
      <c r="C742" t="str">
        <f>CONCATENATE('Contact Summary'!J30)</f>
        <v/>
      </c>
    </row>
    <row r="743" spans="1:4">
      <c r="A743" t="s">
        <v>2330</v>
      </c>
      <c r="B743" t="s">
        <v>2331</v>
      </c>
      <c r="C743" t="str">
        <f ca="1">CONCATENATE('Contact Summary'!B34)</f>
        <v/>
      </c>
      <c r="D743" t="s">
        <v>2332</v>
      </c>
    </row>
    <row r="744" spans="1:4">
      <c r="A744" t="s">
        <v>2315</v>
      </c>
      <c r="B744" t="s">
        <v>2333</v>
      </c>
      <c r="C744" s="321" t="str">
        <f ca="1">CONCATENATE('Contact Summary'!G34, " ", 'Contact Summary'!H34)</f>
        <v xml:space="preserve"> </v>
      </c>
      <c r="D744" t="s">
        <v>2334</v>
      </c>
    </row>
    <row r="745" spans="1:4">
      <c r="A745" t="s">
        <v>2273</v>
      </c>
      <c r="B745" t="s">
        <v>2335</v>
      </c>
      <c r="C745" t="str">
        <f ca="1">CONCATENATE('Contact Summary'!C34)</f>
        <v/>
      </c>
      <c r="D745" t="s">
        <v>2336</v>
      </c>
    </row>
    <row r="746" spans="1:4">
      <c r="A746" t="s">
        <v>2337</v>
      </c>
      <c r="B746" t="s">
        <v>2338</v>
      </c>
      <c r="C746" t="str">
        <f ca="1">CONCATENATE('Contact Summary'!D34)</f>
        <v/>
      </c>
      <c r="D746" t="s">
        <v>2339</v>
      </c>
    </row>
    <row r="747" spans="1:4">
      <c r="A747" t="s">
        <v>2322</v>
      </c>
      <c r="B747" t="s">
        <v>2340</v>
      </c>
      <c r="C747" t="str">
        <f ca="1">CONCATENATE('Contact Summary'!F34)</f>
        <v/>
      </c>
      <c r="D747" t="s">
        <v>2341</v>
      </c>
    </row>
    <row r="748" spans="1:4">
      <c r="A748" t="s">
        <v>2342</v>
      </c>
      <c r="B748" t="s">
        <v>2343</v>
      </c>
      <c r="C748" t="str">
        <f ca="1">CONCATENATE('Contact Summary'!I34)</f>
        <v/>
      </c>
      <c r="D748" t="s">
        <v>2344</v>
      </c>
    </row>
    <row r="749" spans="1:4">
      <c r="A749" t="s">
        <v>122</v>
      </c>
      <c r="C749" t="str">
        <f ca="1">CONCATENATE('Contact Summary'!E34)</f>
        <v/>
      </c>
    </row>
    <row r="750" spans="1:4">
      <c r="A750" t="s">
        <v>118</v>
      </c>
      <c r="C750" t="str">
        <f ca="1">CONCATENATE('Contact Summary'!J34)</f>
        <v/>
      </c>
    </row>
    <row r="751" spans="1:4">
      <c r="A751" t="s">
        <v>2345</v>
      </c>
      <c r="B751" t="s">
        <v>2346</v>
      </c>
      <c r="C751" s="321" t="str">
        <f>CONCATENATE('Contact Summary'!G31, " ", 'Contact Summary'!H31)</f>
        <v xml:space="preserve"> </v>
      </c>
    </row>
    <row r="752" spans="1:4">
      <c r="A752" t="s">
        <v>2347</v>
      </c>
      <c r="C752" s="321" t="str">
        <f>CONCATENATE('Contact Summary'!J31)</f>
        <v/>
      </c>
    </row>
    <row r="753" spans="1:20">
      <c r="A753" t="s">
        <v>1060</v>
      </c>
      <c r="B753" t="s">
        <v>2348</v>
      </c>
      <c r="C753">
        <f>Calculations!L263</f>
        <v>0</v>
      </c>
      <c r="D753" t="s">
        <v>2349</v>
      </c>
    </row>
    <row r="754" spans="1:20">
      <c r="A754" t="s">
        <v>2350</v>
      </c>
      <c r="B754" t="s">
        <v>2351</v>
      </c>
      <c r="C754">
        <f>Calculations!B25</f>
        <v>0</v>
      </c>
      <c r="D754" t="s">
        <v>2352</v>
      </c>
    </row>
    <row r="755" spans="1:20">
      <c r="A755" t="s">
        <v>223</v>
      </c>
      <c r="C755" s="890" t="str">
        <f>Application!B11</f>
        <v/>
      </c>
    </row>
    <row r="756" spans="1:20">
      <c r="A756" t="s">
        <v>229</v>
      </c>
      <c r="B756" t="s">
        <v>2353</v>
      </c>
      <c r="C756">
        <f>Application!B16</f>
        <v>0</v>
      </c>
      <c r="D756" t="s">
        <v>2354</v>
      </c>
      <c r="E756" t="s">
        <v>2355</v>
      </c>
    </row>
    <row r="757" spans="1:20" s="71" customFormat="1">
      <c r="A757" t="s">
        <v>398</v>
      </c>
      <c r="B757" t="s">
        <v>2356</v>
      </c>
      <c r="C757" s="321">
        <f>Financing!B39</f>
        <v>0</v>
      </c>
      <c r="D757" s="321" t="s">
        <v>2357</v>
      </c>
      <c r="E757"/>
      <c r="F757"/>
      <c r="G757"/>
      <c r="H757"/>
      <c r="I757"/>
      <c r="J757"/>
      <c r="K757"/>
      <c r="L757"/>
      <c r="M757"/>
      <c r="N757"/>
      <c r="O757"/>
      <c r="P757"/>
      <c r="Q757"/>
      <c r="R757"/>
      <c r="S757"/>
      <c r="T757"/>
    </row>
    <row r="758" spans="1:20" s="71" customFormat="1">
      <c r="A758" t="s">
        <v>841</v>
      </c>
      <c r="B758"/>
      <c r="C758" t="str">
        <f>CONCATENATE('Contact Summary'!G32, " ", 'Contact Summary'!H32)</f>
        <v xml:space="preserve"> </v>
      </c>
      <c r="D758"/>
      <c r="E758"/>
      <c r="F758"/>
      <c r="G758"/>
      <c r="H758"/>
      <c r="I758"/>
      <c r="J758"/>
      <c r="K758"/>
      <c r="L758"/>
      <c r="M758"/>
      <c r="N758"/>
      <c r="O758"/>
      <c r="P758"/>
      <c r="Q758"/>
      <c r="R758"/>
      <c r="S758"/>
      <c r="T758"/>
    </row>
    <row r="759" spans="1:20" s="18" customFormat="1">
      <c r="A759" t="s">
        <v>2358</v>
      </c>
      <c r="B759"/>
      <c r="C759" s="18" t="str">
        <f>CONCATENATE('Contact Summary'!J32)</f>
        <v/>
      </c>
    </row>
    <row r="760" spans="1:20">
      <c r="A760" t="s">
        <v>2359</v>
      </c>
      <c r="B760" t="s">
        <v>2360</v>
      </c>
      <c r="C760">
        <f>Calculations!B356</f>
        <v>0</v>
      </c>
      <c r="D760" t="s">
        <v>2361</v>
      </c>
    </row>
    <row r="761" spans="1:20">
      <c r="A761" t="s">
        <v>2362</v>
      </c>
      <c r="B761" t="s">
        <v>2363</v>
      </c>
      <c r="C761">
        <f>Calculations!B357</f>
        <v>0</v>
      </c>
      <c r="D761" t="s">
        <v>2364</v>
      </c>
    </row>
    <row r="762" spans="1:20">
      <c r="A762" t="s">
        <v>988</v>
      </c>
      <c r="B762" t="s">
        <v>2365</v>
      </c>
      <c r="C762">
        <f>Calculations!B358</f>
        <v>0</v>
      </c>
      <c r="D762" t="s">
        <v>2366</v>
      </c>
    </row>
    <row r="763" spans="1:20">
      <c r="A763" t="s">
        <v>586</v>
      </c>
      <c r="B763" t="s">
        <v>2367</v>
      </c>
      <c r="C763">
        <f>'Proforma, Income &amp; Expense'!B18</f>
        <v>0</v>
      </c>
      <c r="D763" t="s">
        <v>2368</v>
      </c>
    </row>
    <row r="766" spans="1:20">
      <c r="A766" t="s">
        <v>2369</v>
      </c>
      <c r="B766" t="s">
        <v>2370</v>
      </c>
      <c r="C766" t="e">
        <f>IF($E$766=2, Calculations!$H$44, 0)</f>
        <v>#N/A</v>
      </c>
      <c r="D766" t="s">
        <v>2371</v>
      </c>
      <c r="E766" t="e">
        <f>MATCH(Application!$B$9, Developer_Additional_Question_Table[Developer Additional Question], 0)</f>
        <v>#N/A</v>
      </c>
      <c r="F766" s="302" t="s">
        <v>2372</v>
      </c>
    </row>
    <row r="767" spans="1:20">
      <c r="A767" t="s">
        <v>2373</v>
      </c>
      <c r="B767" t="s">
        <v>2374</v>
      </c>
      <c r="C767" t="e">
        <f>IF($E$766=2, Calculations!$B$398, 0)</f>
        <v>#N/A</v>
      </c>
      <c r="D767" t="s">
        <v>2375</v>
      </c>
      <c r="E767" t="s">
        <v>2376</v>
      </c>
    </row>
    <row r="768" spans="1:20">
      <c r="A768" t="s">
        <v>2377</v>
      </c>
      <c r="B768" t="s">
        <v>2378</v>
      </c>
      <c r="C768" t="e">
        <f>IF($E$766=1, Calculations!$H$44, 0)</f>
        <v>#N/A</v>
      </c>
      <c r="D768" t="s">
        <v>2379</v>
      </c>
    </row>
    <row r="769" spans="1:5">
      <c r="A769" t="s">
        <v>2380</v>
      </c>
      <c r="B769" t="s">
        <v>2381</v>
      </c>
      <c r="C769" s="70" t="e">
        <f>IF($E$766=1, Calculations!$B$398, 0)</f>
        <v>#N/A</v>
      </c>
      <c r="D769" t="s">
        <v>2382</v>
      </c>
      <c r="E769" t="s">
        <v>2383</v>
      </c>
    </row>
    <row r="773" spans="1:5">
      <c r="A773" t="s">
        <v>2384</v>
      </c>
      <c r="B773" t="s">
        <v>2385</v>
      </c>
      <c r="C773" s="321" t="b">
        <f>'Cost Summary'!C5="Yes"</f>
        <v>0</v>
      </c>
    </row>
    <row r="774" spans="1:5">
      <c r="A774" s="65" t="str">
        <f>'Cost Summary'!B8</f>
        <v>General Requirements</v>
      </c>
      <c r="B774" t="s">
        <v>2386</v>
      </c>
      <c r="C774" s="12">
        <f>'Cost Summary'!C8</f>
        <v>0</v>
      </c>
      <c r="D774" t="s">
        <v>2387</v>
      </c>
    </row>
    <row r="775" spans="1:5">
      <c r="A775" s="65" t="str">
        <f>'Cost Summary'!B9</f>
        <v>Existing Conditions</v>
      </c>
      <c r="B775" t="s">
        <v>2388</v>
      </c>
      <c r="C775" s="12">
        <f>'Cost Summary'!C9</f>
        <v>0</v>
      </c>
      <c r="D775" t="s">
        <v>2389</v>
      </c>
    </row>
    <row r="776" spans="1:5">
      <c r="A776" s="65" t="str">
        <f>'Cost Summary'!B10</f>
        <v>Concrete</v>
      </c>
      <c r="B776" t="s">
        <v>2390</v>
      </c>
      <c r="C776" s="12">
        <f>'Cost Summary'!C10</f>
        <v>0</v>
      </c>
      <c r="D776" t="s">
        <v>2391</v>
      </c>
    </row>
    <row r="777" spans="1:5">
      <c r="A777" s="65" t="str">
        <f>'Cost Summary'!B11</f>
        <v>Masonry</v>
      </c>
      <c r="B777" t="s">
        <v>2392</v>
      </c>
      <c r="C777" s="12">
        <f>'Cost Summary'!C11</f>
        <v>0</v>
      </c>
      <c r="D777" t="s">
        <v>2393</v>
      </c>
    </row>
    <row r="778" spans="1:5">
      <c r="A778" s="65" t="str">
        <f>'Cost Summary'!B12</f>
        <v>Metals</v>
      </c>
      <c r="B778" t="s">
        <v>2394</v>
      </c>
      <c r="C778" s="12">
        <f>'Cost Summary'!C12</f>
        <v>0</v>
      </c>
      <c r="D778" t="s">
        <v>2395</v>
      </c>
    </row>
    <row r="779" spans="1:5">
      <c r="A779" s="65" t="str">
        <f>'Cost Summary'!B13</f>
        <v>Wood, Plastics &amp; Composites</v>
      </c>
      <c r="B779" t="s">
        <v>2396</v>
      </c>
      <c r="C779" s="12">
        <f>'Cost Summary'!C13</f>
        <v>0</v>
      </c>
      <c r="D779" t="s">
        <v>2397</v>
      </c>
    </row>
    <row r="780" spans="1:5">
      <c r="A780" s="65" t="str">
        <f>'Cost Summary'!B14</f>
        <v>Thermal and Moisture Protection</v>
      </c>
      <c r="B780" t="s">
        <v>2398</v>
      </c>
      <c r="C780" s="12">
        <f>'Cost Summary'!C14</f>
        <v>0</v>
      </c>
      <c r="D780" t="s">
        <v>2399</v>
      </c>
    </row>
    <row r="781" spans="1:5">
      <c r="A781" s="65" t="str">
        <f>'Cost Summary'!B15</f>
        <v>Openings</v>
      </c>
      <c r="B781" t="s">
        <v>2400</v>
      </c>
      <c r="C781" s="12">
        <f>'Cost Summary'!C15</f>
        <v>0</v>
      </c>
      <c r="D781" t="s">
        <v>2401</v>
      </c>
    </row>
    <row r="782" spans="1:5">
      <c r="A782" s="65" t="str">
        <f>'Cost Summary'!B16</f>
        <v>Finishes</v>
      </c>
      <c r="B782" t="s">
        <v>2402</v>
      </c>
      <c r="C782" s="12">
        <f>'Cost Summary'!C16</f>
        <v>0</v>
      </c>
      <c r="D782" t="s">
        <v>2403</v>
      </c>
    </row>
    <row r="783" spans="1:5">
      <c r="A783" s="65" t="str">
        <f>'Cost Summary'!B17</f>
        <v>Specialties</v>
      </c>
      <c r="B783" t="s">
        <v>2404</v>
      </c>
      <c r="C783" s="12">
        <f>'Cost Summary'!C17</f>
        <v>0</v>
      </c>
      <c r="D783" t="s">
        <v>2405</v>
      </c>
    </row>
    <row r="784" spans="1:5">
      <c r="A784" s="65" t="str">
        <f>'Cost Summary'!B18</f>
        <v>Equipment</v>
      </c>
      <c r="B784" t="s">
        <v>2406</v>
      </c>
      <c r="C784" s="12">
        <f>'Cost Summary'!C18</f>
        <v>0</v>
      </c>
      <c r="D784" t="s">
        <v>2407</v>
      </c>
    </row>
    <row r="785" spans="1:4">
      <c r="A785" s="65" t="str">
        <f>'Cost Summary'!B19</f>
        <v>Furnishings</v>
      </c>
      <c r="B785" t="s">
        <v>2408</v>
      </c>
      <c r="C785" s="12">
        <f>'Cost Summary'!C19</f>
        <v>0</v>
      </c>
      <c r="D785" t="s">
        <v>2409</v>
      </c>
    </row>
    <row r="786" spans="1:4">
      <c r="A786" s="65" t="str">
        <f>'Cost Summary'!B20</f>
        <v>Special Construction</v>
      </c>
      <c r="B786" t="s">
        <v>2410</v>
      </c>
      <c r="C786" s="12">
        <f>'Cost Summary'!C20</f>
        <v>0</v>
      </c>
      <c r="D786" t="s">
        <v>2411</v>
      </c>
    </row>
    <row r="787" spans="1:4">
      <c r="A787" s="65" t="str">
        <f>'Cost Summary'!B21</f>
        <v>Conveying Equipment</v>
      </c>
      <c r="B787" t="s">
        <v>2412</v>
      </c>
      <c r="C787" s="12">
        <f>'Cost Summary'!C21</f>
        <v>0</v>
      </c>
      <c r="D787" t="s">
        <v>2413</v>
      </c>
    </row>
    <row r="788" spans="1:4">
      <c r="A788" s="65" t="str">
        <f>'Cost Summary'!B22</f>
        <v>Fire Suppression</v>
      </c>
      <c r="B788" t="s">
        <v>2414</v>
      </c>
      <c r="C788" s="12">
        <f>'Cost Summary'!C22</f>
        <v>0</v>
      </c>
      <c r="D788" t="s">
        <v>2415</v>
      </c>
    </row>
    <row r="789" spans="1:4">
      <c r="A789" s="65" t="str">
        <f>'Cost Summary'!B23</f>
        <v>Plumbing</v>
      </c>
      <c r="B789" t="s">
        <v>2416</v>
      </c>
      <c r="C789" s="12">
        <f>'Cost Summary'!C23</f>
        <v>0</v>
      </c>
      <c r="D789" t="s">
        <v>2417</v>
      </c>
    </row>
    <row r="790" spans="1:4">
      <c r="A790" s="65" t="str">
        <f>'Cost Summary'!B24</f>
        <v>Heating Ventilation Air Conditioning</v>
      </c>
      <c r="B790" t="s">
        <v>2418</v>
      </c>
      <c r="C790" s="12">
        <f>'Cost Summary'!C24</f>
        <v>0</v>
      </c>
      <c r="D790" t="s">
        <v>2419</v>
      </c>
    </row>
    <row r="791" spans="1:4">
      <c r="A791" s="65" t="str">
        <f>'Cost Summary'!B25</f>
        <v>Integrated Automation</v>
      </c>
      <c r="B791" t="s">
        <v>2420</v>
      </c>
      <c r="C791" s="12">
        <f>'Cost Summary'!C25</f>
        <v>0</v>
      </c>
      <c r="D791" t="s">
        <v>2421</v>
      </c>
    </row>
    <row r="792" spans="1:4">
      <c r="A792" s="65" t="str">
        <f>'Cost Summary'!B26</f>
        <v>Electrical</v>
      </c>
      <c r="B792" t="s">
        <v>2422</v>
      </c>
      <c r="C792" s="12">
        <f>'Cost Summary'!C26</f>
        <v>0</v>
      </c>
      <c r="D792" t="s">
        <v>2423</v>
      </c>
    </row>
    <row r="793" spans="1:4">
      <c r="A793" s="65" t="str">
        <f>'Cost Summary'!B27</f>
        <v>Communications</v>
      </c>
      <c r="B793" t="s">
        <v>2424</v>
      </c>
      <c r="C793" s="12">
        <f>'Cost Summary'!C27</f>
        <v>0</v>
      </c>
      <c r="D793" t="s">
        <v>2425</v>
      </c>
    </row>
    <row r="794" spans="1:4">
      <c r="A794" s="65" t="str">
        <f>'Cost Summary'!B28</f>
        <v>Electronic Safety &amp; Security</v>
      </c>
      <c r="B794" t="s">
        <v>2426</v>
      </c>
      <c r="C794" s="12">
        <f>'Cost Summary'!C28</f>
        <v>0</v>
      </c>
      <c r="D794" t="s">
        <v>2427</v>
      </c>
    </row>
    <row r="795" spans="1:4">
      <c r="A795" s="65" t="str">
        <f>'Cost Summary'!B29</f>
        <v>Earthwork</v>
      </c>
      <c r="B795" t="s">
        <v>2428</v>
      </c>
      <c r="C795" s="12">
        <f>'Cost Summary'!C29</f>
        <v>0</v>
      </c>
      <c r="D795" t="s">
        <v>2429</v>
      </c>
    </row>
    <row r="796" spans="1:4">
      <c r="A796" s="65" t="str">
        <f>'Cost Summary'!B30</f>
        <v>Exterior Improvements</v>
      </c>
      <c r="B796" t="s">
        <v>2430</v>
      </c>
      <c r="C796" s="12">
        <f>'Cost Summary'!C30</f>
        <v>0</v>
      </c>
      <c r="D796" t="s">
        <v>2431</v>
      </c>
    </row>
    <row r="797" spans="1:4">
      <c r="A797" s="65" t="str">
        <f>'Cost Summary'!B31</f>
        <v>Utilities</v>
      </c>
      <c r="B797" t="s">
        <v>2432</v>
      </c>
      <c r="C797" s="12">
        <f>'Cost Summary'!C31</f>
        <v>0</v>
      </c>
      <c r="D797" t="s">
        <v>2433</v>
      </c>
    </row>
    <row r="798" spans="1:4">
      <c r="A798" s="65" t="str">
        <f>'Cost Summary'!B32</f>
        <v>Transportation</v>
      </c>
      <c r="B798" t="s">
        <v>2434</v>
      </c>
      <c r="C798" s="12">
        <f>'Cost Summary'!C32</f>
        <v>0</v>
      </c>
      <c r="D798" t="s">
        <v>2435</v>
      </c>
    </row>
    <row r="799" spans="1:4">
      <c r="A799" s="65" t="s">
        <v>2436</v>
      </c>
      <c r="C799" s="12">
        <f>'Cost Summary'!C33</f>
        <v>0</v>
      </c>
      <c r="D799" t="s">
        <v>2437</v>
      </c>
    </row>
    <row r="800" spans="1:4">
      <c r="A800" s="65" t="str">
        <f>'Cost Summary'!B34</f>
        <v>[Other - describe]</v>
      </c>
      <c r="B800" t="s">
        <v>2438</v>
      </c>
      <c r="C800" s="12">
        <f>'Cost Summary'!C34</f>
        <v>0</v>
      </c>
      <c r="D800" t="s">
        <v>2439</v>
      </c>
    </row>
    <row r="801" spans="1:4">
      <c r="A801" s="65" t="str">
        <f>'Cost Summary'!B35</f>
        <v>[Other - describe]</v>
      </c>
      <c r="B801" t="s">
        <v>2440</v>
      </c>
      <c r="C801" s="12">
        <f>'Cost Summary'!C35</f>
        <v>0</v>
      </c>
      <c r="D801" t="s">
        <v>2441</v>
      </c>
    </row>
    <row r="802" spans="1:4">
      <c r="A802" s="65" t="str">
        <f>'Cost Summary'!B38</f>
        <v>Procurement Pre-construction, Design-Build</v>
      </c>
      <c r="B802" t="s">
        <v>2442</v>
      </c>
      <c r="C802" s="12">
        <f>'Cost Summary'!C38</f>
        <v>0</v>
      </c>
      <c r="D802" t="s">
        <v>2443</v>
      </c>
    </row>
    <row r="803" spans="1:4">
      <c r="A803" s="65" t="str">
        <f>'Cost Summary'!B39</f>
        <v>[Other - describe]</v>
      </c>
      <c r="B803" t="s">
        <v>2444</v>
      </c>
      <c r="C803" s="12">
        <f>'Cost Summary'!C39</f>
        <v>0</v>
      </c>
      <c r="D803" t="s">
        <v>2445</v>
      </c>
    </row>
    <row r="804" spans="1:4">
      <c r="A804" s="65" t="str">
        <f>'Cost Summary'!B40</f>
        <v>[Other - describe]</v>
      </c>
      <c r="B804" t="s">
        <v>2446</v>
      </c>
      <c r="C804" s="12">
        <f>'Cost Summary'!C40</f>
        <v>0</v>
      </c>
      <c r="D804" t="s">
        <v>2447</v>
      </c>
    </row>
    <row r="805" spans="1:4">
      <c r="A805" s="65" t="str">
        <f>'Cost Summary'!B41</f>
        <v>[Other - describe]</v>
      </c>
      <c r="B805" t="s">
        <v>2448</v>
      </c>
      <c r="C805" s="12">
        <f>'Cost Summary'!C41</f>
        <v>0</v>
      </c>
      <c r="D805" t="s">
        <v>2449</v>
      </c>
    </row>
    <row r="806" spans="1:4">
      <c r="A806" s="65" t="str">
        <f>'Cost Summary'!B44</f>
        <v>Payment &amp; Performance Bond</v>
      </c>
      <c r="B806" t="s">
        <v>2450</v>
      </c>
      <c r="C806" s="12">
        <f>'Cost Summary'!C44</f>
        <v>0</v>
      </c>
      <c r="D806" t="s">
        <v>2451</v>
      </c>
    </row>
    <row r="807" spans="1:4">
      <c r="A807" s="65" t="str">
        <f>'Cost Summary'!B45</f>
        <v>Builders Risk</v>
      </c>
      <c r="B807" t="s">
        <v>2452</v>
      </c>
      <c r="C807" s="12">
        <f>'Cost Summary'!C45</f>
        <v>0</v>
      </c>
      <c r="D807" t="s">
        <v>2453</v>
      </c>
    </row>
    <row r="808" spans="1:4">
      <c r="A808" s="65" t="str">
        <f>'Cost Summary'!B46</f>
        <v>General Liability</v>
      </c>
      <c r="B808" t="s">
        <v>2454</v>
      </c>
      <c r="C808" s="12">
        <f>'Cost Summary'!C46</f>
        <v>0</v>
      </c>
      <c r="D808" t="s">
        <v>2455</v>
      </c>
    </row>
    <row r="809" spans="1:4">
      <c r="A809" s="65" t="str">
        <f>'Cost Summary'!B47</f>
        <v>Wrap Insurance Program</v>
      </c>
      <c r="B809" t="s">
        <v>2456</v>
      </c>
      <c r="C809" s="12">
        <f>'Cost Summary'!C47</f>
        <v>0</v>
      </c>
      <c r="D809" t="s">
        <v>2457</v>
      </c>
    </row>
    <row r="810" spans="1:4">
      <c r="A810" s="65" t="str">
        <f>'Cost Summary'!B48</f>
        <v>[Other - describe]</v>
      </c>
      <c r="B810" t="s">
        <v>2458</v>
      </c>
      <c r="C810" s="12">
        <f>'Cost Summary'!C48</f>
        <v>0</v>
      </c>
      <c r="D810" t="s">
        <v>2459</v>
      </c>
    </row>
    <row r="811" spans="1:4">
      <c r="A811" s="65" t="str">
        <f>'Cost Summary'!B51</f>
        <v>Contingency (Contractor's)</v>
      </c>
      <c r="B811" t="s">
        <v>2460</v>
      </c>
      <c r="C811" s="12">
        <f>'Cost Summary'!C51</f>
        <v>0</v>
      </c>
      <c r="D811" t="s">
        <v>2461</v>
      </c>
    </row>
    <row r="812" spans="1:4">
      <c r="A812" s="65" t="str">
        <f>'Cost Summary'!B52</f>
        <v>Contractor Overhead</v>
      </c>
      <c r="B812" t="s">
        <v>2462</v>
      </c>
      <c r="C812" s="12">
        <f>'Cost Summary'!C52</f>
        <v>0</v>
      </c>
      <c r="D812" t="s">
        <v>2463</v>
      </c>
    </row>
    <row r="813" spans="1:4">
      <c r="A813" s="65" t="str">
        <f>'Cost Summary'!B53</f>
        <v>Contractor Profit</v>
      </c>
      <c r="B813" t="s">
        <v>2464</v>
      </c>
      <c r="C813" s="12">
        <f>'Cost Summary'!C53</f>
        <v>0</v>
      </c>
      <c r="D813" t="s">
        <v>2465</v>
      </c>
    </row>
    <row r="814" spans="1:4">
      <c r="A814" s="65" t="str">
        <f>'Cost Summary'!B54</f>
        <v>Cost progression/ escalation</v>
      </c>
      <c r="B814" t="s">
        <v>2466</v>
      </c>
      <c r="C814" s="12">
        <f>'Cost Summary'!C54</f>
        <v>0</v>
      </c>
      <c r="D814" t="s">
        <v>2467</v>
      </c>
    </row>
    <row r="815" spans="1:4">
      <c r="A815" s="65" t="str">
        <f>'Cost Summary'!B55</f>
        <v>Permits</v>
      </c>
      <c r="B815" t="s">
        <v>2468</v>
      </c>
      <c r="C815" s="12">
        <f>'Cost Summary'!C55</f>
        <v>0</v>
      </c>
      <c r="D815" t="s">
        <v>2469</v>
      </c>
    </row>
    <row r="816" spans="1:4">
      <c r="A816" s="65" t="str">
        <f>'Cost Summary'!B56</f>
        <v>Sales, Use Taxes, etc.</v>
      </c>
      <c r="B816" t="s">
        <v>2470</v>
      </c>
      <c r="C816" s="12">
        <f>'Cost Summary'!C56</f>
        <v>0</v>
      </c>
      <c r="D816" t="s">
        <v>2471</v>
      </c>
    </row>
    <row r="817" spans="1:8">
      <c r="A817" t="s">
        <v>2472</v>
      </c>
      <c r="B817" t="s">
        <v>2473</v>
      </c>
      <c r="C817" s="859" t="str">
        <f>'Cost Summary'!B34</f>
        <v>[Other - describe]</v>
      </c>
    </row>
    <row r="818" spans="1:8">
      <c r="A818" t="s">
        <v>2474</v>
      </c>
      <c r="B818" t="s">
        <v>2475</v>
      </c>
      <c r="C818" s="859" t="str">
        <f>'Cost Summary'!B35</f>
        <v>[Other - describe]</v>
      </c>
    </row>
    <row r="819" spans="1:8">
      <c r="A819" t="s">
        <v>2476</v>
      </c>
      <c r="B819" t="s">
        <v>2477</v>
      </c>
      <c r="C819" s="859" t="str">
        <f>'Cost Summary'!B39</f>
        <v>[Other - describe]</v>
      </c>
    </row>
    <row r="820" spans="1:8">
      <c r="A820" t="s">
        <v>2478</v>
      </c>
      <c r="B820" t="s">
        <v>2479</v>
      </c>
      <c r="C820" s="859" t="str">
        <f>'Cost Summary'!B40</f>
        <v>[Other - describe]</v>
      </c>
    </row>
    <row r="821" spans="1:8">
      <c r="A821" t="s">
        <v>2480</v>
      </c>
      <c r="B821" t="s">
        <v>2481</v>
      </c>
      <c r="C821" s="859" t="str">
        <f>'Cost Summary'!B41</f>
        <v>[Other - describe]</v>
      </c>
    </row>
    <row r="822" spans="1:8">
      <c r="A822" t="s">
        <v>2482</v>
      </c>
      <c r="B822" t="s">
        <v>2483</v>
      </c>
      <c r="C822" s="859" t="str">
        <f>'Cost Summary'!B48</f>
        <v>[Other - describe]</v>
      </c>
    </row>
    <row r="823" spans="1:8">
      <c r="A823" s="65"/>
      <c r="C823" s="65"/>
    </row>
    <row r="824" spans="1:8">
      <c r="A824" s="65"/>
      <c r="C824" s="65"/>
    </row>
    <row r="825" spans="1:8">
      <c r="A825" s="65"/>
      <c r="C825" s="65"/>
    </row>
    <row r="826" spans="1:8" ht="14.25" customHeight="1">
      <c r="A826" s="65"/>
      <c r="C826" s="65"/>
    </row>
    <row r="827" spans="1:8">
      <c r="A827" s="65"/>
      <c r="C827" s="65"/>
    </row>
    <row r="830" spans="1:8">
      <c r="A830" t="s">
        <v>2484</v>
      </c>
    </row>
    <row r="831" spans="1:8">
      <c r="A831" s="195"/>
      <c r="B831" t="s">
        <v>2485</v>
      </c>
      <c r="C831" t="s">
        <v>412</v>
      </c>
      <c r="D831" t="s">
        <v>2486</v>
      </c>
      <c r="E831" t="s">
        <v>2487</v>
      </c>
      <c r="F831" t="s">
        <v>2488</v>
      </c>
      <c r="G831" t="s">
        <v>2489</v>
      </c>
      <c r="H831" t="s">
        <v>2490</v>
      </c>
    </row>
    <row r="832" spans="1:8">
      <c r="A832" s="315" t="s">
        <v>2281</v>
      </c>
    </row>
    <row r="833" spans="1:10">
      <c r="A833" s="195" t="str">
        <f>IF(B833="","",MAX(A$831:A831)+1)</f>
        <v/>
      </c>
      <c r="B833" t="str">
        <f>CONCATENATE(Financing!A9)</f>
        <v/>
      </c>
      <c r="C833" t="str">
        <f>CONCATENATE(Financing!B9)</f>
        <v/>
      </c>
      <c r="D833" t="str">
        <f>CONCATENATE(Financing!C9)</f>
        <v/>
      </c>
      <c r="E833" t="str">
        <f>CONCATENATE(Financing!D9)</f>
        <v/>
      </c>
      <c r="F833" t="str">
        <f>CONCATENATE(Financing!E9)</f>
        <v/>
      </c>
      <c r="G833" t="str">
        <f>IF(D833 = "", "", -PMT(D833/100/12,F833*12,C833)*12)</f>
        <v/>
      </c>
      <c r="H833" t="str">
        <f>IF(B833="", "", "Permanent")</f>
        <v/>
      </c>
    </row>
    <row r="834" spans="1:10">
      <c r="A834" s="195" t="str">
        <f>IF(B834="","",MAX(A$831:A833)+1)</f>
        <v/>
      </c>
      <c r="B834" t="str">
        <f>CONCATENATE(Financing!A10)</f>
        <v/>
      </c>
      <c r="C834" t="str">
        <f>CONCATENATE(Financing!B10)</f>
        <v/>
      </c>
      <c r="D834" t="str">
        <f>CONCATENATE(Financing!C10)</f>
        <v/>
      </c>
      <c r="E834" t="str">
        <f>CONCATENATE(Financing!D10)</f>
        <v/>
      </c>
      <c r="F834" t="str">
        <f>CONCATENATE(Financing!E10)</f>
        <v/>
      </c>
      <c r="G834" t="str">
        <f t="shared" ref="G834:G835" si="2">IF(D834 = "", "", -PMT(D834/100/12,F834*12,C834)*12)</f>
        <v/>
      </c>
      <c r="H834" t="str">
        <f t="shared" ref="H834:H835" si="3">IF(B834="", "", "Permanent")</f>
        <v/>
      </c>
    </row>
    <row r="835" spans="1:10">
      <c r="A835" s="195" t="str">
        <f>IF(B835="","",MAX(A$831:A834)+1)</f>
        <v/>
      </c>
      <c r="B835" t="str">
        <f>CONCATENATE(Financing!A11)</f>
        <v/>
      </c>
      <c r="C835" t="str">
        <f>CONCATENATE(Financing!B11)</f>
        <v/>
      </c>
      <c r="D835" t="str">
        <f>CONCATENATE(Financing!C11)</f>
        <v/>
      </c>
      <c r="E835" t="str">
        <f>CONCATENATE(Financing!D11)</f>
        <v/>
      </c>
      <c r="F835" t="str">
        <f>CONCATENATE(Financing!E11)</f>
        <v/>
      </c>
      <c r="G835" t="str">
        <f t="shared" si="2"/>
        <v/>
      </c>
      <c r="H835" t="str">
        <f t="shared" si="3"/>
        <v/>
      </c>
    </row>
    <row r="836" spans="1:10">
      <c r="A836" s="195" t="str">
        <f>IF(B836="","",MAX(A$831:A835)+1)</f>
        <v/>
      </c>
      <c r="B836" t="str">
        <f>CONCATENATE(Financing!A16)</f>
        <v/>
      </c>
      <c r="C836" t="str">
        <f>CONCATENATE(Financing!B16)</f>
        <v/>
      </c>
      <c r="D836" t="str">
        <f>CONCATENATE(Financing!C16)</f>
        <v/>
      </c>
      <c r="E836" t="str">
        <f>CONCATENATE(Financing!D16)</f>
        <v/>
      </c>
      <c r="F836" t="str">
        <f>IF(B836="", "", 0)</f>
        <v/>
      </c>
      <c r="G836" t="str">
        <f>IF(B836="", "", 0)</f>
        <v/>
      </c>
      <c r="H836" t="str">
        <f>IF(B836="", "", "Permanent")</f>
        <v/>
      </c>
    </row>
    <row r="837" spans="1:10">
      <c r="A837" s="195" t="str">
        <f>IF(B837="","",MAX(A$831:A836)+1)</f>
        <v/>
      </c>
      <c r="B837" t="str">
        <f>CONCATENATE(Financing!A17)</f>
        <v/>
      </c>
      <c r="C837" t="str">
        <f>CONCATENATE(Financing!B17)</f>
        <v/>
      </c>
      <c r="D837" t="str">
        <f>CONCATENATE(Financing!C17)</f>
        <v/>
      </c>
      <c r="E837" t="str">
        <f>CONCATENATE(Financing!D17)</f>
        <v/>
      </c>
      <c r="F837" t="str">
        <f t="shared" ref="F837:F841" si="4">IF(B837="", "", 0)</f>
        <v/>
      </c>
      <c r="G837" t="str">
        <f t="shared" ref="G837:G841" si="5">IF(B837="", "", 0)</f>
        <v/>
      </c>
      <c r="H837" t="str">
        <f t="shared" ref="H837:H841" si="6">IF(B837="", "", "Permanent")</f>
        <v/>
      </c>
    </row>
    <row r="838" spans="1:10">
      <c r="A838" s="195" t="str">
        <f>IF(B838="","",MAX(A$831:A837)+1)</f>
        <v/>
      </c>
      <c r="B838" t="str">
        <f>CONCATENATE(Financing!A18)</f>
        <v/>
      </c>
      <c r="C838" t="str">
        <f>CONCATENATE(Financing!B18)</f>
        <v/>
      </c>
      <c r="D838" t="str">
        <f>CONCATENATE(Financing!C18)</f>
        <v/>
      </c>
      <c r="E838" t="str">
        <f>CONCATENATE(Financing!D18)</f>
        <v/>
      </c>
      <c r="F838" t="str">
        <f t="shared" si="4"/>
        <v/>
      </c>
      <c r="G838" t="str">
        <f t="shared" si="5"/>
        <v/>
      </c>
      <c r="H838" t="str">
        <f t="shared" si="6"/>
        <v/>
      </c>
    </row>
    <row r="839" spans="1:10">
      <c r="A839" s="195" t="str">
        <f>IF(B839="","",MAX(A$831:A838)+1)</f>
        <v/>
      </c>
      <c r="B839" t="str">
        <f>CONCATENATE(Financing!A19)</f>
        <v/>
      </c>
      <c r="C839" t="str">
        <f>CONCATENATE(Financing!B19)</f>
        <v/>
      </c>
      <c r="D839" t="str">
        <f>CONCATENATE(Financing!C19)</f>
        <v/>
      </c>
      <c r="E839" t="str">
        <f>CONCATENATE(Financing!D19)</f>
        <v/>
      </c>
      <c r="F839" t="str">
        <f t="shared" si="4"/>
        <v/>
      </c>
      <c r="G839" t="str">
        <f t="shared" si="5"/>
        <v/>
      </c>
      <c r="H839" t="str">
        <f t="shared" si="6"/>
        <v/>
      </c>
    </row>
    <row r="840" spans="1:10">
      <c r="A840" s="195" t="str">
        <f>IF(B840="","",MAX(A$831:A839)+1)</f>
        <v/>
      </c>
      <c r="B840" t="str">
        <f>CONCATENATE(Financing!A20)</f>
        <v/>
      </c>
      <c r="C840" t="str">
        <f>CONCATENATE(Financing!B20)</f>
        <v/>
      </c>
      <c r="D840" t="str">
        <f>CONCATENATE(Financing!C20)</f>
        <v/>
      </c>
      <c r="E840" t="str">
        <f>CONCATENATE(Financing!D20)</f>
        <v/>
      </c>
      <c r="F840" t="str">
        <f t="shared" si="4"/>
        <v/>
      </c>
      <c r="G840" t="str">
        <f t="shared" si="5"/>
        <v/>
      </c>
      <c r="H840" t="str">
        <f t="shared" si="6"/>
        <v/>
      </c>
    </row>
    <row r="841" spans="1:10">
      <c r="A841" s="195" t="str">
        <f>IF(B841="","",MAX(A$831:A840)+1)</f>
        <v/>
      </c>
      <c r="B841" t="str">
        <f>CONCATENATE(Financing!A21)</f>
        <v/>
      </c>
      <c r="C841" t="str">
        <f>CONCATENATE(Financing!B21)</f>
        <v/>
      </c>
      <c r="D841" t="str">
        <f>CONCATENATE(Financing!C21)</f>
        <v/>
      </c>
      <c r="E841" t="str">
        <f>CONCATENATE(Financing!D21)</f>
        <v/>
      </c>
      <c r="F841" t="str">
        <f t="shared" si="4"/>
        <v/>
      </c>
      <c r="G841" t="str">
        <f t="shared" si="5"/>
        <v/>
      </c>
      <c r="H841" t="str">
        <f t="shared" si="6"/>
        <v/>
      </c>
    </row>
    <row r="843" spans="1:10">
      <c r="A843" t="s">
        <v>2491</v>
      </c>
      <c r="C843" t="s">
        <v>2492</v>
      </c>
      <c r="D843" t="s">
        <v>412</v>
      </c>
      <c r="E843" t="s">
        <v>2486</v>
      </c>
      <c r="F843" t="s">
        <v>2487</v>
      </c>
      <c r="G843" t="s">
        <v>2488</v>
      </c>
      <c r="H843" t="s">
        <v>2489</v>
      </c>
      <c r="I843" t="s">
        <v>2490</v>
      </c>
    </row>
    <row r="844" spans="1:10">
      <c r="A844" t="s">
        <v>2270</v>
      </c>
      <c r="B844" t="s">
        <v>2271</v>
      </c>
      <c r="C844">
        <v>1</v>
      </c>
      <c r="D844">
        <v>2</v>
      </c>
      <c r="E844">
        <v>3</v>
      </c>
      <c r="F844">
        <v>4</v>
      </c>
      <c r="G844">
        <v>5</v>
      </c>
      <c r="H844">
        <v>6</v>
      </c>
      <c r="I844">
        <v>7</v>
      </c>
    </row>
    <row r="845" spans="1:10">
      <c r="A845" s="195">
        <f>IF(ISNA(MATCH(B845, $A$832:$A$841, 0)), 1, MATCH(B845, $A$832:$A$841, 0))</f>
        <v>1</v>
      </c>
      <c r="B845">
        <v>1</v>
      </c>
      <c r="C845" t="str">
        <f t="shared" ref="C845:J853" si="7">CONCATENATE(INDEX($B$832:$L$841, $A845, C$844))</f>
        <v/>
      </c>
      <c r="D845" t="str">
        <f t="shared" si="7"/>
        <v/>
      </c>
      <c r="E845" t="str">
        <f t="shared" si="7"/>
        <v/>
      </c>
      <c r="F845" t="str">
        <f t="shared" si="7"/>
        <v/>
      </c>
      <c r="G845" t="str">
        <f t="shared" si="7"/>
        <v/>
      </c>
      <c r="H845" t="str">
        <f t="shared" si="7"/>
        <v/>
      </c>
      <c r="I845" s="14" t="str">
        <f t="shared" si="7"/>
        <v/>
      </c>
      <c r="J845" t="str">
        <f t="shared" si="7"/>
        <v/>
      </c>
    </row>
    <row r="846" spans="1:10">
      <c r="A846" s="195">
        <f t="shared" ref="A846:A853" si="8">IF(ISNA(MATCH(B846, $A$832:$A$841, 0)), 1, MATCH(B846, $A$832:$A$841, 0))</f>
        <v>1</v>
      </c>
      <c r="B846">
        <v>2</v>
      </c>
      <c r="C846" t="str">
        <f t="shared" si="7"/>
        <v/>
      </c>
      <c r="D846" t="str">
        <f t="shared" si="7"/>
        <v/>
      </c>
      <c r="E846" t="str">
        <f t="shared" si="7"/>
        <v/>
      </c>
      <c r="F846" t="str">
        <f t="shared" si="7"/>
        <v/>
      </c>
      <c r="G846" t="str">
        <f t="shared" si="7"/>
        <v/>
      </c>
      <c r="H846" t="str">
        <f t="shared" si="7"/>
        <v/>
      </c>
      <c r="I846" s="14" t="str">
        <f t="shared" si="7"/>
        <v/>
      </c>
      <c r="J846" t="str">
        <f t="shared" si="7"/>
        <v/>
      </c>
    </row>
    <row r="847" spans="1:10">
      <c r="A847" s="195">
        <f t="shared" si="8"/>
        <v>1</v>
      </c>
      <c r="B847">
        <v>3</v>
      </c>
      <c r="C847" t="str">
        <f t="shared" si="7"/>
        <v/>
      </c>
      <c r="D847" t="str">
        <f t="shared" si="7"/>
        <v/>
      </c>
      <c r="E847" t="str">
        <f t="shared" si="7"/>
        <v/>
      </c>
      <c r="F847" t="str">
        <f t="shared" si="7"/>
        <v/>
      </c>
      <c r="G847" t="str">
        <f t="shared" si="7"/>
        <v/>
      </c>
      <c r="H847" t="str">
        <f t="shared" si="7"/>
        <v/>
      </c>
      <c r="I847" s="14" t="str">
        <f t="shared" si="7"/>
        <v/>
      </c>
      <c r="J847" t="str">
        <f t="shared" si="7"/>
        <v/>
      </c>
    </row>
    <row r="848" spans="1:10">
      <c r="A848" s="195">
        <f t="shared" si="8"/>
        <v>1</v>
      </c>
      <c r="B848">
        <v>4</v>
      </c>
      <c r="C848" t="str">
        <f t="shared" si="7"/>
        <v/>
      </c>
      <c r="D848" t="str">
        <f t="shared" si="7"/>
        <v/>
      </c>
      <c r="E848" t="str">
        <f t="shared" si="7"/>
        <v/>
      </c>
      <c r="F848" t="str">
        <f t="shared" si="7"/>
        <v/>
      </c>
      <c r="G848" t="str">
        <f t="shared" si="7"/>
        <v/>
      </c>
      <c r="H848" t="str">
        <f t="shared" si="7"/>
        <v/>
      </c>
      <c r="I848" s="14" t="str">
        <f t="shared" si="7"/>
        <v/>
      </c>
      <c r="J848" t="str">
        <f t="shared" si="7"/>
        <v/>
      </c>
    </row>
    <row r="849" spans="1:10">
      <c r="A849" s="195">
        <f t="shared" si="8"/>
        <v>1</v>
      </c>
      <c r="B849">
        <v>5</v>
      </c>
      <c r="C849" t="str">
        <f t="shared" si="7"/>
        <v/>
      </c>
      <c r="D849" t="str">
        <f t="shared" si="7"/>
        <v/>
      </c>
      <c r="E849" t="str">
        <f t="shared" si="7"/>
        <v/>
      </c>
      <c r="F849" t="str">
        <f t="shared" si="7"/>
        <v/>
      </c>
      <c r="G849" t="str">
        <f t="shared" si="7"/>
        <v/>
      </c>
      <c r="H849" t="str">
        <f t="shared" si="7"/>
        <v/>
      </c>
      <c r="I849" s="14" t="str">
        <f t="shared" si="7"/>
        <v/>
      </c>
      <c r="J849" t="str">
        <f t="shared" si="7"/>
        <v/>
      </c>
    </row>
    <row r="850" spans="1:10">
      <c r="A850" s="195">
        <f t="shared" si="8"/>
        <v>1</v>
      </c>
      <c r="B850">
        <v>6</v>
      </c>
      <c r="C850" t="str">
        <f t="shared" si="7"/>
        <v/>
      </c>
      <c r="D850" t="str">
        <f t="shared" si="7"/>
        <v/>
      </c>
      <c r="E850" t="str">
        <f t="shared" si="7"/>
        <v/>
      </c>
      <c r="F850" t="str">
        <f t="shared" si="7"/>
        <v/>
      </c>
      <c r="G850" t="str">
        <f t="shared" si="7"/>
        <v/>
      </c>
      <c r="H850" t="str">
        <f t="shared" si="7"/>
        <v/>
      </c>
      <c r="I850" s="14" t="str">
        <f t="shared" si="7"/>
        <v/>
      </c>
      <c r="J850" t="str">
        <f t="shared" si="7"/>
        <v/>
      </c>
    </row>
    <row r="851" spans="1:10">
      <c r="A851" s="195">
        <f t="shared" si="8"/>
        <v>1</v>
      </c>
      <c r="B851">
        <v>7</v>
      </c>
      <c r="C851" t="str">
        <f t="shared" si="7"/>
        <v/>
      </c>
      <c r="D851" t="str">
        <f t="shared" si="7"/>
        <v/>
      </c>
      <c r="E851" t="str">
        <f t="shared" si="7"/>
        <v/>
      </c>
      <c r="F851" t="str">
        <f t="shared" si="7"/>
        <v/>
      </c>
      <c r="G851" t="str">
        <f t="shared" si="7"/>
        <v/>
      </c>
      <c r="H851" t="str">
        <f t="shared" si="7"/>
        <v/>
      </c>
      <c r="I851" s="14" t="str">
        <f t="shared" si="7"/>
        <v/>
      </c>
      <c r="J851" t="str">
        <f t="shared" si="7"/>
        <v/>
      </c>
    </row>
    <row r="852" spans="1:10">
      <c r="A852" s="195">
        <f t="shared" si="8"/>
        <v>1</v>
      </c>
      <c r="B852">
        <v>8</v>
      </c>
      <c r="C852" t="str">
        <f t="shared" si="7"/>
        <v/>
      </c>
      <c r="D852" t="str">
        <f t="shared" si="7"/>
        <v/>
      </c>
      <c r="E852" t="str">
        <f t="shared" si="7"/>
        <v/>
      </c>
      <c r="F852" t="str">
        <f t="shared" si="7"/>
        <v/>
      </c>
      <c r="G852" t="str">
        <f t="shared" si="7"/>
        <v/>
      </c>
      <c r="H852" t="str">
        <f t="shared" si="7"/>
        <v/>
      </c>
      <c r="I852" s="14" t="str">
        <f t="shared" si="7"/>
        <v/>
      </c>
      <c r="J852" t="str">
        <f t="shared" si="7"/>
        <v/>
      </c>
    </row>
    <row r="853" spans="1:10">
      <c r="A853" s="195">
        <f t="shared" si="8"/>
        <v>1</v>
      </c>
      <c r="B853">
        <v>9</v>
      </c>
      <c r="C853" t="str">
        <f t="shared" si="7"/>
        <v/>
      </c>
      <c r="D853" t="str">
        <f t="shared" si="7"/>
        <v/>
      </c>
      <c r="E853" t="str">
        <f t="shared" si="7"/>
        <v/>
      </c>
      <c r="F853" t="str">
        <f t="shared" si="7"/>
        <v/>
      </c>
      <c r="G853" t="str">
        <f t="shared" si="7"/>
        <v/>
      </c>
      <c r="H853" t="str">
        <f t="shared" si="7"/>
        <v/>
      </c>
      <c r="I853" s="14" t="str">
        <f t="shared" si="7"/>
        <v/>
      </c>
      <c r="J853" t="str">
        <f t="shared" si="7"/>
        <v/>
      </c>
    </row>
    <row r="855" spans="1:10">
      <c r="A855" t="s">
        <v>2493</v>
      </c>
    </row>
    <row r="856" spans="1:10">
      <c r="B856" t="s">
        <v>2485</v>
      </c>
      <c r="C856" t="s">
        <v>412</v>
      </c>
      <c r="D856" t="s">
        <v>2490</v>
      </c>
    </row>
    <row r="857" spans="1:10">
      <c r="A857" s="315" t="s">
        <v>2281</v>
      </c>
    </row>
    <row r="858" spans="1:10">
      <c r="A858" s="195" t="str">
        <f>IF(B858="","",MAX(A$856:A856)+1)</f>
        <v/>
      </c>
      <c r="B858" t="str">
        <f>CONCATENATE(Financing!A26)</f>
        <v/>
      </c>
      <c r="C858" t="str">
        <f>CONCATENATE(Financing!B26)</f>
        <v/>
      </c>
      <c r="D858" t="str">
        <f>IF(B858="", "", "Grant")</f>
        <v/>
      </c>
    </row>
    <row r="859" spans="1:10">
      <c r="A859" s="195" t="str">
        <f>IF(B859="","",MAX(A$856:A858)+1)</f>
        <v/>
      </c>
      <c r="B859" t="str">
        <f>CONCATENATE(Financing!A27)</f>
        <v/>
      </c>
      <c r="C859" t="str">
        <f>CONCATENATE(Financing!B27)</f>
        <v/>
      </c>
      <c r="D859" t="str">
        <f t="shared" ref="D859:D865" si="9">IF(B859="", "", "Grant")</f>
        <v/>
      </c>
    </row>
    <row r="860" spans="1:10">
      <c r="A860" s="195" t="str">
        <f>IF(B860="","",MAX(A$856:A859)+1)</f>
        <v/>
      </c>
      <c r="B860" t="str">
        <f>CONCATENATE(Financing!A28)</f>
        <v/>
      </c>
      <c r="C860" t="str">
        <f>CONCATENATE(Financing!B28)</f>
        <v/>
      </c>
      <c r="D860" t="str">
        <f t="shared" si="9"/>
        <v/>
      </c>
    </row>
    <row r="861" spans="1:10">
      <c r="A861" s="195" t="str">
        <f>IF(B861="","",MAX(A$856:A860)+1)</f>
        <v/>
      </c>
      <c r="B861" t="str">
        <f>CONCATENATE(Financing!A29)</f>
        <v/>
      </c>
      <c r="C861" t="str">
        <f>CONCATENATE(Financing!B29)</f>
        <v/>
      </c>
      <c r="D861" t="str">
        <f t="shared" si="9"/>
        <v/>
      </c>
    </row>
    <row r="862" spans="1:10">
      <c r="A862" s="195" t="str">
        <f>IF(B862="","",MAX(A$856:A861)+1)</f>
        <v/>
      </c>
      <c r="B862" t="str">
        <f>CONCATENATE(Financing!A30)</f>
        <v/>
      </c>
      <c r="C862" t="str">
        <f>CONCATENATE(Financing!B30)</f>
        <v/>
      </c>
      <c r="D862" t="str">
        <f t="shared" si="9"/>
        <v/>
      </c>
    </row>
    <row r="863" spans="1:10">
      <c r="A863" s="195" t="str">
        <f>IF(B863="","",MAX(A$856:A862)+1)</f>
        <v/>
      </c>
      <c r="B863" t="str">
        <f>CONCATENATE(Financing!A31)</f>
        <v/>
      </c>
      <c r="C863" t="str">
        <f>CONCATENATE(Financing!B31)</f>
        <v/>
      </c>
      <c r="D863" t="str">
        <f t="shared" si="9"/>
        <v/>
      </c>
    </row>
    <row r="864" spans="1:10">
      <c r="A864" s="195" t="str">
        <f>IF(B864="","",MAX(A$856:A863)+1)</f>
        <v/>
      </c>
      <c r="B864" t="str">
        <f>CONCATENATE(Financing!A32)</f>
        <v/>
      </c>
      <c r="C864" t="str">
        <f>CONCATENATE(Financing!B32)</f>
        <v/>
      </c>
      <c r="D864" t="str">
        <f t="shared" si="9"/>
        <v/>
      </c>
    </row>
    <row r="865" spans="1:5">
      <c r="A865" s="195" t="str">
        <f>IF(B865="","",MAX(A$856:A864)+1)</f>
        <v/>
      </c>
      <c r="B865" t="str">
        <f>CONCATENATE(Financing!A33)</f>
        <v/>
      </c>
      <c r="C865" t="str">
        <f>CONCATENATE(Financing!B33)</f>
        <v/>
      </c>
      <c r="D865" t="str">
        <f t="shared" si="9"/>
        <v/>
      </c>
    </row>
    <row r="867" spans="1:5">
      <c r="A867" t="s">
        <v>2494</v>
      </c>
      <c r="C867" t="s">
        <v>2485</v>
      </c>
      <c r="D867" t="s">
        <v>412</v>
      </c>
      <c r="E867" t="s">
        <v>2490</v>
      </c>
    </row>
    <row r="868" spans="1:5">
      <c r="A868" t="s">
        <v>2270</v>
      </c>
      <c r="B868" t="s">
        <v>2271</v>
      </c>
      <c r="C868">
        <v>1</v>
      </c>
      <c r="D868">
        <v>2</v>
      </c>
      <c r="E868">
        <v>3</v>
      </c>
    </row>
    <row r="869" spans="1:5">
      <c r="A869" s="195">
        <f>IF(ISNA(MATCH(B869, $A$857:$A$865, 0)), 1, MATCH(B869, $A$857:$A$865, 0))</f>
        <v>1</v>
      </c>
      <c r="B869">
        <v>1</v>
      </c>
      <c r="C869" t="str">
        <f>CONCATENATE(INDEX($B$857:$D$865, $A869, C$868))</f>
        <v/>
      </c>
      <c r="D869" t="str">
        <f t="shared" ref="D869:E876" si="10">CONCATENATE(INDEX($B$857:$D$865, $A869, D$868))</f>
        <v/>
      </c>
      <c r="E869" s="14" t="str">
        <f t="shared" si="10"/>
        <v/>
      </c>
    </row>
    <row r="870" spans="1:5">
      <c r="A870" s="195">
        <f t="shared" ref="A870:A876" si="11">IF(ISNA(MATCH(B870, $A$857:$A$865, 0)), 1, MATCH(B870, $A$857:$A$865, 0))</f>
        <v>1</v>
      </c>
      <c r="B870">
        <v>2</v>
      </c>
      <c r="C870" t="str">
        <f t="shared" ref="C870:C876" si="12">CONCATENATE(INDEX($B$857:$D$865, $A870, C$868))</f>
        <v/>
      </c>
      <c r="D870" t="str">
        <f t="shared" si="10"/>
        <v/>
      </c>
      <c r="E870" s="14" t="str">
        <f t="shared" si="10"/>
        <v/>
      </c>
    </row>
    <row r="871" spans="1:5">
      <c r="A871" s="195">
        <f t="shared" si="11"/>
        <v>1</v>
      </c>
      <c r="B871">
        <v>3</v>
      </c>
      <c r="C871" t="str">
        <f t="shared" si="12"/>
        <v/>
      </c>
      <c r="D871" t="str">
        <f t="shared" si="10"/>
        <v/>
      </c>
      <c r="E871" s="14" t="str">
        <f t="shared" si="10"/>
        <v/>
      </c>
    </row>
    <row r="872" spans="1:5">
      <c r="A872" s="195">
        <f t="shared" si="11"/>
        <v>1</v>
      </c>
      <c r="B872">
        <v>4</v>
      </c>
      <c r="C872" t="str">
        <f t="shared" si="12"/>
        <v/>
      </c>
      <c r="D872" t="str">
        <f t="shared" si="10"/>
        <v/>
      </c>
      <c r="E872" s="14" t="str">
        <f t="shared" si="10"/>
        <v/>
      </c>
    </row>
    <row r="873" spans="1:5">
      <c r="A873" s="195">
        <f t="shared" si="11"/>
        <v>1</v>
      </c>
      <c r="B873">
        <v>5</v>
      </c>
      <c r="C873" t="str">
        <f t="shared" si="12"/>
        <v/>
      </c>
      <c r="D873" t="str">
        <f t="shared" si="10"/>
        <v/>
      </c>
      <c r="E873" s="14" t="str">
        <f t="shared" si="10"/>
        <v/>
      </c>
    </row>
    <row r="874" spans="1:5">
      <c r="A874" s="195">
        <f t="shared" si="11"/>
        <v>1</v>
      </c>
      <c r="B874">
        <v>6</v>
      </c>
      <c r="C874" t="str">
        <f t="shared" si="12"/>
        <v/>
      </c>
      <c r="D874" t="str">
        <f t="shared" si="10"/>
        <v/>
      </c>
      <c r="E874" s="14" t="str">
        <f t="shared" si="10"/>
        <v/>
      </c>
    </row>
    <row r="875" spans="1:5">
      <c r="A875" s="195">
        <f t="shared" si="11"/>
        <v>1</v>
      </c>
      <c r="B875">
        <v>7</v>
      </c>
      <c r="C875" t="str">
        <f t="shared" si="12"/>
        <v/>
      </c>
      <c r="D875" t="str">
        <f t="shared" si="10"/>
        <v/>
      </c>
      <c r="E875" s="14" t="str">
        <f t="shared" si="10"/>
        <v/>
      </c>
    </row>
    <row r="876" spans="1:5">
      <c r="A876" s="195">
        <f t="shared" si="11"/>
        <v>1</v>
      </c>
      <c r="B876">
        <v>8</v>
      </c>
      <c r="C876" t="str">
        <f t="shared" si="12"/>
        <v/>
      </c>
      <c r="D876" t="str">
        <f t="shared" si="10"/>
        <v/>
      </c>
      <c r="E876" s="14" t="str">
        <f t="shared" si="10"/>
        <v/>
      </c>
    </row>
    <row r="880" spans="1:5">
      <c r="B880" t="s">
        <v>412</v>
      </c>
      <c r="D880" t="s">
        <v>2495</v>
      </c>
    </row>
    <row r="881" spans="2:4">
      <c r="B881" t="s">
        <v>2490</v>
      </c>
      <c r="D881" t="s">
        <v>2496</v>
      </c>
    </row>
    <row r="882" spans="2:4">
      <c r="B882" t="s">
        <v>2485</v>
      </c>
      <c r="D882" t="s">
        <v>2497</v>
      </c>
    </row>
    <row r="884" spans="2:4">
      <c r="B884" t="s">
        <v>412</v>
      </c>
      <c r="D884" t="s">
        <v>2498</v>
      </c>
    </row>
    <row r="885" spans="2:4">
      <c r="B885" t="s">
        <v>2489</v>
      </c>
      <c r="D885" t="s">
        <v>2499</v>
      </c>
    </row>
    <row r="886" spans="2:4">
      <c r="B886" t="s">
        <v>2486</v>
      </c>
      <c r="D886" t="s">
        <v>2500</v>
      </c>
    </row>
    <row r="887" spans="2:4">
      <c r="B887" t="s">
        <v>2488</v>
      </c>
      <c r="D887" t="s">
        <v>2501</v>
      </c>
    </row>
    <row r="888" spans="2:4">
      <c r="B888" t="s">
        <v>2487</v>
      </c>
      <c r="D888" t="s">
        <v>2502</v>
      </c>
    </row>
    <row r="889" spans="2:4">
      <c r="B889" t="s">
        <v>2490</v>
      </c>
      <c r="D889" t="s">
        <v>2503</v>
      </c>
    </row>
    <row r="890" spans="2:4">
      <c r="B890" t="s">
        <v>2485</v>
      </c>
      <c r="D890" t="s">
        <v>2504</v>
      </c>
    </row>
    <row r="897" spans="2:4">
      <c r="B897" t="s">
        <v>2505</v>
      </c>
    </row>
    <row r="898" spans="2:4">
      <c r="B898" t="s">
        <v>2506</v>
      </c>
      <c r="C898" t="s">
        <v>2507</v>
      </c>
      <c r="D898" t="s">
        <v>412</v>
      </c>
    </row>
    <row r="899" spans="2:4">
      <c r="B899">
        <v>1</v>
      </c>
      <c r="C899" s="14" t="s">
        <v>2508</v>
      </c>
      <c r="D899" s="419">
        <f>IF(Calculations!$B$6, Calculations!B780, 0)</f>
        <v>0</v>
      </c>
    </row>
    <row r="900" spans="2:4">
      <c r="B900">
        <v>2</v>
      </c>
      <c r="C900" s="14" t="s">
        <v>2509</v>
      </c>
      <c r="D900" s="419">
        <f>IF(NOT(Calculations!$B$6), Calculations!B794, 0)</f>
        <v>10000</v>
      </c>
    </row>
    <row r="901" spans="2:4">
      <c r="B901">
        <v>3</v>
      </c>
      <c r="C901" s="14" t="s">
        <v>2510</v>
      </c>
      <c r="D901" s="419">
        <f>IF(Calculations!$B$6, Calculations!B783, 0)</f>
        <v>0</v>
      </c>
    </row>
    <row r="902" spans="2:4">
      <c r="B902">
        <v>4</v>
      </c>
      <c r="C902" s="14" t="s">
        <v>2511</v>
      </c>
      <c r="D902" s="419">
        <f>IFERROR(IF(NOT(Calculations!$B$6), Calculations!B797, 0), 0)</f>
        <v>0</v>
      </c>
    </row>
    <row r="903" spans="2:4">
      <c r="B903">
        <v>5</v>
      </c>
      <c r="C903" s="14" t="s">
        <v>2512</v>
      </c>
      <c r="D903" s="419">
        <f>IF(Calculations!$B$6, Calculations!B786, 0)</f>
        <v>0</v>
      </c>
    </row>
    <row r="904" spans="2:4">
      <c r="B904">
        <v>6</v>
      </c>
      <c r="C904" s="14" t="s">
        <v>2513</v>
      </c>
      <c r="D904" s="419">
        <f>IFERROR(IF(NOT(Calculations!$B$6), Calculations!B799, 0),0)</f>
        <v>0</v>
      </c>
    </row>
    <row r="905" spans="2:4">
      <c r="B905">
        <v>7</v>
      </c>
      <c r="C905" s="14" t="s">
        <v>2514</v>
      </c>
      <c r="D905" s="419">
        <f>Calculations!B804</f>
        <v>0</v>
      </c>
    </row>
    <row r="906" spans="2:4">
      <c r="B906">
        <v>8</v>
      </c>
      <c r="C906" s="14" t="s">
        <v>2515</v>
      </c>
      <c r="D906" s="419">
        <f>Calculations!B798</f>
        <v>0</v>
      </c>
    </row>
    <row r="907" spans="2:4">
      <c r="C907" s="14"/>
      <c r="D907" s="506"/>
    </row>
    <row r="908" spans="2:4">
      <c r="B908" t="s">
        <v>412</v>
      </c>
      <c r="D908" t="s">
        <v>2516</v>
      </c>
    </row>
    <row r="909" spans="2:4">
      <c r="B909" t="s">
        <v>2507</v>
      </c>
      <c r="D909" t="s">
        <v>2517</v>
      </c>
    </row>
    <row r="911" spans="2:4">
      <c r="D911" t="s">
        <v>476</v>
      </c>
    </row>
    <row r="915" spans="1:10">
      <c r="H915" t="s">
        <v>2518</v>
      </c>
      <c r="J915" t="s">
        <v>2519</v>
      </c>
    </row>
    <row r="916" spans="1:10">
      <c r="B916" t="s">
        <v>2271</v>
      </c>
      <c r="C916" t="s">
        <v>2520</v>
      </c>
      <c r="D916" t="s">
        <v>2518</v>
      </c>
      <c r="H916" t="s">
        <v>2520</v>
      </c>
      <c r="J916" t="s">
        <v>2521</v>
      </c>
    </row>
    <row r="917" spans="1:10">
      <c r="A917" t="s">
        <v>2522</v>
      </c>
      <c r="B917">
        <v>1</v>
      </c>
      <c r="C917">
        <f>Calculations!B40</f>
        <v>0</v>
      </c>
      <c r="D917" s="14" t="s">
        <v>2523</v>
      </c>
      <c r="H917" t="s">
        <v>2518</v>
      </c>
      <c r="J917" t="s">
        <v>2524</v>
      </c>
    </row>
    <row r="918" spans="1:10">
      <c r="A918" t="s">
        <v>2525</v>
      </c>
      <c r="B918">
        <v>2</v>
      </c>
      <c r="C918">
        <f>Calculations!C40</f>
        <v>0</v>
      </c>
      <c r="D918" s="14" t="s">
        <v>2526</v>
      </c>
      <c r="H918" t="s">
        <v>2520</v>
      </c>
      <c r="J918" t="s">
        <v>2527</v>
      </c>
    </row>
    <row r="919" spans="1:10">
      <c r="A919" t="s">
        <v>2528</v>
      </c>
      <c r="B919">
        <v>3</v>
      </c>
      <c r="C919">
        <f>Calculations!D40</f>
        <v>0</v>
      </c>
      <c r="D919" s="14" t="s">
        <v>2529</v>
      </c>
      <c r="H919" t="s">
        <v>2518</v>
      </c>
      <c r="J919" t="s">
        <v>2530</v>
      </c>
    </row>
    <row r="920" spans="1:10">
      <c r="A920" t="s">
        <v>2531</v>
      </c>
      <c r="B920">
        <v>4</v>
      </c>
      <c r="C920">
        <f>Calculations!E40</f>
        <v>0</v>
      </c>
      <c r="D920" s="14" t="s">
        <v>2532</v>
      </c>
      <c r="H920" t="s">
        <v>2520</v>
      </c>
      <c r="J920" t="s">
        <v>2533</v>
      </c>
    </row>
    <row r="921" spans="1:10">
      <c r="A921" t="s">
        <v>2534</v>
      </c>
      <c r="B921">
        <v>5</v>
      </c>
      <c r="C921">
        <f>Calculations!F40</f>
        <v>0</v>
      </c>
      <c r="D921" s="14" t="s">
        <v>2535</v>
      </c>
      <c r="H921" t="s">
        <v>2518</v>
      </c>
      <c r="J921" t="s">
        <v>2536</v>
      </c>
    </row>
    <row r="922" spans="1:10">
      <c r="A922" t="s">
        <v>2537</v>
      </c>
      <c r="B922">
        <v>6</v>
      </c>
      <c r="C922">
        <f>Calculations!G40</f>
        <v>0</v>
      </c>
      <c r="D922" s="14" t="s">
        <v>2538</v>
      </c>
      <c r="H922" t="s">
        <v>2520</v>
      </c>
      <c r="J922" t="s">
        <v>2539</v>
      </c>
    </row>
    <row r="923" spans="1:10">
      <c r="H923" t="s">
        <v>2518</v>
      </c>
      <c r="J923" t="s">
        <v>2540</v>
      </c>
    </row>
    <row r="924" spans="1:10">
      <c r="H924" t="s">
        <v>2520</v>
      </c>
      <c r="J924" t="s">
        <v>2541</v>
      </c>
    </row>
    <row r="927" spans="1:10">
      <c r="A927" t="s">
        <v>2542</v>
      </c>
    </row>
    <row r="928" spans="1:10">
      <c r="B928" t="s">
        <v>2543</v>
      </c>
      <c r="C928" t="s">
        <v>2544</v>
      </c>
      <c r="D928" t="s">
        <v>2545</v>
      </c>
      <c r="E928" t="s">
        <v>2546</v>
      </c>
      <c r="F928" t="s">
        <v>2547</v>
      </c>
    </row>
    <row r="929" spans="1:6">
      <c r="A929" s="315" t="s">
        <v>2281</v>
      </c>
    </row>
    <row r="930" spans="1:6">
      <c r="A930" s="195" t="str">
        <f>IF(B930="","",MAX(A$928:A928)+1)</f>
        <v/>
      </c>
      <c r="B930" s="70" t="str">
        <f>IF('Unit Mix &amp; Rents'!A17 = "", "", 'Unit Mix &amp; Rents'!A17)</f>
        <v/>
      </c>
      <c r="C930" t="str">
        <f>IF('Unit Mix &amp; Rents'!B17 = "", "", 'Unit Mix &amp; Rents'!B17)</f>
        <v/>
      </c>
      <c r="D930" t="str">
        <f>IF('Unit Mix &amp; Rents'!C17 = "", "", 'Unit Mix &amp; Rents'!C17)</f>
        <v/>
      </c>
      <c r="E930" t="str">
        <f>IF('Unit Mix &amp; Rents'!D17 = "", "", 'Unit Mix &amp; Rents'!D17)</f>
        <v/>
      </c>
      <c r="F930" t="str">
        <f>IF('Unit Mix &amp; Rents'!E17 = "", "", 'Unit Mix &amp; Rents'!E17)</f>
        <v/>
      </c>
    </row>
    <row r="931" spans="1:6">
      <c r="A931" s="195" t="str">
        <f>IF(B931="","",MAX(A$928:A930)+1)</f>
        <v/>
      </c>
      <c r="B931" s="70" t="str">
        <f>IF('Unit Mix &amp; Rents'!A18 = "", "", 'Unit Mix &amp; Rents'!A18)</f>
        <v/>
      </c>
      <c r="C931" t="str">
        <f>IF('Unit Mix &amp; Rents'!B18 = "", "", 'Unit Mix &amp; Rents'!B18)</f>
        <v/>
      </c>
      <c r="D931" t="str">
        <f>IF('Unit Mix &amp; Rents'!C18 = "", "", 'Unit Mix &amp; Rents'!C18)</f>
        <v/>
      </c>
      <c r="E931" t="str">
        <f>IF('Unit Mix &amp; Rents'!D18 = "", "", 'Unit Mix &amp; Rents'!D18)</f>
        <v/>
      </c>
      <c r="F931" t="str">
        <f>IF('Unit Mix &amp; Rents'!E18 = "", "", 'Unit Mix &amp; Rents'!E18)</f>
        <v/>
      </c>
    </row>
    <row r="932" spans="1:6">
      <c r="A932" s="195" t="str">
        <f>IF(B932="","",MAX(A$928:A931)+1)</f>
        <v/>
      </c>
      <c r="B932" s="70" t="str">
        <f>IF('Unit Mix &amp; Rents'!A19 = "", "", 'Unit Mix &amp; Rents'!A19)</f>
        <v/>
      </c>
      <c r="C932" t="str">
        <f>IF('Unit Mix &amp; Rents'!B19 = "", "", 'Unit Mix &amp; Rents'!B19)</f>
        <v/>
      </c>
      <c r="D932" t="str">
        <f>IF('Unit Mix &amp; Rents'!C19 = "", "", 'Unit Mix &amp; Rents'!C19)</f>
        <v/>
      </c>
      <c r="E932" t="str">
        <f>IF('Unit Mix &amp; Rents'!D19 = "", "", 'Unit Mix &amp; Rents'!D19)</f>
        <v/>
      </c>
      <c r="F932" t="str">
        <f>IF('Unit Mix &amp; Rents'!E19 = "", "", 'Unit Mix &amp; Rents'!E19)</f>
        <v/>
      </c>
    </row>
    <row r="933" spans="1:6">
      <c r="A933" s="195" t="str">
        <f>IF(B933="","",MAX(A$928:A932)+1)</f>
        <v/>
      </c>
      <c r="B933" s="70" t="str">
        <f>IF('Unit Mix &amp; Rents'!A20 = "", "", 'Unit Mix &amp; Rents'!A20)</f>
        <v/>
      </c>
      <c r="C933" t="str">
        <f>IF('Unit Mix &amp; Rents'!B20 = "", "", 'Unit Mix &amp; Rents'!B20)</f>
        <v/>
      </c>
      <c r="D933" t="str">
        <f>IF('Unit Mix &amp; Rents'!C20 = "", "", 'Unit Mix &amp; Rents'!C20)</f>
        <v/>
      </c>
      <c r="E933" t="str">
        <f>IF('Unit Mix &amp; Rents'!D20 = "", "", 'Unit Mix &amp; Rents'!D20)</f>
        <v/>
      </c>
      <c r="F933" t="str">
        <f>IF('Unit Mix &amp; Rents'!E20 = "", "", 'Unit Mix &amp; Rents'!E20)</f>
        <v/>
      </c>
    </row>
    <row r="934" spans="1:6">
      <c r="A934" s="195" t="str">
        <f>IF(B934="","",MAX(A$928:A933)+1)</f>
        <v/>
      </c>
      <c r="B934" s="70" t="str">
        <f>IF('Unit Mix &amp; Rents'!A21 = "", "", 'Unit Mix &amp; Rents'!A21)</f>
        <v/>
      </c>
      <c r="C934" t="str">
        <f>IF('Unit Mix &amp; Rents'!B21 = "", "", 'Unit Mix &amp; Rents'!B21)</f>
        <v/>
      </c>
      <c r="D934" t="str">
        <f>IF('Unit Mix &amp; Rents'!C21 = "", "", 'Unit Mix &amp; Rents'!C21)</f>
        <v/>
      </c>
      <c r="E934" t="str">
        <f>IF('Unit Mix &amp; Rents'!D21 = "", "", 'Unit Mix &amp; Rents'!D21)</f>
        <v/>
      </c>
      <c r="F934" t="str">
        <f>IF('Unit Mix &amp; Rents'!E21 = "", "", 'Unit Mix &amp; Rents'!E21)</f>
        <v/>
      </c>
    </row>
    <row r="935" spans="1:6">
      <c r="A935" s="195" t="str">
        <f>IF(B935="","",MAX(A$928:A934)+1)</f>
        <v/>
      </c>
      <c r="B935" s="70" t="str">
        <f>IF('Unit Mix &amp; Rents'!A22 = "", "", 'Unit Mix &amp; Rents'!A22)</f>
        <v/>
      </c>
      <c r="C935" t="str">
        <f>IF('Unit Mix &amp; Rents'!B22 = "", "", 'Unit Mix &amp; Rents'!B22)</f>
        <v/>
      </c>
      <c r="D935" t="str">
        <f>IF('Unit Mix &amp; Rents'!C22 = "", "", 'Unit Mix &amp; Rents'!C22)</f>
        <v/>
      </c>
      <c r="E935" t="str">
        <f>IF('Unit Mix &amp; Rents'!D22 = "", "", 'Unit Mix &amp; Rents'!D22)</f>
        <v/>
      </c>
      <c r="F935" t="str">
        <f>IF('Unit Mix &amp; Rents'!E22 = "", "", 'Unit Mix &amp; Rents'!E22)</f>
        <v/>
      </c>
    </row>
    <row r="936" spans="1:6">
      <c r="A936" s="195" t="str">
        <f>IF(B936="","",MAX(A$928:A935)+1)</f>
        <v/>
      </c>
      <c r="B936" s="70" t="str">
        <f>IF('Unit Mix &amp; Rents'!A23 = "", "", 'Unit Mix &amp; Rents'!A23)</f>
        <v/>
      </c>
      <c r="C936" t="str">
        <f>IF('Unit Mix &amp; Rents'!B23 = "", "", 'Unit Mix &amp; Rents'!B23)</f>
        <v/>
      </c>
      <c r="D936" t="str">
        <f>IF('Unit Mix &amp; Rents'!C23 = "", "", 'Unit Mix &amp; Rents'!C23)</f>
        <v/>
      </c>
      <c r="E936" t="str">
        <f>IF('Unit Mix &amp; Rents'!D23 = "", "", 'Unit Mix &amp; Rents'!D23)</f>
        <v/>
      </c>
      <c r="F936" t="str">
        <f>IF('Unit Mix &amp; Rents'!E23 = "", "", 'Unit Mix &amp; Rents'!E23)</f>
        <v/>
      </c>
    </row>
    <row r="937" spans="1:6">
      <c r="A937" s="195" t="str">
        <f>IF(B937="","",MAX(A$928:A936)+1)</f>
        <v/>
      </c>
      <c r="B937" s="70" t="str">
        <f>IF('Unit Mix &amp; Rents'!A24 = "", "", 'Unit Mix &amp; Rents'!A24)</f>
        <v/>
      </c>
      <c r="C937" t="str">
        <f>IF('Unit Mix &amp; Rents'!B24 = "", "", 'Unit Mix &amp; Rents'!B24)</f>
        <v/>
      </c>
      <c r="D937" t="str">
        <f>IF('Unit Mix &amp; Rents'!C24 = "", "", 'Unit Mix &amp; Rents'!C24)</f>
        <v/>
      </c>
      <c r="E937" t="str">
        <f>IF('Unit Mix &amp; Rents'!D24 = "", "", 'Unit Mix &amp; Rents'!D24)</f>
        <v/>
      </c>
      <c r="F937" t="str">
        <f>IF('Unit Mix &amp; Rents'!E24 = "", "", 'Unit Mix &amp; Rents'!E24)</f>
        <v/>
      </c>
    </row>
    <row r="938" spans="1:6">
      <c r="A938" s="195" t="str">
        <f>IF(B938="","",MAX(A$928:A937)+1)</f>
        <v/>
      </c>
      <c r="B938" s="70" t="str">
        <f>IF('Unit Mix &amp; Rents'!A25 = "", "", 'Unit Mix &amp; Rents'!A25)</f>
        <v/>
      </c>
      <c r="C938" t="str">
        <f>IF('Unit Mix &amp; Rents'!B25 = "", "", 'Unit Mix &amp; Rents'!B25)</f>
        <v/>
      </c>
      <c r="D938" t="str">
        <f>IF('Unit Mix &amp; Rents'!C25 = "", "", 'Unit Mix &amp; Rents'!C25)</f>
        <v/>
      </c>
      <c r="E938" t="str">
        <f>IF('Unit Mix &amp; Rents'!D25 = "", "", 'Unit Mix &amp; Rents'!D25)</f>
        <v/>
      </c>
      <c r="F938" t="str">
        <f>IF('Unit Mix &amp; Rents'!E25 = "", "", 'Unit Mix &amp; Rents'!E25)</f>
        <v/>
      </c>
    </row>
    <row r="939" spans="1:6">
      <c r="A939" s="195" t="str">
        <f>IF(B939="","",MAX(A$928:A938)+1)</f>
        <v/>
      </c>
      <c r="B939" s="70" t="str">
        <f>IF('Unit Mix &amp; Rents'!A26 = "", "", 'Unit Mix &amp; Rents'!A26)</f>
        <v/>
      </c>
      <c r="C939" t="str">
        <f>IF('Unit Mix &amp; Rents'!B26 = "", "", 'Unit Mix &amp; Rents'!B26)</f>
        <v/>
      </c>
      <c r="D939" t="str">
        <f>IF('Unit Mix &amp; Rents'!C26 = "", "", 'Unit Mix &amp; Rents'!C26)</f>
        <v/>
      </c>
      <c r="E939" t="str">
        <f>IF('Unit Mix &amp; Rents'!D26 = "", "", 'Unit Mix &amp; Rents'!D26)</f>
        <v/>
      </c>
      <c r="F939" t="str">
        <f>IF('Unit Mix &amp; Rents'!E26 = "", "", 'Unit Mix &amp; Rents'!E26)</f>
        <v/>
      </c>
    </row>
    <row r="940" spans="1:6">
      <c r="A940" s="195" t="str">
        <f>IF(B940="","",MAX(A$928:A939)+1)</f>
        <v/>
      </c>
      <c r="B940" s="70" t="str">
        <f>IF('Unit Mix &amp; Rents'!A27 = "", "", 'Unit Mix &amp; Rents'!A27)</f>
        <v/>
      </c>
      <c r="C940" t="str">
        <f>IF('Unit Mix &amp; Rents'!B27 = "", "", 'Unit Mix &amp; Rents'!B27)</f>
        <v/>
      </c>
      <c r="D940" t="str">
        <f>IF('Unit Mix &amp; Rents'!C27 = "", "", 'Unit Mix &amp; Rents'!C27)</f>
        <v/>
      </c>
      <c r="E940" t="str">
        <f>IF('Unit Mix &amp; Rents'!D27 = "", "", 'Unit Mix &amp; Rents'!D27)</f>
        <v/>
      </c>
      <c r="F940" t="str">
        <f>IF('Unit Mix &amp; Rents'!E27 = "", "", 'Unit Mix &amp; Rents'!E27)</f>
        <v/>
      </c>
    </row>
    <row r="941" spans="1:6">
      <c r="A941" s="195" t="str">
        <f>IF(B941="","",MAX(A$928:A940)+1)</f>
        <v/>
      </c>
      <c r="B941" s="70" t="str">
        <f>IF('Unit Mix &amp; Rents'!A28 = "", "", 'Unit Mix &amp; Rents'!A28)</f>
        <v/>
      </c>
      <c r="C941" t="str">
        <f>IF('Unit Mix &amp; Rents'!B28 = "", "", 'Unit Mix &amp; Rents'!B28)</f>
        <v/>
      </c>
      <c r="D941" t="str">
        <f>IF('Unit Mix &amp; Rents'!C28 = "", "", 'Unit Mix &amp; Rents'!C28)</f>
        <v/>
      </c>
      <c r="E941" t="str">
        <f>IF('Unit Mix &amp; Rents'!D28 = "", "", 'Unit Mix &amp; Rents'!D28)</f>
        <v/>
      </c>
      <c r="F941" t="str">
        <f>IF('Unit Mix &amp; Rents'!E28 = "", "", 'Unit Mix &amp; Rents'!E28)</f>
        <v/>
      </c>
    </row>
    <row r="942" spans="1:6">
      <c r="A942" s="195" t="str">
        <f>IF(B942="","",MAX(A$928:A941)+1)</f>
        <v/>
      </c>
      <c r="B942" s="70" t="str">
        <f>IF('Unit Mix &amp; Rents'!A29 = "", "", 'Unit Mix &amp; Rents'!A29)</f>
        <v/>
      </c>
      <c r="C942" t="str">
        <f>IF('Unit Mix &amp; Rents'!B29 = "", "", 'Unit Mix &amp; Rents'!B29)</f>
        <v/>
      </c>
      <c r="D942" t="str">
        <f>IF('Unit Mix &amp; Rents'!C29 = "", "", 'Unit Mix &amp; Rents'!C29)</f>
        <v/>
      </c>
      <c r="E942" t="str">
        <f>IF('Unit Mix &amp; Rents'!D29 = "", "", 'Unit Mix &amp; Rents'!D29)</f>
        <v/>
      </c>
      <c r="F942" t="str">
        <f>IF('Unit Mix &amp; Rents'!E29 = "", "", 'Unit Mix &amp; Rents'!E29)</f>
        <v/>
      </c>
    </row>
    <row r="943" spans="1:6">
      <c r="A943" s="195" t="str">
        <f>IF(B943="","",MAX(A$928:A942)+1)</f>
        <v/>
      </c>
      <c r="B943" s="70" t="str">
        <f>IF('Unit Mix &amp; Rents'!A30 = "", "", 'Unit Mix &amp; Rents'!A30)</f>
        <v/>
      </c>
      <c r="C943" t="str">
        <f>IF('Unit Mix &amp; Rents'!B30 = "", "", 'Unit Mix &amp; Rents'!B30)</f>
        <v/>
      </c>
      <c r="D943" t="str">
        <f>IF('Unit Mix &amp; Rents'!C30 = "", "", 'Unit Mix &amp; Rents'!C30)</f>
        <v/>
      </c>
      <c r="E943" t="str">
        <f>IF('Unit Mix &amp; Rents'!D30 = "", "", 'Unit Mix &amp; Rents'!D30)</f>
        <v/>
      </c>
      <c r="F943" t="str">
        <f>IF('Unit Mix &amp; Rents'!E30 = "", "", 'Unit Mix &amp; Rents'!E30)</f>
        <v/>
      </c>
    </row>
    <row r="944" spans="1:6">
      <c r="A944" s="195" t="str">
        <f>IF(B944="","",MAX(A$928:A943)+1)</f>
        <v/>
      </c>
      <c r="B944" s="70" t="str">
        <f>IF('Unit Mix &amp; Rents'!A31 = "", "", 'Unit Mix &amp; Rents'!A31)</f>
        <v/>
      </c>
      <c r="C944" t="str">
        <f>IF('Unit Mix &amp; Rents'!B31 = "", "", 'Unit Mix &amp; Rents'!B31)</f>
        <v/>
      </c>
      <c r="D944" t="str">
        <f>IF('Unit Mix &amp; Rents'!C31 = "", "", 'Unit Mix &amp; Rents'!C31)</f>
        <v/>
      </c>
      <c r="E944" t="str">
        <f>IF('Unit Mix &amp; Rents'!D31 = "", "", 'Unit Mix &amp; Rents'!D31)</f>
        <v/>
      </c>
      <c r="F944" t="str">
        <f>IF('Unit Mix &amp; Rents'!E31 = "", "", 'Unit Mix &amp; Rents'!E31)</f>
        <v/>
      </c>
    </row>
    <row r="945" spans="1:6">
      <c r="A945" s="195" t="str">
        <f>IF(B945="","",MAX(A$928:A944)+1)</f>
        <v/>
      </c>
      <c r="B945" s="70" t="str">
        <f>IF('Unit Mix &amp; Rents'!A32 = "", "", 'Unit Mix &amp; Rents'!A32)</f>
        <v/>
      </c>
      <c r="C945" t="str">
        <f>IF('Unit Mix &amp; Rents'!B32 = "", "", 'Unit Mix &amp; Rents'!B32)</f>
        <v/>
      </c>
      <c r="D945" t="str">
        <f>IF('Unit Mix &amp; Rents'!C32 = "", "", 'Unit Mix &amp; Rents'!C32)</f>
        <v/>
      </c>
      <c r="E945" t="str">
        <f>IF('Unit Mix &amp; Rents'!D32 = "", "", 'Unit Mix &amp; Rents'!D32)</f>
        <v/>
      </c>
      <c r="F945" t="str">
        <f>IF('Unit Mix &amp; Rents'!E32 = "", "", 'Unit Mix &amp; Rents'!E32)</f>
        <v/>
      </c>
    </row>
    <row r="946" spans="1:6">
      <c r="A946" s="195" t="str">
        <f>IF(B946="","",MAX(A$928:A945)+1)</f>
        <v/>
      </c>
      <c r="B946" s="70" t="str">
        <f>IF('Unit Mix &amp; Rents'!A33 = "", "", 'Unit Mix &amp; Rents'!A33)</f>
        <v/>
      </c>
      <c r="C946" t="str">
        <f>IF('Unit Mix &amp; Rents'!B33 = "", "", 'Unit Mix &amp; Rents'!B33)</f>
        <v/>
      </c>
      <c r="D946" t="str">
        <f>IF('Unit Mix &amp; Rents'!C33 = "", "", 'Unit Mix &amp; Rents'!C33)</f>
        <v/>
      </c>
      <c r="E946" t="str">
        <f>IF('Unit Mix &amp; Rents'!D33 = "", "", 'Unit Mix &amp; Rents'!D33)</f>
        <v/>
      </c>
      <c r="F946" t="str">
        <f>IF('Unit Mix &amp; Rents'!E33 = "", "", 'Unit Mix &amp; Rents'!E33)</f>
        <v/>
      </c>
    </row>
    <row r="947" spans="1:6">
      <c r="A947" s="195" t="str">
        <f>IF(B947="","",MAX(A$928:A946)+1)</f>
        <v/>
      </c>
      <c r="B947" s="70" t="str">
        <f>IF('Unit Mix &amp; Rents'!A34 = "", "", 'Unit Mix &amp; Rents'!A34)</f>
        <v/>
      </c>
      <c r="C947" t="str">
        <f>IF('Unit Mix &amp; Rents'!B34 = "", "", 'Unit Mix &amp; Rents'!B34)</f>
        <v/>
      </c>
      <c r="D947" t="str">
        <f>IF('Unit Mix &amp; Rents'!C34 = "", "", 'Unit Mix &amp; Rents'!C34)</f>
        <v/>
      </c>
      <c r="E947" t="str">
        <f>IF('Unit Mix &amp; Rents'!D34 = "", "", 'Unit Mix &amp; Rents'!D34)</f>
        <v/>
      </c>
      <c r="F947" t="str">
        <f>IF('Unit Mix &amp; Rents'!E34 = "", "", 'Unit Mix &amp; Rents'!E34)</f>
        <v/>
      </c>
    </row>
    <row r="948" spans="1:6">
      <c r="A948" s="195" t="str">
        <f>IF(B948="","",MAX(A$928:A947)+1)</f>
        <v/>
      </c>
      <c r="B948" s="70" t="str">
        <f>IF('Unit Mix &amp; Rents'!A35 = "", "", 'Unit Mix &amp; Rents'!A35)</f>
        <v/>
      </c>
      <c r="C948" t="str">
        <f>IF('Unit Mix &amp; Rents'!B35 = "", "", 'Unit Mix &amp; Rents'!B35)</f>
        <v/>
      </c>
      <c r="D948" t="str">
        <f>IF('Unit Mix &amp; Rents'!C35 = "", "", 'Unit Mix &amp; Rents'!C35)</f>
        <v/>
      </c>
      <c r="E948" t="str">
        <f>IF('Unit Mix &amp; Rents'!D35 = "", "", 'Unit Mix &amp; Rents'!D35)</f>
        <v/>
      </c>
      <c r="F948" t="str">
        <f>IF('Unit Mix &amp; Rents'!E35 = "", "", 'Unit Mix &amp; Rents'!E35)</f>
        <v/>
      </c>
    </row>
    <row r="949" spans="1:6">
      <c r="A949" s="195" t="str">
        <f>IF(B949="","",MAX(A$928:A948)+1)</f>
        <v/>
      </c>
      <c r="B949" s="70" t="str">
        <f>IF('Unit Mix &amp; Rents'!A36 = "", "", 'Unit Mix &amp; Rents'!A36)</f>
        <v/>
      </c>
      <c r="C949" t="str">
        <f>IF('Unit Mix &amp; Rents'!B36 = "", "", 'Unit Mix &amp; Rents'!B36)</f>
        <v/>
      </c>
      <c r="D949" t="str">
        <f>IF('Unit Mix &amp; Rents'!C36 = "", "", 'Unit Mix &amp; Rents'!C36)</f>
        <v/>
      </c>
      <c r="E949" t="str">
        <f>IF('Unit Mix &amp; Rents'!D36 = "", "", 'Unit Mix &amp; Rents'!D36)</f>
        <v/>
      </c>
      <c r="F949" t="str">
        <f>IF('Unit Mix &amp; Rents'!E36 = "", "", 'Unit Mix &amp; Rents'!E36)</f>
        <v/>
      </c>
    </row>
    <row r="950" spans="1:6">
      <c r="A950" s="195" t="str">
        <f>IF(B950="","",MAX(A$928:A949)+1)</f>
        <v/>
      </c>
      <c r="B950" s="70" t="str">
        <f>IF('Unit Mix &amp; Rents'!A37 = "", "", 'Unit Mix &amp; Rents'!A37)</f>
        <v/>
      </c>
      <c r="C950" t="str">
        <f>IF('Unit Mix &amp; Rents'!B37 = "", "", 'Unit Mix &amp; Rents'!B37)</f>
        <v/>
      </c>
      <c r="D950" t="str">
        <f>IF('Unit Mix &amp; Rents'!C37 = "", "", 'Unit Mix &amp; Rents'!C37)</f>
        <v/>
      </c>
      <c r="E950" t="str">
        <f>IF('Unit Mix &amp; Rents'!D37 = "", "", 'Unit Mix &amp; Rents'!D37)</f>
        <v/>
      </c>
      <c r="F950" t="str">
        <f>IF('Unit Mix &amp; Rents'!E37 = "", "", 'Unit Mix &amp; Rents'!E37)</f>
        <v/>
      </c>
    </row>
    <row r="951" spans="1:6">
      <c r="A951" s="195" t="str">
        <f>IF(B951="","",MAX(A$928:A950)+1)</f>
        <v/>
      </c>
      <c r="B951" s="70" t="str">
        <f>IF('Unit Mix &amp; Rents'!A38 = "", "", 'Unit Mix &amp; Rents'!A38)</f>
        <v/>
      </c>
      <c r="C951" t="str">
        <f>IF('Unit Mix &amp; Rents'!B38 = "", "", 'Unit Mix &amp; Rents'!B38)</f>
        <v/>
      </c>
      <c r="D951" t="str">
        <f>IF('Unit Mix &amp; Rents'!C38 = "", "", 'Unit Mix &amp; Rents'!C38)</f>
        <v/>
      </c>
      <c r="E951" t="str">
        <f>IF('Unit Mix &amp; Rents'!D38 = "", "", 'Unit Mix &amp; Rents'!D38)</f>
        <v/>
      </c>
      <c r="F951" t="str">
        <f>IF('Unit Mix &amp; Rents'!E38 = "", "", 'Unit Mix &amp; Rents'!E38)</f>
        <v/>
      </c>
    </row>
    <row r="952" spans="1:6">
      <c r="A952" s="195" t="str">
        <f>IF(B952="","",MAX(A$928:A951)+1)</f>
        <v/>
      </c>
      <c r="B952" s="70" t="str">
        <f>IF('Unit Mix &amp; Rents'!A39 = "", "", 'Unit Mix &amp; Rents'!A39)</f>
        <v/>
      </c>
      <c r="C952" t="str">
        <f>IF('Unit Mix &amp; Rents'!B39 = "", "", 'Unit Mix &amp; Rents'!B39)</f>
        <v/>
      </c>
      <c r="D952" t="str">
        <f>IF('Unit Mix &amp; Rents'!C39 = "", "", 'Unit Mix &amp; Rents'!C39)</f>
        <v/>
      </c>
      <c r="E952" t="str">
        <f>IF('Unit Mix &amp; Rents'!D39 = "", "", 'Unit Mix &amp; Rents'!D39)</f>
        <v/>
      </c>
      <c r="F952" t="str">
        <f>IF('Unit Mix &amp; Rents'!E39 = "", "", 'Unit Mix &amp; Rents'!E39)</f>
        <v/>
      </c>
    </row>
    <row r="953" spans="1:6">
      <c r="A953" s="195" t="str">
        <f>IF(B953="","",MAX(A$928:A952)+1)</f>
        <v/>
      </c>
      <c r="B953" s="70" t="str">
        <f>IF('Unit Mix &amp; Rents'!A40 = "", "", 'Unit Mix &amp; Rents'!A40)</f>
        <v/>
      </c>
      <c r="C953" t="str">
        <f>IF('Unit Mix &amp; Rents'!B40 = "", "", 'Unit Mix &amp; Rents'!B40)</f>
        <v/>
      </c>
      <c r="D953" t="str">
        <f>IF('Unit Mix &amp; Rents'!C40 = "", "", 'Unit Mix &amp; Rents'!C40)</f>
        <v/>
      </c>
      <c r="E953" t="str">
        <f>IF('Unit Mix &amp; Rents'!D40 = "", "", 'Unit Mix &amp; Rents'!D40)</f>
        <v/>
      </c>
      <c r="F953" t="str">
        <f>IF('Unit Mix &amp; Rents'!E40 = "", "", 'Unit Mix &amp; Rents'!E40)</f>
        <v/>
      </c>
    </row>
    <row r="954" spans="1:6">
      <c r="A954" s="195" t="str">
        <f>IF(B954="","",MAX(A$928:A953)+1)</f>
        <v/>
      </c>
      <c r="B954" s="70" t="str">
        <f>IF('Unit Mix &amp; Rents'!A41 = "", "", 'Unit Mix &amp; Rents'!A41)</f>
        <v/>
      </c>
      <c r="C954" t="str">
        <f>IF('Unit Mix &amp; Rents'!B41 = "", "", 'Unit Mix &amp; Rents'!B41)</f>
        <v/>
      </c>
      <c r="D954" t="str">
        <f>IF('Unit Mix &amp; Rents'!C41 = "", "", 'Unit Mix &amp; Rents'!C41)</f>
        <v/>
      </c>
      <c r="E954" t="str">
        <f>IF('Unit Mix &amp; Rents'!D41 = "", "", 'Unit Mix &amp; Rents'!D41)</f>
        <v/>
      </c>
      <c r="F954" t="str">
        <f>IF('Unit Mix &amp; Rents'!E41 = "", "", 'Unit Mix &amp; Rents'!E41)</f>
        <v/>
      </c>
    </row>
    <row r="955" spans="1:6">
      <c r="A955" s="195" t="str">
        <f>IF(B955="","",MAX(A$928:A954)+1)</f>
        <v/>
      </c>
      <c r="B955" s="70" t="str">
        <f>IF('Unit Mix &amp; Rents'!A42 = "", "", 'Unit Mix &amp; Rents'!A42)</f>
        <v/>
      </c>
      <c r="C955" t="str">
        <f>IF('Unit Mix &amp; Rents'!B42 = "", "", 'Unit Mix &amp; Rents'!B42)</f>
        <v/>
      </c>
      <c r="D955" t="str">
        <f>IF('Unit Mix &amp; Rents'!C42 = "", "", 'Unit Mix &amp; Rents'!C42)</f>
        <v/>
      </c>
      <c r="E955" t="str">
        <f>IF('Unit Mix &amp; Rents'!D42 = "", "", 'Unit Mix &amp; Rents'!D42)</f>
        <v/>
      </c>
      <c r="F955" t="str">
        <f>IF('Unit Mix &amp; Rents'!E42 = "", "", 'Unit Mix &amp; Rents'!E42)</f>
        <v/>
      </c>
    </row>
    <row r="956" spans="1:6">
      <c r="A956" s="195" t="str">
        <f>IF(B956="","",MAX(A$928:A955)+1)</f>
        <v/>
      </c>
      <c r="B956" s="70" t="str">
        <f>IF('Unit Mix &amp; Rents'!A43 = "", "", 'Unit Mix &amp; Rents'!A43)</f>
        <v/>
      </c>
      <c r="C956" t="str">
        <f>IF('Unit Mix &amp; Rents'!B43 = "", "", 'Unit Mix &amp; Rents'!B43)</f>
        <v/>
      </c>
      <c r="D956" t="str">
        <f>IF('Unit Mix &amp; Rents'!C43 = "", "", 'Unit Mix &amp; Rents'!C43)</f>
        <v/>
      </c>
      <c r="E956" t="str">
        <f>IF('Unit Mix &amp; Rents'!D43 = "", "", 'Unit Mix &amp; Rents'!D43)</f>
        <v/>
      </c>
      <c r="F956" t="str">
        <f>IF('Unit Mix &amp; Rents'!E43 = "", "", 'Unit Mix &amp; Rents'!E43)</f>
        <v/>
      </c>
    </row>
    <row r="957" spans="1:6">
      <c r="A957" s="195" t="str">
        <f>IF(B957="","",MAX(A$928:A956)+1)</f>
        <v/>
      </c>
      <c r="B957" s="70" t="str">
        <f>IF('Unit Mix &amp; Rents'!A44 = "", "", 'Unit Mix &amp; Rents'!A44)</f>
        <v/>
      </c>
      <c r="C957" t="str">
        <f>IF('Unit Mix &amp; Rents'!B44 = "", "", 'Unit Mix &amp; Rents'!B44)</f>
        <v/>
      </c>
      <c r="D957" t="str">
        <f>IF('Unit Mix &amp; Rents'!C44 = "", "", 'Unit Mix &amp; Rents'!C44)</f>
        <v/>
      </c>
      <c r="E957" t="str">
        <f>IF('Unit Mix &amp; Rents'!D44 = "", "", 'Unit Mix &amp; Rents'!D44)</f>
        <v/>
      </c>
      <c r="F957" t="str">
        <f>IF('Unit Mix &amp; Rents'!E44 = "", "", 'Unit Mix &amp; Rents'!E44)</f>
        <v/>
      </c>
    </row>
    <row r="958" spans="1:6">
      <c r="A958" s="195" t="str">
        <f>IF(B958="","",MAX(A$928:A957)+1)</f>
        <v/>
      </c>
      <c r="B958" s="70" t="str">
        <f>IF('Unit Mix &amp; Rents'!A45 = "", "", 'Unit Mix &amp; Rents'!A45)</f>
        <v/>
      </c>
      <c r="C958" t="str">
        <f>IF('Unit Mix &amp; Rents'!B45 = "", "", 'Unit Mix &amp; Rents'!B45)</f>
        <v/>
      </c>
      <c r="D958" t="str">
        <f>IF('Unit Mix &amp; Rents'!C45 = "", "", 'Unit Mix &amp; Rents'!C45)</f>
        <v/>
      </c>
      <c r="E958" t="str">
        <f>IF('Unit Mix &amp; Rents'!D45 = "", "", 'Unit Mix &amp; Rents'!D45)</f>
        <v/>
      </c>
      <c r="F958" t="str">
        <f>IF('Unit Mix &amp; Rents'!E45 = "", "", 'Unit Mix &amp; Rents'!E45)</f>
        <v/>
      </c>
    </row>
    <row r="959" spans="1:6">
      <c r="A959" s="195" t="str">
        <f>IF(B959="","",MAX(A$928:A958)+1)</f>
        <v/>
      </c>
      <c r="B959" s="70" t="str">
        <f>IF('Unit Mix &amp; Rents'!A46 = "", "", 'Unit Mix &amp; Rents'!A46)</f>
        <v/>
      </c>
      <c r="C959" t="str">
        <f>IF('Unit Mix &amp; Rents'!B46 = "", "", 'Unit Mix &amp; Rents'!B46)</f>
        <v/>
      </c>
      <c r="D959" t="str">
        <f>IF('Unit Mix &amp; Rents'!C46 = "", "", 'Unit Mix &amp; Rents'!C46)</f>
        <v/>
      </c>
      <c r="E959" t="str">
        <f>IF('Unit Mix &amp; Rents'!D46 = "", "", 'Unit Mix &amp; Rents'!D46)</f>
        <v/>
      </c>
      <c r="F959" t="str">
        <f>IF('Unit Mix &amp; Rents'!E46 = "", "", 'Unit Mix &amp; Rents'!E46)</f>
        <v/>
      </c>
    </row>
    <row r="960" spans="1:6">
      <c r="A960" s="195" t="str">
        <f>IF(B960="","",MAX(A$928:A959)+1)</f>
        <v/>
      </c>
      <c r="B960" s="70" t="str">
        <f>IF('Unit Mix &amp; Rents'!A47 = "", "", 'Unit Mix &amp; Rents'!A47)</f>
        <v/>
      </c>
      <c r="C960" t="str">
        <f>IF('Unit Mix &amp; Rents'!B47 = "", "", 'Unit Mix &amp; Rents'!B47)</f>
        <v/>
      </c>
      <c r="D960" t="str">
        <f>IF('Unit Mix &amp; Rents'!C47 = "", "", 'Unit Mix &amp; Rents'!C47)</f>
        <v/>
      </c>
      <c r="E960" t="str">
        <f>IF('Unit Mix &amp; Rents'!D47 = "", "", 'Unit Mix &amp; Rents'!D47)</f>
        <v/>
      </c>
      <c r="F960" t="str">
        <f>IF('Unit Mix &amp; Rents'!E47 = "", "", 'Unit Mix &amp; Rents'!E47)</f>
        <v/>
      </c>
    </row>
    <row r="961" spans="1:6">
      <c r="A961" s="195" t="str">
        <f>IF(B961="","",MAX(A$928:A960)+1)</f>
        <v/>
      </c>
      <c r="B961" s="70" t="str">
        <f>IF('Unit Mix &amp; Rents'!A48 = "", "", 'Unit Mix &amp; Rents'!A48)</f>
        <v/>
      </c>
      <c r="C961" t="str">
        <f>IF('Unit Mix &amp; Rents'!B48 = "", "", 'Unit Mix &amp; Rents'!B48)</f>
        <v/>
      </c>
      <c r="D961" t="str">
        <f>IF('Unit Mix &amp; Rents'!C48 = "", "", 'Unit Mix &amp; Rents'!C48)</f>
        <v/>
      </c>
      <c r="E961" t="str">
        <f>IF('Unit Mix &amp; Rents'!D48 = "", "", 'Unit Mix &amp; Rents'!D48)</f>
        <v/>
      </c>
      <c r="F961" t="str">
        <f>IF('Unit Mix &amp; Rents'!E48 = "", "", 'Unit Mix &amp; Rents'!E48)</f>
        <v/>
      </c>
    </row>
    <row r="962" spans="1:6">
      <c r="A962" s="195" t="str">
        <f>IF(B962="","",MAX(A$928:A961)+1)</f>
        <v/>
      </c>
      <c r="B962" s="70" t="str">
        <f>IF('Unit Mix &amp; Rents'!A49 = "", "", 'Unit Mix &amp; Rents'!A49)</f>
        <v/>
      </c>
      <c r="C962" t="str">
        <f>IF('Unit Mix &amp; Rents'!B49 = "", "", 'Unit Mix &amp; Rents'!B49)</f>
        <v/>
      </c>
      <c r="D962" t="str">
        <f>IF('Unit Mix &amp; Rents'!C49 = "", "", 'Unit Mix &amp; Rents'!C49)</f>
        <v/>
      </c>
      <c r="E962" t="str">
        <f>IF('Unit Mix &amp; Rents'!D49 = "", "", 'Unit Mix &amp; Rents'!D49)</f>
        <v/>
      </c>
      <c r="F962" t="str">
        <f>IF('Unit Mix &amp; Rents'!E49 = "", "", 'Unit Mix &amp; Rents'!E49)</f>
        <v/>
      </c>
    </row>
    <row r="963" spans="1:6">
      <c r="A963" s="195" t="str">
        <f>IF(B963="","",MAX(A$928:A962)+1)</f>
        <v/>
      </c>
      <c r="B963" s="70" t="str">
        <f>IF('Unit Mix &amp; Rents'!A50 = "", "", 'Unit Mix &amp; Rents'!A50)</f>
        <v/>
      </c>
      <c r="C963" t="str">
        <f>IF('Unit Mix &amp; Rents'!B50 = "", "", 'Unit Mix &amp; Rents'!B50)</f>
        <v/>
      </c>
      <c r="D963" t="str">
        <f>IF('Unit Mix &amp; Rents'!C50 = "", "", 'Unit Mix &amp; Rents'!C50)</f>
        <v/>
      </c>
      <c r="E963" t="str">
        <f>IF('Unit Mix &amp; Rents'!D50 = "", "", 'Unit Mix &amp; Rents'!D50)</f>
        <v/>
      </c>
      <c r="F963" t="str">
        <f>IF('Unit Mix &amp; Rents'!E50 = "", "", 'Unit Mix &amp; Rents'!E50)</f>
        <v/>
      </c>
    </row>
    <row r="964" spans="1:6">
      <c r="A964" s="195" t="str">
        <f>IF(B964="","",MAX(A$928:A963)+1)</f>
        <v/>
      </c>
      <c r="B964" s="70" t="str">
        <f>IF('Unit Mix &amp; Rents'!A51 = "", "", 'Unit Mix &amp; Rents'!A51)</f>
        <v/>
      </c>
      <c r="C964" t="str">
        <f>IF('Unit Mix &amp; Rents'!B51 = "", "", 'Unit Mix &amp; Rents'!B51)</f>
        <v/>
      </c>
      <c r="D964" t="str">
        <f>IF('Unit Mix &amp; Rents'!C51 = "", "", 'Unit Mix &amp; Rents'!C51)</f>
        <v/>
      </c>
      <c r="E964" t="str">
        <f>IF('Unit Mix &amp; Rents'!D51 = "", "", 'Unit Mix &amp; Rents'!D51)</f>
        <v/>
      </c>
      <c r="F964" t="str">
        <f>IF('Unit Mix &amp; Rents'!E51 = "", "", 'Unit Mix &amp; Rents'!E51)</f>
        <v/>
      </c>
    </row>
    <row r="965" spans="1:6">
      <c r="A965" s="195" t="str">
        <f>IF(B965="","",MAX(A$928:A964)+1)</f>
        <v/>
      </c>
      <c r="B965" s="70" t="str">
        <f>IF('Unit Mix &amp; Rents'!A52 = "", "", 'Unit Mix &amp; Rents'!A52)</f>
        <v/>
      </c>
      <c r="C965" t="str">
        <f>IF('Unit Mix &amp; Rents'!B52 = "", "", 'Unit Mix &amp; Rents'!B52)</f>
        <v/>
      </c>
      <c r="D965" t="str">
        <f>IF('Unit Mix &amp; Rents'!C52 = "", "", 'Unit Mix &amp; Rents'!C52)</f>
        <v/>
      </c>
      <c r="E965" t="str">
        <f>IF('Unit Mix &amp; Rents'!D52 = "", "", 'Unit Mix &amp; Rents'!D52)</f>
        <v/>
      </c>
      <c r="F965" t="str">
        <f>IF('Unit Mix &amp; Rents'!E52 = "", "", 'Unit Mix &amp; Rents'!E52)</f>
        <v/>
      </c>
    </row>
    <row r="966" spans="1:6">
      <c r="A966" s="195" t="str">
        <f>IF(B966="","",MAX(A$928:A965)+1)</f>
        <v/>
      </c>
      <c r="B966" s="70" t="str">
        <f>IF('Unit Mix &amp; Rents'!A53 = "", "", 'Unit Mix &amp; Rents'!A53)</f>
        <v/>
      </c>
      <c r="C966" t="str">
        <f>IF('Unit Mix &amp; Rents'!B53 = "", "", 'Unit Mix &amp; Rents'!B53)</f>
        <v/>
      </c>
      <c r="D966" t="str">
        <f>IF('Unit Mix &amp; Rents'!C53 = "", "", 'Unit Mix &amp; Rents'!C53)</f>
        <v/>
      </c>
      <c r="E966" t="str">
        <f>IF('Unit Mix &amp; Rents'!D53 = "", "", 'Unit Mix &amp; Rents'!D53)</f>
        <v/>
      </c>
      <c r="F966" t="str">
        <f>IF('Unit Mix &amp; Rents'!E53 = "", "", 'Unit Mix &amp; Rents'!E53)</f>
        <v/>
      </c>
    </row>
    <row r="967" spans="1:6">
      <c r="A967" s="195" t="str">
        <f>IF(B967="","",MAX(A$928:A966)+1)</f>
        <v/>
      </c>
      <c r="B967" s="70" t="str">
        <f>IF('Unit Mix &amp; Rents'!A54 = "", "", 'Unit Mix &amp; Rents'!A54)</f>
        <v/>
      </c>
      <c r="C967" t="str">
        <f>IF('Unit Mix &amp; Rents'!B54 = "", "", 'Unit Mix &amp; Rents'!B54)</f>
        <v/>
      </c>
      <c r="D967" t="str">
        <f>IF('Unit Mix &amp; Rents'!C54 = "", "", 'Unit Mix &amp; Rents'!C54)</f>
        <v/>
      </c>
      <c r="E967" t="str">
        <f>IF('Unit Mix &amp; Rents'!D54 = "", "", 'Unit Mix &amp; Rents'!D54)</f>
        <v/>
      </c>
      <c r="F967" t="str">
        <f>IF('Unit Mix &amp; Rents'!E54 = "", "", 'Unit Mix &amp; Rents'!E54)</f>
        <v/>
      </c>
    </row>
    <row r="968" spans="1:6">
      <c r="A968" s="195" t="str">
        <f>IF(B968="","",MAX(A$928:A967)+1)</f>
        <v/>
      </c>
      <c r="B968" s="70" t="str">
        <f>IF('Unit Mix &amp; Rents'!A55 = "", "", 'Unit Mix &amp; Rents'!A55)</f>
        <v/>
      </c>
      <c r="C968" t="str">
        <f>IF('Unit Mix &amp; Rents'!B55 = "", "", 'Unit Mix &amp; Rents'!B55)</f>
        <v/>
      </c>
      <c r="D968" t="str">
        <f>IF('Unit Mix &amp; Rents'!C55 = "", "", 'Unit Mix &amp; Rents'!C55)</f>
        <v/>
      </c>
      <c r="E968" t="str">
        <f>IF('Unit Mix &amp; Rents'!D55 = "", "", 'Unit Mix &amp; Rents'!D55)</f>
        <v/>
      </c>
      <c r="F968" t="str">
        <f>IF('Unit Mix &amp; Rents'!E55 = "", "", 'Unit Mix &amp; Rents'!E55)</f>
        <v/>
      </c>
    </row>
    <row r="969" spans="1:6">
      <c r="A969" s="195" t="str">
        <f>IF(B969="","",MAX(A$928:A968)+1)</f>
        <v/>
      </c>
      <c r="B969" s="70" t="str">
        <f>IF('Unit Mix &amp; Rents'!A56 = "", "", 'Unit Mix &amp; Rents'!A56)</f>
        <v/>
      </c>
      <c r="C969" t="str">
        <f>IF('Unit Mix &amp; Rents'!B56 = "", "", 'Unit Mix &amp; Rents'!B56)</f>
        <v/>
      </c>
      <c r="D969" t="str">
        <f>IF('Unit Mix &amp; Rents'!C56 = "", "", 'Unit Mix &amp; Rents'!C56)</f>
        <v/>
      </c>
      <c r="E969" t="str">
        <f>IF('Unit Mix &amp; Rents'!D56 = "", "", 'Unit Mix &amp; Rents'!D56)</f>
        <v/>
      </c>
      <c r="F969" t="str">
        <f>IF('Unit Mix &amp; Rents'!E56 = "", "", 'Unit Mix &amp; Rents'!E56)</f>
        <v/>
      </c>
    </row>
    <row r="970" spans="1:6">
      <c r="A970" s="195" t="str">
        <f>IF(B970="","",MAX(A$928:A969)+1)</f>
        <v/>
      </c>
      <c r="B970" s="70" t="str">
        <f>IF('Unit Mix &amp; Rents'!A57 = "", "", 'Unit Mix &amp; Rents'!A57)</f>
        <v/>
      </c>
      <c r="C970" t="str">
        <f>IF('Unit Mix &amp; Rents'!B57 = "", "", 'Unit Mix &amp; Rents'!B57)</f>
        <v/>
      </c>
      <c r="D970" t="str">
        <f>IF('Unit Mix &amp; Rents'!C57 = "", "", 'Unit Mix &amp; Rents'!C57)</f>
        <v/>
      </c>
      <c r="E970" t="str">
        <f>IF('Unit Mix &amp; Rents'!D57 = "", "", 'Unit Mix &amp; Rents'!D57)</f>
        <v/>
      </c>
      <c r="F970" t="str">
        <f>IF('Unit Mix &amp; Rents'!E57 = "", "", 'Unit Mix &amp; Rents'!E57)</f>
        <v/>
      </c>
    </row>
    <row r="971" spans="1:6">
      <c r="A971" s="195" t="str">
        <f>IF(B971="","",MAX(A$928:A970)+1)</f>
        <v/>
      </c>
      <c r="B971" s="70" t="str">
        <f>IF('Unit Mix &amp; Rents'!A58 = "", "", 'Unit Mix &amp; Rents'!A58)</f>
        <v/>
      </c>
      <c r="C971" t="str">
        <f>IF('Unit Mix &amp; Rents'!B58 = "", "", 'Unit Mix &amp; Rents'!B58)</f>
        <v/>
      </c>
      <c r="D971" t="str">
        <f>IF('Unit Mix &amp; Rents'!C58 = "", "", 'Unit Mix &amp; Rents'!C58)</f>
        <v/>
      </c>
      <c r="E971" t="str">
        <f>IF('Unit Mix &amp; Rents'!D58 = "", "", 'Unit Mix &amp; Rents'!D58)</f>
        <v/>
      </c>
      <c r="F971" t="str">
        <f>IF('Unit Mix &amp; Rents'!E58 = "", "", 'Unit Mix &amp; Rents'!E58)</f>
        <v/>
      </c>
    </row>
    <row r="972" spans="1:6">
      <c r="A972" s="195" t="str">
        <f>IF(B972="","",MAX(A$928:A971)+1)</f>
        <v/>
      </c>
      <c r="B972" s="70" t="str">
        <f>IF('Unit Mix &amp; Rents'!A59 = "", "", 'Unit Mix &amp; Rents'!A59)</f>
        <v/>
      </c>
      <c r="C972" t="str">
        <f>IF('Unit Mix &amp; Rents'!B59 = "", "", 'Unit Mix &amp; Rents'!B59)</f>
        <v/>
      </c>
      <c r="D972" t="str">
        <f>IF('Unit Mix &amp; Rents'!C59 = "", "", 'Unit Mix &amp; Rents'!C59)</f>
        <v/>
      </c>
      <c r="E972" t="str">
        <f>IF('Unit Mix &amp; Rents'!D59 = "", "", 'Unit Mix &amp; Rents'!D59)</f>
        <v/>
      </c>
      <c r="F972" t="str">
        <f>IF('Unit Mix &amp; Rents'!E59 = "", "", 'Unit Mix &amp; Rents'!E59)</f>
        <v/>
      </c>
    </row>
    <row r="973" spans="1:6">
      <c r="A973" s="195" t="str">
        <f>IF(B973="","",MAX(A$928:A972)+1)</f>
        <v/>
      </c>
      <c r="B973" s="70" t="str">
        <f>IF('Unit Mix &amp; Rents'!A60 = "", "", 'Unit Mix &amp; Rents'!A60)</f>
        <v/>
      </c>
      <c r="C973" t="str">
        <f>IF('Unit Mix &amp; Rents'!B60 = "", "", 'Unit Mix &amp; Rents'!B60)</f>
        <v/>
      </c>
      <c r="D973" t="str">
        <f>IF('Unit Mix &amp; Rents'!C60 = "", "", 'Unit Mix &amp; Rents'!C60)</f>
        <v/>
      </c>
      <c r="E973" t="str">
        <f>IF('Unit Mix &amp; Rents'!D60 = "", "", 'Unit Mix &amp; Rents'!D60)</f>
        <v/>
      </c>
      <c r="F973" t="str">
        <f>IF('Unit Mix &amp; Rents'!E60 = "", "", 'Unit Mix &amp; Rents'!E60)</f>
        <v/>
      </c>
    </row>
    <row r="974" spans="1:6">
      <c r="A974" s="195" t="str">
        <f>IF(B974="","",MAX(A$928:A973)+1)</f>
        <v/>
      </c>
      <c r="B974" s="70" t="str">
        <f>IF('Unit Mix &amp; Rents'!A61 = "", "", 'Unit Mix &amp; Rents'!A61)</f>
        <v/>
      </c>
      <c r="C974" t="str">
        <f>IF('Unit Mix &amp; Rents'!B61 = "", "", 'Unit Mix &amp; Rents'!B61)</f>
        <v/>
      </c>
      <c r="D974" t="str">
        <f>IF('Unit Mix &amp; Rents'!C61 = "", "", 'Unit Mix &amp; Rents'!C61)</f>
        <v/>
      </c>
      <c r="E974" t="str">
        <f>IF('Unit Mix &amp; Rents'!D61 = "", "", 'Unit Mix &amp; Rents'!D61)</f>
        <v/>
      </c>
      <c r="F974" t="str">
        <f>IF('Unit Mix &amp; Rents'!E61 = "", "", 'Unit Mix &amp; Rents'!E61)</f>
        <v/>
      </c>
    </row>
    <row r="975" spans="1:6">
      <c r="A975" s="195" t="str">
        <f>IF(B975="","",MAX(A$928:A974)+1)</f>
        <v/>
      </c>
      <c r="B975" s="70" t="str">
        <f>IF('Unit Mix &amp; Rents'!A62 = "", "", 'Unit Mix &amp; Rents'!A62)</f>
        <v/>
      </c>
      <c r="C975" t="str">
        <f>IF('Unit Mix &amp; Rents'!B62 = "", "", 'Unit Mix &amp; Rents'!B62)</f>
        <v/>
      </c>
      <c r="D975" t="str">
        <f>IF('Unit Mix &amp; Rents'!C62 = "", "", 'Unit Mix &amp; Rents'!C62)</f>
        <v/>
      </c>
      <c r="E975" t="str">
        <f>IF('Unit Mix &amp; Rents'!D62 = "", "", 'Unit Mix &amp; Rents'!D62)</f>
        <v/>
      </c>
      <c r="F975" t="str">
        <f>IF('Unit Mix &amp; Rents'!E62 = "", "", 'Unit Mix &amp; Rents'!E62)</f>
        <v/>
      </c>
    </row>
    <row r="976" spans="1:6">
      <c r="A976" s="195" t="str">
        <f>IF(B976="","",MAX(A$928:A975)+1)</f>
        <v/>
      </c>
      <c r="B976" s="70" t="str">
        <f>IF('Unit Mix &amp; Rents'!A63 = "", "", 'Unit Mix &amp; Rents'!A63)</f>
        <v/>
      </c>
      <c r="C976" t="str">
        <f>IF('Unit Mix &amp; Rents'!B63 = "", "", 'Unit Mix &amp; Rents'!B63)</f>
        <v/>
      </c>
      <c r="D976" t="str">
        <f>IF('Unit Mix &amp; Rents'!C63 = "", "", 'Unit Mix &amp; Rents'!C63)</f>
        <v/>
      </c>
      <c r="E976" t="str">
        <f>IF('Unit Mix &amp; Rents'!D63 = "", "", 'Unit Mix &amp; Rents'!D63)</f>
        <v/>
      </c>
      <c r="F976" t="str">
        <f>IF('Unit Mix &amp; Rents'!E63 = "", "", 'Unit Mix &amp; Rents'!E63)</f>
        <v/>
      </c>
    </row>
    <row r="977" spans="1:7">
      <c r="A977" s="195" t="str">
        <f>IF(B977="","",MAX(A$928:A976)+1)</f>
        <v/>
      </c>
      <c r="B977" s="70" t="str">
        <f>IF('Unit Mix &amp; Rents'!A64 = "", "", 'Unit Mix &amp; Rents'!A64)</f>
        <v/>
      </c>
      <c r="C977" t="str">
        <f>IF('Unit Mix &amp; Rents'!B64 = "", "", 'Unit Mix &amp; Rents'!B64)</f>
        <v/>
      </c>
      <c r="D977" t="str">
        <f>IF('Unit Mix &amp; Rents'!C64 = "", "", 'Unit Mix &amp; Rents'!C64)</f>
        <v/>
      </c>
      <c r="E977" t="str">
        <f>IF('Unit Mix &amp; Rents'!D64 = "", "", 'Unit Mix &amp; Rents'!D64)</f>
        <v/>
      </c>
      <c r="F977" t="str">
        <f>IF('Unit Mix &amp; Rents'!E64 = "", "", 'Unit Mix &amp; Rents'!E64)</f>
        <v/>
      </c>
    </row>
    <row r="978" spans="1:7">
      <c r="A978" s="195" t="str">
        <f>IF(B978="","",MAX(A$928:A977)+1)</f>
        <v/>
      </c>
      <c r="B978" s="70" t="str">
        <f>IF('Unit Mix &amp; Rents'!A65 = "", "", 'Unit Mix &amp; Rents'!A65)</f>
        <v/>
      </c>
      <c r="C978" t="str">
        <f>IF('Unit Mix &amp; Rents'!B65 = "", "", 'Unit Mix &amp; Rents'!B65)</f>
        <v/>
      </c>
      <c r="D978" t="str">
        <f>IF('Unit Mix &amp; Rents'!C65 = "", "", 'Unit Mix &amp; Rents'!C65)</f>
        <v/>
      </c>
      <c r="E978" t="str">
        <f>IF('Unit Mix &amp; Rents'!D65 = "", "", 'Unit Mix &amp; Rents'!D65)</f>
        <v/>
      </c>
      <c r="F978" t="str">
        <f>IF('Unit Mix &amp; Rents'!E65 = "", "", 'Unit Mix &amp; Rents'!E65)</f>
        <v/>
      </c>
    </row>
    <row r="979" spans="1:7">
      <c r="A979" s="195" t="str">
        <f>IF(B979="","",MAX(A$928:A978)+1)</f>
        <v/>
      </c>
      <c r="B979" s="70" t="str">
        <f>IF('Unit Mix &amp; Rents'!A66 = "", "", 'Unit Mix &amp; Rents'!A66)</f>
        <v/>
      </c>
      <c r="C979" t="str">
        <f>IF('Unit Mix &amp; Rents'!B66 = "", "", 'Unit Mix &amp; Rents'!B66)</f>
        <v/>
      </c>
      <c r="D979" t="str">
        <f>IF('Unit Mix &amp; Rents'!C66 = "", "", 'Unit Mix &amp; Rents'!C66)</f>
        <v/>
      </c>
      <c r="E979" t="str">
        <f>IF('Unit Mix &amp; Rents'!D66 = "", "", 'Unit Mix &amp; Rents'!D66)</f>
        <v/>
      </c>
      <c r="F979" t="str">
        <f>IF('Unit Mix &amp; Rents'!E66 = "", "", 'Unit Mix &amp; Rents'!E66)</f>
        <v/>
      </c>
    </row>
    <row r="980" spans="1:7">
      <c r="A980" s="195" t="str">
        <f>IF(B980="","",MAX(A$928:A979)+1)</f>
        <v/>
      </c>
      <c r="B980" s="70" t="str">
        <f>IF('Unit Mix &amp; Rents'!A67 = "", "", 'Unit Mix &amp; Rents'!A67)</f>
        <v/>
      </c>
      <c r="C980" t="str">
        <f>IF('Unit Mix &amp; Rents'!B67 = "", "", 'Unit Mix &amp; Rents'!B67)</f>
        <v/>
      </c>
      <c r="D980" t="str">
        <f>IF('Unit Mix &amp; Rents'!C67 = "", "", 'Unit Mix &amp; Rents'!C67)</f>
        <v/>
      </c>
      <c r="E980" t="str">
        <f>IF('Unit Mix &amp; Rents'!D67 = "", "", 'Unit Mix &amp; Rents'!D67)</f>
        <v/>
      </c>
      <c r="F980" t="str">
        <f>IF('Unit Mix &amp; Rents'!E67 = "", "", 'Unit Mix &amp; Rents'!E67)</f>
        <v/>
      </c>
    </row>
    <row r="981" spans="1:7">
      <c r="A981" s="195" t="str">
        <f>IF(B981="","",MAX(A$928:A980)+1)</f>
        <v/>
      </c>
      <c r="B981" s="70" t="str">
        <f>IF('Unit Mix &amp; Rents'!A68 = "", "", 'Unit Mix &amp; Rents'!A68)</f>
        <v/>
      </c>
      <c r="C981" t="str">
        <f>IF('Unit Mix &amp; Rents'!B68 = "", "", 'Unit Mix &amp; Rents'!B68)</f>
        <v/>
      </c>
      <c r="D981" t="str">
        <f>IF('Unit Mix &amp; Rents'!C68 = "", "", 'Unit Mix &amp; Rents'!C68)</f>
        <v/>
      </c>
      <c r="E981" t="str">
        <f>IF('Unit Mix &amp; Rents'!D68 = "", "", 'Unit Mix &amp; Rents'!D68)</f>
        <v/>
      </c>
      <c r="F981" t="str">
        <f>IF('Unit Mix &amp; Rents'!E68 = "", "", 'Unit Mix &amp; Rents'!E68)</f>
        <v/>
      </c>
    </row>
    <row r="982" spans="1:7">
      <c r="A982" s="195" t="str">
        <f>IF(B982="","",MAX(A$928:A981)+1)</f>
        <v/>
      </c>
      <c r="B982" s="70" t="str">
        <f>IF('Unit Mix &amp; Rents'!A69 = "", "", 'Unit Mix &amp; Rents'!A69)</f>
        <v/>
      </c>
      <c r="C982" t="str">
        <f>IF('Unit Mix &amp; Rents'!B69 = "", "", 'Unit Mix &amp; Rents'!B69)</f>
        <v/>
      </c>
      <c r="D982" t="str">
        <f>IF('Unit Mix &amp; Rents'!C69 = "", "", 'Unit Mix &amp; Rents'!C69)</f>
        <v/>
      </c>
      <c r="E982" t="str">
        <f>IF('Unit Mix &amp; Rents'!D69 = "", "", 'Unit Mix &amp; Rents'!D69)</f>
        <v/>
      </c>
      <c r="F982" t="str">
        <f>IF('Unit Mix &amp; Rents'!E69 = "", "", 'Unit Mix &amp; Rents'!E69)</f>
        <v/>
      </c>
    </row>
    <row r="983" spans="1:7">
      <c r="A983" s="195" t="str">
        <f>IF(B983="","",MAX(A$928:A982)+1)</f>
        <v/>
      </c>
      <c r="B983" s="70" t="str">
        <f>IF('Unit Mix &amp; Rents'!A70 = "", "", 'Unit Mix &amp; Rents'!A70)</f>
        <v/>
      </c>
      <c r="C983" t="str">
        <f>IF('Unit Mix &amp; Rents'!B70 = "", "", 'Unit Mix &amp; Rents'!B70)</f>
        <v/>
      </c>
      <c r="D983" t="str">
        <f>IF('Unit Mix &amp; Rents'!C70 = "", "", 'Unit Mix &amp; Rents'!C70)</f>
        <v/>
      </c>
      <c r="E983" t="str">
        <f>IF('Unit Mix &amp; Rents'!D70 = "", "", 'Unit Mix &amp; Rents'!D70)</f>
        <v/>
      </c>
      <c r="F983" t="str">
        <f>IF('Unit Mix &amp; Rents'!E70 = "", "", 'Unit Mix &amp; Rents'!E70)</f>
        <v/>
      </c>
    </row>
    <row r="984" spans="1:7">
      <c r="A984" s="195" t="str">
        <f>IF(B984="","",MAX(A$928:A983)+1)</f>
        <v/>
      </c>
      <c r="B984" s="70" t="str">
        <f>IF('Unit Mix &amp; Rents'!A71 = "", "", 'Unit Mix &amp; Rents'!A71)</f>
        <v/>
      </c>
      <c r="C984" t="str">
        <f>IF('Unit Mix &amp; Rents'!B71 = "", "", 'Unit Mix &amp; Rents'!B71)</f>
        <v/>
      </c>
      <c r="D984" t="str">
        <f>IF('Unit Mix &amp; Rents'!C71 = "", "", 'Unit Mix &amp; Rents'!C71)</f>
        <v/>
      </c>
      <c r="E984" t="str">
        <f>IF('Unit Mix &amp; Rents'!D71 = "", "", 'Unit Mix &amp; Rents'!D71)</f>
        <v/>
      </c>
      <c r="F984" t="str">
        <f>IF('Unit Mix &amp; Rents'!E71 = "", "", 'Unit Mix &amp; Rents'!E71)</f>
        <v/>
      </c>
    </row>
    <row r="985" spans="1:7">
      <c r="A985" s="195" t="str">
        <f>IF(B985="","",MAX(A$928:A984)+1)</f>
        <v/>
      </c>
      <c r="B985" s="70" t="str">
        <f>IF('Unit Mix &amp; Rents'!A72 = "", "", 'Unit Mix &amp; Rents'!A72)</f>
        <v/>
      </c>
      <c r="C985" t="str">
        <f>IF('Unit Mix &amp; Rents'!B72 = "", "", 'Unit Mix &amp; Rents'!B72)</f>
        <v/>
      </c>
      <c r="D985" t="str">
        <f>IF('Unit Mix &amp; Rents'!C72 = "", "", 'Unit Mix &amp; Rents'!C72)</f>
        <v/>
      </c>
      <c r="E985" t="str">
        <f>IF('Unit Mix &amp; Rents'!D72 = "", "", 'Unit Mix &amp; Rents'!D72)</f>
        <v/>
      </c>
      <c r="F985" t="str">
        <f>IF('Unit Mix &amp; Rents'!E72 = "", "", 'Unit Mix &amp; Rents'!E72)</f>
        <v/>
      </c>
    </row>
    <row r="986" spans="1:7">
      <c r="A986" s="195" t="str">
        <f>IF(B986="","",MAX(A$928:A985)+1)</f>
        <v/>
      </c>
      <c r="B986" s="70" t="str">
        <f>IF('Unit Mix &amp; Rents'!A73 = "", "", 'Unit Mix &amp; Rents'!A73)</f>
        <v/>
      </c>
      <c r="C986" t="str">
        <f>IF('Unit Mix &amp; Rents'!B73 = "", "", 'Unit Mix &amp; Rents'!B73)</f>
        <v/>
      </c>
      <c r="D986" t="str">
        <f>IF('Unit Mix &amp; Rents'!C73 = "", "", 'Unit Mix &amp; Rents'!C73)</f>
        <v/>
      </c>
      <c r="E986" t="str">
        <f>IF('Unit Mix &amp; Rents'!D73 = "", "", 'Unit Mix &amp; Rents'!D73)</f>
        <v/>
      </c>
      <c r="F986" t="str">
        <f>IF('Unit Mix &amp; Rents'!E73 = "", "", 'Unit Mix &amp; Rents'!E73)</f>
        <v/>
      </c>
    </row>
    <row r="987" spans="1:7">
      <c r="A987" s="195" t="str">
        <f>IF(B987="","",MAX(A$928:A986)+1)</f>
        <v/>
      </c>
      <c r="B987" s="70" t="str">
        <f>IF('Unit Mix &amp; Rents'!A74 = "", "", 'Unit Mix &amp; Rents'!A74)</f>
        <v/>
      </c>
      <c r="C987" t="str">
        <f>IF('Unit Mix &amp; Rents'!B74 = "", "", 'Unit Mix &amp; Rents'!B74)</f>
        <v/>
      </c>
      <c r="D987" t="str">
        <f>IF('Unit Mix &amp; Rents'!C74 = "", "", 'Unit Mix &amp; Rents'!C74)</f>
        <v/>
      </c>
      <c r="E987" t="str">
        <f>IF('Unit Mix &amp; Rents'!D74 = "", "", 'Unit Mix &amp; Rents'!D74)</f>
        <v/>
      </c>
      <c r="F987" t="str">
        <f>IF('Unit Mix &amp; Rents'!E74 = "", "", 'Unit Mix &amp; Rents'!E74)</f>
        <v/>
      </c>
    </row>
    <row r="988" spans="1:7">
      <c r="A988" s="195" t="str">
        <f>IF(B988="","",MAX(A$928:A987)+1)</f>
        <v/>
      </c>
      <c r="B988" s="70" t="str">
        <f>IF('Unit Mix &amp; Rents'!A75 = "", "", 'Unit Mix &amp; Rents'!A75)</f>
        <v/>
      </c>
      <c r="C988" t="str">
        <f>IF('Unit Mix &amp; Rents'!B75 = "", "", 'Unit Mix &amp; Rents'!B75)</f>
        <v/>
      </c>
      <c r="D988" t="str">
        <f>IF('Unit Mix &amp; Rents'!C75 = "", "", 'Unit Mix &amp; Rents'!C75)</f>
        <v/>
      </c>
      <c r="E988" t="str">
        <f>IF('Unit Mix &amp; Rents'!D75 = "", "", 'Unit Mix &amp; Rents'!D75)</f>
        <v/>
      </c>
      <c r="F988" t="str">
        <f>IF('Unit Mix &amp; Rents'!E75 = "", "", 'Unit Mix &amp; Rents'!E75)</f>
        <v/>
      </c>
    </row>
    <row r="989" spans="1:7">
      <c r="A989" s="195" t="str">
        <f>IF(B989="","",MAX(A$928:A988)+1)</f>
        <v/>
      </c>
      <c r="B989" s="70" t="str">
        <f>IF('Unit Mix &amp; Rents'!A76 = "", "", 'Unit Mix &amp; Rents'!A76)</f>
        <v/>
      </c>
      <c r="C989" t="str">
        <f>IF('Unit Mix &amp; Rents'!B76 = "", "", 'Unit Mix &amp; Rents'!B76)</f>
        <v/>
      </c>
      <c r="D989" t="str">
        <f>IF('Unit Mix &amp; Rents'!C76 = "", "", 'Unit Mix &amp; Rents'!C76)</f>
        <v/>
      </c>
      <c r="E989" t="str">
        <f>IF('Unit Mix &amp; Rents'!D76 = "", "", 'Unit Mix &amp; Rents'!D76)</f>
        <v/>
      </c>
      <c r="F989" t="str">
        <f>IF('Unit Mix &amp; Rents'!E76 = "", "", 'Unit Mix &amp; Rents'!E76)</f>
        <v/>
      </c>
    </row>
    <row r="992" spans="1:7">
      <c r="A992" t="s">
        <v>2548</v>
      </c>
      <c r="C992" t="s">
        <v>2543</v>
      </c>
      <c r="D992" t="s">
        <v>2544</v>
      </c>
      <c r="E992" t="s">
        <v>2545</v>
      </c>
      <c r="F992" t="s">
        <v>2546</v>
      </c>
      <c r="G992" t="s">
        <v>2547</v>
      </c>
    </row>
    <row r="993" spans="1:7">
      <c r="A993" t="s">
        <v>2270</v>
      </c>
      <c r="B993" t="s">
        <v>2271</v>
      </c>
      <c r="C993">
        <v>1</v>
      </c>
      <c r="D993">
        <v>2</v>
      </c>
      <c r="E993">
        <v>3</v>
      </c>
      <c r="F993">
        <v>4</v>
      </c>
      <c r="G993">
        <v>5</v>
      </c>
    </row>
    <row r="994" spans="1:7">
      <c r="A994" s="195">
        <f t="shared" ref="A994:A1053" si="13">IF(ISNA(MATCH(B994, $A$929:$A$989, 0)), 1, MATCH(B994, $A$929:$A$989, 0))</f>
        <v>1</v>
      </c>
      <c r="B994">
        <v>1</v>
      </c>
      <c r="C994" s="889" t="str" cm="1">
        <f t="array" ref="C994">_xlfn.SINGLE(IF(_xlfn.SINGLE(INDEX($B$929:$F$989, $A994, C$993)) = "", "", CONCATENATE((100*INDEX($B$929:$F$989, $A994, C$993)), "%")))</f>
        <v/>
      </c>
      <c r="D994" s="490" t="s">
        <v>2549</v>
      </c>
      <c r="E994" t="str">
        <f t="shared" ref="D994:G1009" si="14">CONCATENATE(INDEX($B$929:$F$989, $A994, E$993))</f>
        <v/>
      </c>
      <c r="F994" t="str">
        <f t="shared" si="14"/>
        <v/>
      </c>
      <c r="G994" t="str">
        <f t="shared" si="14"/>
        <v/>
      </c>
    </row>
    <row r="995" spans="1:7">
      <c r="A995" s="195">
        <f t="shared" si="13"/>
        <v>1</v>
      </c>
      <c r="B995">
        <v>2</v>
      </c>
      <c r="C995" s="889" t="str" cm="1">
        <f t="array" ref="C995">_xlfn.SINGLE(IF(_xlfn.SINGLE(INDEX($B$929:$F$989, $A995, C$993)) = "", "", CONCATENATE((100*INDEX($B$929:$F$989, $A995, C$993)), "%")))</f>
        <v/>
      </c>
      <c r="D995" s="490" t="str">
        <f t="shared" si="14"/>
        <v/>
      </c>
      <c r="E995" t="str">
        <f t="shared" si="14"/>
        <v/>
      </c>
      <c r="F995" t="str">
        <f t="shared" si="14"/>
        <v/>
      </c>
      <c r="G995" t="str">
        <f t="shared" si="14"/>
        <v/>
      </c>
    </row>
    <row r="996" spans="1:7">
      <c r="A996" s="195">
        <f t="shared" si="13"/>
        <v>1</v>
      </c>
      <c r="B996">
        <v>3</v>
      </c>
      <c r="C996" s="889" t="str" cm="1">
        <f t="array" ref="C996">_xlfn.SINGLE(IF(_xlfn.SINGLE(INDEX($B$929:$F$989, $A996, C$993)) = "", "", CONCATENATE((100*INDEX($B$929:$F$989, $A996, C$993)), "%")))</f>
        <v/>
      </c>
      <c r="D996" s="490" t="str">
        <f t="shared" si="14"/>
        <v/>
      </c>
      <c r="E996" t="str">
        <f t="shared" si="14"/>
        <v/>
      </c>
      <c r="F996" t="str">
        <f t="shared" si="14"/>
        <v/>
      </c>
      <c r="G996" t="str">
        <f t="shared" si="14"/>
        <v/>
      </c>
    </row>
    <row r="997" spans="1:7">
      <c r="A997" s="195">
        <f t="shared" si="13"/>
        <v>1</v>
      </c>
      <c r="B997">
        <v>4</v>
      </c>
      <c r="C997" s="889" t="str" cm="1">
        <f t="array" ref="C997">_xlfn.SINGLE(IF(_xlfn.SINGLE(INDEX($B$929:$F$989, $A997, C$993)) = "", "", CONCATENATE((100*INDEX($B$929:$F$989, $A997, C$993)), "%")))</f>
        <v/>
      </c>
      <c r="D997" s="490" t="str">
        <f t="shared" si="14"/>
        <v/>
      </c>
      <c r="E997" t="str">
        <f t="shared" si="14"/>
        <v/>
      </c>
      <c r="F997" t="str">
        <f t="shared" si="14"/>
        <v/>
      </c>
      <c r="G997" t="str">
        <f t="shared" si="14"/>
        <v/>
      </c>
    </row>
    <row r="998" spans="1:7">
      <c r="A998" s="195">
        <f t="shared" si="13"/>
        <v>1</v>
      </c>
      <c r="B998">
        <v>5</v>
      </c>
      <c r="C998" s="889" t="str" cm="1">
        <f t="array" ref="C998">_xlfn.SINGLE(IF(_xlfn.SINGLE(INDEX($B$929:$F$989, $A998, C$993)) = "", "", CONCATENATE((100*INDEX($B$929:$F$989, $A998, C$993)), "%")))</f>
        <v/>
      </c>
      <c r="D998" s="490" t="str">
        <f t="shared" si="14"/>
        <v/>
      </c>
      <c r="E998" t="str">
        <f t="shared" si="14"/>
        <v/>
      </c>
      <c r="F998" t="str">
        <f t="shared" si="14"/>
        <v/>
      </c>
      <c r="G998" t="str">
        <f t="shared" si="14"/>
        <v/>
      </c>
    </row>
    <row r="999" spans="1:7">
      <c r="A999" s="195">
        <f t="shared" si="13"/>
        <v>1</v>
      </c>
      <c r="B999">
        <v>6</v>
      </c>
      <c r="C999" s="889" t="str" cm="1">
        <f t="array" ref="C999">_xlfn.SINGLE(IF(_xlfn.SINGLE(INDEX($B$929:$F$989, $A999, C$993)) = "", "", CONCATENATE((100*INDEX($B$929:$F$989, $A999, C$993)), "%")))</f>
        <v/>
      </c>
      <c r="D999" s="490" t="str">
        <f t="shared" si="14"/>
        <v/>
      </c>
      <c r="E999" t="str">
        <f t="shared" si="14"/>
        <v/>
      </c>
      <c r="F999" t="str">
        <f t="shared" si="14"/>
        <v/>
      </c>
      <c r="G999" t="str">
        <f t="shared" si="14"/>
        <v/>
      </c>
    </row>
    <row r="1000" spans="1:7">
      <c r="A1000" s="195">
        <f t="shared" si="13"/>
        <v>1</v>
      </c>
      <c r="B1000">
        <v>7</v>
      </c>
      <c r="C1000" s="889" t="str" cm="1">
        <f t="array" ref="C1000">_xlfn.SINGLE(IF(_xlfn.SINGLE(INDEX($B$929:$F$989, $A1000, C$993)) = "", "", CONCATENATE((100*INDEX($B$929:$F$989, $A1000, C$993)), "%")))</f>
        <v/>
      </c>
      <c r="D1000" s="490" t="str">
        <f t="shared" si="14"/>
        <v/>
      </c>
      <c r="E1000" t="str">
        <f t="shared" si="14"/>
        <v/>
      </c>
      <c r="F1000" t="str">
        <f t="shared" si="14"/>
        <v/>
      </c>
      <c r="G1000" t="str">
        <f t="shared" si="14"/>
        <v/>
      </c>
    </row>
    <row r="1001" spans="1:7">
      <c r="A1001" s="195">
        <f t="shared" si="13"/>
        <v>1</v>
      </c>
      <c r="B1001">
        <v>8</v>
      </c>
      <c r="C1001" s="889" t="str" cm="1">
        <f t="array" ref="C1001">_xlfn.SINGLE(IF(_xlfn.SINGLE(INDEX($B$929:$F$989, $A1001, C$993)) = "", "", CONCATENATE((100*INDEX($B$929:$F$989, $A1001, C$993)), "%")))</f>
        <v/>
      </c>
      <c r="D1001" s="490" t="str">
        <f t="shared" si="14"/>
        <v/>
      </c>
      <c r="E1001" t="str">
        <f t="shared" si="14"/>
        <v/>
      </c>
      <c r="F1001" t="str">
        <f t="shared" si="14"/>
        <v/>
      </c>
      <c r="G1001" t="str">
        <f t="shared" si="14"/>
        <v/>
      </c>
    </row>
    <row r="1002" spans="1:7">
      <c r="A1002" s="195">
        <f t="shared" si="13"/>
        <v>1</v>
      </c>
      <c r="B1002">
        <v>9</v>
      </c>
      <c r="C1002" s="889" t="str" cm="1">
        <f t="array" ref="C1002">_xlfn.SINGLE(IF(_xlfn.SINGLE(INDEX($B$929:$F$989, $A1002, C$993)) = "", "", CONCATENATE((100*INDEX($B$929:$F$989, $A1002, C$993)), "%")))</f>
        <v/>
      </c>
      <c r="D1002" s="490" t="str">
        <f t="shared" si="14"/>
        <v/>
      </c>
      <c r="E1002" t="str">
        <f t="shared" si="14"/>
        <v/>
      </c>
      <c r="F1002" t="str">
        <f t="shared" si="14"/>
        <v/>
      </c>
      <c r="G1002" t="str">
        <f t="shared" si="14"/>
        <v/>
      </c>
    </row>
    <row r="1003" spans="1:7">
      <c r="A1003" s="195">
        <f t="shared" si="13"/>
        <v>1</v>
      </c>
      <c r="B1003">
        <v>10</v>
      </c>
      <c r="C1003" s="889" t="str" cm="1">
        <f t="array" ref="C1003">_xlfn.SINGLE(IF(_xlfn.SINGLE(INDEX($B$929:$F$989, $A1003, C$993)) = "", "", CONCATENATE((100*INDEX($B$929:$F$989, $A1003, C$993)), "%")))</f>
        <v/>
      </c>
      <c r="D1003" s="490" t="str">
        <f t="shared" si="14"/>
        <v/>
      </c>
      <c r="E1003" t="str">
        <f t="shared" si="14"/>
        <v/>
      </c>
      <c r="F1003" t="str">
        <f t="shared" si="14"/>
        <v/>
      </c>
      <c r="G1003" t="str">
        <f t="shared" si="14"/>
        <v/>
      </c>
    </row>
    <row r="1004" spans="1:7">
      <c r="A1004" s="195">
        <f t="shared" si="13"/>
        <v>1</v>
      </c>
      <c r="B1004">
        <v>11</v>
      </c>
      <c r="C1004" s="889" t="str" cm="1">
        <f t="array" ref="C1004">_xlfn.SINGLE(IF(_xlfn.SINGLE(INDEX($B$929:$F$989, $A1004, C$993)) = "", "", CONCATENATE((100*INDEX($B$929:$F$989, $A1004, C$993)), "%")))</f>
        <v/>
      </c>
      <c r="D1004" s="490" t="str">
        <f t="shared" si="14"/>
        <v/>
      </c>
      <c r="E1004" t="str">
        <f t="shared" si="14"/>
        <v/>
      </c>
      <c r="F1004" t="str">
        <f t="shared" si="14"/>
        <v/>
      </c>
      <c r="G1004" t="str">
        <f t="shared" si="14"/>
        <v/>
      </c>
    </row>
    <row r="1005" spans="1:7">
      <c r="A1005" s="195">
        <f t="shared" si="13"/>
        <v>1</v>
      </c>
      <c r="B1005">
        <v>12</v>
      </c>
      <c r="C1005" s="889" t="str" cm="1">
        <f t="array" ref="C1005">_xlfn.SINGLE(IF(_xlfn.SINGLE(INDEX($B$929:$F$989, $A1005, C$993)) = "", "", CONCATENATE((100*INDEX($B$929:$F$989, $A1005, C$993)), "%")))</f>
        <v/>
      </c>
      <c r="D1005" s="490" t="str">
        <f t="shared" si="14"/>
        <v/>
      </c>
      <c r="E1005" t="str">
        <f t="shared" si="14"/>
        <v/>
      </c>
      <c r="F1005" t="str">
        <f t="shared" si="14"/>
        <v/>
      </c>
      <c r="G1005" t="str">
        <f t="shared" si="14"/>
        <v/>
      </c>
    </row>
    <row r="1006" spans="1:7">
      <c r="A1006" s="195">
        <f t="shared" si="13"/>
        <v>1</v>
      </c>
      <c r="B1006">
        <v>13</v>
      </c>
      <c r="C1006" s="889" t="str" cm="1">
        <f t="array" ref="C1006">_xlfn.SINGLE(IF(_xlfn.SINGLE(INDEX($B$929:$F$989, $A1006, C$993)) = "", "", CONCATENATE((100*INDEX($B$929:$F$989, $A1006, C$993)), "%")))</f>
        <v/>
      </c>
      <c r="D1006" s="490" t="str">
        <f t="shared" si="14"/>
        <v/>
      </c>
      <c r="E1006" t="str">
        <f t="shared" si="14"/>
        <v/>
      </c>
      <c r="F1006" t="str">
        <f t="shared" si="14"/>
        <v/>
      </c>
      <c r="G1006" t="str">
        <f t="shared" si="14"/>
        <v/>
      </c>
    </row>
    <row r="1007" spans="1:7">
      <c r="A1007" s="195">
        <f t="shared" si="13"/>
        <v>1</v>
      </c>
      <c r="B1007">
        <v>14</v>
      </c>
      <c r="C1007" s="889" t="str" cm="1">
        <f t="array" ref="C1007">_xlfn.SINGLE(IF(_xlfn.SINGLE(INDEX($B$929:$F$989, $A1007, C$993)) = "", "", CONCATENATE((100*INDEX($B$929:$F$989, $A1007, C$993)), "%")))</f>
        <v/>
      </c>
      <c r="D1007" s="490" t="str">
        <f t="shared" si="14"/>
        <v/>
      </c>
      <c r="E1007" t="str">
        <f t="shared" si="14"/>
        <v/>
      </c>
      <c r="F1007" t="str">
        <f t="shared" si="14"/>
        <v/>
      </c>
      <c r="G1007" t="str">
        <f t="shared" si="14"/>
        <v/>
      </c>
    </row>
    <row r="1008" spans="1:7">
      <c r="A1008" s="195">
        <f t="shared" si="13"/>
        <v>1</v>
      </c>
      <c r="B1008">
        <v>15</v>
      </c>
      <c r="C1008" s="889" t="str" cm="1">
        <f t="array" ref="C1008">_xlfn.SINGLE(IF(_xlfn.SINGLE(INDEX($B$929:$F$989, $A1008, C$993)) = "", "", CONCATENATE((100*INDEX($B$929:$F$989, $A1008, C$993)), "%")))</f>
        <v/>
      </c>
      <c r="D1008" s="490" t="str">
        <f t="shared" si="14"/>
        <v/>
      </c>
      <c r="E1008" t="str">
        <f t="shared" si="14"/>
        <v/>
      </c>
      <c r="F1008" t="str">
        <f t="shared" si="14"/>
        <v/>
      </c>
      <c r="G1008" t="str">
        <f t="shared" si="14"/>
        <v/>
      </c>
    </row>
    <row r="1009" spans="1:7">
      <c r="A1009" s="195">
        <f t="shared" si="13"/>
        <v>1</v>
      </c>
      <c r="B1009">
        <v>16</v>
      </c>
      <c r="C1009" s="889" t="str" cm="1">
        <f t="array" ref="C1009">_xlfn.SINGLE(IF(_xlfn.SINGLE(INDEX($B$929:$F$989, $A1009, C$993)) = "", "", CONCATENATE((100*INDEX($B$929:$F$989, $A1009, C$993)), "%")))</f>
        <v/>
      </c>
      <c r="D1009" s="490" t="str">
        <f t="shared" si="14"/>
        <v/>
      </c>
      <c r="E1009" t="str">
        <f t="shared" si="14"/>
        <v/>
      </c>
      <c r="F1009" t="str">
        <f t="shared" si="14"/>
        <v/>
      </c>
      <c r="G1009" t="str">
        <f t="shared" si="14"/>
        <v/>
      </c>
    </row>
    <row r="1010" spans="1:7">
      <c r="A1010" s="195">
        <f t="shared" si="13"/>
        <v>1</v>
      </c>
      <c r="B1010">
        <v>17</v>
      </c>
      <c r="C1010" s="889" t="str" cm="1">
        <f t="array" ref="C1010">_xlfn.SINGLE(IF(_xlfn.SINGLE(INDEX($B$929:$F$989, $A1010, C$993)) = "", "", CONCATENATE((100*INDEX($B$929:$F$989, $A1010, C$993)), "%")))</f>
        <v/>
      </c>
      <c r="D1010" s="490" t="str">
        <f t="shared" ref="D1010:G1049" si="15">CONCATENATE(INDEX($B$929:$F$989, $A1010, D$993))</f>
        <v/>
      </c>
      <c r="E1010" t="str">
        <f t="shared" si="15"/>
        <v/>
      </c>
      <c r="F1010" t="str">
        <f t="shared" si="15"/>
        <v/>
      </c>
      <c r="G1010" t="str">
        <f t="shared" si="15"/>
        <v/>
      </c>
    </row>
    <row r="1011" spans="1:7">
      <c r="A1011" s="195">
        <f t="shared" si="13"/>
        <v>1</v>
      </c>
      <c r="B1011">
        <v>18</v>
      </c>
      <c r="C1011" s="889" t="str" cm="1">
        <f t="array" ref="C1011">_xlfn.SINGLE(IF(_xlfn.SINGLE(INDEX($B$929:$F$989, $A1011, C$993)) = "", "", CONCATENATE((100*INDEX($B$929:$F$989, $A1011, C$993)), "%")))</f>
        <v/>
      </c>
      <c r="D1011" s="490" t="str">
        <f t="shared" si="15"/>
        <v/>
      </c>
      <c r="E1011" t="str">
        <f t="shared" si="15"/>
        <v/>
      </c>
      <c r="F1011" t="str">
        <f t="shared" si="15"/>
        <v/>
      </c>
      <c r="G1011" t="str">
        <f t="shared" si="15"/>
        <v/>
      </c>
    </row>
    <row r="1012" spans="1:7">
      <c r="A1012" s="195">
        <f t="shared" si="13"/>
        <v>1</v>
      </c>
      <c r="B1012">
        <v>19</v>
      </c>
      <c r="C1012" s="889" t="str" cm="1">
        <f t="array" ref="C1012">_xlfn.SINGLE(IF(_xlfn.SINGLE(INDEX($B$929:$F$989, $A1012, C$993)) = "", "", CONCATENATE((100*INDEX($B$929:$F$989, $A1012, C$993)), "%")))</f>
        <v/>
      </c>
      <c r="D1012" s="490" t="str">
        <f t="shared" si="15"/>
        <v/>
      </c>
      <c r="E1012" t="str">
        <f t="shared" si="15"/>
        <v/>
      </c>
      <c r="F1012" t="str">
        <f t="shared" si="15"/>
        <v/>
      </c>
      <c r="G1012" t="str">
        <f t="shared" si="15"/>
        <v/>
      </c>
    </row>
    <row r="1013" spans="1:7">
      <c r="A1013" s="195">
        <f t="shared" si="13"/>
        <v>1</v>
      </c>
      <c r="B1013">
        <v>20</v>
      </c>
      <c r="C1013" s="889" t="str" cm="1">
        <f t="array" ref="C1013">_xlfn.SINGLE(IF(_xlfn.SINGLE(INDEX($B$929:$F$989, $A1013, C$993)) = "", "", CONCATENATE((100*INDEX($B$929:$F$989, $A1013, C$993)), "%")))</f>
        <v/>
      </c>
      <c r="D1013" s="490" t="str">
        <f t="shared" si="15"/>
        <v/>
      </c>
      <c r="E1013" t="str">
        <f t="shared" si="15"/>
        <v/>
      </c>
      <c r="F1013" t="str">
        <f t="shared" si="15"/>
        <v/>
      </c>
      <c r="G1013" t="str">
        <f t="shared" si="15"/>
        <v/>
      </c>
    </row>
    <row r="1014" spans="1:7">
      <c r="A1014" s="195">
        <f t="shared" si="13"/>
        <v>1</v>
      </c>
      <c r="B1014">
        <v>21</v>
      </c>
      <c r="C1014" s="889" t="str" cm="1">
        <f t="array" ref="C1014">_xlfn.SINGLE(IF(_xlfn.SINGLE(INDEX($B$929:$F$989, $A1014, C$993)) = "", "", CONCATENATE((100*INDEX($B$929:$F$989, $A1014, C$993)), "%")))</f>
        <v/>
      </c>
      <c r="D1014" s="490" t="str">
        <f t="shared" si="15"/>
        <v/>
      </c>
      <c r="E1014" t="str">
        <f t="shared" si="15"/>
        <v/>
      </c>
      <c r="F1014" t="str">
        <f t="shared" si="15"/>
        <v/>
      </c>
      <c r="G1014" t="str">
        <f t="shared" si="15"/>
        <v/>
      </c>
    </row>
    <row r="1015" spans="1:7">
      <c r="A1015" s="195">
        <f t="shared" si="13"/>
        <v>1</v>
      </c>
      <c r="B1015">
        <v>22</v>
      </c>
      <c r="C1015" s="889" t="str" cm="1">
        <f t="array" ref="C1015">_xlfn.SINGLE(IF(_xlfn.SINGLE(INDEX($B$929:$F$989, $A1015, C$993)) = "", "", CONCATENATE((100*INDEX($B$929:$F$989, $A1015, C$993)), "%")))</f>
        <v/>
      </c>
      <c r="D1015" s="490" t="str">
        <f t="shared" si="15"/>
        <v/>
      </c>
      <c r="E1015" t="str">
        <f t="shared" si="15"/>
        <v/>
      </c>
      <c r="F1015" t="str">
        <f t="shared" si="15"/>
        <v/>
      </c>
      <c r="G1015" t="str">
        <f t="shared" si="15"/>
        <v/>
      </c>
    </row>
    <row r="1016" spans="1:7">
      <c r="A1016" s="195">
        <f t="shared" si="13"/>
        <v>1</v>
      </c>
      <c r="B1016">
        <v>23</v>
      </c>
      <c r="C1016" s="889" t="str" cm="1">
        <f t="array" ref="C1016">_xlfn.SINGLE(IF(_xlfn.SINGLE(INDEX($B$929:$F$989, $A1016, C$993)) = "", "", CONCATENATE((100*INDEX($B$929:$F$989, $A1016, C$993)), "%")))</f>
        <v/>
      </c>
      <c r="D1016" s="490" t="str">
        <f t="shared" si="15"/>
        <v/>
      </c>
      <c r="E1016" t="str">
        <f t="shared" si="15"/>
        <v/>
      </c>
      <c r="F1016" t="str">
        <f t="shared" si="15"/>
        <v/>
      </c>
      <c r="G1016" t="str">
        <f t="shared" si="15"/>
        <v/>
      </c>
    </row>
    <row r="1017" spans="1:7">
      <c r="A1017" s="195">
        <f t="shared" si="13"/>
        <v>1</v>
      </c>
      <c r="B1017">
        <v>24</v>
      </c>
      <c r="C1017" s="889" t="str" cm="1">
        <f t="array" ref="C1017">_xlfn.SINGLE(IF(_xlfn.SINGLE(INDEX($B$929:$F$989, $A1017, C$993)) = "", "", CONCATENATE((100*INDEX($B$929:$F$989, $A1017, C$993)), "%")))</f>
        <v/>
      </c>
      <c r="D1017" s="490" t="str">
        <f t="shared" si="15"/>
        <v/>
      </c>
      <c r="E1017" t="str">
        <f t="shared" si="15"/>
        <v/>
      </c>
      <c r="F1017" t="str">
        <f t="shared" si="15"/>
        <v/>
      </c>
      <c r="G1017" t="str">
        <f t="shared" si="15"/>
        <v/>
      </c>
    </row>
    <row r="1018" spans="1:7">
      <c r="A1018" s="195">
        <f t="shared" si="13"/>
        <v>1</v>
      </c>
      <c r="B1018">
        <v>25</v>
      </c>
      <c r="C1018" s="889" t="str" cm="1">
        <f t="array" ref="C1018">_xlfn.SINGLE(IF(_xlfn.SINGLE(INDEX($B$929:$F$989, $A1018, C$993)) = "", "", CONCATENATE((100*INDEX($B$929:$F$989, $A1018, C$993)), "%")))</f>
        <v/>
      </c>
      <c r="D1018" s="490" t="str">
        <f t="shared" si="15"/>
        <v/>
      </c>
      <c r="E1018" t="str">
        <f t="shared" si="15"/>
        <v/>
      </c>
      <c r="F1018" t="str">
        <f t="shared" si="15"/>
        <v/>
      </c>
      <c r="G1018" t="str">
        <f t="shared" si="15"/>
        <v/>
      </c>
    </row>
    <row r="1019" spans="1:7">
      <c r="A1019" s="195">
        <f t="shared" si="13"/>
        <v>1</v>
      </c>
      <c r="B1019">
        <v>26</v>
      </c>
      <c r="C1019" s="889" t="str" cm="1">
        <f t="array" ref="C1019">_xlfn.SINGLE(IF(_xlfn.SINGLE(INDEX($B$929:$F$989, $A1019, C$993)) = "", "", CONCATENATE((100*INDEX($B$929:$F$989, $A1019, C$993)), "%")))</f>
        <v/>
      </c>
      <c r="D1019" s="490" t="str">
        <f t="shared" si="15"/>
        <v/>
      </c>
      <c r="E1019" t="str">
        <f t="shared" si="15"/>
        <v/>
      </c>
      <c r="F1019" t="str">
        <f t="shared" si="15"/>
        <v/>
      </c>
      <c r="G1019" t="str">
        <f t="shared" si="15"/>
        <v/>
      </c>
    </row>
    <row r="1020" spans="1:7">
      <c r="A1020" s="195">
        <f t="shared" si="13"/>
        <v>1</v>
      </c>
      <c r="B1020">
        <v>27</v>
      </c>
      <c r="C1020" s="889" t="str" cm="1">
        <f t="array" ref="C1020">_xlfn.SINGLE(IF(_xlfn.SINGLE(INDEX($B$929:$F$989, $A1020, C$993)) = "", "", CONCATENATE((100*INDEX($B$929:$F$989, $A1020, C$993)), "%")))</f>
        <v/>
      </c>
      <c r="D1020" s="490" t="str">
        <f t="shared" si="15"/>
        <v/>
      </c>
      <c r="E1020" t="str">
        <f t="shared" si="15"/>
        <v/>
      </c>
      <c r="F1020" t="str">
        <f t="shared" si="15"/>
        <v/>
      </c>
      <c r="G1020" t="str">
        <f t="shared" si="15"/>
        <v/>
      </c>
    </row>
    <row r="1021" spans="1:7">
      <c r="A1021" s="195">
        <f t="shared" si="13"/>
        <v>1</v>
      </c>
      <c r="B1021">
        <v>28</v>
      </c>
      <c r="C1021" s="889" t="str" cm="1">
        <f t="array" ref="C1021">_xlfn.SINGLE(IF(_xlfn.SINGLE(INDEX($B$929:$F$989, $A1021, C$993)) = "", "", CONCATENATE((100*INDEX($B$929:$F$989, $A1021, C$993)), "%")))</f>
        <v/>
      </c>
      <c r="D1021" s="490" t="str">
        <f t="shared" si="15"/>
        <v/>
      </c>
      <c r="E1021" t="str">
        <f t="shared" si="15"/>
        <v/>
      </c>
      <c r="F1021" t="str">
        <f t="shared" si="15"/>
        <v/>
      </c>
      <c r="G1021" t="str">
        <f t="shared" si="15"/>
        <v/>
      </c>
    </row>
    <row r="1022" spans="1:7">
      <c r="A1022" s="195">
        <f t="shared" si="13"/>
        <v>1</v>
      </c>
      <c r="B1022">
        <v>29</v>
      </c>
      <c r="C1022" s="889" t="str" cm="1">
        <f t="array" ref="C1022">_xlfn.SINGLE(IF(_xlfn.SINGLE(INDEX($B$929:$F$989, $A1022, C$993)) = "", "", CONCATENATE((100*INDEX($B$929:$F$989, $A1022, C$993)), "%")))</f>
        <v/>
      </c>
      <c r="D1022" s="490" t="str">
        <f t="shared" si="15"/>
        <v/>
      </c>
      <c r="E1022" t="str">
        <f t="shared" si="15"/>
        <v/>
      </c>
      <c r="F1022" t="str">
        <f t="shared" si="15"/>
        <v/>
      </c>
      <c r="G1022" t="str">
        <f t="shared" si="15"/>
        <v/>
      </c>
    </row>
    <row r="1023" spans="1:7">
      <c r="A1023" s="195">
        <f t="shared" si="13"/>
        <v>1</v>
      </c>
      <c r="B1023">
        <v>30</v>
      </c>
      <c r="C1023" s="889" t="str" cm="1">
        <f t="array" ref="C1023">_xlfn.SINGLE(IF(_xlfn.SINGLE(INDEX($B$929:$F$989, $A1023, C$993)) = "", "", CONCATENATE((100*INDEX($B$929:$F$989, $A1023, C$993)), "%")))</f>
        <v/>
      </c>
      <c r="D1023" s="490" t="str">
        <f t="shared" si="15"/>
        <v/>
      </c>
      <c r="E1023" t="str">
        <f t="shared" si="15"/>
        <v/>
      </c>
      <c r="F1023" t="str">
        <f t="shared" si="15"/>
        <v/>
      </c>
      <c r="G1023" t="str">
        <f t="shared" si="15"/>
        <v/>
      </c>
    </row>
    <row r="1024" spans="1:7">
      <c r="A1024" s="195">
        <f t="shared" si="13"/>
        <v>1</v>
      </c>
      <c r="B1024">
        <v>31</v>
      </c>
      <c r="C1024" s="889" t="str" cm="1">
        <f t="array" ref="C1024">_xlfn.SINGLE(IF(_xlfn.SINGLE(INDEX($B$929:$F$989, $A1024, C$993)) = "", "", CONCATENATE((100*INDEX($B$929:$F$989, $A1024, C$993)), "%")))</f>
        <v/>
      </c>
      <c r="D1024" s="490" t="str">
        <f t="shared" si="15"/>
        <v/>
      </c>
      <c r="E1024" t="str">
        <f t="shared" si="15"/>
        <v/>
      </c>
      <c r="F1024" t="str">
        <f t="shared" si="15"/>
        <v/>
      </c>
      <c r="G1024" t="str">
        <f t="shared" si="15"/>
        <v/>
      </c>
    </row>
    <row r="1025" spans="1:7">
      <c r="A1025" s="195">
        <f t="shared" si="13"/>
        <v>1</v>
      </c>
      <c r="B1025">
        <v>32</v>
      </c>
      <c r="C1025" s="889" t="str" cm="1">
        <f t="array" ref="C1025">_xlfn.SINGLE(IF(_xlfn.SINGLE(INDEX($B$929:$F$989, $A1025, C$993)) = "", "", CONCATENATE((100*INDEX($B$929:$F$989, $A1025, C$993)), "%")))</f>
        <v/>
      </c>
      <c r="D1025" s="490" t="str">
        <f t="shared" si="15"/>
        <v/>
      </c>
      <c r="E1025" t="str">
        <f t="shared" si="15"/>
        <v/>
      </c>
      <c r="F1025" t="str">
        <f t="shared" si="15"/>
        <v/>
      </c>
      <c r="G1025" t="str">
        <f t="shared" si="15"/>
        <v/>
      </c>
    </row>
    <row r="1026" spans="1:7">
      <c r="A1026" s="195">
        <f t="shared" si="13"/>
        <v>1</v>
      </c>
      <c r="B1026">
        <v>33</v>
      </c>
      <c r="C1026" s="889" t="str" cm="1">
        <f t="array" ref="C1026">_xlfn.SINGLE(IF(_xlfn.SINGLE(INDEX($B$929:$F$989, $A1026, C$993)) = "", "", CONCATENATE((100*INDEX($B$929:$F$989, $A1026, C$993)), "%")))</f>
        <v/>
      </c>
      <c r="D1026" s="490" t="str">
        <f t="shared" si="15"/>
        <v/>
      </c>
      <c r="E1026" t="str">
        <f t="shared" si="15"/>
        <v/>
      </c>
      <c r="F1026" t="str">
        <f t="shared" si="15"/>
        <v/>
      </c>
      <c r="G1026" t="str">
        <f t="shared" si="15"/>
        <v/>
      </c>
    </row>
    <row r="1027" spans="1:7">
      <c r="A1027" s="195">
        <f t="shared" si="13"/>
        <v>1</v>
      </c>
      <c r="B1027">
        <v>34</v>
      </c>
      <c r="C1027" s="889" t="str" cm="1">
        <f t="array" ref="C1027">_xlfn.SINGLE(IF(_xlfn.SINGLE(INDEX($B$929:$F$989, $A1027, C$993)) = "", "", CONCATENATE((100*INDEX($B$929:$F$989, $A1027, C$993)), "%")))</f>
        <v/>
      </c>
      <c r="D1027" s="490" t="str">
        <f t="shared" si="15"/>
        <v/>
      </c>
      <c r="E1027" t="str">
        <f t="shared" si="15"/>
        <v/>
      </c>
      <c r="F1027" t="str">
        <f t="shared" si="15"/>
        <v/>
      </c>
      <c r="G1027" t="str">
        <f t="shared" si="15"/>
        <v/>
      </c>
    </row>
    <row r="1028" spans="1:7">
      <c r="A1028" s="195">
        <f t="shared" si="13"/>
        <v>1</v>
      </c>
      <c r="B1028">
        <v>35</v>
      </c>
      <c r="C1028" s="889" t="str" cm="1">
        <f t="array" ref="C1028">_xlfn.SINGLE(IF(_xlfn.SINGLE(INDEX($B$929:$F$989, $A1028, C$993)) = "", "", CONCATENATE((100*INDEX($B$929:$F$989, $A1028, C$993)), "%")))</f>
        <v/>
      </c>
      <c r="D1028" s="490" t="str">
        <f t="shared" si="15"/>
        <v/>
      </c>
      <c r="E1028" t="str">
        <f t="shared" si="15"/>
        <v/>
      </c>
      <c r="F1028" t="str">
        <f t="shared" si="15"/>
        <v/>
      </c>
      <c r="G1028" t="str">
        <f t="shared" si="15"/>
        <v/>
      </c>
    </row>
    <row r="1029" spans="1:7">
      <c r="A1029" s="195">
        <f t="shared" si="13"/>
        <v>1</v>
      </c>
      <c r="B1029">
        <v>36</v>
      </c>
      <c r="C1029" s="889" t="str" cm="1">
        <f t="array" ref="C1029">_xlfn.SINGLE(IF(_xlfn.SINGLE(INDEX($B$929:$F$989, $A1029, C$993)) = "", "", CONCATENATE((100*INDEX($B$929:$F$989, $A1029, C$993)), "%")))</f>
        <v/>
      </c>
      <c r="D1029" s="490" t="str">
        <f t="shared" si="15"/>
        <v/>
      </c>
      <c r="E1029" t="str">
        <f t="shared" si="15"/>
        <v/>
      </c>
      <c r="F1029" t="str">
        <f t="shared" si="15"/>
        <v/>
      </c>
      <c r="G1029" t="str">
        <f t="shared" si="15"/>
        <v/>
      </c>
    </row>
    <row r="1030" spans="1:7">
      <c r="A1030" s="195">
        <f t="shared" si="13"/>
        <v>1</v>
      </c>
      <c r="B1030">
        <v>37</v>
      </c>
      <c r="C1030" s="889" t="str" cm="1">
        <f t="array" ref="C1030">_xlfn.SINGLE(IF(_xlfn.SINGLE(INDEX($B$929:$F$989, $A1030, C$993)) = "", "", CONCATENATE((100*INDEX($B$929:$F$989, $A1030, C$993)), "%")))</f>
        <v/>
      </c>
      <c r="D1030" s="490" t="str">
        <f t="shared" si="15"/>
        <v/>
      </c>
      <c r="E1030" t="str">
        <f t="shared" si="15"/>
        <v/>
      </c>
      <c r="F1030" t="str">
        <f t="shared" si="15"/>
        <v/>
      </c>
      <c r="G1030" t="str">
        <f t="shared" si="15"/>
        <v/>
      </c>
    </row>
    <row r="1031" spans="1:7">
      <c r="A1031" s="195">
        <f t="shared" si="13"/>
        <v>1</v>
      </c>
      <c r="B1031">
        <v>38</v>
      </c>
      <c r="C1031" s="889" t="str" cm="1">
        <f t="array" ref="C1031">_xlfn.SINGLE(IF(_xlfn.SINGLE(INDEX($B$929:$F$989, $A1031, C$993)) = "", "", CONCATENATE((100*INDEX($B$929:$F$989, $A1031, C$993)), "%")))</f>
        <v/>
      </c>
      <c r="D1031" s="490" t="str">
        <f t="shared" si="15"/>
        <v/>
      </c>
      <c r="E1031" t="str">
        <f t="shared" si="15"/>
        <v/>
      </c>
      <c r="F1031" t="str">
        <f t="shared" si="15"/>
        <v/>
      </c>
      <c r="G1031" t="str">
        <f t="shared" si="15"/>
        <v/>
      </c>
    </row>
    <row r="1032" spans="1:7">
      <c r="A1032" s="195">
        <f t="shared" si="13"/>
        <v>1</v>
      </c>
      <c r="B1032">
        <v>39</v>
      </c>
      <c r="C1032" s="889" t="str" cm="1">
        <f t="array" ref="C1032">_xlfn.SINGLE(IF(_xlfn.SINGLE(INDEX($B$929:$F$989, $A1032, C$993)) = "", "", CONCATENATE((100*INDEX($B$929:$F$989, $A1032, C$993)), "%")))</f>
        <v/>
      </c>
      <c r="D1032" s="490" t="str">
        <f t="shared" si="15"/>
        <v/>
      </c>
      <c r="E1032" t="str">
        <f t="shared" si="15"/>
        <v/>
      </c>
      <c r="F1032" t="str">
        <f t="shared" si="15"/>
        <v/>
      </c>
      <c r="G1032" t="str">
        <f t="shared" si="15"/>
        <v/>
      </c>
    </row>
    <row r="1033" spans="1:7">
      <c r="A1033" s="195">
        <f t="shared" si="13"/>
        <v>1</v>
      </c>
      <c r="B1033">
        <v>40</v>
      </c>
      <c r="C1033" s="889" t="str" cm="1">
        <f t="array" ref="C1033">_xlfn.SINGLE(IF(_xlfn.SINGLE(INDEX($B$929:$F$989, $A1033, C$993)) = "", "", CONCATENATE((100*INDEX($B$929:$F$989, $A1033, C$993)), "%")))</f>
        <v/>
      </c>
      <c r="D1033" s="490" t="str">
        <f t="shared" si="15"/>
        <v/>
      </c>
      <c r="E1033" t="str">
        <f t="shared" si="15"/>
        <v/>
      </c>
      <c r="F1033" t="str">
        <f t="shared" si="15"/>
        <v/>
      </c>
      <c r="G1033" t="str">
        <f t="shared" si="15"/>
        <v/>
      </c>
    </row>
    <row r="1034" spans="1:7">
      <c r="A1034" s="195">
        <f t="shared" si="13"/>
        <v>1</v>
      </c>
      <c r="B1034">
        <v>41</v>
      </c>
      <c r="C1034" s="889" t="str" cm="1">
        <f t="array" ref="C1034">_xlfn.SINGLE(IF(_xlfn.SINGLE(INDEX($B$929:$F$989, $A1034, C$993)) = "", "", CONCATENATE((100*INDEX($B$929:$F$989, $A1034, C$993)), "%")))</f>
        <v/>
      </c>
      <c r="D1034" s="490" t="str">
        <f t="shared" si="15"/>
        <v/>
      </c>
      <c r="E1034" t="str">
        <f t="shared" si="15"/>
        <v/>
      </c>
      <c r="F1034" t="str">
        <f t="shared" si="15"/>
        <v/>
      </c>
      <c r="G1034" t="str">
        <f t="shared" si="15"/>
        <v/>
      </c>
    </row>
    <row r="1035" spans="1:7">
      <c r="A1035" s="195">
        <f t="shared" si="13"/>
        <v>1</v>
      </c>
      <c r="B1035">
        <v>42</v>
      </c>
      <c r="C1035" s="889" t="str" cm="1">
        <f t="array" ref="C1035">_xlfn.SINGLE(IF(_xlfn.SINGLE(INDEX($B$929:$F$989, $A1035, C$993)) = "", "", CONCATENATE((100*INDEX($B$929:$F$989, $A1035, C$993)), "%")))</f>
        <v/>
      </c>
      <c r="D1035" s="490" t="str">
        <f t="shared" si="15"/>
        <v/>
      </c>
      <c r="E1035" t="str">
        <f t="shared" si="15"/>
        <v/>
      </c>
      <c r="F1035" t="str">
        <f t="shared" si="15"/>
        <v/>
      </c>
      <c r="G1035" t="str">
        <f t="shared" si="15"/>
        <v/>
      </c>
    </row>
    <row r="1036" spans="1:7">
      <c r="A1036" s="195">
        <f t="shared" si="13"/>
        <v>1</v>
      </c>
      <c r="B1036">
        <v>43</v>
      </c>
      <c r="C1036" s="889" t="str" cm="1">
        <f t="array" ref="C1036">_xlfn.SINGLE(IF(_xlfn.SINGLE(INDEX($B$929:$F$989, $A1036, C$993)) = "", "", CONCATENATE((100*INDEX($B$929:$F$989, $A1036, C$993)), "%")))</f>
        <v/>
      </c>
      <c r="D1036" s="490" t="str">
        <f t="shared" si="15"/>
        <v/>
      </c>
      <c r="E1036" t="str">
        <f t="shared" si="15"/>
        <v/>
      </c>
      <c r="F1036" t="str">
        <f t="shared" si="15"/>
        <v/>
      </c>
      <c r="G1036" t="str">
        <f t="shared" si="15"/>
        <v/>
      </c>
    </row>
    <row r="1037" spans="1:7">
      <c r="A1037" s="195">
        <f t="shared" si="13"/>
        <v>1</v>
      </c>
      <c r="B1037">
        <v>44</v>
      </c>
      <c r="C1037" s="889" t="str" cm="1">
        <f t="array" ref="C1037">_xlfn.SINGLE(IF(_xlfn.SINGLE(INDEX($B$929:$F$989, $A1037, C$993)) = "", "", CONCATENATE((100*INDEX($B$929:$F$989, $A1037, C$993)), "%")))</f>
        <v/>
      </c>
      <c r="D1037" s="490" t="str">
        <f t="shared" si="15"/>
        <v/>
      </c>
      <c r="E1037" t="str">
        <f t="shared" si="15"/>
        <v/>
      </c>
      <c r="F1037" t="str">
        <f t="shared" si="15"/>
        <v/>
      </c>
      <c r="G1037" t="str">
        <f t="shared" si="15"/>
        <v/>
      </c>
    </row>
    <row r="1038" spans="1:7">
      <c r="A1038" s="195">
        <f t="shared" si="13"/>
        <v>1</v>
      </c>
      <c r="B1038">
        <v>45</v>
      </c>
      <c r="C1038" s="889" t="str" cm="1">
        <f t="array" ref="C1038">_xlfn.SINGLE(IF(_xlfn.SINGLE(INDEX($B$929:$F$989, $A1038, C$993)) = "", "", CONCATENATE((100*INDEX($B$929:$F$989, $A1038, C$993)), "%")))</f>
        <v/>
      </c>
      <c r="D1038" s="490" t="str">
        <f t="shared" si="15"/>
        <v/>
      </c>
      <c r="E1038" t="str">
        <f t="shared" si="15"/>
        <v/>
      </c>
      <c r="F1038" t="str">
        <f t="shared" si="15"/>
        <v/>
      </c>
      <c r="G1038" t="str">
        <f t="shared" si="15"/>
        <v/>
      </c>
    </row>
    <row r="1039" spans="1:7">
      <c r="A1039" s="195">
        <f t="shared" si="13"/>
        <v>1</v>
      </c>
      <c r="B1039">
        <v>46</v>
      </c>
      <c r="C1039" s="889" t="str" cm="1">
        <f t="array" ref="C1039">_xlfn.SINGLE(IF(_xlfn.SINGLE(INDEX($B$929:$F$989, $A1039, C$993)) = "", "", CONCATENATE((100*INDEX($B$929:$F$989, $A1039, C$993)), "%")))</f>
        <v/>
      </c>
      <c r="D1039" s="490" t="str">
        <f t="shared" si="15"/>
        <v/>
      </c>
      <c r="E1039" t="str">
        <f t="shared" si="15"/>
        <v/>
      </c>
      <c r="F1039" t="str">
        <f t="shared" si="15"/>
        <v/>
      </c>
      <c r="G1039" t="str">
        <f t="shared" si="15"/>
        <v/>
      </c>
    </row>
    <row r="1040" spans="1:7">
      <c r="A1040" s="195">
        <f t="shared" si="13"/>
        <v>1</v>
      </c>
      <c r="B1040">
        <v>47</v>
      </c>
      <c r="C1040" s="889" t="str" cm="1">
        <f t="array" ref="C1040">_xlfn.SINGLE(IF(_xlfn.SINGLE(INDEX($B$929:$F$989, $A1040, C$993)) = "", "", CONCATENATE((100*INDEX($B$929:$F$989, $A1040, C$993)), "%")))</f>
        <v/>
      </c>
      <c r="D1040" s="490" t="str">
        <f t="shared" si="15"/>
        <v/>
      </c>
      <c r="E1040" t="str">
        <f t="shared" si="15"/>
        <v/>
      </c>
      <c r="F1040" t="str">
        <f t="shared" si="15"/>
        <v/>
      </c>
      <c r="G1040" t="str">
        <f t="shared" si="15"/>
        <v/>
      </c>
    </row>
    <row r="1041" spans="1:7">
      <c r="A1041" s="195">
        <f t="shared" si="13"/>
        <v>1</v>
      </c>
      <c r="B1041">
        <v>48</v>
      </c>
      <c r="C1041" s="889" t="str" cm="1">
        <f t="array" ref="C1041">_xlfn.SINGLE(IF(_xlfn.SINGLE(INDEX($B$929:$F$989, $A1041, C$993)) = "", "", CONCATENATE((100*INDEX($B$929:$F$989, $A1041, C$993)), "%")))</f>
        <v/>
      </c>
      <c r="D1041" s="490" t="str">
        <f t="shared" si="15"/>
        <v/>
      </c>
      <c r="E1041" t="str">
        <f t="shared" si="15"/>
        <v/>
      </c>
      <c r="F1041" t="str">
        <f t="shared" si="15"/>
        <v/>
      </c>
      <c r="G1041" t="str">
        <f t="shared" si="15"/>
        <v/>
      </c>
    </row>
    <row r="1042" spans="1:7">
      <c r="A1042" s="195">
        <f t="shared" si="13"/>
        <v>1</v>
      </c>
      <c r="B1042">
        <v>49</v>
      </c>
      <c r="C1042" s="889" t="str" cm="1">
        <f t="array" ref="C1042">_xlfn.SINGLE(IF(_xlfn.SINGLE(INDEX($B$929:$F$989, $A1042, C$993)) = "", "", CONCATENATE((100*INDEX($B$929:$F$989, $A1042, C$993)), "%")))</f>
        <v/>
      </c>
      <c r="D1042" s="490" t="str">
        <f t="shared" si="15"/>
        <v/>
      </c>
      <c r="E1042" t="str">
        <f t="shared" si="15"/>
        <v/>
      </c>
      <c r="F1042" t="str">
        <f t="shared" si="15"/>
        <v/>
      </c>
      <c r="G1042" t="str">
        <f t="shared" si="15"/>
        <v/>
      </c>
    </row>
    <row r="1043" spans="1:7">
      <c r="A1043" s="195">
        <f t="shared" si="13"/>
        <v>1</v>
      </c>
      <c r="B1043">
        <v>50</v>
      </c>
      <c r="C1043" s="889" t="str" cm="1">
        <f t="array" ref="C1043">_xlfn.SINGLE(IF(_xlfn.SINGLE(INDEX($B$929:$F$989, $A1043, C$993)) = "", "", CONCATENATE((100*INDEX($B$929:$F$989, $A1043, C$993)), "%")))</f>
        <v/>
      </c>
      <c r="D1043" s="490" t="str">
        <f t="shared" si="15"/>
        <v/>
      </c>
      <c r="E1043" t="str">
        <f t="shared" si="15"/>
        <v/>
      </c>
      <c r="F1043" t="str">
        <f t="shared" si="15"/>
        <v/>
      </c>
      <c r="G1043" t="str">
        <f t="shared" si="15"/>
        <v/>
      </c>
    </row>
    <row r="1044" spans="1:7">
      <c r="A1044" s="195">
        <f t="shared" si="13"/>
        <v>1</v>
      </c>
      <c r="B1044">
        <v>51</v>
      </c>
      <c r="C1044" s="889" t="str" cm="1">
        <f t="array" ref="C1044">_xlfn.SINGLE(IF(_xlfn.SINGLE(INDEX($B$929:$F$989, $A1044, C$993)) = "", "", CONCATENATE((100*INDEX($B$929:$F$989, $A1044, C$993)), "%")))</f>
        <v/>
      </c>
      <c r="D1044" s="490" t="str">
        <f t="shared" si="15"/>
        <v/>
      </c>
      <c r="E1044" t="str">
        <f t="shared" si="15"/>
        <v/>
      </c>
      <c r="F1044" t="str">
        <f t="shared" si="15"/>
        <v/>
      </c>
      <c r="G1044" t="str">
        <f t="shared" si="15"/>
        <v/>
      </c>
    </row>
    <row r="1045" spans="1:7">
      <c r="A1045" s="195">
        <f t="shared" si="13"/>
        <v>1</v>
      </c>
      <c r="B1045">
        <v>52</v>
      </c>
      <c r="C1045" s="889" t="str" cm="1">
        <f t="array" ref="C1045">_xlfn.SINGLE(IF(_xlfn.SINGLE(INDEX($B$929:$F$989, $A1045, C$993)) = "", "", CONCATENATE((100*INDEX($B$929:$F$989, $A1045, C$993)), "%")))</f>
        <v/>
      </c>
      <c r="D1045" s="490" t="str">
        <f t="shared" si="15"/>
        <v/>
      </c>
      <c r="E1045" t="str">
        <f t="shared" si="15"/>
        <v/>
      </c>
      <c r="F1045" t="str">
        <f t="shared" si="15"/>
        <v/>
      </c>
      <c r="G1045" t="str">
        <f t="shared" si="15"/>
        <v/>
      </c>
    </row>
    <row r="1046" spans="1:7">
      <c r="A1046" s="195">
        <f t="shared" si="13"/>
        <v>1</v>
      </c>
      <c r="B1046">
        <v>53</v>
      </c>
      <c r="C1046" s="889" t="str" cm="1">
        <f t="array" ref="C1046">_xlfn.SINGLE(IF(_xlfn.SINGLE(INDEX($B$929:$F$989, $A1046, C$993)) = "", "", CONCATENATE((100*INDEX($B$929:$F$989, $A1046, C$993)), "%")))</f>
        <v/>
      </c>
      <c r="D1046" s="490" t="str">
        <f t="shared" si="15"/>
        <v/>
      </c>
      <c r="E1046" t="str">
        <f t="shared" si="15"/>
        <v/>
      </c>
      <c r="F1046" t="str">
        <f t="shared" si="15"/>
        <v/>
      </c>
      <c r="G1046" t="str">
        <f t="shared" si="15"/>
        <v/>
      </c>
    </row>
    <row r="1047" spans="1:7">
      <c r="A1047" s="195">
        <f t="shared" si="13"/>
        <v>1</v>
      </c>
      <c r="B1047">
        <v>54</v>
      </c>
      <c r="C1047" s="889" t="str" cm="1">
        <f t="array" ref="C1047">_xlfn.SINGLE(IF(_xlfn.SINGLE(INDEX($B$929:$F$989, $A1047, C$993)) = "", "", CONCATENATE((100*INDEX($B$929:$F$989, $A1047, C$993)), "%")))</f>
        <v/>
      </c>
      <c r="D1047" s="490" t="str">
        <f t="shared" si="15"/>
        <v/>
      </c>
      <c r="E1047" t="str">
        <f t="shared" si="15"/>
        <v/>
      </c>
      <c r="F1047" t="str">
        <f t="shared" si="15"/>
        <v/>
      </c>
      <c r="G1047" t="str">
        <f t="shared" si="15"/>
        <v/>
      </c>
    </row>
    <row r="1048" spans="1:7">
      <c r="A1048" s="195">
        <f t="shared" si="13"/>
        <v>1</v>
      </c>
      <c r="B1048">
        <v>55</v>
      </c>
      <c r="C1048" s="889" t="str" cm="1">
        <f t="array" ref="C1048">_xlfn.SINGLE(IF(_xlfn.SINGLE(INDEX($B$929:$F$989, $A1048, C$993)) = "", "", CONCATENATE((100*INDEX($B$929:$F$989, $A1048, C$993)), "%")))</f>
        <v/>
      </c>
      <c r="D1048" s="490" t="str">
        <f t="shared" si="15"/>
        <v/>
      </c>
      <c r="E1048" t="str">
        <f t="shared" si="15"/>
        <v/>
      </c>
      <c r="F1048" t="str">
        <f t="shared" si="15"/>
        <v/>
      </c>
      <c r="G1048" t="str">
        <f t="shared" si="15"/>
        <v/>
      </c>
    </row>
    <row r="1049" spans="1:7">
      <c r="A1049" s="195">
        <f t="shared" si="13"/>
        <v>1</v>
      </c>
      <c r="B1049">
        <v>56</v>
      </c>
      <c r="C1049" s="889" t="str" cm="1">
        <f t="array" ref="C1049">_xlfn.SINGLE(IF(_xlfn.SINGLE(INDEX($B$929:$F$989, $A1049, C$993)) = "", "", CONCATENATE((100*INDEX($B$929:$F$989, $A1049, C$993)), "%")))</f>
        <v/>
      </c>
      <c r="D1049" s="490" t="str">
        <f t="shared" si="15"/>
        <v/>
      </c>
      <c r="E1049" t="str">
        <f t="shared" si="15"/>
        <v/>
      </c>
      <c r="F1049" t="str">
        <f t="shared" si="15"/>
        <v/>
      </c>
      <c r="G1049" t="str">
        <f t="shared" si="15"/>
        <v/>
      </c>
    </row>
    <row r="1050" spans="1:7">
      <c r="A1050" s="195">
        <f t="shared" si="13"/>
        <v>1</v>
      </c>
      <c r="B1050">
        <v>57</v>
      </c>
      <c r="C1050" s="889" t="str" cm="1">
        <f t="array" ref="C1050">_xlfn.SINGLE(IF(_xlfn.SINGLE(INDEX($B$929:$F$989, $A1050, C$993)) = "", "", CONCATENATE((100*INDEX($B$929:$F$989, $A1050, C$993)), "%")))</f>
        <v/>
      </c>
      <c r="D1050" s="490" t="str">
        <f t="shared" ref="D1050:G1053" si="16">CONCATENATE(INDEX($B$929:$F$989, $A1050, D$993))</f>
        <v/>
      </c>
      <c r="E1050" t="str">
        <f t="shared" si="16"/>
        <v/>
      </c>
      <c r="F1050" t="str">
        <f t="shared" si="16"/>
        <v/>
      </c>
      <c r="G1050" t="str">
        <f t="shared" si="16"/>
        <v/>
      </c>
    </row>
    <row r="1051" spans="1:7">
      <c r="A1051" s="195">
        <f t="shared" si="13"/>
        <v>1</v>
      </c>
      <c r="B1051">
        <v>58</v>
      </c>
      <c r="C1051" s="889" t="str" cm="1">
        <f t="array" ref="C1051">_xlfn.SINGLE(IF(_xlfn.SINGLE(INDEX($B$929:$F$989, $A1051, C$993)) = "", "", CONCATENATE((100*INDEX($B$929:$F$989, $A1051, C$993)), "%")))</f>
        <v/>
      </c>
      <c r="D1051" s="490" t="str">
        <f t="shared" si="16"/>
        <v/>
      </c>
      <c r="E1051" t="str">
        <f t="shared" si="16"/>
        <v/>
      </c>
      <c r="F1051" t="str">
        <f t="shared" si="16"/>
        <v/>
      </c>
      <c r="G1051" t="str">
        <f t="shared" si="16"/>
        <v/>
      </c>
    </row>
    <row r="1052" spans="1:7">
      <c r="A1052" s="195">
        <f t="shared" si="13"/>
        <v>1</v>
      </c>
      <c r="B1052">
        <v>59</v>
      </c>
      <c r="C1052" s="889" t="str" cm="1">
        <f t="array" ref="C1052">_xlfn.SINGLE(IF(_xlfn.SINGLE(INDEX($B$929:$F$989, $A1052, C$993)) = "", "", CONCATENATE((100*INDEX($B$929:$F$989, $A1052, C$993)), "%")))</f>
        <v/>
      </c>
      <c r="D1052" s="490" t="str">
        <f t="shared" si="16"/>
        <v/>
      </c>
      <c r="E1052" t="str">
        <f t="shared" si="16"/>
        <v/>
      </c>
      <c r="F1052" t="str">
        <f t="shared" si="16"/>
        <v/>
      </c>
      <c r="G1052" t="str">
        <f t="shared" si="16"/>
        <v/>
      </c>
    </row>
    <row r="1053" spans="1:7">
      <c r="A1053" s="195">
        <f t="shared" si="13"/>
        <v>1</v>
      </c>
      <c r="B1053">
        <v>60</v>
      </c>
      <c r="C1053" s="889" t="str" cm="1">
        <f t="array" ref="C1053">_xlfn.SINGLE(IF(_xlfn.SINGLE(INDEX($B$929:$F$989, $A1053, C$993)) = "", "", CONCATENATE((100*INDEX($B$929:$F$989, $A1053, C$993)), "%")))</f>
        <v/>
      </c>
      <c r="D1053" s="490" t="str">
        <f t="shared" si="16"/>
        <v/>
      </c>
      <c r="E1053" t="str">
        <f t="shared" si="16"/>
        <v/>
      </c>
      <c r="F1053" t="str">
        <f t="shared" si="16"/>
        <v/>
      </c>
      <c r="G1053" t="str">
        <f t="shared" si="16"/>
        <v/>
      </c>
    </row>
    <row r="1055" spans="1:7">
      <c r="B1055" t="s">
        <v>2547</v>
      </c>
      <c r="D1055" t="s">
        <v>2550</v>
      </c>
    </row>
    <row r="1056" spans="1:7">
      <c r="B1056" t="s">
        <v>2543</v>
      </c>
      <c r="D1056" t="s">
        <v>2551</v>
      </c>
    </row>
    <row r="1057" spans="1:5">
      <c r="B1057" t="s">
        <v>2544</v>
      </c>
      <c r="D1057" t="s">
        <v>2552</v>
      </c>
    </row>
    <row r="1058" spans="1:5">
      <c r="B1058" t="s">
        <v>2545</v>
      </c>
      <c r="D1058" t="s">
        <v>2553</v>
      </c>
    </row>
    <row r="1059" spans="1:5">
      <c r="B1059" t="s">
        <v>2546</v>
      </c>
      <c r="D1059" t="s">
        <v>2554</v>
      </c>
    </row>
    <row r="1067" spans="1:5">
      <c r="A1067" t="s">
        <v>913</v>
      </c>
      <c r="B1067" t="s">
        <v>2555</v>
      </c>
      <c r="C1067" t="e">
        <f>Calculations!$B$505</f>
        <v>#N/A</v>
      </c>
      <c r="D1067" t="s">
        <v>2556</v>
      </c>
    </row>
    <row r="1068" spans="1:5">
      <c r="A1068" t="s">
        <v>2557</v>
      </c>
      <c r="B1068" t="s">
        <v>2558</v>
      </c>
      <c r="C1068">
        <f>Calculations!R753</f>
        <v>0</v>
      </c>
      <c r="D1068" t="s">
        <v>2559</v>
      </c>
    </row>
    <row r="1069" spans="1:5">
      <c r="A1069" t="s">
        <v>2560</v>
      </c>
      <c r="B1069" t="s">
        <v>2561</v>
      </c>
      <c r="C1069">
        <f>Calculations!T753</f>
        <v>0</v>
      </c>
      <c r="D1069" t="s">
        <v>2562</v>
      </c>
    </row>
    <row r="1070" spans="1:5">
      <c r="A1070" t="s">
        <v>2563</v>
      </c>
      <c r="B1070" t="s">
        <v>2564</v>
      </c>
      <c r="C1070">
        <f>Calculations!V753</f>
        <v>0</v>
      </c>
      <c r="D1070" t="s">
        <v>2565</v>
      </c>
    </row>
    <row r="1071" spans="1:5">
      <c r="A1071" t="s">
        <v>2566</v>
      </c>
      <c r="B1071" t="s">
        <v>2567</v>
      </c>
      <c r="C1071" s="402">
        <f>Calculations!W753</f>
        <v>0</v>
      </c>
      <c r="D1071" t="s">
        <v>2568</v>
      </c>
      <c r="E1071" t="s">
        <v>2569</v>
      </c>
    </row>
    <row r="1072" spans="1:5">
      <c r="A1072" t="s">
        <v>2570</v>
      </c>
      <c r="B1072" t="s">
        <v>2571</v>
      </c>
      <c r="C1072" s="402">
        <f>Calculations!X753</f>
        <v>0</v>
      </c>
      <c r="D1072" t="s">
        <v>2572</v>
      </c>
      <c r="E1072" t="s">
        <v>2573</v>
      </c>
    </row>
    <row r="1073" spans="1:20">
      <c r="A1073" t="s">
        <v>2574</v>
      </c>
      <c r="B1073" t="s">
        <v>2575</v>
      </c>
      <c r="C1073" s="402" t="e">
        <f>Calculations!AA753</f>
        <v>#DIV/0!</v>
      </c>
      <c r="D1073" t="s">
        <v>2576</v>
      </c>
      <c r="E1073" t="s">
        <v>2577</v>
      </c>
    </row>
    <row r="1076" spans="1:20">
      <c r="A1076" t="s">
        <v>2578</v>
      </c>
    </row>
    <row r="1077" spans="1:20">
      <c r="B1077" t="s">
        <v>2579</v>
      </c>
      <c r="C1077" t="s">
        <v>2580</v>
      </c>
      <c r="D1077" t="s">
        <v>1665</v>
      </c>
      <c r="E1077" t="s">
        <v>2520</v>
      </c>
      <c r="F1077" t="s">
        <v>2581</v>
      </c>
      <c r="G1077" t="s">
        <v>2582</v>
      </c>
      <c r="H1077" t="s">
        <v>2583</v>
      </c>
      <c r="I1077" t="s">
        <v>2584</v>
      </c>
      <c r="J1077" t="s">
        <v>2585</v>
      </c>
      <c r="K1077" t="s">
        <v>2586</v>
      </c>
      <c r="L1077" t="s">
        <v>2587</v>
      </c>
      <c r="M1077" t="s">
        <v>2588</v>
      </c>
      <c r="N1077" t="s">
        <v>2589</v>
      </c>
      <c r="O1077" t="s">
        <v>2590</v>
      </c>
      <c r="P1077" t="s">
        <v>2591</v>
      </c>
      <c r="Q1077" t="s">
        <v>2592</v>
      </c>
      <c r="R1077" t="s">
        <v>2593</v>
      </c>
      <c r="S1077" t="s">
        <v>2594</v>
      </c>
      <c r="T1077" t="s">
        <v>2595</v>
      </c>
    </row>
    <row r="1078" spans="1:20">
      <c r="A1078" s="315" t="s">
        <v>2281</v>
      </c>
      <c r="B1078" s="315"/>
    </row>
    <row r="1079" spans="1:20">
      <c r="A1079" s="195" t="str">
        <f>IF(D1079="","",MAX(A$1077:A1078)+1)</f>
        <v/>
      </c>
      <c r="B1079" s="195" t="b">
        <f>A1079&lt;&gt;""</f>
        <v>0</v>
      </c>
      <c r="C1079" t="str">
        <f>CONCATENATE('Final Building Profile'!B4)</f>
        <v/>
      </c>
      <c r="D1079" t="str">
        <f>CONCATENATE('Final Building Profile'!C4)</f>
        <v/>
      </c>
      <c r="E1079" t="str">
        <f>CONCATENATE('Final Building Profile'!F4)</f>
        <v/>
      </c>
      <c r="F1079" s="316" t="str">
        <f>IF(AND($B1079, Calculations!$B$9), 'Final Building Profile'!J4, "")</f>
        <v/>
      </c>
      <c r="G1079" s="250" t="str">
        <f>IF(AND($B1079, Calculations!$B$9), 'Final Building Profile'!K4, "")</f>
        <v/>
      </c>
      <c r="H1079" t="str">
        <f>IF(AND($B1079, Calculations!$B$9),'Final Building Profile'!M4,"")</f>
        <v/>
      </c>
      <c r="I1079" t="str">
        <f>IF(AND($B1079, Calculations!$B$9),Calculations!AB654,"")</f>
        <v/>
      </c>
      <c r="J1079" t="str">
        <f>IF(AND($B1079, Calculations!$B$9),Calculations!AC654,"")</f>
        <v/>
      </c>
      <c r="K1079" s="316" t="str">
        <f>IF(AND($B1079, Calculations!$B$8), 'Final Building Profile'!J4, "")</f>
        <v/>
      </c>
      <c r="L1079" s="250" t="str">
        <f>IF(AND($B1079, Calculations!$B$8), 'Final Building Profile'!K4, "")</f>
        <v/>
      </c>
      <c r="M1079" t="str">
        <f>IF(AND($B1079, Calculations!$B$8), 'Final Building Profile'!L4, "")</f>
        <v/>
      </c>
      <c r="N1079" t="str">
        <f>IF(AND($B1079, Calculations!$B$8),Calculations!AB654,"")</f>
        <v/>
      </c>
      <c r="O1079" t="str">
        <f>IF(AND($B1079, Calculations!$B$8),Calculations!AC654,"")</f>
        <v/>
      </c>
      <c r="P1079" s="316" t="str">
        <f>IF(AND($B1079, Calculations!$B$7), 'Final Building Profile'!P4, "")</f>
        <v/>
      </c>
      <c r="Q1079" s="204" t="str">
        <f>IF(AND($B1079, Calculations!$B$7), 'Final Building Profile'!Q4, "")</f>
        <v/>
      </c>
      <c r="R1079" t="str">
        <f>IF(AND($B1079, Calculations!$B$7), 'Final Building Profile'!N4-'Final Building Profile'!O4, "")</f>
        <v/>
      </c>
      <c r="S1079" t="str">
        <f>IF(AND($B1079, Calculations!$B$7),Calculations!AD654,"")</f>
        <v/>
      </c>
      <c r="T1079" t="str">
        <f>IF(AND($B1079, Calculations!$B$7),Calculations!AE654,"")</f>
        <v/>
      </c>
    </row>
    <row r="1080" spans="1:20">
      <c r="A1080" s="195" t="str">
        <f>IF(C1080="","",MAX(A$1077:A1079)+1)</f>
        <v/>
      </c>
      <c r="B1080" s="195" t="b">
        <f t="shared" ref="B1080:B1143" si="17">A1080&lt;&gt;""</f>
        <v>0</v>
      </c>
      <c r="C1080" t="str">
        <f>CONCATENATE('Final Building Profile'!B5)</f>
        <v/>
      </c>
      <c r="D1080" t="str">
        <f>CONCATENATE('Final Building Profile'!C5)</f>
        <v/>
      </c>
      <c r="E1080" t="str">
        <f>CONCATENATE('Final Building Profile'!F5)</f>
        <v/>
      </c>
      <c r="F1080" s="316" t="str">
        <f>IF(AND($B1080, Calculations!$B$9), 'Final Building Profile'!J5, "")</f>
        <v/>
      </c>
      <c r="G1080" s="250" t="str">
        <f>IF(AND($B1080, Calculations!$B$9), 'Final Building Profile'!K5, "")</f>
        <v/>
      </c>
      <c r="H1080" t="str">
        <f>IF(AND($B1080, Calculations!$B$9),'Final Building Profile'!M5,"")</f>
        <v/>
      </c>
      <c r="I1080" t="str">
        <f>IF(AND($B1080, Calculations!$B$9),Calculations!AB655,"")</f>
        <v/>
      </c>
      <c r="J1080" t="str">
        <f>IF(AND($B1080, Calculations!$B$9),Calculations!AC655,"")</f>
        <v/>
      </c>
      <c r="K1080" s="316" t="str">
        <f>IF(AND($B1080, Calculations!$B$8), 'Final Building Profile'!J5, "")</f>
        <v/>
      </c>
      <c r="L1080" s="250" t="str">
        <f>IF(AND($B1080, Calculations!$B$8), 'Final Building Profile'!K5, "")</f>
        <v/>
      </c>
      <c r="M1080" t="str">
        <f>IF(AND($B1080, Calculations!$B$8), 'Final Building Profile'!L5, "")</f>
        <v/>
      </c>
      <c r="N1080" t="str">
        <f>IF(AND($B1080, Calculations!$B$8),Calculations!AB655,"")</f>
        <v/>
      </c>
      <c r="O1080" t="str">
        <f>IF(AND($B1080, Calculations!$B$8),Calculations!AC655,"")</f>
        <v/>
      </c>
      <c r="P1080" s="316" t="str">
        <f>IF(AND($B1080, Calculations!$B$7), 'Final Building Profile'!P5, "")</f>
        <v/>
      </c>
      <c r="Q1080" s="204" t="str">
        <f>IF(AND($B1080, Calculations!$B$7), 'Final Building Profile'!Q5, "")</f>
        <v/>
      </c>
      <c r="R1080" t="str">
        <f>IF(AND($B1080, Calculations!$B$7), 'Final Building Profile'!N5-'Final Building Profile'!O5, "")</f>
        <v/>
      </c>
      <c r="S1080" t="str">
        <f>IF(AND($B1080, Calculations!$B$7),Calculations!AD655,"")</f>
        <v/>
      </c>
      <c r="T1080" t="str">
        <f>IF(AND($B1080, Calculations!$B$7),Calculations!AE655,"")</f>
        <v/>
      </c>
    </row>
    <row r="1081" spans="1:20">
      <c r="A1081" s="195" t="str">
        <f>IF(C1081="","",MAX(A$1077:A1080)+1)</f>
        <v/>
      </c>
      <c r="B1081" s="195" t="b">
        <f t="shared" si="17"/>
        <v>0</v>
      </c>
      <c r="C1081" t="str">
        <f>CONCATENATE('Final Building Profile'!B6)</f>
        <v/>
      </c>
      <c r="D1081" t="str">
        <f>CONCATENATE('Final Building Profile'!C6)</f>
        <v/>
      </c>
      <c r="E1081" t="str">
        <f>CONCATENATE('Final Building Profile'!F6)</f>
        <v/>
      </c>
      <c r="F1081" s="316" t="str">
        <f>IF(AND($B1081, Calculations!$B$9), 'Final Building Profile'!J6, "")</f>
        <v/>
      </c>
      <c r="G1081" s="250" t="str">
        <f>IF(AND($B1081, Calculations!$B$9), 'Final Building Profile'!K6, "")</f>
        <v/>
      </c>
      <c r="H1081" t="str">
        <f>IF(AND($B1081, Calculations!$B$9),'Final Building Profile'!M6,"")</f>
        <v/>
      </c>
      <c r="I1081" t="str">
        <f>IF(AND($B1081, Calculations!$B$9),Calculations!AB656,"")</f>
        <v/>
      </c>
      <c r="J1081" t="str">
        <f>IF(AND($B1081, Calculations!$B$9),Calculations!AC656,"")</f>
        <v/>
      </c>
      <c r="K1081" s="316" t="str">
        <f>IF(AND($B1081, Calculations!$B$8), 'Final Building Profile'!J6, "")</f>
        <v/>
      </c>
      <c r="L1081" s="250" t="str">
        <f>IF(AND($B1081, Calculations!$B$8), 'Final Building Profile'!K6, "")</f>
        <v/>
      </c>
      <c r="M1081" t="str">
        <f>IF(AND($B1081, Calculations!$B$8), 'Final Building Profile'!L6, "")</f>
        <v/>
      </c>
      <c r="N1081" t="str">
        <f>IF(AND($B1081, Calculations!$B$8),Calculations!AB656,"")</f>
        <v/>
      </c>
      <c r="O1081" t="str">
        <f>IF(AND($B1081, Calculations!$B$8),Calculations!AC656,"")</f>
        <v/>
      </c>
      <c r="P1081" s="316" t="str">
        <f>IF(AND($B1081, Calculations!$B$7), 'Final Building Profile'!P6, "")</f>
        <v/>
      </c>
      <c r="Q1081" s="204" t="str">
        <f>IF(AND($B1081, Calculations!$B$7), 'Final Building Profile'!Q6, "")</f>
        <v/>
      </c>
      <c r="R1081" t="str">
        <f>IF(AND($B1081, Calculations!$B$7), 'Final Building Profile'!N6-'Final Building Profile'!O6, "")</f>
        <v/>
      </c>
      <c r="S1081" t="str">
        <f>IF(AND($B1081, Calculations!$B$7),Calculations!AD656,"")</f>
        <v/>
      </c>
      <c r="T1081" t="str">
        <f>IF(AND($B1081, Calculations!$B$7),Calculations!AE656,"")</f>
        <v/>
      </c>
    </row>
    <row r="1082" spans="1:20">
      <c r="A1082" s="195" t="str">
        <f>IF(C1082="","",MAX(A$1077:A1081)+1)</f>
        <v/>
      </c>
      <c r="B1082" s="195" t="b">
        <f t="shared" si="17"/>
        <v>0</v>
      </c>
      <c r="C1082" t="str">
        <f>CONCATENATE('Final Building Profile'!B7)</f>
        <v/>
      </c>
      <c r="D1082" t="str">
        <f>CONCATENATE('Final Building Profile'!C7)</f>
        <v/>
      </c>
      <c r="E1082" t="str">
        <f>CONCATENATE('Final Building Profile'!F7)</f>
        <v/>
      </c>
      <c r="F1082" s="316" t="str">
        <f>IF(AND($B1082, Calculations!$B$9), 'Final Building Profile'!J7, "")</f>
        <v/>
      </c>
      <c r="G1082" s="250" t="str">
        <f>IF(AND($B1082, Calculations!$B$9), 'Final Building Profile'!K7, "")</f>
        <v/>
      </c>
      <c r="H1082" t="str">
        <f>IF(AND($B1082, Calculations!$B$9),'Final Building Profile'!M7,"")</f>
        <v/>
      </c>
      <c r="I1082" t="str">
        <f>IF(AND($B1082, Calculations!$B$9),Calculations!AB657,"")</f>
        <v/>
      </c>
      <c r="J1082" t="str">
        <f>IF(AND($B1082, Calculations!$B$9),Calculations!AC657,"")</f>
        <v/>
      </c>
      <c r="K1082" s="316" t="str">
        <f>IF(AND($B1082, Calculations!$B$8), 'Final Building Profile'!J7, "")</f>
        <v/>
      </c>
      <c r="L1082" s="250" t="str">
        <f>IF(AND($B1082, Calculations!$B$8), 'Final Building Profile'!K7, "")</f>
        <v/>
      </c>
      <c r="M1082" t="str">
        <f>IF(AND($B1082, Calculations!$B$8), 'Final Building Profile'!L7, "")</f>
        <v/>
      </c>
      <c r="N1082" t="str">
        <f>IF(AND($B1082, Calculations!$B$8),Calculations!AB657,"")</f>
        <v/>
      </c>
      <c r="O1082" t="str">
        <f>IF(AND($B1082, Calculations!$B$8),Calculations!AC657,"")</f>
        <v/>
      </c>
      <c r="P1082" s="316" t="str">
        <f>IF(AND($B1082, Calculations!$B$7), 'Final Building Profile'!P7, "")</f>
        <v/>
      </c>
      <c r="Q1082" s="204" t="str">
        <f>IF(AND($B1082, Calculations!$B$7), 'Final Building Profile'!Q7, "")</f>
        <v/>
      </c>
      <c r="R1082" t="str">
        <f>IF(AND($B1082, Calculations!$B$7), 'Final Building Profile'!N7-'Final Building Profile'!O7, "")</f>
        <v/>
      </c>
      <c r="S1082" t="str">
        <f>IF(AND($B1082, Calculations!$B$7),Calculations!AD657,"")</f>
        <v/>
      </c>
      <c r="T1082" t="str">
        <f>IF(AND($B1082, Calculations!$B$7),Calculations!AE657,"")</f>
        <v/>
      </c>
    </row>
    <row r="1083" spans="1:20">
      <c r="A1083" s="195" t="str">
        <f>IF(C1083="","",MAX(A$1077:A1082)+1)</f>
        <v/>
      </c>
      <c r="B1083" s="195" t="b">
        <f t="shared" si="17"/>
        <v>0</v>
      </c>
      <c r="C1083" t="str">
        <f>CONCATENATE('Final Building Profile'!B8)</f>
        <v/>
      </c>
      <c r="D1083" t="str">
        <f>CONCATENATE('Final Building Profile'!C8)</f>
        <v/>
      </c>
      <c r="E1083" t="str">
        <f>CONCATENATE('Final Building Profile'!F8)</f>
        <v/>
      </c>
      <c r="F1083" s="316" t="str">
        <f>IF(AND($B1083, Calculations!$B$9), 'Final Building Profile'!J8, "")</f>
        <v/>
      </c>
      <c r="G1083" s="250" t="str">
        <f>IF(AND($B1083, Calculations!$B$9), 'Final Building Profile'!K8, "")</f>
        <v/>
      </c>
      <c r="H1083" t="str">
        <f>IF(AND($B1083, Calculations!$B$9),'Final Building Profile'!M8,"")</f>
        <v/>
      </c>
      <c r="I1083" t="str">
        <f>IF(AND($B1083, Calculations!$B$9),Calculations!AB658,"")</f>
        <v/>
      </c>
      <c r="J1083" t="str">
        <f>IF(AND($B1083, Calculations!$B$9),Calculations!AC658,"")</f>
        <v/>
      </c>
      <c r="K1083" s="316" t="str">
        <f>IF(AND($B1083, Calculations!$B$8), 'Final Building Profile'!J8, "")</f>
        <v/>
      </c>
      <c r="L1083" s="250" t="str">
        <f>IF(AND($B1083, Calculations!$B$8), 'Final Building Profile'!K8, "")</f>
        <v/>
      </c>
      <c r="M1083" t="str">
        <f>IF(AND($B1083, Calculations!$B$8), 'Final Building Profile'!L8, "")</f>
        <v/>
      </c>
      <c r="N1083" t="str">
        <f>IF(AND($B1083, Calculations!$B$8),Calculations!AB658,"")</f>
        <v/>
      </c>
      <c r="O1083" t="str">
        <f>IF(AND($B1083, Calculations!$B$8),Calculations!AC658,"")</f>
        <v/>
      </c>
      <c r="P1083" s="316" t="str">
        <f>IF(AND($B1083, Calculations!$B$7), 'Final Building Profile'!P8, "")</f>
        <v/>
      </c>
      <c r="Q1083" s="204" t="str">
        <f>IF(AND($B1083, Calculations!$B$7), 'Final Building Profile'!Q8, "")</f>
        <v/>
      </c>
      <c r="R1083" t="str">
        <f>IF(AND($B1083, Calculations!$B$7), 'Final Building Profile'!N8-'Final Building Profile'!O8, "")</f>
        <v/>
      </c>
      <c r="S1083" t="str">
        <f>IF(AND($B1083, Calculations!$B$7),Calculations!AD658,"")</f>
        <v/>
      </c>
      <c r="T1083" t="str">
        <f>IF(AND($B1083, Calculations!$B$7),Calculations!AE658,"")</f>
        <v/>
      </c>
    </row>
    <row r="1084" spans="1:20">
      <c r="A1084" s="195" t="str">
        <f>IF(C1084="","",MAX(A$1077:A1083)+1)</f>
        <v/>
      </c>
      <c r="B1084" s="195" t="b">
        <f t="shared" si="17"/>
        <v>0</v>
      </c>
      <c r="C1084" t="str">
        <f>CONCATENATE('Final Building Profile'!B9)</f>
        <v/>
      </c>
      <c r="D1084" t="str">
        <f>CONCATENATE('Final Building Profile'!C9)</f>
        <v/>
      </c>
      <c r="E1084" t="str">
        <f>CONCATENATE('Final Building Profile'!F9)</f>
        <v/>
      </c>
      <c r="F1084" s="316" t="str">
        <f>IF(AND($B1084, Calculations!$B$9), 'Final Building Profile'!J9, "")</f>
        <v/>
      </c>
      <c r="G1084" s="250" t="str">
        <f>IF(AND($B1084, Calculations!$B$9), 'Final Building Profile'!K9, "")</f>
        <v/>
      </c>
      <c r="H1084" t="str">
        <f>IF(AND($B1084, Calculations!$B$9),'Final Building Profile'!M9,"")</f>
        <v/>
      </c>
      <c r="I1084" t="str">
        <f>IF(AND($B1084, Calculations!$B$9),Calculations!AB659,"")</f>
        <v/>
      </c>
      <c r="J1084" t="str">
        <f>IF(AND($B1084, Calculations!$B$9),Calculations!AC659,"")</f>
        <v/>
      </c>
      <c r="K1084" s="316" t="str">
        <f>IF(AND($B1084, Calculations!$B$8), 'Final Building Profile'!J9, "")</f>
        <v/>
      </c>
      <c r="L1084" s="250" t="str">
        <f>IF(AND($B1084, Calculations!$B$8), 'Final Building Profile'!K9, "")</f>
        <v/>
      </c>
      <c r="M1084" t="str">
        <f>IF(AND($B1084, Calculations!$B$8), 'Final Building Profile'!L9, "")</f>
        <v/>
      </c>
      <c r="N1084" t="str">
        <f>IF(AND($B1084, Calculations!$B$8),Calculations!AB659,"")</f>
        <v/>
      </c>
      <c r="O1084" t="str">
        <f>IF(AND($B1084, Calculations!$B$8),Calculations!AC659,"")</f>
        <v/>
      </c>
      <c r="P1084" s="316" t="str">
        <f>IF(AND($B1084, Calculations!$B$7), 'Final Building Profile'!P9, "")</f>
        <v/>
      </c>
      <c r="Q1084" s="204" t="str">
        <f>IF(AND($B1084, Calculations!$B$7), 'Final Building Profile'!Q9, "")</f>
        <v/>
      </c>
      <c r="R1084" t="str">
        <f>IF(AND($B1084, Calculations!$B$7), 'Final Building Profile'!N9-'Final Building Profile'!O9, "")</f>
        <v/>
      </c>
      <c r="S1084" t="str">
        <f>IF(AND($B1084, Calculations!$B$7),Calculations!AD659,"")</f>
        <v/>
      </c>
      <c r="T1084" t="str">
        <f>IF(AND($B1084, Calculations!$B$7),Calculations!AE659,"")</f>
        <v/>
      </c>
    </row>
    <row r="1085" spans="1:20">
      <c r="A1085" s="195" t="str">
        <f>IF(C1085="","",MAX(A$1077:A1084)+1)</f>
        <v/>
      </c>
      <c r="B1085" s="195" t="b">
        <f t="shared" si="17"/>
        <v>0</v>
      </c>
      <c r="C1085" t="str">
        <f>CONCATENATE('Final Building Profile'!B10)</f>
        <v/>
      </c>
      <c r="D1085" t="str">
        <f>CONCATENATE('Final Building Profile'!C10)</f>
        <v/>
      </c>
      <c r="E1085" t="str">
        <f>CONCATENATE('Final Building Profile'!F10)</f>
        <v/>
      </c>
      <c r="F1085" s="316" t="str">
        <f>IF(AND($B1085, Calculations!$B$9), 'Final Building Profile'!J10, "")</f>
        <v/>
      </c>
      <c r="G1085" s="250" t="str">
        <f>IF(AND($B1085, Calculations!$B$9), 'Final Building Profile'!K10, "")</f>
        <v/>
      </c>
      <c r="H1085" t="str">
        <f>IF(AND($B1085, Calculations!$B$9),'Final Building Profile'!M10,"")</f>
        <v/>
      </c>
      <c r="I1085" t="str">
        <f>IF(AND($B1085, Calculations!$B$9),Calculations!AB660,"")</f>
        <v/>
      </c>
      <c r="J1085" t="str">
        <f>IF(AND($B1085, Calculations!$B$9),Calculations!AC660,"")</f>
        <v/>
      </c>
      <c r="K1085" s="316" t="str">
        <f>IF(AND($B1085, Calculations!$B$8), 'Final Building Profile'!J10, "")</f>
        <v/>
      </c>
      <c r="L1085" s="250" t="str">
        <f>IF(AND($B1085, Calculations!$B$8), 'Final Building Profile'!K10, "")</f>
        <v/>
      </c>
      <c r="M1085" t="str">
        <f>IF(AND($B1085, Calculations!$B$8), 'Final Building Profile'!L10, "")</f>
        <v/>
      </c>
      <c r="N1085" t="str">
        <f>IF(AND($B1085, Calculations!$B$8),Calculations!AB660,"")</f>
        <v/>
      </c>
      <c r="O1085" t="str">
        <f>IF(AND($B1085, Calculations!$B$8),Calculations!AC660,"")</f>
        <v/>
      </c>
      <c r="P1085" s="316" t="str">
        <f>IF(AND($B1085, Calculations!$B$7), 'Final Building Profile'!P10, "")</f>
        <v/>
      </c>
      <c r="Q1085" s="204" t="str">
        <f>IF(AND($B1085, Calculations!$B$7), 'Final Building Profile'!Q10, "")</f>
        <v/>
      </c>
      <c r="R1085" t="str">
        <f>IF(AND($B1085, Calculations!$B$7), 'Final Building Profile'!N10-'Final Building Profile'!O10, "")</f>
        <v/>
      </c>
      <c r="S1085" t="str">
        <f>IF(AND($B1085, Calculations!$B$7),Calculations!AD660,"")</f>
        <v/>
      </c>
      <c r="T1085" t="str">
        <f>IF(AND($B1085, Calculations!$B$7),Calculations!AE660,"")</f>
        <v/>
      </c>
    </row>
    <row r="1086" spans="1:20">
      <c r="A1086" s="195" t="str">
        <f>IF(C1086="","",MAX(A$1077:A1085)+1)</f>
        <v/>
      </c>
      <c r="B1086" s="195" t="b">
        <f t="shared" si="17"/>
        <v>0</v>
      </c>
      <c r="C1086" t="str">
        <f>CONCATENATE('Final Building Profile'!B11)</f>
        <v/>
      </c>
      <c r="D1086" t="str">
        <f>CONCATENATE('Final Building Profile'!C11)</f>
        <v/>
      </c>
      <c r="E1086" t="str">
        <f>CONCATENATE('Final Building Profile'!F11)</f>
        <v/>
      </c>
      <c r="F1086" s="316" t="str">
        <f>IF(AND($B1086, Calculations!$B$9), 'Final Building Profile'!J11, "")</f>
        <v/>
      </c>
      <c r="G1086" s="250" t="str">
        <f>IF(AND($B1086, Calculations!$B$9), 'Final Building Profile'!K11, "")</f>
        <v/>
      </c>
      <c r="H1086" t="str">
        <f>IF(AND($B1086, Calculations!$B$9),'Final Building Profile'!M11,"")</f>
        <v/>
      </c>
      <c r="I1086" t="str">
        <f>IF(AND($B1086, Calculations!$B$9),Calculations!AB661,"")</f>
        <v/>
      </c>
      <c r="J1086" t="str">
        <f>IF(AND($B1086, Calculations!$B$9),Calculations!AC661,"")</f>
        <v/>
      </c>
      <c r="K1086" s="316" t="str">
        <f>IF(AND($B1086, Calculations!$B$8), 'Final Building Profile'!J11, "")</f>
        <v/>
      </c>
      <c r="L1086" s="250" t="str">
        <f>IF(AND($B1086, Calculations!$B$8), 'Final Building Profile'!K11, "")</f>
        <v/>
      </c>
      <c r="M1086" t="str">
        <f>IF(AND($B1086, Calculations!$B$8), 'Final Building Profile'!L11, "")</f>
        <v/>
      </c>
      <c r="N1086" t="str">
        <f>IF(AND($B1086, Calculations!$B$8),Calculations!AB661,"")</f>
        <v/>
      </c>
      <c r="O1086" t="str">
        <f>IF(AND($B1086, Calculations!$B$8),Calculations!AC661,"")</f>
        <v/>
      </c>
      <c r="P1086" s="316" t="str">
        <f>IF(AND($B1086, Calculations!$B$7), 'Final Building Profile'!P11, "")</f>
        <v/>
      </c>
      <c r="Q1086" s="204" t="str">
        <f>IF(AND($B1086, Calculations!$B$7), 'Final Building Profile'!Q11, "")</f>
        <v/>
      </c>
      <c r="R1086" t="str">
        <f>IF(AND($B1086, Calculations!$B$7), 'Final Building Profile'!N11-'Final Building Profile'!O11, "")</f>
        <v/>
      </c>
      <c r="S1086" t="str">
        <f>IF(AND($B1086, Calculations!$B$7),Calculations!AD661,"")</f>
        <v/>
      </c>
      <c r="T1086" t="str">
        <f>IF(AND($B1086, Calculations!$B$7),Calculations!AE661,"")</f>
        <v/>
      </c>
    </row>
    <row r="1087" spans="1:20">
      <c r="A1087" s="195" t="str">
        <f>IF(C1087="","",MAX(A$1077:A1086)+1)</f>
        <v/>
      </c>
      <c r="B1087" s="195" t="b">
        <f t="shared" si="17"/>
        <v>0</v>
      </c>
      <c r="C1087" t="str">
        <f>CONCATENATE('Final Building Profile'!B12)</f>
        <v/>
      </c>
      <c r="D1087" t="str">
        <f>CONCATENATE('Final Building Profile'!C12)</f>
        <v/>
      </c>
      <c r="E1087" t="str">
        <f>CONCATENATE('Final Building Profile'!F12)</f>
        <v/>
      </c>
      <c r="F1087" s="316" t="str">
        <f>IF(AND($B1087, Calculations!$B$9), 'Final Building Profile'!J12, "")</f>
        <v/>
      </c>
      <c r="G1087" s="250" t="str">
        <f>IF(AND($B1087, Calculations!$B$9), 'Final Building Profile'!K12, "")</f>
        <v/>
      </c>
      <c r="H1087" t="str">
        <f>IF(AND($B1087, Calculations!$B$9),'Final Building Profile'!M12,"")</f>
        <v/>
      </c>
      <c r="I1087" t="str">
        <f>IF(AND($B1087, Calculations!$B$9),Calculations!AB662,"")</f>
        <v/>
      </c>
      <c r="J1087" t="str">
        <f>IF(AND($B1087, Calculations!$B$9),Calculations!AC662,"")</f>
        <v/>
      </c>
      <c r="K1087" s="316" t="str">
        <f>IF(AND($B1087, Calculations!$B$8), 'Final Building Profile'!J12, "")</f>
        <v/>
      </c>
      <c r="L1087" s="250" t="str">
        <f>IF(AND($B1087, Calculations!$B$8), 'Final Building Profile'!K12, "")</f>
        <v/>
      </c>
      <c r="M1087" t="str">
        <f>IF(AND($B1087, Calculations!$B$8), 'Final Building Profile'!L12, "")</f>
        <v/>
      </c>
      <c r="N1087" t="str">
        <f>IF(AND($B1087, Calculations!$B$8),Calculations!AB662,"")</f>
        <v/>
      </c>
      <c r="O1087" t="str">
        <f>IF(AND($B1087, Calculations!$B$8),Calculations!AC662,"")</f>
        <v/>
      </c>
      <c r="P1087" s="316" t="str">
        <f>IF(AND($B1087, Calculations!$B$7), 'Final Building Profile'!P12, "")</f>
        <v/>
      </c>
      <c r="Q1087" s="204" t="str">
        <f>IF(AND($B1087, Calculations!$B$7), 'Final Building Profile'!Q12, "")</f>
        <v/>
      </c>
      <c r="R1087" t="str">
        <f>IF(AND($B1087, Calculations!$B$7), 'Final Building Profile'!N12-'Final Building Profile'!O12, "")</f>
        <v/>
      </c>
      <c r="S1087" t="str">
        <f>IF(AND($B1087, Calculations!$B$7),Calculations!AD662,"")</f>
        <v/>
      </c>
      <c r="T1087" t="str">
        <f>IF(AND($B1087, Calculations!$B$7),Calculations!AE662,"")</f>
        <v/>
      </c>
    </row>
    <row r="1088" spans="1:20">
      <c r="A1088" s="195" t="str">
        <f>IF(C1088="","",MAX(A$1077:A1087)+1)</f>
        <v/>
      </c>
      <c r="B1088" s="195" t="b">
        <f t="shared" si="17"/>
        <v>0</v>
      </c>
      <c r="C1088" t="str">
        <f>CONCATENATE('Final Building Profile'!B13)</f>
        <v/>
      </c>
      <c r="D1088" t="str">
        <f>CONCATENATE('Final Building Profile'!C13)</f>
        <v/>
      </c>
      <c r="E1088" t="str">
        <f>CONCATENATE('Final Building Profile'!F13)</f>
        <v/>
      </c>
      <c r="F1088" s="316" t="str">
        <f>IF(AND($B1088, Calculations!$B$9), 'Final Building Profile'!J13, "")</f>
        <v/>
      </c>
      <c r="G1088" s="250" t="str">
        <f>IF(AND($B1088, Calculations!$B$9), 'Final Building Profile'!K13, "")</f>
        <v/>
      </c>
      <c r="H1088" t="str">
        <f>IF(AND($B1088, Calculations!$B$9),'Final Building Profile'!M13,"")</f>
        <v/>
      </c>
      <c r="I1088" t="str">
        <f>IF(AND($B1088, Calculations!$B$9),Calculations!AB663,"")</f>
        <v/>
      </c>
      <c r="J1088" t="str">
        <f>IF(AND($B1088, Calculations!$B$9),Calculations!AC663,"")</f>
        <v/>
      </c>
      <c r="K1088" s="316" t="str">
        <f>IF(AND($B1088, Calculations!$B$8), 'Final Building Profile'!J13, "")</f>
        <v/>
      </c>
      <c r="L1088" s="250" t="str">
        <f>IF(AND($B1088, Calculations!$B$8), 'Final Building Profile'!K13, "")</f>
        <v/>
      </c>
      <c r="M1088" t="str">
        <f>IF(AND($B1088, Calculations!$B$8), 'Final Building Profile'!L13, "")</f>
        <v/>
      </c>
      <c r="N1088" t="str">
        <f>IF(AND($B1088, Calculations!$B$8),Calculations!AB663,"")</f>
        <v/>
      </c>
      <c r="O1088" t="str">
        <f>IF(AND($B1088, Calculations!$B$8),Calculations!AC663,"")</f>
        <v/>
      </c>
      <c r="P1088" s="316" t="str">
        <f>IF(AND($B1088, Calculations!$B$7), 'Final Building Profile'!P13, "")</f>
        <v/>
      </c>
      <c r="Q1088" s="204" t="str">
        <f>IF(AND($B1088, Calculations!$B$7), 'Final Building Profile'!Q13, "")</f>
        <v/>
      </c>
      <c r="R1088" t="str">
        <f>IF(AND($B1088, Calculations!$B$7), 'Final Building Profile'!N13-'Final Building Profile'!O13, "")</f>
        <v/>
      </c>
      <c r="S1088" t="str">
        <f>IF(AND($B1088, Calculations!$B$7),Calculations!AD663,"")</f>
        <v/>
      </c>
      <c r="T1088" t="str">
        <f>IF(AND($B1088, Calculations!$B$7),Calculations!AE663,"")</f>
        <v/>
      </c>
    </row>
    <row r="1089" spans="1:20">
      <c r="A1089" s="195" t="str">
        <f>IF(C1089="","",MAX(A$1077:A1088)+1)</f>
        <v/>
      </c>
      <c r="B1089" s="195" t="b">
        <f t="shared" si="17"/>
        <v>0</v>
      </c>
      <c r="C1089" t="str">
        <f>CONCATENATE('Final Building Profile'!B14)</f>
        <v/>
      </c>
      <c r="D1089" t="str">
        <f>CONCATENATE('Final Building Profile'!C14)</f>
        <v/>
      </c>
      <c r="E1089" t="str">
        <f>CONCATENATE('Final Building Profile'!F14)</f>
        <v/>
      </c>
      <c r="F1089" s="316" t="str">
        <f>IF(AND($B1089, Calculations!$B$9), 'Final Building Profile'!J14, "")</f>
        <v/>
      </c>
      <c r="G1089" s="250" t="str">
        <f>IF(AND($B1089, Calculations!$B$9), 'Final Building Profile'!K14, "")</f>
        <v/>
      </c>
      <c r="H1089" t="str">
        <f>IF(AND($B1089, Calculations!$B$9),'Final Building Profile'!M14,"")</f>
        <v/>
      </c>
      <c r="I1089" t="str">
        <f>IF(AND($B1089, Calculations!$B$9),Calculations!AB664,"")</f>
        <v/>
      </c>
      <c r="J1089" t="str">
        <f>IF(AND($B1089, Calculations!$B$9),Calculations!AC664,"")</f>
        <v/>
      </c>
      <c r="K1089" s="316" t="str">
        <f>IF(AND($B1089, Calculations!$B$8), 'Final Building Profile'!J14, "")</f>
        <v/>
      </c>
      <c r="L1089" s="250" t="str">
        <f>IF(AND($B1089, Calculations!$B$8), 'Final Building Profile'!K14, "")</f>
        <v/>
      </c>
      <c r="M1089" t="str">
        <f>IF(AND($B1089, Calculations!$B$8), 'Final Building Profile'!L14, "")</f>
        <v/>
      </c>
      <c r="N1089" t="str">
        <f>IF(AND($B1089, Calculations!$B$8),Calculations!AB664,"")</f>
        <v/>
      </c>
      <c r="O1089" t="str">
        <f>IF(AND($B1089, Calculations!$B$8),Calculations!AC664,"")</f>
        <v/>
      </c>
      <c r="P1089" s="316" t="str">
        <f>IF(AND($B1089, Calculations!$B$7), 'Final Building Profile'!P14, "")</f>
        <v/>
      </c>
      <c r="Q1089" s="204" t="str">
        <f>IF(AND($B1089, Calculations!$B$7), 'Final Building Profile'!Q14, "")</f>
        <v/>
      </c>
      <c r="R1089" t="str">
        <f>IF(AND($B1089, Calculations!$B$7), 'Final Building Profile'!N14-'Final Building Profile'!O14, "")</f>
        <v/>
      </c>
      <c r="S1089" t="str">
        <f>IF(AND($B1089, Calculations!$B$7),Calculations!AD664,"")</f>
        <v/>
      </c>
      <c r="T1089" t="str">
        <f>IF(AND($B1089, Calculations!$B$7),Calculations!AE664,"")</f>
        <v/>
      </c>
    </row>
    <row r="1090" spans="1:20">
      <c r="A1090" s="195" t="str">
        <f>IF(C1090="","",MAX(A$1077:A1089)+1)</f>
        <v/>
      </c>
      <c r="B1090" s="195" t="b">
        <f t="shared" si="17"/>
        <v>0</v>
      </c>
      <c r="C1090" t="str">
        <f>CONCATENATE('Final Building Profile'!B15)</f>
        <v/>
      </c>
      <c r="D1090" t="str">
        <f>CONCATENATE('Final Building Profile'!C15)</f>
        <v/>
      </c>
      <c r="E1090" t="str">
        <f>CONCATENATE('Final Building Profile'!F15)</f>
        <v/>
      </c>
      <c r="F1090" s="316" t="str">
        <f>IF(AND($B1090, Calculations!$B$9), 'Final Building Profile'!J15, "")</f>
        <v/>
      </c>
      <c r="G1090" s="250" t="str">
        <f>IF(AND($B1090, Calculations!$B$9), 'Final Building Profile'!K15, "")</f>
        <v/>
      </c>
      <c r="H1090" t="str">
        <f>IF(AND($B1090, Calculations!$B$9),'Final Building Profile'!M15,"")</f>
        <v/>
      </c>
      <c r="I1090" t="str">
        <f>IF(AND($B1090, Calculations!$B$9),Calculations!AB665,"")</f>
        <v/>
      </c>
      <c r="J1090" t="str">
        <f>IF(AND($B1090, Calculations!$B$9),Calculations!AC665,"")</f>
        <v/>
      </c>
      <c r="K1090" s="316" t="str">
        <f>IF(AND($B1090, Calculations!$B$8), 'Final Building Profile'!J15, "")</f>
        <v/>
      </c>
      <c r="L1090" s="250" t="str">
        <f>IF(AND($B1090, Calculations!$B$8), 'Final Building Profile'!K15, "")</f>
        <v/>
      </c>
      <c r="M1090" t="str">
        <f>IF(AND($B1090, Calculations!$B$8), 'Final Building Profile'!L15, "")</f>
        <v/>
      </c>
      <c r="N1090" t="str">
        <f>IF(AND($B1090, Calculations!$B$8),Calculations!AB665,"")</f>
        <v/>
      </c>
      <c r="O1090" t="str">
        <f>IF(AND($B1090, Calculations!$B$8),Calculations!AC665,"")</f>
        <v/>
      </c>
      <c r="P1090" s="316" t="str">
        <f>IF(AND($B1090, Calculations!$B$7), 'Final Building Profile'!P15, "")</f>
        <v/>
      </c>
      <c r="Q1090" s="204" t="str">
        <f>IF(AND($B1090, Calculations!$B$7), 'Final Building Profile'!Q15, "")</f>
        <v/>
      </c>
      <c r="R1090" t="str">
        <f>IF(AND($B1090, Calculations!$B$7), 'Final Building Profile'!N15-'Final Building Profile'!O15, "")</f>
        <v/>
      </c>
      <c r="S1090" t="str">
        <f>IF(AND($B1090, Calculations!$B$7),Calculations!AD665,"")</f>
        <v/>
      </c>
      <c r="T1090" t="str">
        <f>IF(AND($B1090, Calculations!$B$7),Calculations!AE665,"")</f>
        <v/>
      </c>
    </row>
    <row r="1091" spans="1:20">
      <c r="A1091" s="195" t="str">
        <f>IF(C1091="","",MAX(A$1077:A1090)+1)</f>
        <v/>
      </c>
      <c r="B1091" s="195" t="b">
        <f t="shared" si="17"/>
        <v>0</v>
      </c>
      <c r="C1091" t="str">
        <f>CONCATENATE('Final Building Profile'!B16)</f>
        <v/>
      </c>
      <c r="D1091" t="str">
        <f>CONCATENATE('Final Building Profile'!C16)</f>
        <v/>
      </c>
      <c r="E1091" t="str">
        <f>CONCATENATE('Final Building Profile'!F16)</f>
        <v/>
      </c>
      <c r="F1091" s="316" t="str">
        <f>IF(AND($B1091, Calculations!$B$9), 'Final Building Profile'!J16, "")</f>
        <v/>
      </c>
      <c r="G1091" s="250" t="str">
        <f>IF(AND($B1091, Calculations!$B$9), 'Final Building Profile'!K16, "")</f>
        <v/>
      </c>
      <c r="H1091" t="str">
        <f>IF(AND($B1091, Calculations!$B$9),'Final Building Profile'!M16,"")</f>
        <v/>
      </c>
      <c r="I1091" t="str">
        <f>IF(AND($B1091, Calculations!$B$9),Calculations!AB666,"")</f>
        <v/>
      </c>
      <c r="J1091" t="str">
        <f>IF(AND($B1091, Calculations!$B$9),Calculations!AC666,"")</f>
        <v/>
      </c>
      <c r="K1091" s="316" t="str">
        <f>IF(AND($B1091, Calculations!$B$8), 'Final Building Profile'!J16, "")</f>
        <v/>
      </c>
      <c r="L1091" s="250" t="str">
        <f>IF(AND($B1091, Calculations!$B$8), 'Final Building Profile'!K16, "")</f>
        <v/>
      </c>
      <c r="M1091" t="str">
        <f>IF(AND($B1091, Calculations!$B$8), 'Final Building Profile'!L16, "")</f>
        <v/>
      </c>
      <c r="N1091" t="str">
        <f>IF(AND($B1091, Calculations!$B$8),Calculations!AB666,"")</f>
        <v/>
      </c>
      <c r="O1091" t="str">
        <f>IF(AND($B1091, Calculations!$B$8),Calculations!AC666,"")</f>
        <v/>
      </c>
      <c r="P1091" s="316" t="str">
        <f>IF(AND($B1091, Calculations!$B$7), 'Final Building Profile'!P16, "")</f>
        <v/>
      </c>
      <c r="Q1091" s="204" t="str">
        <f>IF(AND($B1091, Calculations!$B$7), 'Final Building Profile'!Q16, "")</f>
        <v/>
      </c>
      <c r="R1091" t="str">
        <f>IF(AND($B1091, Calculations!$B$7), 'Final Building Profile'!N16-'Final Building Profile'!O16, "")</f>
        <v/>
      </c>
      <c r="S1091" t="str">
        <f>IF(AND($B1091, Calculations!$B$7),Calculations!AD666,"")</f>
        <v/>
      </c>
      <c r="T1091" t="str">
        <f>IF(AND($B1091, Calculations!$B$7),Calculations!AE666,"")</f>
        <v/>
      </c>
    </row>
    <row r="1092" spans="1:20">
      <c r="A1092" s="195" t="str">
        <f>IF(C1092="","",MAX(A$1077:A1091)+1)</f>
        <v/>
      </c>
      <c r="B1092" s="195" t="b">
        <f t="shared" si="17"/>
        <v>0</v>
      </c>
      <c r="C1092" t="str">
        <f>CONCATENATE('Final Building Profile'!B17)</f>
        <v/>
      </c>
      <c r="D1092" t="str">
        <f>CONCATENATE('Final Building Profile'!C17)</f>
        <v/>
      </c>
      <c r="E1092" t="str">
        <f>CONCATENATE('Final Building Profile'!F17)</f>
        <v/>
      </c>
      <c r="F1092" s="316" t="str">
        <f>IF(AND($B1092, Calculations!$B$9), 'Final Building Profile'!J17, "")</f>
        <v/>
      </c>
      <c r="G1092" s="250" t="str">
        <f>IF(AND($B1092, Calculations!$B$9), 'Final Building Profile'!K17, "")</f>
        <v/>
      </c>
      <c r="H1092" t="str">
        <f>IF(AND($B1092, Calculations!$B$9),'Final Building Profile'!M17,"")</f>
        <v/>
      </c>
      <c r="I1092" t="str">
        <f>IF(AND($B1092, Calculations!$B$9),Calculations!AB667,"")</f>
        <v/>
      </c>
      <c r="J1092" t="str">
        <f>IF(AND($B1092, Calculations!$B$9),Calculations!AC667,"")</f>
        <v/>
      </c>
      <c r="K1092" s="316" t="str">
        <f>IF(AND($B1092, Calculations!$B$8), 'Final Building Profile'!J17, "")</f>
        <v/>
      </c>
      <c r="L1092" s="250" t="str">
        <f>IF(AND($B1092, Calculations!$B$8), 'Final Building Profile'!K17, "")</f>
        <v/>
      </c>
      <c r="M1092" t="str">
        <f>IF(AND($B1092, Calculations!$B$8), 'Final Building Profile'!L17, "")</f>
        <v/>
      </c>
      <c r="N1092" t="str">
        <f>IF(AND($B1092, Calculations!$B$8),Calculations!AB667,"")</f>
        <v/>
      </c>
      <c r="O1092" t="str">
        <f>IF(AND($B1092, Calculations!$B$8),Calculations!AC667,"")</f>
        <v/>
      </c>
      <c r="P1092" s="316" t="str">
        <f>IF(AND($B1092, Calculations!$B$7), 'Final Building Profile'!P17, "")</f>
        <v/>
      </c>
      <c r="Q1092" s="204" t="str">
        <f>IF(AND($B1092, Calculations!$B$7), 'Final Building Profile'!Q17, "")</f>
        <v/>
      </c>
      <c r="R1092" t="str">
        <f>IF(AND($B1092, Calculations!$B$7), 'Final Building Profile'!N17-'Final Building Profile'!O17, "")</f>
        <v/>
      </c>
      <c r="S1092" t="str">
        <f>IF(AND($B1092, Calculations!$B$7),Calculations!AD667,"")</f>
        <v/>
      </c>
      <c r="T1092" t="str">
        <f>IF(AND($B1092, Calculations!$B$7),Calculations!AE667,"")</f>
        <v/>
      </c>
    </row>
    <row r="1093" spans="1:20">
      <c r="A1093" s="195" t="str">
        <f>IF(C1093="","",MAX(A$1077:A1092)+1)</f>
        <v/>
      </c>
      <c r="B1093" s="195" t="b">
        <f t="shared" si="17"/>
        <v>0</v>
      </c>
      <c r="C1093" t="str">
        <f>CONCATENATE('Final Building Profile'!B18)</f>
        <v/>
      </c>
      <c r="D1093" t="str">
        <f>CONCATENATE('Final Building Profile'!C18)</f>
        <v/>
      </c>
      <c r="E1093" t="str">
        <f>CONCATENATE('Final Building Profile'!F18)</f>
        <v/>
      </c>
      <c r="F1093" s="316" t="str">
        <f>IF(AND($B1093, Calculations!$B$9), 'Final Building Profile'!J18, "")</f>
        <v/>
      </c>
      <c r="G1093" s="250" t="str">
        <f>IF(AND($B1093, Calculations!$B$9), 'Final Building Profile'!K18, "")</f>
        <v/>
      </c>
      <c r="H1093" t="str">
        <f>IF(AND($B1093, Calculations!$B$9),'Final Building Profile'!M18,"")</f>
        <v/>
      </c>
      <c r="I1093" t="str">
        <f>IF(AND($B1093, Calculations!$B$9),Calculations!AB668,"")</f>
        <v/>
      </c>
      <c r="J1093" t="str">
        <f>IF(AND($B1093, Calculations!$B$9),Calculations!AC668,"")</f>
        <v/>
      </c>
      <c r="K1093" s="316" t="str">
        <f>IF(AND($B1093, Calculations!$B$8), 'Final Building Profile'!J18, "")</f>
        <v/>
      </c>
      <c r="L1093" s="250" t="str">
        <f>IF(AND($B1093, Calculations!$B$8), 'Final Building Profile'!K18, "")</f>
        <v/>
      </c>
      <c r="M1093" t="str">
        <f>IF(AND($B1093, Calculations!$B$8), 'Final Building Profile'!L18, "")</f>
        <v/>
      </c>
      <c r="N1093" t="str">
        <f>IF(AND($B1093, Calculations!$B$8),Calculations!AB668,"")</f>
        <v/>
      </c>
      <c r="O1093" t="str">
        <f>IF(AND($B1093, Calculations!$B$8),Calculations!AC668,"")</f>
        <v/>
      </c>
      <c r="P1093" s="316" t="str">
        <f>IF(AND($B1093, Calculations!$B$7), 'Final Building Profile'!P18, "")</f>
        <v/>
      </c>
      <c r="Q1093" s="204" t="str">
        <f>IF(AND($B1093, Calculations!$B$7), 'Final Building Profile'!Q18, "")</f>
        <v/>
      </c>
      <c r="R1093" t="str">
        <f>IF(AND($B1093, Calculations!$B$7), 'Final Building Profile'!N18-'Final Building Profile'!O18, "")</f>
        <v/>
      </c>
      <c r="S1093" t="str">
        <f>IF(AND($B1093, Calculations!$B$7),Calculations!AD668,"")</f>
        <v/>
      </c>
      <c r="T1093" t="str">
        <f>IF(AND($B1093, Calculations!$B$7),Calculations!AE668,"")</f>
        <v/>
      </c>
    </row>
    <row r="1094" spans="1:20">
      <c r="A1094" s="195" t="str">
        <f>IF(C1094="","",MAX(A$1077:A1093)+1)</f>
        <v/>
      </c>
      <c r="B1094" s="195" t="b">
        <f t="shared" si="17"/>
        <v>0</v>
      </c>
      <c r="C1094" t="str">
        <f>CONCATENATE('Final Building Profile'!B19)</f>
        <v/>
      </c>
      <c r="D1094" t="str">
        <f>CONCATENATE('Final Building Profile'!C19)</f>
        <v/>
      </c>
      <c r="E1094" t="str">
        <f>CONCATENATE('Final Building Profile'!F19)</f>
        <v/>
      </c>
      <c r="F1094" s="316" t="str">
        <f>IF(AND($B1094, Calculations!$B$9), 'Final Building Profile'!J19, "")</f>
        <v/>
      </c>
      <c r="G1094" s="250" t="str">
        <f>IF(AND($B1094, Calculations!$B$9), 'Final Building Profile'!K19, "")</f>
        <v/>
      </c>
      <c r="H1094" t="str">
        <f>IF(AND($B1094, Calculations!$B$9),'Final Building Profile'!M19,"")</f>
        <v/>
      </c>
      <c r="I1094" t="str">
        <f>IF(AND($B1094, Calculations!$B$9),Calculations!AB669,"")</f>
        <v/>
      </c>
      <c r="J1094" t="str">
        <f>IF(AND($B1094, Calculations!$B$9),Calculations!AC669,"")</f>
        <v/>
      </c>
      <c r="K1094" s="316" t="str">
        <f>IF(AND($B1094, Calculations!$B$8), 'Final Building Profile'!J19, "")</f>
        <v/>
      </c>
      <c r="L1094" s="250" t="str">
        <f>IF(AND($B1094, Calculations!$B$8), 'Final Building Profile'!K19, "")</f>
        <v/>
      </c>
      <c r="M1094" t="str">
        <f>IF(AND($B1094, Calculations!$B$8), 'Final Building Profile'!L19, "")</f>
        <v/>
      </c>
      <c r="N1094" t="str">
        <f>IF(AND($B1094, Calculations!$B$8),Calculations!AB669,"")</f>
        <v/>
      </c>
      <c r="O1094" t="str">
        <f>IF(AND($B1094, Calculations!$B$8),Calculations!AC669,"")</f>
        <v/>
      </c>
      <c r="P1094" s="316" t="str">
        <f>IF(AND($B1094, Calculations!$B$7), 'Final Building Profile'!P19, "")</f>
        <v/>
      </c>
      <c r="Q1094" s="204" t="str">
        <f>IF(AND($B1094, Calculations!$B$7), 'Final Building Profile'!Q19, "")</f>
        <v/>
      </c>
      <c r="R1094" t="str">
        <f>IF(AND($B1094, Calculations!$B$7), 'Final Building Profile'!N19-'Final Building Profile'!O19, "")</f>
        <v/>
      </c>
      <c r="S1094" t="str">
        <f>IF(AND($B1094, Calculations!$B$7),Calculations!AD669,"")</f>
        <v/>
      </c>
      <c r="T1094" t="str">
        <f>IF(AND($B1094, Calculations!$B$7),Calculations!AE669,"")</f>
        <v/>
      </c>
    </row>
    <row r="1095" spans="1:20">
      <c r="A1095" s="195" t="str">
        <f>IF(C1095="","",MAX(A$1077:A1094)+1)</f>
        <v/>
      </c>
      <c r="B1095" s="195" t="b">
        <f t="shared" si="17"/>
        <v>0</v>
      </c>
      <c r="C1095" t="str">
        <f>CONCATENATE('Final Building Profile'!B20)</f>
        <v/>
      </c>
      <c r="D1095" t="str">
        <f>CONCATENATE('Final Building Profile'!C20)</f>
        <v/>
      </c>
      <c r="E1095" t="str">
        <f>CONCATENATE('Final Building Profile'!F20)</f>
        <v/>
      </c>
      <c r="F1095" s="316" t="str">
        <f>IF(AND($B1095, Calculations!$B$9), 'Final Building Profile'!J20, "")</f>
        <v/>
      </c>
      <c r="G1095" s="250" t="str">
        <f>IF(AND($B1095, Calculations!$B$9), 'Final Building Profile'!K20, "")</f>
        <v/>
      </c>
      <c r="H1095" t="str">
        <f>IF(AND($B1095, Calculations!$B$9),'Final Building Profile'!M20,"")</f>
        <v/>
      </c>
      <c r="I1095" t="str">
        <f>IF(AND($B1095, Calculations!$B$9),Calculations!AB670,"")</f>
        <v/>
      </c>
      <c r="J1095" t="str">
        <f>IF(AND($B1095, Calculations!$B$9),Calculations!AC670,"")</f>
        <v/>
      </c>
      <c r="K1095" s="316" t="str">
        <f>IF(AND($B1095, Calculations!$B$8), 'Final Building Profile'!J20, "")</f>
        <v/>
      </c>
      <c r="L1095" s="250" t="str">
        <f>IF(AND($B1095, Calculations!$B$8), 'Final Building Profile'!K20, "")</f>
        <v/>
      </c>
      <c r="M1095" t="str">
        <f>IF(AND($B1095, Calculations!$B$8), 'Final Building Profile'!L20, "")</f>
        <v/>
      </c>
      <c r="N1095" t="str">
        <f>IF(AND($B1095, Calculations!$B$8),Calculations!AB670,"")</f>
        <v/>
      </c>
      <c r="O1095" t="str">
        <f>IF(AND($B1095, Calculations!$B$8),Calculations!AC670,"")</f>
        <v/>
      </c>
      <c r="P1095" s="316" t="str">
        <f>IF(AND($B1095, Calculations!$B$7), 'Final Building Profile'!P20, "")</f>
        <v/>
      </c>
      <c r="Q1095" s="204" t="str">
        <f>IF(AND($B1095, Calculations!$B$7), 'Final Building Profile'!Q20, "")</f>
        <v/>
      </c>
      <c r="R1095" t="str">
        <f>IF(AND($B1095, Calculations!$B$7), 'Final Building Profile'!N20-'Final Building Profile'!O20, "")</f>
        <v/>
      </c>
      <c r="S1095" t="str">
        <f>IF(AND($B1095, Calculations!$B$7),Calculations!AD670,"")</f>
        <v/>
      </c>
      <c r="T1095" t="str">
        <f>IF(AND($B1095, Calculations!$B$7),Calculations!AE670,"")</f>
        <v/>
      </c>
    </row>
    <row r="1096" spans="1:20">
      <c r="A1096" s="195" t="str">
        <f>IF(C1096="","",MAX(A$1077:A1095)+1)</f>
        <v/>
      </c>
      <c r="B1096" s="195" t="b">
        <f t="shared" si="17"/>
        <v>0</v>
      </c>
      <c r="C1096" t="str">
        <f>CONCATENATE('Final Building Profile'!B21)</f>
        <v/>
      </c>
      <c r="D1096" t="str">
        <f>CONCATENATE('Final Building Profile'!C21)</f>
        <v/>
      </c>
      <c r="E1096" t="str">
        <f>CONCATENATE('Final Building Profile'!F21)</f>
        <v/>
      </c>
      <c r="F1096" s="316" t="str">
        <f>IF(AND($B1096, Calculations!$B$9), 'Final Building Profile'!J21, "")</f>
        <v/>
      </c>
      <c r="G1096" s="250" t="str">
        <f>IF(AND($B1096, Calculations!$B$9), 'Final Building Profile'!K21, "")</f>
        <v/>
      </c>
      <c r="H1096" t="str">
        <f>IF(AND($B1096, Calculations!$B$9),'Final Building Profile'!M21,"")</f>
        <v/>
      </c>
      <c r="I1096" t="str">
        <f>IF(AND($B1096, Calculations!$B$9),Calculations!AB671,"")</f>
        <v/>
      </c>
      <c r="J1096" t="str">
        <f>IF(AND($B1096, Calculations!$B$9),Calculations!AC671,"")</f>
        <v/>
      </c>
      <c r="K1096" s="316" t="str">
        <f>IF(AND($B1096, Calculations!$B$8), 'Final Building Profile'!J21, "")</f>
        <v/>
      </c>
      <c r="L1096" s="250" t="str">
        <f>IF(AND($B1096, Calculations!$B$8), 'Final Building Profile'!K21, "")</f>
        <v/>
      </c>
      <c r="M1096" t="str">
        <f>IF(AND($B1096, Calculations!$B$8), 'Final Building Profile'!L21, "")</f>
        <v/>
      </c>
      <c r="N1096" t="str">
        <f>IF(AND($B1096, Calculations!$B$8),Calculations!AB671,"")</f>
        <v/>
      </c>
      <c r="O1096" t="str">
        <f>IF(AND($B1096, Calculations!$B$8),Calculations!AC671,"")</f>
        <v/>
      </c>
      <c r="P1096" s="316" t="str">
        <f>IF(AND($B1096, Calculations!$B$7), 'Final Building Profile'!P21, "")</f>
        <v/>
      </c>
      <c r="Q1096" s="204" t="str">
        <f>IF(AND($B1096, Calculations!$B$7), 'Final Building Profile'!Q21, "")</f>
        <v/>
      </c>
      <c r="R1096" t="str">
        <f>IF(AND($B1096, Calculations!$B$7), 'Final Building Profile'!N21-'Final Building Profile'!O21, "")</f>
        <v/>
      </c>
      <c r="S1096" t="str">
        <f>IF(AND($B1096, Calculations!$B$7),Calculations!AD671,"")</f>
        <v/>
      </c>
      <c r="T1096" t="str">
        <f>IF(AND($B1096, Calculations!$B$7),Calculations!AE671,"")</f>
        <v/>
      </c>
    </row>
    <row r="1097" spans="1:20">
      <c r="A1097" s="195" t="str">
        <f>IF(C1097="","",MAX(A$1077:A1096)+1)</f>
        <v/>
      </c>
      <c r="B1097" s="195" t="b">
        <f t="shared" si="17"/>
        <v>0</v>
      </c>
      <c r="C1097" t="str">
        <f>CONCATENATE('Final Building Profile'!B22)</f>
        <v/>
      </c>
      <c r="D1097" t="str">
        <f>CONCATENATE('Final Building Profile'!C22)</f>
        <v/>
      </c>
      <c r="E1097" t="str">
        <f>CONCATENATE('Final Building Profile'!F22)</f>
        <v/>
      </c>
      <c r="F1097" s="316" t="str">
        <f>IF(AND($B1097, Calculations!$B$9), 'Final Building Profile'!J22, "")</f>
        <v/>
      </c>
      <c r="G1097" s="250" t="str">
        <f>IF(AND($B1097, Calculations!$B$9), 'Final Building Profile'!K22, "")</f>
        <v/>
      </c>
      <c r="H1097" t="str">
        <f>IF(AND($B1097, Calculations!$B$9),'Final Building Profile'!M22,"")</f>
        <v/>
      </c>
      <c r="I1097" t="str">
        <f>IF(AND($B1097, Calculations!$B$9),Calculations!AB672,"")</f>
        <v/>
      </c>
      <c r="J1097" t="str">
        <f>IF(AND($B1097, Calculations!$B$9),Calculations!AC672,"")</f>
        <v/>
      </c>
      <c r="K1097" s="316" t="str">
        <f>IF(AND($B1097, Calculations!$B$8), 'Final Building Profile'!J22, "")</f>
        <v/>
      </c>
      <c r="L1097" s="250" t="str">
        <f>IF(AND($B1097, Calculations!$B$8), 'Final Building Profile'!K22, "")</f>
        <v/>
      </c>
      <c r="M1097" t="str">
        <f>IF(AND($B1097, Calculations!$B$8), 'Final Building Profile'!L22, "")</f>
        <v/>
      </c>
      <c r="N1097" t="str">
        <f>IF(AND($B1097, Calculations!$B$8),Calculations!AB672,"")</f>
        <v/>
      </c>
      <c r="O1097" t="str">
        <f>IF(AND($B1097, Calculations!$B$8),Calculations!AC672,"")</f>
        <v/>
      </c>
      <c r="P1097" s="316" t="str">
        <f>IF(AND($B1097, Calculations!$B$7), 'Final Building Profile'!P22, "")</f>
        <v/>
      </c>
      <c r="Q1097" s="204" t="str">
        <f>IF(AND($B1097, Calculations!$B$7), 'Final Building Profile'!Q22, "")</f>
        <v/>
      </c>
      <c r="R1097" t="str">
        <f>IF(AND($B1097, Calculations!$B$7), 'Final Building Profile'!N22-'Final Building Profile'!O22, "")</f>
        <v/>
      </c>
      <c r="S1097" t="str">
        <f>IF(AND($B1097, Calculations!$B$7),Calculations!AD672,"")</f>
        <v/>
      </c>
      <c r="T1097" t="str">
        <f>IF(AND($B1097, Calculations!$B$7),Calculations!AE672,"")</f>
        <v/>
      </c>
    </row>
    <row r="1098" spans="1:20">
      <c r="A1098" s="195" t="str">
        <f>IF(C1098="","",MAX(A$1077:A1097)+1)</f>
        <v/>
      </c>
      <c r="B1098" s="195" t="b">
        <f t="shared" si="17"/>
        <v>0</v>
      </c>
      <c r="C1098" t="str">
        <f>CONCATENATE('Final Building Profile'!B23)</f>
        <v/>
      </c>
      <c r="D1098" t="str">
        <f>CONCATENATE('Final Building Profile'!C23)</f>
        <v/>
      </c>
      <c r="E1098" t="str">
        <f>CONCATENATE('Final Building Profile'!F23)</f>
        <v/>
      </c>
      <c r="F1098" s="316" t="str">
        <f>IF(AND($B1098, Calculations!$B$9), 'Final Building Profile'!J23, "")</f>
        <v/>
      </c>
      <c r="G1098" s="250" t="str">
        <f>IF(AND($B1098, Calculations!$B$9), 'Final Building Profile'!K23, "")</f>
        <v/>
      </c>
      <c r="H1098" t="str">
        <f>IF(AND($B1098, Calculations!$B$9),'Final Building Profile'!M23,"")</f>
        <v/>
      </c>
      <c r="I1098" t="str">
        <f>IF(AND($B1098, Calculations!$B$9),Calculations!AB673,"")</f>
        <v/>
      </c>
      <c r="J1098" t="str">
        <f>IF(AND($B1098, Calculations!$B$9),Calculations!AC673,"")</f>
        <v/>
      </c>
      <c r="K1098" s="316" t="str">
        <f>IF(AND($B1098, Calculations!$B$8), 'Final Building Profile'!J23, "")</f>
        <v/>
      </c>
      <c r="L1098" s="250" t="str">
        <f>IF(AND($B1098, Calculations!$B$8), 'Final Building Profile'!K23, "")</f>
        <v/>
      </c>
      <c r="M1098" t="str">
        <f>IF(AND($B1098, Calculations!$B$8), 'Final Building Profile'!L23, "")</f>
        <v/>
      </c>
      <c r="N1098" t="str">
        <f>IF(AND($B1098, Calculations!$B$8),Calculations!AB673,"")</f>
        <v/>
      </c>
      <c r="O1098" t="str">
        <f>IF(AND($B1098, Calculations!$B$8),Calculations!AC673,"")</f>
        <v/>
      </c>
      <c r="P1098" s="316" t="str">
        <f>IF(AND($B1098, Calculations!$B$7), 'Final Building Profile'!P23, "")</f>
        <v/>
      </c>
      <c r="Q1098" s="204" t="str">
        <f>IF(AND($B1098, Calculations!$B$7), 'Final Building Profile'!Q23, "")</f>
        <v/>
      </c>
      <c r="R1098" t="str">
        <f>IF(AND($B1098, Calculations!$B$7), 'Final Building Profile'!N23-'Final Building Profile'!O23, "")</f>
        <v/>
      </c>
      <c r="S1098" t="str">
        <f>IF(AND($B1098, Calculations!$B$7),Calculations!AD673,"")</f>
        <v/>
      </c>
      <c r="T1098" t="str">
        <f>IF(AND($B1098, Calculations!$B$7),Calculations!AE673,"")</f>
        <v/>
      </c>
    </row>
    <row r="1099" spans="1:20">
      <c r="A1099" s="195" t="str">
        <f>IF(C1099="","",MAX(A$1077:A1098)+1)</f>
        <v/>
      </c>
      <c r="B1099" s="195" t="b">
        <f t="shared" si="17"/>
        <v>0</v>
      </c>
      <c r="C1099" t="str">
        <f>CONCATENATE('Final Building Profile'!B24)</f>
        <v/>
      </c>
      <c r="D1099" t="str">
        <f>CONCATENATE('Final Building Profile'!C24)</f>
        <v/>
      </c>
      <c r="E1099" t="str">
        <f>CONCATENATE('Final Building Profile'!F24)</f>
        <v/>
      </c>
      <c r="F1099" s="316" t="str">
        <f>IF(AND($B1099, Calculations!$B$9), 'Final Building Profile'!J24, "")</f>
        <v/>
      </c>
      <c r="G1099" s="250" t="str">
        <f>IF(AND($B1099, Calculations!$B$9), 'Final Building Profile'!K24, "")</f>
        <v/>
      </c>
      <c r="H1099" t="str">
        <f>IF(AND($B1099, Calculations!$B$9),'Final Building Profile'!M24,"")</f>
        <v/>
      </c>
      <c r="I1099" t="str">
        <f>IF(AND($B1099, Calculations!$B$9),Calculations!AB674,"")</f>
        <v/>
      </c>
      <c r="J1099" t="str">
        <f>IF(AND($B1099, Calculations!$B$9),Calculations!AC674,"")</f>
        <v/>
      </c>
      <c r="K1099" s="316" t="str">
        <f>IF(AND($B1099, Calculations!$B$8), 'Final Building Profile'!J24, "")</f>
        <v/>
      </c>
      <c r="L1099" s="250" t="str">
        <f>IF(AND($B1099, Calculations!$B$8), 'Final Building Profile'!K24, "")</f>
        <v/>
      </c>
      <c r="M1099" t="str">
        <f>IF(AND($B1099, Calculations!$B$8), 'Final Building Profile'!L24, "")</f>
        <v/>
      </c>
      <c r="N1099" t="str">
        <f>IF(AND($B1099, Calculations!$B$8),Calculations!AB674,"")</f>
        <v/>
      </c>
      <c r="O1099" t="str">
        <f>IF(AND($B1099, Calculations!$B$8),Calculations!AC674,"")</f>
        <v/>
      </c>
      <c r="P1099" s="316" t="str">
        <f>IF(AND($B1099, Calculations!$B$7), 'Final Building Profile'!P24, "")</f>
        <v/>
      </c>
      <c r="Q1099" s="204" t="str">
        <f>IF(AND($B1099, Calculations!$B$7), 'Final Building Profile'!Q24, "")</f>
        <v/>
      </c>
      <c r="R1099" t="str">
        <f>IF(AND($B1099, Calculations!$B$7), 'Final Building Profile'!N24-'Final Building Profile'!O24, "")</f>
        <v/>
      </c>
      <c r="S1099" t="str">
        <f>IF(AND($B1099, Calculations!$B$7),Calculations!AD674,"")</f>
        <v/>
      </c>
      <c r="T1099" t="str">
        <f>IF(AND($B1099, Calculations!$B$7),Calculations!AE674,"")</f>
        <v/>
      </c>
    </row>
    <row r="1100" spans="1:20">
      <c r="A1100" s="195" t="str">
        <f>IF(C1100="","",MAX(A$1077:A1099)+1)</f>
        <v/>
      </c>
      <c r="B1100" s="195" t="b">
        <f t="shared" si="17"/>
        <v>0</v>
      </c>
      <c r="C1100" t="str">
        <f>CONCATENATE('Final Building Profile'!B25)</f>
        <v/>
      </c>
      <c r="D1100" t="str">
        <f>CONCATENATE('Final Building Profile'!C25)</f>
        <v/>
      </c>
      <c r="E1100" t="str">
        <f>CONCATENATE('Final Building Profile'!F25)</f>
        <v/>
      </c>
      <c r="F1100" s="316" t="str">
        <f>IF(AND($B1100, Calculations!$B$9), 'Final Building Profile'!J25, "")</f>
        <v/>
      </c>
      <c r="G1100" s="250" t="str">
        <f>IF(AND($B1100, Calculations!$B$9), 'Final Building Profile'!K25, "")</f>
        <v/>
      </c>
      <c r="H1100" t="str">
        <f>IF(AND($B1100, Calculations!$B$9),'Final Building Profile'!M25,"")</f>
        <v/>
      </c>
      <c r="I1100" t="str">
        <f>IF(AND($B1100, Calculations!$B$9),Calculations!AB675,"")</f>
        <v/>
      </c>
      <c r="J1100" t="str">
        <f>IF(AND($B1100, Calculations!$B$9),Calculations!AC675,"")</f>
        <v/>
      </c>
      <c r="K1100" s="316" t="str">
        <f>IF(AND($B1100, Calculations!$B$8), 'Final Building Profile'!J25, "")</f>
        <v/>
      </c>
      <c r="L1100" s="250" t="str">
        <f>IF(AND($B1100, Calculations!$B$8), 'Final Building Profile'!K25, "")</f>
        <v/>
      </c>
      <c r="M1100" t="str">
        <f>IF(AND($B1100, Calculations!$B$8), 'Final Building Profile'!L25, "")</f>
        <v/>
      </c>
      <c r="N1100" t="str">
        <f>IF(AND($B1100, Calculations!$B$8),Calculations!AB675,"")</f>
        <v/>
      </c>
      <c r="O1100" t="str">
        <f>IF(AND($B1100, Calculations!$B$8),Calculations!AC675,"")</f>
        <v/>
      </c>
      <c r="P1100" s="316" t="str">
        <f>IF(AND($B1100, Calculations!$B$7), 'Final Building Profile'!P25, "")</f>
        <v/>
      </c>
      <c r="Q1100" s="204" t="str">
        <f>IF(AND($B1100, Calculations!$B$7), 'Final Building Profile'!Q25, "")</f>
        <v/>
      </c>
      <c r="R1100" t="str">
        <f>IF(AND($B1100, Calculations!$B$7), 'Final Building Profile'!N25-'Final Building Profile'!O25, "")</f>
        <v/>
      </c>
      <c r="S1100" t="str">
        <f>IF(AND($B1100, Calculations!$B$7),Calculations!AD675,"")</f>
        <v/>
      </c>
      <c r="T1100" t="str">
        <f>IF(AND($B1100, Calculations!$B$7),Calculations!AE675,"")</f>
        <v/>
      </c>
    </row>
    <row r="1101" spans="1:20">
      <c r="A1101" s="195" t="str">
        <f>IF(C1101="","",MAX(A$1077:A1100)+1)</f>
        <v/>
      </c>
      <c r="B1101" s="195" t="b">
        <f t="shared" si="17"/>
        <v>0</v>
      </c>
      <c r="C1101" t="str">
        <f>CONCATENATE('Final Building Profile'!B26)</f>
        <v/>
      </c>
      <c r="D1101" t="str">
        <f>CONCATENATE('Final Building Profile'!C26)</f>
        <v/>
      </c>
      <c r="E1101" t="str">
        <f>CONCATENATE('Final Building Profile'!F26)</f>
        <v/>
      </c>
      <c r="F1101" s="316" t="str">
        <f>IF(AND($B1101, Calculations!$B$9), 'Final Building Profile'!J26, "")</f>
        <v/>
      </c>
      <c r="G1101" s="250" t="str">
        <f>IF(AND($B1101, Calculations!$B$9), 'Final Building Profile'!K26, "")</f>
        <v/>
      </c>
      <c r="H1101" t="str">
        <f>IF(AND($B1101, Calculations!$B$9),'Final Building Profile'!M26,"")</f>
        <v/>
      </c>
      <c r="I1101" t="str">
        <f>IF(AND($B1101, Calculations!$B$9),Calculations!AB676,"")</f>
        <v/>
      </c>
      <c r="J1101" t="str">
        <f>IF(AND($B1101, Calculations!$B$9),Calculations!AC676,"")</f>
        <v/>
      </c>
      <c r="K1101" s="316" t="str">
        <f>IF(AND($B1101, Calculations!$B$8), 'Final Building Profile'!J26, "")</f>
        <v/>
      </c>
      <c r="L1101" s="250" t="str">
        <f>IF(AND($B1101, Calculations!$B$8), 'Final Building Profile'!K26, "")</f>
        <v/>
      </c>
      <c r="M1101" t="str">
        <f>IF(AND($B1101, Calculations!$B$8), 'Final Building Profile'!L26, "")</f>
        <v/>
      </c>
      <c r="N1101" t="str">
        <f>IF(AND($B1101, Calculations!$B$8),Calculations!AB676,"")</f>
        <v/>
      </c>
      <c r="O1101" t="str">
        <f>IF(AND($B1101, Calculations!$B$8),Calculations!AC676,"")</f>
        <v/>
      </c>
      <c r="P1101" s="316" t="str">
        <f>IF(AND($B1101, Calculations!$B$7), 'Final Building Profile'!P26, "")</f>
        <v/>
      </c>
      <c r="Q1101" s="204" t="str">
        <f>IF(AND($B1101, Calculations!$B$7), 'Final Building Profile'!Q26, "")</f>
        <v/>
      </c>
      <c r="R1101" t="str">
        <f>IF(AND($B1101, Calculations!$B$7), 'Final Building Profile'!N26-'Final Building Profile'!O26, "")</f>
        <v/>
      </c>
      <c r="S1101" t="str">
        <f>IF(AND($B1101, Calculations!$B$7),Calculations!AD676,"")</f>
        <v/>
      </c>
      <c r="T1101" t="str">
        <f>IF(AND($B1101, Calculations!$B$7),Calculations!AE676,"")</f>
        <v/>
      </c>
    </row>
    <row r="1102" spans="1:20">
      <c r="A1102" s="195" t="str">
        <f>IF(C1102="","",MAX(A$1077:A1101)+1)</f>
        <v/>
      </c>
      <c r="B1102" s="195" t="b">
        <f t="shared" si="17"/>
        <v>0</v>
      </c>
      <c r="C1102" t="str">
        <f>CONCATENATE('Final Building Profile'!B27)</f>
        <v/>
      </c>
      <c r="D1102" t="str">
        <f>CONCATENATE('Final Building Profile'!C27)</f>
        <v/>
      </c>
      <c r="E1102" t="str">
        <f>CONCATENATE('Final Building Profile'!F27)</f>
        <v/>
      </c>
      <c r="F1102" s="316" t="str">
        <f>IF(AND($B1102, Calculations!$B$9), 'Final Building Profile'!J27, "")</f>
        <v/>
      </c>
      <c r="G1102" s="250" t="str">
        <f>IF(AND($B1102, Calculations!$B$9), 'Final Building Profile'!K27, "")</f>
        <v/>
      </c>
      <c r="H1102" t="str">
        <f>IF(AND($B1102, Calculations!$B$9),'Final Building Profile'!M27,"")</f>
        <v/>
      </c>
      <c r="I1102" t="str">
        <f>IF(AND($B1102, Calculations!$B$9),Calculations!AB677,"")</f>
        <v/>
      </c>
      <c r="J1102" t="str">
        <f>IF(AND($B1102, Calculations!$B$9),Calculations!AC677,"")</f>
        <v/>
      </c>
      <c r="K1102" s="316" t="str">
        <f>IF(AND($B1102, Calculations!$B$8), 'Final Building Profile'!J27, "")</f>
        <v/>
      </c>
      <c r="L1102" s="250" t="str">
        <f>IF(AND($B1102, Calculations!$B$8), 'Final Building Profile'!K27, "")</f>
        <v/>
      </c>
      <c r="M1102" t="str">
        <f>IF(AND($B1102, Calculations!$B$8), 'Final Building Profile'!L27, "")</f>
        <v/>
      </c>
      <c r="N1102" t="str">
        <f>IF(AND($B1102, Calculations!$B$8),Calculations!AB677,"")</f>
        <v/>
      </c>
      <c r="O1102" t="str">
        <f>IF(AND($B1102, Calculations!$B$8),Calculations!AC677,"")</f>
        <v/>
      </c>
      <c r="P1102" s="316" t="str">
        <f>IF(AND($B1102, Calculations!$B$7), 'Final Building Profile'!P27, "")</f>
        <v/>
      </c>
      <c r="Q1102" s="204" t="str">
        <f>IF(AND($B1102, Calculations!$B$7), 'Final Building Profile'!Q27, "")</f>
        <v/>
      </c>
      <c r="R1102" t="str">
        <f>IF(AND($B1102, Calculations!$B$7), 'Final Building Profile'!N27-'Final Building Profile'!O27, "")</f>
        <v/>
      </c>
      <c r="S1102" t="str">
        <f>IF(AND($B1102, Calculations!$B$7),Calculations!AD677,"")</f>
        <v/>
      </c>
      <c r="T1102" t="str">
        <f>IF(AND($B1102, Calculations!$B$7),Calculations!AE677,"")</f>
        <v/>
      </c>
    </row>
    <row r="1103" spans="1:20">
      <c r="A1103" s="195" t="str">
        <f>IF(C1103="","",MAX(A$1077:A1102)+1)</f>
        <v/>
      </c>
      <c r="B1103" s="195" t="b">
        <f t="shared" si="17"/>
        <v>0</v>
      </c>
      <c r="C1103" t="str">
        <f>CONCATENATE('Final Building Profile'!B28)</f>
        <v/>
      </c>
      <c r="D1103" t="str">
        <f>CONCATENATE('Final Building Profile'!C28)</f>
        <v/>
      </c>
      <c r="E1103" t="str">
        <f>CONCATENATE('Final Building Profile'!F28)</f>
        <v/>
      </c>
      <c r="F1103" s="316" t="str">
        <f>IF(AND($B1103, Calculations!$B$9), 'Final Building Profile'!J28, "")</f>
        <v/>
      </c>
      <c r="G1103" s="250" t="str">
        <f>IF(AND($B1103, Calculations!$B$9), 'Final Building Profile'!K28, "")</f>
        <v/>
      </c>
      <c r="H1103" t="str">
        <f>IF(AND($B1103, Calculations!$B$9),'Final Building Profile'!M28,"")</f>
        <v/>
      </c>
      <c r="I1103" t="str">
        <f>IF(AND($B1103, Calculations!$B$9),Calculations!AB678,"")</f>
        <v/>
      </c>
      <c r="J1103" t="str">
        <f>IF(AND($B1103, Calculations!$B$9),Calculations!AC678,"")</f>
        <v/>
      </c>
      <c r="K1103" s="316" t="str">
        <f>IF(AND($B1103, Calculations!$B$8), 'Final Building Profile'!J28, "")</f>
        <v/>
      </c>
      <c r="L1103" s="250" t="str">
        <f>IF(AND($B1103, Calculations!$B$8), 'Final Building Profile'!K28, "")</f>
        <v/>
      </c>
      <c r="M1103" t="str">
        <f>IF(AND($B1103, Calculations!$B$8), 'Final Building Profile'!L28, "")</f>
        <v/>
      </c>
      <c r="N1103" t="str">
        <f>IF(AND($B1103, Calculations!$B$8),Calculations!AB678,"")</f>
        <v/>
      </c>
      <c r="O1103" t="str">
        <f>IF(AND($B1103, Calculations!$B$8),Calculations!AC678,"")</f>
        <v/>
      </c>
      <c r="P1103" s="316" t="str">
        <f>IF(AND($B1103, Calculations!$B$7), 'Final Building Profile'!P28, "")</f>
        <v/>
      </c>
      <c r="Q1103" s="204" t="str">
        <f>IF(AND($B1103, Calculations!$B$7), 'Final Building Profile'!Q28, "")</f>
        <v/>
      </c>
      <c r="R1103" t="str">
        <f>IF(AND($B1103, Calculations!$B$7), 'Final Building Profile'!N28-'Final Building Profile'!O28, "")</f>
        <v/>
      </c>
      <c r="S1103" t="str">
        <f>IF(AND($B1103, Calculations!$B$7),Calculations!AD678,"")</f>
        <v/>
      </c>
      <c r="T1103" t="str">
        <f>IF(AND($B1103, Calculations!$B$7),Calculations!AE678,"")</f>
        <v/>
      </c>
    </row>
    <row r="1104" spans="1:20">
      <c r="A1104" s="195" t="str">
        <f>IF(C1104="","",MAX(A$1077:A1103)+1)</f>
        <v/>
      </c>
      <c r="B1104" s="195" t="b">
        <f t="shared" si="17"/>
        <v>0</v>
      </c>
      <c r="C1104" t="str">
        <f>CONCATENATE('Final Building Profile'!B29)</f>
        <v/>
      </c>
      <c r="D1104" t="str">
        <f>CONCATENATE('Final Building Profile'!C29)</f>
        <v/>
      </c>
      <c r="E1104" t="str">
        <f>CONCATENATE('Final Building Profile'!F29)</f>
        <v/>
      </c>
      <c r="F1104" s="316" t="str">
        <f>IF(AND($B1104, Calculations!$B$9), 'Final Building Profile'!J29, "")</f>
        <v/>
      </c>
      <c r="G1104" s="250" t="str">
        <f>IF(AND($B1104, Calculations!$B$9), 'Final Building Profile'!K29, "")</f>
        <v/>
      </c>
      <c r="H1104" t="str">
        <f>IF(AND($B1104, Calculations!$B$9),'Final Building Profile'!M29,"")</f>
        <v/>
      </c>
      <c r="I1104" t="str">
        <f>IF(AND($B1104, Calculations!$B$9),Calculations!AB679,"")</f>
        <v/>
      </c>
      <c r="J1104" t="str">
        <f>IF(AND($B1104, Calculations!$B$9),Calculations!AC679,"")</f>
        <v/>
      </c>
      <c r="K1104" s="316" t="str">
        <f>IF(AND($B1104, Calculations!$B$8), 'Final Building Profile'!J29, "")</f>
        <v/>
      </c>
      <c r="L1104" s="250" t="str">
        <f>IF(AND($B1104, Calculations!$B$8), 'Final Building Profile'!K29, "")</f>
        <v/>
      </c>
      <c r="M1104" t="str">
        <f>IF(AND($B1104, Calculations!$B$8), 'Final Building Profile'!L29, "")</f>
        <v/>
      </c>
      <c r="N1104" t="str">
        <f>IF(AND($B1104, Calculations!$B$8),Calculations!AB679,"")</f>
        <v/>
      </c>
      <c r="O1104" t="str">
        <f>IF(AND($B1104, Calculations!$B$8),Calculations!AC679,"")</f>
        <v/>
      </c>
      <c r="P1104" s="316" t="str">
        <f>IF(AND($B1104, Calculations!$B$7), 'Final Building Profile'!P29, "")</f>
        <v/>
      </c>
      <c r="Q1104" s="204" t="str">
        <f>IF(AND($B1104, Calculations!$B$7), 'Final Building Profile'!Q29, "")</f>
        <v/>
      </c>
      <c r="R1104" t="str">
        <f>IF(AND($B1104, Calculations!$B$7), 'Final Building Profile'!N29-'Final Building Profile'!O29, "")</f>
        <v/>
      </c>
      <c r="S1104" t="str">
        <f>IF(AND($B1104, Calculations!$B$7),Calculations!AD679,"")</f>
        <v/>
      </c>
      <c r="T1104" t="str">
        <f>IF(AND($B1104, Calculations!$B$7),Calculations!AE679,"")</f>
        <v/>
      </c>
    </row>
    <row r="1105" spans="1:20">
      <c r="A1105" s="195" t="str">
        <f>IF(C1105="","",MAX(A$1077:A1104)+1)</f>
        <v/>
      </c>
      <c r="B1105" s="195" t="b">
        <f t="shared" si="17"/>
        <v>0</v>
      </c>
      <c r="C1105" t="str">
        <f>CONCATENATE('Final Building Profile'!B30)</f>
        <v/>
      </c>
      <c r="D1105" t="str">
        <f>CONCATENATE('Final Building Profile'!C30)</f>
        <v/>
      </c>
      <c r="E1105" t="str">
        <f>CONCATENATE('Final Building Profile'!F30)</f>
        <v/>
      </c>
      <c r="F1105" s="316" t="str">
        <f>IF(AND($B1105, Calculations!$B$9), 'Final Building Profile'!J30, "")</f>
        <v/>
      </c>
      <c r="G1105" s="250" t="str">
        <f>IF(AND($B1105, Calculations!$B$9), 'Final Building Profile'!K30, "")</f>
        <v/>
      </c>
      <c r="H1105" t="str">
        <f>IF(AND($B1105, Calculations!$B$9),'Final Building Profile'!M30,"")</f>
        <v/>
      </c>
      <c r="I1105" t="str">
        <f>IF(AND($B1105, Calculations!$B$9),Calculations!AB680,"")</f>
        <v/>
      </c>
      <c r="J1105" t="str">
        <f>IF(AND($B1105, Calculations!$B$9),Calculations!AC680,"")</f>
        <v/>
      </c>
      <c r="K1105" s="316" t="str">
        <f>IF(AND($B1105, Calculations!$B$8), 'Final Building Profile'!J30, "")</f>
        <v/>
      </c>
      <c r="L1105" s="250" t="str">
        <f>IF(AND($B1105, Calculations!$B$8), 'Final Building Profile'!K30, "")</f>
        <v/>
      </c>
      <c r="M1105" t="str">
        <f>IF(AND($B1105, Calculations!$B$8), 'Final Building Profile'!L30, "")</f>
        <v/>
      </c>
      <c r="N1105" t="str">
        <f>IF(AND($B1105, Calculations!$B$8),Calculations!AB680,"")</f>
        <v/>
      </c>
      <c r="O1105" t="str">
        <f>IF(AND($B1105, Calculations!$B$8),Calculations!AC680,"")</f>
        <v/>
      </c>
      <c r="P1105" s="316" t="str">
        <f>IF(AND($B1105, Calculations!$B$7), 'Final Building Profile'!P30, "")</f>
        <v/>
      </c>
      <c r="Q1105" s="204" t="str">
        <f>IF(AND($B1105, Calculations!$B$7), 'Final Building Profile'!Q30, "")</f>
        <v/>
      </c>
      <c r="R1105" t="str">
        <f>IF(AND($B1105, Calculations!$B$7), 'Final Building Profile'!N30-'Final Building Profile'!O30, "")</f>
        <v/>
      </c>
      <c r="S1105" t="str">
        <f>IF(AND($B1105, Calculations!$B$7),Calculations!AD680,"")</f>
        <v/>
      </c>
      <c r="T1105" t="str">
        <f>IF(AND($B1105, Calculations!$B$7),Calculations!AE680,"")</f>
        <v/>
      </c>
    </row>
    <row r="1106" spans="1:20">
      <c r="A1106" s="195" t="str">
        <f>IF(C1106="","",MAX(A$1077:A1105)+1)</f>
        <v/>
      </c>
      <c r="B1106" s="195" t="b">
        <f t="shared" si="17"/>
        <v>0</v>
      </c>
      <c r="C1106" t="str">
        <f>CONCATENATE('Final Building Profile'!B31)</f>
        <v/>
      </c>
      <c r="D1106" t="str">
        <f>CONCATENATE('Final Building Profile'!C31)</f>
        <v/>
      </c>
      <c r="E1106" t="str">
        <f>CONCATENATE('Final Building Profile'!F31)</f>
        <v/>
      </c>
      <c r="F1106" s="316" t="str">
        <f>IF(AND($B1106, Calculations!$B$9), 'Final Building Profile'!J31, "")</f>
        <v/>
      </c>
      <c r="G1106" s="250" t="str">
        <f>IF(AND($B1106, Calculations!$B$9), 'Final Building Profile'!K31, "")</f>
        <v/>
      </c>
      <c r="H1106" t="str">
        <f>IF(AND($B1106, Calculations!$B$9),'Final Building Profile'!M31,"")</f>
        <v/>
      </c>
      <c r="I1106" t="str">
        <f>IF(AND($B1106, Calculations!$B$9),Calculations!AB681,"")</f>
        <v/>
      </c>
      <c r="J1106" t="str">
        <f>IF(AND($B1106, Calculations!$B$9),Calculations!AC681,"")</f>
        <v/>
      </c>
      <c r="K1106" s="316" t="str">
        <f>IF(AND($B1106, Calculations!$B$8), 'Final Building Profile'!J31, "")</f>
        <v/>
      </c>
      <c r="L1106" s="250" t="str">
        <f>IF(AND($B1106, Calculations!$B$8), 'Final Building Profile'!K31, "")</f>
        <v/>
      </c>
      <c r="M1106" t="str">
        <f>IF(AND($B1106, Calculations!$B$8), 'Final Building Profile'!L31, "")</f>
        <v/>
      </c>
      <c r="N1106" t="str">
        <f>IF(AND($B1106, Calculations!$B$8),Calculations!AB681,"")</f>
        <v/>
      </c>
      <c r="O1106" t="str">
        <f>IF(AND($B1106, Calculations!$B$8),Calculations!AC681,"")</f>
        <v/>
      </c>
      <c r="P1106" s="316" t="str">
        <f>IF(AND($B1106, Calculations!$B$7), 'Final Building Profile'!P31, "")</f>
        <v/>
      </c>
      <c r="Q1106" s="204" t="str">
        <f>IF(AND($B1106, Calculations!$B$7), 'Final Building Profile'!Q31, "")</f>
        <v/>
      </c>
      <c r="R1106" t="str">
        <f>IF(AND($B1106, Calculations!$B$7), 'Final Building Profile'!N31-'Final Building Profile'!O31, "")</f>
        <v/>
      </c>
      <c r="S1106" t="str">
        <f>IF(AND($B1106, Calculations!$B$7),Calculations!AD681,"")</f>
        <v/>
      </c>
      <c r="T1106" t="str">
        <f>IF(AND($B1106, Calculations!$B$7),Calculations!AE681,"")</f>
        <v/>
      </c>
    </row>
    <row r="1107" spans="1:20">
      <c r="A1107" s="195" t="str">
        <f>IF(C1107="","",MAX(A$1077:A1106)+1)</f>
        <v/>
      </c>
      <c r="B1107" s="195" t="b">
        <f t="shared" si="17"/>
        <v>0</v>
      </c>
      <c r="C1107" t="str">
        <f>CONCATENATE('Final Building Profile'!B32)</f>
        <v/>
      </c>
      <c r="D1107" t="str">
        <f>CONCATENATE('Final Building Profile'!C32)</f>
        <v/>
      </c>
      <c r="E1107" t="str">
        <f>CONCATENATE('Final Building Profile'!F32)</f>
        <v/>
      </c>
      <c r="F1107" s="316" t="str">
        <f>IF(AND($B1107, Calculations!$B$9), 'Final Building Profile'!J32, "")</f>
        <v/>
      </c>
      <c r="G1107" s="250" t="str">
        <f>IF(AND($B1107, Calculations!$B$9), 'Final Building Profile'!K32, "")</f>
        <v/>
      </c>
      <c r="H1107" t="str">
        <f>IF(AND($B1107, Calculations!$B$9),'Final Building Profile'!M32,"")</f>
        <v/>
      </c>
      <c r="I1107" t="str">
        <f>IF(AND($B1107, Calculations!$B$9),Calculations!AB682,"")</f>
        <v/>
      </c>
      <c r="J1107" t="str">
        <f>IF(AND($B1107, Calculations!$B$9),Calculations!AC682,"")</f>
        <v/>
      </c>
      <c r="K1107" s="316" t="str">
        <f>IF(AND($B1107, Calculations!$B$8), 'Final Building Profile'!J32, "")</f>
        <v/>
      </c>
      <c r="L1107" s="250" t="str">
        <f>IF(AND($B1107, Calculations!$B$8), 'Final Building Profile'!K32, "")</f>
        <v/>
      </c>
      <c r="M1107" t="str">
        <f>IF(AND($B1107, Calculations!$B$8), 'Final Building Profile'!L32, "")</f>
        <v/>
      </c>
      <c r="N1107" t="str">
        <f>IF(AND($B1107, Calculations!$B$8),Calculations!AB682,"")</f>
        <v/>
      </c>
      <c r="O1107" t="str">
        <f>IF(AND($B1107, Calculations!$B$8),Calculations!AC682,"")</f>
        <v/>
      </c>
      <c r="P1107" s="316" t="str">
        <f>IF(AND($B1107, Calculations!$B$7), 'Final Building Profile'!P32, "")</f>
        <v/>
      </c>
      <c r="Q1107" s="204" t="str">
        <f>IF(AND($B1107, Calculations!$B$7), 'Final Building Profile'!Q32, "")</f>
        <v/>
      </c>
      <c r="R1107" t="str">
        <f>IF(AND($B1107, Calculations!$B$7), 'Final Building Profile'!N32-'Final Building Profile'!O32, "")</f>
        <v/>
      </c>
      <c r="S1107" t="str">
        <f>IF(AND($B1107, Calculations!$B$7),Calculations!AD682,"")</f>
        <v/>
      </c>
      <c r="T1107" t="str">
        <f>IF(AND($B1107, Calculations!$B$7),Calculations!AE682,"")</f>
        <v/>
      </c>
    </row>
    <row r="1108" spans="1:20">
      <c r="A1108" s="195" t="str">
        <f>IF(C1108="","",MAX(A$1077:A1107)+1)</f>
        <v/>
      </c>
      <c r="B1108" s="195" t="b">
        <f t="shared" si="17"/>
        <v>0</v>
      </c>
      <c r="C1108" t="str">
        <f>CONCATENATE('Final Building Profile'!B33)</f>
        <v/>
      </c>
      <c r="D1108" t="str">
        <f>CONCATENATE('Final Building Profile'!C33)</f>
        <v/>
      </c>
      <c r="E1108" t="str">
        <f>CONCATENATE('Final Building Profile'!F33)</f>
        <v/>
      </c>
      <c r="F1108" s="316" t="str">
        <f>IF(AND($B1108, Calculations!$B$9), 'Final Building Profile'!J33, "")</f>
        <v/>
      </c>
      <c r="G1108" s="250" t="str">
        <f>IF(AND($B1108, Calculations!$B$9), 'Final Building Profile'!K33, "")</f>
        <v/>
      </c>
      <c r="H1108" t="str">
        <f>IF(AND($B1108, Calculations!$B$9),'Final Building Profile'!M33,"")</f>
        <v/>
      </c>
      <c r="I1108" t="str">
        <f>IF(AND($B1108, Calculations!$B$9),Calculations!AB683,"")</f>
        <v/>
      </c>
      <c r="J1108" t="str">
        <f>IF(AND($B1108, Calculations!$B$9),Calculations!AC683,"")</f>
        <v/>
      </c>
      <c r="K1108" s="316" t="str">
        <f>IF(AND($B1108, Calculations!$B$8), 'Final Building Profile'!J33, "")</f>
        <v/>
      </c>
      <c r="L1108" s="250" t="str">
        <f>IF(AND($B1108, Calculations!$B$8), 'Final Building Profile'!K33, "")</f>
        <v/>
      </c>
      <c r="M1108" t="str">
        <f>IF(AND($B1108, Calculations!$B$8), 'Final Building Profile'!L33, "")</f>
        <v/>
      </c>
      <c r="N1108" t="str">
        <f>IF(AND($B1108, Calculations!$B$8),Calculations!AB683,"")</f>
        <v/>
      </c>
      <c r="O1108" t="str">
        <f>IF(AND($B1108, Calculations!$B$8),Calculations!AC683,"")</f>
        <v/>
      </c>
      <c r="P1108" s="316" t="str">
        <f>IF(AND($B1108, Calculations!$B$7), 'Final Building Profile'!P33, "")</f>
        <v/>
      </c>
      <c r="Q1108" s="204" t="str">
        <f>IF(AND($B1108, Calculations!$B$7), 'Final Building Profile'!Q33, "")</f>
        <v/>
      </c>
      <c r="R1108" t="str">
        <f>IF(AND($B1108, Calculations!$B$7), 'Final Building Profile'!N33-'Final Building Profile'!O33, "")</f>
        <v/>
      </c>
      <c r="S1108" t="str">
        <f>IF(AND($B1108, Calculations!$B$7),Calculations!AD683,"")</f>
        <v/>
      </c>
      <c r="T1108" t="str">
        <f>IF(AND($B1108, Calculations!$B$7),Calculations!AE683,"")</f>
        <v/>
      </c>
    </row>
    <row r="1109" spans="1:20">
      <c r="A1109" s="195" t="str">
        <f>IF(C1109="","",MAX(A$1077:A1108)+1)</f>
        <v/>
      </c>
      <c r="B1109" s="195" t="b">
        <f t="shared" si="17"/>
        <v>0</v>
      </c>
      <c r="C1109" t="str">
        <f>CONCATENATE('Final Building Profile'!B34)</f>
        <v/>
      </c>
      <c r="D1109" t="str">
        <f>CONCATENATE('Final Building Profile'!C34)</f>
        <v/>
      </c>
      <c r="E1109" t="str">
        <f>CONCATENATE('Final Building Profile'!F34)</f>
        <v/>
      </c>
      <c r="F1109" s="316" t="str">
        <f>IF(AND($B1109, Calculations!$B$9), 'Final Building Profile'!J34, "")</f>
        <v/>
      </c>
      <c r="G1109" s="250" t="str">
        <f>IF(AND($B1109, Calculations!$B$9), 'Final Building Profile'!K34, "")</f>
        <v/>
      </c>
      <c r="H1109" t="str">
        <f>IF(AND($B1109, Calculations!$B$9),'Final Building Profile'!M34,"")</f>
        <v/>
      </c>
      <c r="I1109" t="str">
        <f>IF(AND($B1109, Calculations!$B$9),Calculations!AB684,"")</f>
        <v/>
      </c>
      <c r="J1109" t="str">
        <f>IF(AND($B1109, Calculations!$B$9),Calculations!AC684,"")</f>
        <v/>
      </c>
      <c r="K1109" s="316" t="str">
        <f>IF(AND($B1109, Calculations!$B$8), 'Final Building Profile'!J34, "")</f>
        <v/>
      </c>
      <c r="L1109" s="250" t="str">
        <f>IF(AND($B1109, Calculations!$B$8), 'Final Building Profile'!K34, "")</f>
        <v/>
      </c>
      <c r="M1109" t="str">
        <f>IF(AND($B1109, Calculations!$B$8), 'Final Building Profile'!L34, "")</f>
        <v/>
      </c>
      <c r="N1109" t="str">
        <f>IF(AND($B1109, Calculations!$B$8),Calculations!AB684,"")</f>
        <v/>
      </c>
      <c r="O1109" t="str">
        <f>IF(AND($B1109, Calculations!$B$8),Calculations!AC684,"")</f>
        <v/>
      </c>
      <c r="P1109" s="316" t="str">
        <f>IF(AND($B1109, Calculations!$B$7), 'Final Building Profile'!P34, "")</f>
        <v/>
      </c>
      <c r="Q1109" s="204" t="str">
        <f>IF(AND($B1109, Calculations!$B$7), 'Final Building Profile'!Q34, "")</f>
        <v/>
      </c>
      <c r="R1109" t="str">
        <f>IF(AND($B1109, Calculations!$B$7), 'Final Building Profile'!N34-'Final Building Profile'!O34, "")</f>
        <v/>
      </c>
      <c r="S1109" t="str">
        <f>IF(AND($B1109, Calculations!$B$7),Calculations!AD684,"")</f>
        <v/>
      </c>
      <c r="T1109" t="str">
        <f>IF(AND($B1109, Calculations!$B$7),Calculations!AE684,"")</f>
        <v/>
      </c>
    </row>
    <row r="1110" spans="1:20">
      <c r="A1110" s="195" t="str">
        <f>IF(C1110="","",MAX(A$1077:A1109)+1)</f>
        <v/>
      </c>
      <c r="B1110" s="195" t="b">
        <f t="shared" si="17"/>
        <v>0</v>
      </c>
      <c r="C1110" t="str">
        <f>CONCATENATE('Final Building Profile'!B35)</f>
        <v/>
      </c>
      <c r="D1110" t="str">
        <f>CONCATENATE('Final Building Profile'!C35)</f>
        <v/>
      </c>
      <c r="E1110" t="str">
        <f>CONCATENATE('Final Building Profile'!F35)</f>
        <v/>
      </c>
      <c r="F1110" s="316" t="str">
        <f>IF(AND($B1110, Calculations!$B$9), 'Final Building Profile'!J35, "")</f>
        <v/>
      </c>
      <c r="G1110" s="250" t="str">
        <f>IF(AND($B1110, Calculations!$B$9), 'Final Building Profile'!K35, "")</f>
        <v/>
      </c>
      <c r="H1110" t="str">
        <f>IF(AND($B1110, Calculations!$B$9),'Final Building Profile'!M35,"")</f>
        <v/>
      </c>
      <c r="I1110" t="str">
        <f>IF(AND($B1110, Calculations!$B$9),Calculations!AB685,"")</f>
        <v/>
      </c>
      <c r="J1110" t="str">
        <f>IF(AND($B1110, Calculations!$B$9),Calculations!AC685,"")</f>
        <v/>
      </c>
      <c r="K1110" s="316" t="str">
        <f>IF(AND($B1110, Calculations!$B$8), 'Final Building Profile'!J35, "")</f>
        <v/>
      </c>
      <c r="L1110" s="250" t="str">
        <f>IF(AND($B1110, Calculations!$B$8), 'Final Building Profile'!K35, "")</f>
        <v/>
      </c>
      <c r="M1110" t="str">
        <f>IF(AND($B1110, Calculations!$B$8), 'Final Building Profile'!L35, "")</f>
        <v/>
      </c>
      <c r="N1110" t="str">
        <f>IF(AND($B1110, Calculations!$B$8),Calculations!AB685,"")</f>
        <v/>
      </c>
      <c r="O1110" t="str">
        <f>IF(AND($B1110, Calculations!$B$8),Calculations!AC685,"")</f>
        <v/>
      </c>
      <c r="P1110" s="316" t="str">
        <f>IF(AND($B1110, Calculations!$B$7), 'Final Building Profile'!P35, "")</f>
        <v/>
      </c>
      <c r="Q1110" s="204" t="str">
        <f>IF(AND($B1110, Calculations!$B$7), 'Final Building Profile'!Q35, "")</f>
        <v/>
      </c>
      <c r="R1110" t="str">
        <f>IF(AND($B1110, Calculations!$B$7), 'Final Building Profile'!N35-'Final Building Profile'!O35, "")</f>
        <v/>
      </c>
      <c r="S1110" t="str">
        <f>IF(AND($B1110, Calculations!$B$7),Calculations!AD685,"")</f>
        <v/>
      </c>
      <c r="T1110" t="str">
        <f>IF(AND($B1110, Calculations!$B$7),Calculations!AE685,"")</f>
        <v/>
      </c>
    </row>
    <row r="1111" spans="1:20">
      <c r="A1111" s="195" t="str">
        <f>IF(C1111="","",MAX(A$1077:A1110)+1)</f>
        <v/>
      </c>
      <c r="B1111" s="195" t="b">
        <f t="shared" si="17"/>
        <v>0</v>
      </c>
      <c r="C1111" t="str">
        <f>CONCATENATE('Final Building Profile'!B36)</f>
        <v/>
      </c>
      <c r="D1111" t="str">
        <f>CONCATENATE('Final Building Profile'!C36)</f>
        <v/>
      </c>
      <c r="E1111" t="str">
        <f>CONCATENATE('Final Building Profile'!F36)</f>
        <v/>
      </c>
      <c r="F1111" s="316" t="str">
        <f>IF(AND($B1111, Calculations!$B$9), 'Final Building Profile'!J36, "")</f>
        <v/>
      </c>
      <c r="G1111" s="250" t="str">
        <f>IF(AND($B1111, Calculations!$B$9), 'Final Building Profile'!K36, "")</f>
        <v/>
      </c>
      <c r="H1111" t="str">
        <f>IF(AND($B1111, Calculations!$B$9),'Final Building Profile'!M36,"")</f>
        <v/>
      </c>
      <c r="I1111" t="str">
        <f>IF(AND($B1111, Calculations!$B$9),Calculations!AB686,"")</f>
        <v/>
      </c>
      <c r="J1111" t="str">
        <f>IF(AND($B1111, Calculations!$B$9),Calculations!AC686,"")</f>
        <v/>
      </c>
      <c r="K1111" s="316" t="str">
        <f>IF(AND($B1111, Calculations!$B$8), 'Final Building Profile'!J36, "")</f>
        <v/>
      </c>
      <c r="L1111" s="250" t="str">
        <f>IF(AND($B1111, Calculations!$B$8), 'Final Building Profile'!K36, "")</f>
        <v/>
      </c>
      <c r="M1111" t="str">
        <f>IF(AND($B1111, Calculations!$B$8), 'Final Building Profile'!L36, "")</f>
        <v/>
      </c>
      <c r="N1111" t="str">
        <f>IF(AND($B1111, Calculations!$B$8),Calculations!AB686,"")</f>
        <v/>
      </c>
      <c r="O1111" t="str">
        <f>IF(AND($B1111, Calculations!$B$8),Calculations!AC686,"")</f>
        <v/>
      </c>
      <c r="P1111" s="316" t="str">
        <f>IF(AND($B1111, Calculations!$B$7), 'Final Building Profile'!P36, "")</f>
        <v/>
      </c>
      <c r="Q1111" s="204" t="str">
        <f>IF(AND($B1111, Calculations!$B$7), 'Final Building Profile'!Q36, "")</f>
        <v/>
      </c>
      <c r="R1111" t="str">
        <f>IF(AND($B1111, Calculations!$B$7), 'Final Building Profile'!N36-'Final Building Profile'!O36, "")</f>
        <v/>
      </c>
      <c r="S1111" t="str">
        <f>IF(AND($B1111, Calculations!$B$7),Calculations!AD686,"")</f>
        <v/>
      </c>
      <c r="T1111" t="str">
        <f>IF(AND($B1111, Calculations!$B$7),Calculations!AE686,"")</f>
        <v/>
      </c>
    </row>
    <row r="1112" spans="1:20">
      <c r="A1112" s="195" t="str">
        <f>IF(C1112="","",MAX(A$1077:A1111)+1)</f>
        <v/>
      </c>
      <c r="B1112" s="195" t="b">
        <f t="shared" si="17"/>
        <v>0</v>
      </c>
      <c r="C1112" t="str">
        <f>CONCATENATE('Final Building Profile'!B37)</f>
        <v/>
      </c>
      <c r="D1112" t="str">
        <f>CONCATENATE('Final Building Profile'!C37)</f>
        <v/>
      </c>
      <c r="E1112" t="str">
        <f>CONCATENATE('Final Building Profile'!F37)</f>
        <v/>
      </c>
      <c r="F1112" s="316" t="str">
        <f>IF(AND($B1112, Calculations!$B$9), 'Final Building Profile'!J37, "")</f>
        <v/>
      </c>
      <c r="G1112" s="250" t="str">
        <f>IF(AND($B1112, Calculations!$B$9), 'Final Building Profile'!K37, "")</f>
        <v/>
      </c>
      <c r="H1112" t="str">
        <f>IF(AND($B1112, Calculations!$B$9),'Final Building Profile'!M37,"")</f>
        <v/>
      </c>
      <c r="I1112" t="str">
        <f>IF(AND($B1112, Calculations!$B$9),Calculations!AB687,"")</f>
        <v/>
      </c>
      <c r="J1112" t="str">
        <f>IF(AND($B1112, Calculations!$B$9),Calculations!AC687,"")</f>
        <v/>
      </c>
      <c r="K1112" s="316" t="str">
        <f>IF(AND($B1112, Calculations!$B$8), 'Final Building Profile'!J37, "")</f>
        <v/>
      </c>
      <c r="L1112" s="250" t="str">
        <f>IF(AND($B1112, Calculations!$B$8), 'Final Building Profile'!K37, "")</f>
        <v/>
      </c>
      <c r="M1112" t="str">
        <f>IF(AND($B1112, Calculations!$B$8), 'Final Building Profile'!L37, "")</f>
        <v/>
      </c>
      <c r="N1112" t="str">
        <f>IF(AND($B1112, Calculations!$B$8),Calculations!AB687,"")</f>
        <v/>
      </c>
      <c r="O1112" t="str">
        <f>IF(AND($B1112, Calculations!$B$8),Calculations!AC687,"")</f>
        <v/>
      </c>
      <c r="P1112" s="316" t="str">
        <f>IF(AND($B1112, Calculations!$B$7), 'Final Building Profile'!P37, "")</f>
        <v/>
      </c>
      <c r="Q1112" s="204" t="str">
        <f>IF(AND($B1112, Calculations!$B$7), 'Final Building Profile'!Q37, "")</f>
        <v/>
      </c>
      <c r="R1112" t="str">
        <f>IF(AND($B1112, Calculations!$B$7), 'Final Building Profile'!N37-'Final Building Profile'!O37, "")</f>
        <v/>
      </c>
      <c r="S1112" t="str">
        <f>IF(AND($B1112, Calculations!$B$7),Calculations!AD687,"")</f>
        <v/>
      </c>
      <c r="T1112" t="str">
        <f>IF(AND($B1112, Calculations!$B$7),Calculations!AE687,"")</f>
        <v/>
      </c>
    </row>
    <row r="1113" spans="1:20">
      <c r="A1113" s="195" t="str">
        <f>IF(C1113="","",MAX(A$1077:A1112)+1)</f>
        <v/>
      </c>
      <c r="B1113" s="195" t="b">
        <f t="shared" si="17"/>
        <v>0</v>
      </c>
      <c r="C1113" t="str">
        <f>CONCATENATE('Final Building Profile'!B38)</f>
        <v/>
      </c>
      <c r="D1113" t="str">
        <f>CONCATENATE('Final Building Profile'!C38)</f>
        <v/>
      </c>
      <c r="E1113" t="str">
        <f>CONCATENATE('Final Building Profile'!F38)</f>
        <v/>
      </c>
      <c r="F1113" s="316" t="str">
        <f>IF(AND($B1113, Calculations!$B$9), 'Final Building Profile'!J38, "")</f>
        <v/>
      </c>
      <c r="G1113" s="250" t="str">
        <f>IF(AND($B1113, Calculations!$B$9), 'Final Building Profile'!K38, "")</f>
        <v/>
      </c>
      <c r="H1113" t="str">
        <f>IF(AND($B1113, Calculations!$B$9),'Final Building Profile'!M38,"")</f>
        <v/>
      </c>
      <c r="I1113" t="str">
        <f>IF(AND($B1113, Calculations!$B$9),Calculations!AB688,"")</f>
        <v/>
      </c>
      <c r="J1113" t="str">
        <f>IF(AND($B1113, Calculations!$B$9),Calculations!AC688,"")</f>
        <v/>
      </c>
      <c r="K1113" s="316" t="str">
        <f>IF(AND($B1113, Calculations!$B$8), 'Final Building Profile'!J38, "")</f>
        <v/>
      </c>
      <c r="L1113" s="250" t="str">
        <f>IF(AND($B1113, Calculations!$B$8), 'Final Building Profile'!K38, "")</f>
        <v/>
      </c>
      <c r="M1113" t="str">
        <f>IF(AND($B1113, Calculations!$B$8), 'Final Building Profile'!L38, "")</f>
        <v/>
      </c>
      <c r="N1113" t="str">
        <f>IF(AND($B1113, Calculations!$B$8),Calculations!AB688,"")</f>
        <v/>
      </c>
      <c r="O1113" t="str">
        <f>IF(AND($B1113, Calculations!$B$8),Calculations!AC688,"")</f>
        <v/>
      </c>
      <c r="P1113" s="316" t="str">
        <f>IF(AND($B1113, Calculations!$B$7), 'Final Building Profile'!P38, "")</f>
        <v/>
      </c>
      <c r="Q1113" s="204" t="str">
        <f>IF(AND($B1113, Calculations!$B$7), 'Final Building Profile'!Q38, "")</f>
        <v/>
      </c>
      <c r="R1113" t="str">
        <f>IF(AND($B1113, Calculations!$B$7), 'Final Building Profile'!N38-'Final Building Profile'!O38, "")</f>
        <v/>
      </c>
      <c r="S1113" t="str">
        <f>IF(AND($B1113, Calculations!$B$7),Calculations!AD688,"")</f>
        <v/>
      </c>
      <c r="T1113" t="str">
        <f>IF(AND($B1113, Calculations!$B$7),Calculations!AE688,"")</f>
        <v/>
      </c>
    </row>
    <row r="1114" spans="1:20">
      <c r="A1114" s="195" t="str">
        <f>IF(C1114="","",MAX(A$1077:A1113)+1)</f>
        <v/>
      </c>
      <c r="B1114" s="195" t="b">
        <f t="shared" si="17"/>
        <v>0</v>
      </c>
      <c r="C1114" t="str">
        <f>CONCATENATE('Final Building Profile'!B39)</f>
        <v/>
      </c>
      <c r="D1114" t="str">
        <f>CONCATENATE('Final Building Profile'!C39)</f>
        <v/>
      </c>
      <c r="E1114" t="str">
        <f>CONCATENATE('Final Building Profile'!F39)</f>
        <v/>
      </c>
      <c r="F1114" s="316" t="str">
        <f>IF(AND($B1114, Calculations!$B$9), 'Final Building Profile'!J39, "")</f>
        <v/>
      </c>
      <c r="G1114" s="250" t="str">
        <f>IF(AND($B1114, Calculations!$B$9), 'Final Building Profile'!K39, "")</f>
        <v/>
      </c>
      <c r="H1114" t="str">
        <f>IF(AND($B1114, Calculations!$B$9),'Final Building Profile'!M39,"")</f>
        <v/>
      </c>
      <c r="I1114" t="str">
        <f>IF(AND($B1114, Calculations!$B$9),Calculations!AB689,"")</f>
        <v/>
      </c>
      <c r="J1114" t="str">
        <f>IF(AND($B1114, Calculations!$B$9),Calculations!AC689,"")</f>
        <v/>
      </c>
      <c r="K1114" s="316" t="str">
        <f>IF(AND($B1114, Calculations!$B$8), 'Final Building Profile'!J39, "")</f>
        <v/>
      </c>
      <c r="L1114" s="250" t="str">
        <f>IF(AND($B1114, Calculations!$B$8), 'Final Building Profile'!K39, "")</f>
        <v/>
      </c>
      <c r="M1114" t="str">
        <f>IF(AND($B1114, Calculations!$B$8), 'Final Building Profile'!L39, "")</f>
        <v/>
      </c>
      <c r="N1114" t="str">
        <f>IF(AND($B1114, Calculations!$B$8),Calculations!AB689,"")</f>
        <v/>
      </c>
      <c r="O1114" t="str">
        <f>IF(AND($B1114, Calculations!$B$8),Calculations!AC689,"")</f>
        <v/>
      </c>
      <c r="P1114" s="316" t="str">
        <f>IF(AND($B1114, Calculations!$B$7), 'Final Building Profile'!P39, "")</f>
        <v/>
      </c>
      <c r="Q1114" s="204" t="str">
        <f>IF(AND($B1114, Calculations!$B$7), 'Final Building Profile'!Q39, "")</f>
        <v/>
      </c>
      <c r="R1114" t="str">
        <f>IF(AND($B1114, Calculations!$B$7), 'Final Building Profile'!N39-'Final Building Profile'!O39, "")</f>
        <v/>
      </c>
      <c r="S1114" t="str">
        <f>IF(AND($B1114, Calculations!$B$7),Calculations!AD689,"")</f>
        <v/>
      </c>
      <c r="T1114" t="str">
        <f>IF(AND($B1114, Calculations!$B$7),Calculations!AE689,"")</f>
        <v/>
      </c>
    </row>
    <row r="1115" spans="1:20">
      <c r="A1115" s="195" t="str">
        <f>IF(C1115="","",MAX(A$1077:A1114)+1)</f>
        <v/>
      </c>
      <c r="B1115" s="195" t="b">
        <f t="shared" si="17"/>
        <v>0</v>
      </c>
      <c r="C1115" t="str">
        <f>CONCATENATE('Final Building Profile'!B40)</f>
        <v/>
      </c>
      <c r="D1115" t="str">
        <f>CONCATENATE('Final Building Profile'!C40)</f>
        <v/>
      </c>
      <c r="E1115" t="str">
        <f>CONCATENATE('Final Building Profile'!F40)</f>
        <v/>
      </c>
      <c r="F1115" s="316" t="str">
        <f>IF(AND($B1115, Calculations!$B$9), 'Final Building Profile'!J40, "")</f>
        <v/>
      </c>
      <c r="G1115" s="250" t="str">
        <f>IF(AND($B1115, Calculations!$B$9), 'Final Building Profile'!K40, "")</f>
        <v/>
      </c>
      <c r="H1115" t="str">
        <f>IF(AND($B1115, Calculations!$B$9),'Final Building Profile'!M40,"")</f>
        <v/>
      </c>
      <c r="I1115" t="str">
        <f>IF(AND($B1115, Calculations!$B$9),Calculations!AB690,"")</f>
        <v/>
      </c>
      <c r="J1115" t="str">
        <f>IF(AND($B1115, Calculations!$B$9),Calculations!AC690,"")</f>
        <v/>
      </c>
      <c r="K1115" s="316" t="str">
        <f>IF(AND($B1115, Calculations!$B$8), 'Final Building Profile'!J40, "")</f>
        <v/>
      </c>
      <c r="L1115" s="250" t="str">
        <f>IF(AND($B1115, Calculations!$B$8), 'Final Building Profile'!K40, "")</f>
        <v/>
      </c>
      <c r="M1115" t="str">
        <f>IF(AND($B1115, Calculations!$B$8), 'Final Building Profile'!L40, "")</f>
        <v/>
      </c>
      <c r="N1115" t="str">
        <f>IF(AND($B1115, Calculations!$B$8),Calculations!AB690,"")</f>
        <v/>
      </c>
      <c r="O1115" t="str">
        <f>IF(AND($B1115, Calculations!$B$8),Calculations!AC690,"")</f>
        <v/>
      </c>
      <c r="P1115" s="316" t="str">
        <f>IF(AND($B1115, Calculations!$B$7), 'Final Building Profile'!P40, "")</f>
        <v/>
      </c>
      <c r="Q1115" s="204" t="str">
        <f>IF(AND($B1115, Calculations!$B$7), 'Final Building Profile'!Q40, "")</f>
        <v/>
      </c>
      <c r="R1115" t="str">
        <f>IF(AND($B1115, Calculations!$B$7), 'Final Building Profile'!N40-'Final Building Profile'!O40, "")</f>
        <v/>
      </c>
      <c r="S1115" t="str">
        <f>IF(AND($B1115, Calculations!$B$7),Calculations!AD690,"")</f>
        <v/>
      </c>
      <c r="T1115" t="str">
        <f>IF(AND($B1115, Calculations!$B$7),Calculations!AE690,"")</f>
        <v/>
      </c>
    </row>
    <row r="1116" spans="1:20">
      <c r="A1116" s="195" t="str">
        <f>IF(C1116="","",MAX(A$1077:A1115)+1)</f>
        <v/>
      </c>
      <c r="B1116" s="195" t="b">
        <f t="shared" si="17"/>
        <v>0</v>
      </c>
      <c r="C1116" t="str">
        <f>CONCATENATE('Final Building Profile'!B41)</f>
        <v/>
      </c>
      <c r="D1116" t="str">
        <f>CONCATENATE('Final Building Profile'!C41)</f>
        <v/>
      </c>
      <c r="E1116" t="str">
        <f>CONCATENATE('Final Building Profile'!F41)</f>
        <v/>
      </c>
      <c r="F1116" s="316" t="str">
        <f>IF(AND($B1116, Calculations!$B$9), 'Final Building Profile'!J41, "")</f>
        <v/>
      </c>
      <c r="G1116" s="250" t="str">
        <f>IF(AND($B1116, Calculations!$B$9), 'Final Building Profile'!K41, "")</f>
        <v/>
      </c>
      <c r="H1116" t="str">
        <f>IF(AND($B1116, Calculations!$B$9),'Final Building Profile'!M41,"")</f>
        <v/>
      </c>
      <c r="I1116" t="str">
        <f>IF(AND($B1116, Calculations!$B$9),Calculations!AB691,"")</f>
        <v/>
      </c>
      <c r="J1116" t="str">
        <f>IF(AND($B1116, Calculations!$B$9),Calculations!AC691,"")</f>
        <v/>
      </c>
      <c r="K1116" s="316" t="str">
        <f>IF(AND($B1116, Calculations!$B$8), 'Final Building Profile'!J41, "")</f>
        <v/>
      </c>
      <c r="L1116" s="250" t="str">
        <f>IF(AND($B1116, Calculations!$B$8), 'Final Building Profile'!K41, "")</f>
        <v/>
      </c>
      <c r="M1116" t="str">
        <f>IF(AND($B1116, Calculations!$B$8), 'Final Building Profile'!L41, "")</f>
        <v/>
      </c>
      <c r="N1116" t="str">
        <f>IF(AND($B1116, Calculations!$B$8),Calculations!AB691,"")</f>
        <v/>
      </c>
      <c r="O1116" t="str">
        <f>IF(AND($B1116, Calculations!$B$8),Calculations!AC691,"")</f>
        <v/>
      </c>
      <c r="P1116" s="316" t="str">
        <f>IF(AND($B1116, Calculations!$B$7), 'Final Building Profile'!P41, "")</f>
        <v/>
      </c>
      <c r="Q1116" s="204" t="str">
        <f>IF(AND($B1116, Calculations!$B$7), 'Final Building Profile'!Q41, "")</f>
        <v/>
      </c>
      <c r="R1116" t="str">
        <f>IF(AND($B1116, Calculations!$B$7), 'Final Building Profile'!N41-'Final Building Profile'!O41, "")</f>
        <v/>
      </c>
      <c r="S1116" t="str">
        <f>IF(AND($B1116, Calculations!$B$7),Calculations!AD691,"")</f>
        <v/>
      </c>
      <c r="T1116" t="str">
        <f>IF(AND($B1116, Calculations!$B$7),Calculations!AE691,"")</f>
        <v/>
      </c>
    </row>
    <row r="1117" spans="1:20">
      <c r="A1117" s="195" t="str">
        <f>IF(C1117="","",MAX(A$1077:A1116)+1)</f>
        <v/>
      </c>
      <c r="B1117" s="195" t="b">
        <f t="shared" si="17"/>
        <v>0</v>
      </c>
      <c r="C1117" t="str">
        <f>CONCATENATE('Final Building Profile'!B42)</f>
        <v/>
      </c>
      <c r="D1117" t="str">
        <f>CONCATENATE('Final Building Profile'!C42)</f>
        <v/>
      </c>
      <c r="E1117" t="str">
        <f>CONCATENATE('Final Building Profile'!F42)</f>
        <v/>
      </c>
      <c r="F1117" s="316" t="str">
        <f>IF(AND($B1117, Calculations!$B$9), 'Final Building Profile'!J42, "")</f>
        <v/>
      </c>
      <c r="G1117" s="250" t="str">
        <f>IF(AND($B1117, Calculations!$B$9), 'Final Building Profile'!K42, "")</f>
        <v/>
      </c>
      <c r="H1117" t="str">
        <f>IF(AND($B1117, Calculations!$B$9),'Final Building Profile'!M42,"")</f>
        <v/>
      </c>
      <c r="I1117" t="str">
        <f>IF(AND($B1117, Calculations!$B$9),Calculations!AB692,"")</f>
        <v/>
      </c>
      <c r="J1117" t="str">
        <f>IF(AND($B1117, Calculations!$B$9),Calculations!AC692,"")</f>
        <v/>
      </c>
      <c r="K1117" s="316" t="str">
        <f>IF(AND($B1117, Calculations!$B$8), 'Final Building Profile'!J42, "")</f>
        <v/>
      </c>
      <c r="L1117" s="250" t="str">
        <f>IF(AND($B1117, Calculations!$B$8), 'Final Building Profile'!K42, "")</f>
        <v/>
      </c>
      <c r="M1117" t="str">
        <f>IF(AND($B1117, Calculations!$B$8), 'Final Building Profile'!L42, "")</f>
        <v/>
      </c>
      <c r="N1117" t="str">
        <f>IF(AND($B1117, Calculations!$B$8),Calculations!AB692,"")</f>
        <v/>
      </c>
      <c r="O1117" t="str">
        <f>IF(AND($B1117, Calculations!$B$8),Calculations!AC692,"")</f>
        <v/>
      </c>
      <c r="P1117" s="316" t="str">
        <f>IF(AND($B1117, Calculations!$B$7), 'Final Building Profile'!P42, "")</f>
        <v/>
      </c>
      <c r="Q1117" s="204" t="str">
        <f>IF(AND($B1117, Calculations!$B$7), 'Final Building Profile'!Q42, "")</f>
        <v/>
      </c>
      <c r="R1117" t="str">
        <f>IF(AND($B1117, Calculations!$B$7), 'Final Building Profile'!N42-'Final Building Profile'!O42, "")</f>
        <v/>
      </c>
      <c r="S1117" t="str">
        <f>IF(AND($B1117, Calculations!$B$7),Calculations!AD692,"")</f>
        <v/>
      </c>
      <c r="T1117" t="str">
        <f>IF(AND($B1117, Calculations!$B$7),Calculations!AE692,"")</f>
        <v/>
      </c>
    </row>
    <row r="1118" spans="1:20">
      <c r="A1118" s="195" t="str">
        <f>IF(C1118="","",MAX(A$1077:A1117)+1)</f>
        <v/>
      </c>
      <c r="B1118" s="195" t="b">
        <f t="shared" si="17"/>
        <v>0</v>
      </c>
      <c r="C1118" t="str">
        <f>CONCATENATE('Final Building Profile'!B43)</f>
        <v/>
      </c>
      <c r="D1118" t="str">
        <f>CONCATENATE('Final Building Profile'!C43)</f>
        <v/>
      </c>
      <c r="E1118" t="str">
        <f>CONCATENATE('Final Building Profile'!F43)</f>
        <v/>
      </c>
      <c r="F1118" s="316" t="str">
        <f>IF(AND($B1118, Calculations!$B$9), 'Final Building Profile'!J43, "")</f>
        <v/>
      </c>
      <c r="G1118" s="250" t="str">
        <f>IF(AND($B1118, Calculations!$B$9), 'Final Building Profile'!K43, "")</f>
        <v/>
      </c>
      <c r="H1118" t="str">
        <f>IF(AND($B1118, Calculations!$B$9),'Final Building Profile'!M43,"")</f>
        <v/>
      </c>
      <c r="I1118" t="str">
        <f>IF(AND($B1118, Calculations!$B$9),Calculations!AB693,"")</f>
        <v/>
      </c>
      <c r="J1118" t="str">
        <f>IF(AND($B1118, Calculations!$B$9),Calculations!AC693,"")</f>
        <v/>
      </c>
      <c r="K1118" s="316" t="str">
        <f>IF(AND($B1118, Calculations!$B$8), 'Final Building Profile'!J43, "")</f>
        <v/>
      </c>
      <c r="L1118" s="250" t="str">
        <f>IF(AND($B1118, Calculations!$B$8), 'Final Building Profile'!K43, "")</f>
        <v/>
      </c>
      <c r="M1118" t="str">
        <f>IF(AND($B1118, Calculations!$B$8), 'Final Building Profile'!L43, "")</f>
        <v/>
      </c>
      <c r="N1118" t="str">
        <f>IF(AND($B1118, Calculations!$B$8),Calculations!AB693,"")</f>
        <v/>
      </c>
      <c r="O1118" t="str">
        <f>IF(AND($B1118, Calculations!$B$8),Calculations!AC693,"")</f>
        <v/>
      </c>
      <c r="P1118" s="316" t="str">
        <f>IF(AND($B1118, Calculations!$B$7), 'Final Building Profile'!P43, "")</f>
        <v/>
      </c>
      <c r="Q1118" s="204" t="str">
        <f>IF(AND($B1118, Calculations!$B$7), 'Final Building Profile'!Q43, "")</f>
        <v/>
      </c>
      <c r="R1118" t="str">
        <f>IF(AND($B1118, Calculations!$B$7), 'Final Building Profile'!N43-'Final Building Profile'!O43, "")</f>
        <v/>
      </c>
      <c r="S1118" t="str">
        <f>IF(AND($B1118, Calculations!$B$7),Calculations!AD693,"")</f>
        <v/>
      </c>
      <c r="T1118" t="str">
        <f>IF(AND($B1118, Calculations!$B$7),Calculations!AE693,"")</f>
        <v/>
      </c>
    </row>
    <row r="1119" spans="1:20">
      <c r="A1119" s="195" t="str">
        <f>IF(C1119="","",MAX(A$1077:A1118)+1)</f>
        <v/>
      </c>
      <c r="B1119" s="195" t="b">
        <f t="shared" si="17"/>
        <v>0</v>
      </c>
      <c r="C1119" t="str">
        <f>CONCATENATE('Final Building Profile'!B44)</f>
        <v/>
      </c>
      <c r="D1119" t="str">
        <f>CONCATENATE('Final Building Profile'!C44)</f>
        <v/>
      </c>
      <c r="E1119" t="str">
        <f>CONCATENATE('Final Building Profile'!F44)</f>
        <v/>
      </c>
      <c r="F1119" s="316" t="str">
        <f>IF(AND($B1119, Calculations!$B$9), 'Final Building Profile'!J44, "")</f>
        <v/>
      </c>
      <c r="G1119" s="250" t="str">
        <f>IF(AND($B1119, Calculations!$B$9), 'Final Building Profile'!K44, "")</f>
        <v/>
      </c>
      <c r="H1119" t="str">
        <f>IF(AND($B1119, Calculations!$B$9),'Final Building Profile'!M44,"")</f>
        <v/>
      </c>
      <c r="I1119" t="str">
        <f>IF(AND($B1119, Calculations!$B$9),Calculations!AB694,"")</f>
        <v/>
      </c>
      <c r="J1119" t="str">
        <f>IF(AND($B1119, Calculations!$B$9),Calculations!AC694,"")</f>
        <v/>
      </c>
      <c r="K1119" s="316" t="str">
        <f>IF(AND($B1119, Calculations!$B$8), 'Final Building Profile'!J44, "")</f>
        <v/>
      </c>
      <c r="L1119" s="250" t="str">
        <f>IF(AND($B1119, Calculations!$B$8), 'Final Building Profile'!K44, "")</f>
        <v/>
      </c>
      <c r="M1119" t="str">
        <f>IF(AND($B1119, Calculations!$B$8), 'Final Building Profile'!L44, "")</f>
        <v/>
      </c>
      <c r="N1119" t="str">
        <f>IF(AND($B1119, Calculations!$B$8),Calculations!AB694,"")</f>
        <v/>
      </c>
      <c r="O1119" t="str">
        <f>IF(AND($B1119, Calculations!$B$8),Calculations!AC694,"")</f>
        <v/>
      </c>
      <c r="P1119" s="316" t="str">
        <f>IF(AND($B1119, Calculations!$B$7), 'Final Building Profile'!P44, "")</f>
        <v/>
      </c>
      <c r="Q1119" s="204" t="str">
        <f>IF(AND($B1119, Calculations!$B$7), 'Final Building Profile'!Q44, "")</f>
        <v/>
      </c>
      <c r="R1119" t="str">
        <f>IF(AND($B1119, Calculations!$B$7), 'Final Building Profile'!N44-'Final Building Profile'!O44, "")</f>
        <v/>
      </c>
      <c r="S1119" t="str">
        <f>IF(AND($B1119, Calculations!$B$7),Calculations!AD694,"")</f>
        <v/>
      </c>
      <c r="T1119" t="str">
        <f>IF(AND($B1119, Calculations!$B$7),Calculations!AE694,"")</f>
        <v/>
      </c>
    </row>
    <row r="1120" spans="1:20">
      <c r="A1120" s="195" t="str">
        <f>IF(C1120="","",MAX(A$1077:A1119)+1)</f>
        <v/>
      </c>
      <c r="B1120" s="195" t="b">
        <f t="shared" si="17"/>
        <v>0</v>
      </c>
      <c r="C1120" t="str">
        <f>CONCATENATE('Final Building Profile'!B45)</f>
        <v/>
      </c>
      <c r="D1120" t="str">
        <f>CONCATENATE('Final Building Profile'!C45)</f>
        <v/>
      </c>
      <c r="E1120" t="str">
        <f>CONCATENATE('Final Building Profile'!F45)</f>
        <v/>
      </c>
      <c r="F1120" s="316" t="str">
        <f>IF(AND($B1120, Calculations!$B$9), 'Final Building Profile'!J45, "")</f>
        <v/>
      </c>
      <c r="G1120" s="250" t="str">
        <f>IF(AND($B1120, Calculations!$B$9), 'Final Building Profile'!K45, "")</f>
        <v/>
      </c>
      <c r="H1120" t="str">
        <f>IF(AND($B1120, Calculations!$B$9),'Final Building Profile'!M45,"")</f>
        <v/>
      </c>
      <c r="I1120" t="str">
        <f>IF(AND($B1120, Calculations!$B$9),Calculations!AB695,"")</f>
        <v/>
      </c>
      <c r="J1120" t="str">
        <f>IF(AND($B1120, Calculations!$B$9),Calculations!AC695,"")</f>
        <v/>
      </c>
      <c r="K1120" s="316" t="str">
        <f>IF(AND($B1120, Calculations!$B$8), 'Final Building Profile'!J45, "")</f>
        <v/>
      </c>
      <c r="L1120" s="250" t="str">
        <f>IF(AND($B1120, Calculations!$B$8), 'Final Building Profile'!K45, "")</f>
        <v/>
      </c>
      <c r="M1120" t="str">
        <f>IF(AND($B1120, Calculations!$B$8), 'Final Building Profile'!L45, "")</f>
        <v/>
      </c>
      <c r="N1120" t="str">
        <f>IF(AND($B1120, Calculations!$B$8),Calculations!AB695,"")</f>
        <v/>
      </c>
      <c r="O1120" t="str">
        <f>IF(AND($B1120, Calculations!$B$8),Calculations!AC695,"")</f>
        <v/>
      </c>
      <c r="P1120" s="316" t="str">
        <f>IF(AND($B1120, Calculations!$B$7), 'Final Building Profile'!P45, "")</f>
        <v/>
      </c>
      <c r="Q1120" s="204" t="str">
        <f>IF(AND($B1120, Calculations!$B$7), 'Final Building Profile'!Q45, "")</f>
        <v/>
      </c>
      <c r="R1120" t="str">
        <f>IF(AND($B1120, Calculations!$B$7), 'Final Building Profile'!N45-'Final Building Profile'!O45, "")</f>
        <v/>
      </c>
      <c r="S1120" t="str">
        <f>IF(AND($B1120, Calculations!$B$7),Calculations!AD695,"")</f>
        <v/>
      </c>
      <c r="T1120" t="str">
        <f>IF(AND($B1120, Calculations!$B$7),Calculations!AE695,"")</f>
        <v/>
      </c>
    </row>
    <row r="1121" spans="1:20">
      <c r="A1121" s="195" t="str">
        <f>IF(C1121="","",MAX(A$1077:A1120)+1)</f>
        <v/>
      </c>
      <c r="B1121" s="195" t="b">
        <f t="shared" si="17"/>
        <v>0</v>
      </c>
      <c r="C1121" t="str">
        <f>CONCATENATE('Final Building Profile'!B46)</f>
        <v/>
      </c>
      <c r="D1121" t="str">
        <f>CONCATENATE('Final Building Profile'!C46)</f>
        <v/>
      </c>
      <c r="E1121" t="str">
        <f>CONCATENATE('Final Building Profile'!F46)</f>
        <v/>
      </c>
      <c r="F1121" s="316" t="str">
        <f>IF(AND($B1121, Calculations!$B$9), 'Final Building Profile'!J46, "")</f>
        <v/>
      </c>
      <c r="G1121" s="250" t="str">
        <f>IF(AND($B1121, Calculations!$B$9), 'Final Building Profile'!K46, "")</f>
        <v/>
      </c>
      <c r="H1121" t="str">
        <f>IF(AND($B1121, Calculations!$B$9),'Final Building Profile'!M46,"")</f>
        <v/>
      </c>
      <c r="I1121" t="str">
        <f>IF(AND($B1121, Calculations!$B$9),Calculations!AB696,"")</f>
        <v/>
      </c>
      <c r="J1121" t="str">
        <f>IF(AND($B1121, Calculations!$B$9),Calculations!AC696,"")</f>
        <v/>
      </c>
      <c r="K1121" s="316" t="str">
        <f>IF(AND($B1121, Calculations!$B$8), 'Final Building Profile'!J46, "")</f>
        <v/>
      </c>
      <c r="L1121" s="250" t="str">
        <f>IF(AND($B1121, Calculations!$B$8), 'Final Building Profile'!K46, "")</f>
        <v/>
      </c>
      <c r="M1121" t="str">
        <f>IF(AND($B1121, Calculations!$B$8), 'Final Building Profile'!L46, "")</f>
        <v/>
      </c>
      <c r="N1121" t="str">
        <f>IF(AND($B1121, Calculations!$B$8),Calculations!AB696,"")</f>
        <v/>
      </c>
      <c r="O1121" t="str">
        <f>IF(AND($B1121, Calculations!$B$8),Calculations!AC696,"")</f>
        <v/>
      </c>
      <c r="P1121" s="316" t="str">
        <f>IF(AND($B1121, Calculations!$B$7), 'Final Building Profile'!P46, "")</f>
        <v/>
      </c>
      <c r="Q1121" s="204" t="str">
        <f>IF(AND($B1121, Calculations!$B$7), 'Final Building Profile'!Q46, "")</f>
        <v/>
      </c>
      <c r="R1121" t="str">
        <f>IF(AND($B1121, Calculations!$B$7), 'Final Building Profile'!N46-'Final Building Profile'!O46, "")</f>
        <v/>
      </c>
      <c r="S1121" t="str">
        <f>IF(AND($B1121, Calculations!$B$7),Calculations!AD696,"")</f>
        <v/>
      </c>
      <c r="T1121" t="str">
        <f>IF(AND($B1121, Calculations!$B$7),Calculations!AE696,"")</f>
        <v/>
      </c>
    </row>
    <row r="1122" spans="1:20">
      <c r="A1122" s="195" t="str">
        <f>IF(C1122="","",MAX(A$1077:A1121)+1)</f>
        <v/>
      </c>
      <c r="B1122" s="195" t="b">
        <f t="shared" si="17"/>
        <v>0</v>
      </c>
      <c r="C1122" t="str">
        <f>CONCATENATE('Final Building Profile'!B47)</f>
        <v/>
      </c>
      <c r="D1122" t="str">
        <f>CONCATENATE('Final Building Profile'!C47)</f>
        <v/>
      </c>
      <c r="E1122" t="str">
        <f>CONCATENATE('Final Building Profile'!F47)</f>
        <v/>
      </c>
      <c r="F1122" s="316" t="str">
        <f>IF(AND($B1122, Calculations!$B$9), 'Final Building Profile'!J47, "")</f>
        <v/>
      </c>
      <c r="G1122" s="250" t="str">
        <f>IF(AND($B1122, Calculations!$B$9), 'Final Building Profile'!K47, "")</f>
        <v/>
      </c>
      <c r="H1122" t="str">
        <f>IF(AND($B1122, Calculations!$B$9),'Final Building Profile'!M47,"")</f>
        <v/>
      </c>
      <c r="I1122" t="str">
        <f>IF(AND($B1122, Calculations!$B$9),Calculations!AB697,"")</f>
        <v/>
      </c>
      <c r="J1122" t="str">
        <f>IF(AND($B1122, Calculations!$B$9),Calculations!AC697,"")</f>
        <v/>
      </c>
      <c r="K1122" s="316" t="str">
        <f>IF(AND($B1122, Calculations!$B$8), 'Final Building Profile'!J47, "")</f>
        <v/>
      </c>
      <c r="L1122" s="250" t="str">
        <f>IF(AND($B1122, Calculations!$B$8), 'Final Building Profile'!K47, "")</f>
        <v/>
      </c>
      <c r="M1122" t="str">
        <f>IF(AND($B1122, Calculations!$B$8), 'Final Building Profile'!L47, "")</f>
        <v/>
      </c>
      <c r="N1122" t="str">
        <f>IF(AND($B1122, Calculations!$B$8),Calculations!AB697,"")</f>
        <v/>
      </c>
      <c r="O1122" t="str">
        <f>IF(AND($B1122, Calculations!$B$8),Calculations!AC697,"")</f>
        <v/>
      </c>
      <c r="P1122" s="316" t="str">
        <f>IF(AND($B1122, Calculations!$B$7), 'Final Building Profile'!P47, "")</f>
        <v/>
      </c>
      <c r="Q1122" s="204" t="str">
        <f>IF(AND($B1122, Calculations!$B$7), 'Final Building Profile'!Q47, "")</f>
        <v/>
      </c>
      <c r="R1122" t="str">
        <f>IF(AND($B1122, Calculations!$B$7), 'Final Building Profile'!N47-'Final Building Profile'!O47, "")</f>
        <v/>
      </c>
      <c r="S1122" t="str">
        <f>IF(AND($B1122, Calculations!$B$7),Calculations!AD697,"")</f>
        <v/>
      </c>
      <c r="T1122" t="str">
        <f>IF(AND($B1122, Calculations!$B$7),Calculations!AE697,"")</f>
        <v/>
      </c>
    </row>
    <row r="1123" spans="1:20">
      <c r="A1123" s="195" t="str">
        <f>IF(C1123="","",MAX(A$1077:A1122)+1)</f>
        <v/>
      </c>
      <c r="B1123" s="195" t="b">
        <f t="shared" si="17"/>
        <v>0</v>
      </c>
      <c r="C1123" t="str">
        <f>CONCATENATE('Final Building Profile'!B48)</f>
        <v/>
      </c>
      <c r="D1123" t="str">
        <f>CONCATENATE('Final Building Profile'!C48)</f>
        <v/>
      </c>
      <c r="E1123" t="str">
        <f>CONCATENATE('Final Building Profile'!F48)</f>
        <v/>
      </c>
      <c r="F1123" s="316" t="str">
        <f>IF(AND($B1123, Calculations!$B$9), 'Final Building Profile'!J48, "")</f>
        <v/>
      </c>
      <c r="G1123" s="250" t="str">
        <f>IF(AND($B1123, Calculations!$B$9), 'Final Building Profile'!K48, "")</f>
        <v/>
      </c>
      <c r="H1123" t="str">
        <f>IF(AND($B1123, Calculations!$B$9),'Final Building Profile'!M48,"")</f>
        <v/>
      </c>
      <c r="I1123" t="str">
        <f>IF(AND($B1123, Calculations!$B$9),Calculations!AB698,"")</f>
        <v/>
      </c>
      <c r="J1123" t="str">
        <f>IF(AND($B1123, Calculations!$B$9),Calculations!AC698,"")</f>
        <v/>
      </c>
      <c r="K1123" s="316" t="str">
        <f>IF(AND($B1123, Calculations!$B$8), 'Final Building Profile'!J48, "")</f>
        <v/>
      </c>
      <c r="L1123" s="250" t="str">
        <f>IF(AND($B1123, Calculations!$B$8), 'Final Building Profile'!K48, "")</f>
        <v/>
      </c>
      <c r="M1123" t="str">
        <f>IF(AND($B1123, Calculations!$B$8), 'Final Building Profile'!L48, "")</f>
        <v/>
      </c>
      <c r="N1123" t="str">
        <f>IF(AND($B1123, Calculations!$B$8),Calculations!AB698,"")</f>
        <v/>
      </c>
      <c r="O1123" t="str">
        <f>IF(AND($B1123, Calculations!$B$8),Calculations!AC698,"")</f>
        <v/>
      </c>
      <c r="P1123" s="316" t="str">
        <f>IF(AND($B1123, Calculations!$B$7), 'Final Building Profile'!P48, "")</f>
        <v/>
      </c>
      <c r="Q1123" s="204" t="str">
        <f>IF(AND($B1123, Calculations!$B$7), 'Final Building Profile'!Q48, "")</f>
        <v/>
      </c>
      <c r="R1123" t="str">
        <f>IF(AND($B1123, Calculations!$B$7), 'Final Building Profile'!N48-'Final Building Profile'!O48, "")</f>
        <v/>
      </c>
      <c r="S1123" t="str">
        <f>IF(AND($B1123, Calculations!$B$7),Calculations!AD698,"")</f>
        <v/>
      </c>
      <c r="T1123" t="str">
        <f>IF(AND($B1123, Calculations!$B$7),Calculations!AE698,"")</f>
        <v/>
      </c>
    </row>
    <row r="1124" spans="1:20">
      <c r="A1124" s="195" t="str">
        <f>IF(C1124="","",MAX(A$1077:A1123)+1)</f>
        <v/>
      </c>
      <c r="B1124" s="195" t="b">
        <f t="shared" si="17"/>
        <v>0</v>
      </c>
      <c r="C1124" t="str">
        <f>CONCATENATE('Final Building Profile'!B49)</f>
        <v/>
      </c>
      <c r="D1124" t="str">
        <f>CONCATENATE('Final Building Profile'!C49)</f>
        <v/>
      </c>
      <c r="E1124" t="str">
        <f>CONCATENATE('Final Building Profile'!F49)</f>
        <v/>
      </c>
      <c r="F1124" s="316" t="str">
        <f>IF(AND($B1124, Calculations!$B$9), 'Final Building Profile'!J49, "")</f>
        <v/>
      </c>
      <c r="G1124" s="250" t="str">
        <f>IF(AND($B1124, Calculations!$B$9), 'Final Building Profile'!K49, "")</f>
        <v/>
      </c>
      <c r="H1124" t="str">
        <f>IF(AND($B1124, Calculations!$B$9),'Final Building Profile'!M49,"")</f>
        <v/>
      </c>
      <c r="I1124" t="str">
        <f>IF(AND($B1124, Calculations!$B$9),Calculations!AB699,"")</f>
        <v/>
      </c>
      <c r="J1124" t="str">
        <f>IF(AND($B1124, Calculations!$B$9),Calculations!AC699,"")</f>
        <v/>
      </c>
      <c r="K1124" s="316" t="str">
        <f>IF(AND($B1124, Calculations!$B$8), 'Final Building Profile'!J49, "")</f>
        <v/>
      </c>
      <c r="L1124" s="250" t="str">
        <f>IF(AND($B1124, Calculations!$B$8), 'Final Building Profile'!K49, "")</f>
        <v/>
      </c>
      <c r="M1124" t="str">
        <f>IF(AND($B1124, Calculations!$B$8), 'Final Building Profile'!L49, "")</f>
        <v/>
      </c>
      <c r="N1124" t="str">
        <f>IF(AND($B1124, Calculations!$B$8),Calculations!AB699,"")</f>
        <v/>
      </c>
      <c r="O1124" t="str">
        <f>IF(AND($B1124, Calculations!$B$8),Calculations!AC699,"")</f>
        <v/>
      </c>
      <c r="P1124" s="316" t="str">
        <f>IF(AND($B1124, Calculations!$B$7), 'Final Building Profile'!P49, "")</f>
        <v/>
      </c>
      <c r="Q1124" s="204" t="str">
        <f>IF(AND($B1124, Calculations!$B$7), 'Final Building Profile'!Q49, "")</f>
        <v/>
      </c>
      <c r="R1124" t="str">
        <f>IF(AND($B1124, Calculations!$B$7), 'Final Building Profile'!N49-'Final Building Profile'!O49, "")</f>
        <v/>
      </c>
      <c r="S1124" t="str">
        <f>IF(AND($B1124, Calculations!$B$7),Calculations!AD699,"")</f>
        <v/>
      </c>
      <c r="T1124" t="str">
        <f>IF(AND($B1124, Calculations!$B$7),Calculations!AE699,"")</f>
        <v/>
      </c>
    </row>
    <row r="1125" spans="1:20">
      <c r="A1125" s="195" t="str">
        <f>IF(C1125="","",MAX(A$1077:A1124)+1)</f>
        <v/>
      </c>
      <c r="B1125" s="195" t="b">
        <f t="shared" si="17"/>
        <v>0</v>
      </c>
      <c r="C1125" t="str">
        <f>CONCATENATE('Final Building Profile'!B50)</f>
        <v/>
      </c>
      <c r="D1125" t="str">
        <f>CONCATENATE('Final Building Profile'!C50)</f>
        <v/>
      </c>
      <c r="E1125" t="str">
        <f>CONCATENATE('Final Building Profile'!F50)</f>
        <v/>
      </c>
      <c r="F1125" s="316" t="str">
        <f>IF(AND($B1125, Calculations!$B$9), 'Final Building Profile'!J50, "")</f>
        <v/>
      </c>
      <c r="G1125" s="250" t="str">
        <f>IF(AND($B1125, Calculations!$B$9), 'Final Building Profile'!K50, "")</f>
        <v/>
      </c>
      <c r="H1125" t="str">
        <f>IF(AND($B1125, Calculations!$B$9),'Final Building Profile'!M50,"")</f>
        <v/>
      </c>
      <c r="I1125" t="str">
        <f>IF(AND($B1125, Calculations!$B$9),Calculations!AB700,"")</f>
        <v/>
      </c>
      <c r="J1125" t="str">
        <f>IF(AND($B1125, Calculations!$B$9),Calculations!AC700,"")</f>
        <v/>
      </c>
      <c r="K1125" s="316" t="str">
        <f>IF(AND($B1125, Calculations!$B$8), 'Final Building Profile'!J50, "")</f>
        <v/>
      </c>
      <c r="L1125" s="250" t="str">
        <f>IF(AND($B1125, Calculations!$B$8), 'Final Building Profile'!K50, "")</f>
        <v/>
      </c>
      <c r="M1125" t="str">
        <f>IF(AND($B1125, Calculations!$B$8), 'Final Building Profile'!L50, "")</f>
        <v/>
      </c>
      <c r="N1125" t="str">
        <f>IF(AND($B1125, Calculations!$B$8),Calculations!AB700,"")</f>
        <v/>
      </c>
      <c r="O1125" t="str">
        <f>IF(AND($B1125, Calculations!$B$8),Calculations!AC700,"")</f>
        <v/>
      </c>
      <c r="P1125" s="316" t="str">
        <f>IF(AND($B1125, Calculations!$B$7), 'Final Building Profile'!P50, "")</f>
        <v/>
      </c>
      <c r="Q1125" s="204" t="str">
        <f>IF(AND($B1125, Calculations!$B$7), 'Final Building Profile'!Q50, "")</f>
        <v/>
      </c>
      <c r="R1125" t="str">
        <f>IF(AND($B1125, Calculations!$B$7), 'Final Building Profile'!N50-'Final Building Profile'!O50, "")</f>
        <v/>
      </c>
      <c r="S1125" t="str">
        <f>IF(AND($B1125, Calculations!$B$7),Calculations!AD700,"")</f>
        <v/>
      </c>
      <c r="T1125" t="str">
        <f>IF(AND($B1125, Calculations!$B$7),Calculations!AE700,"")</f>
        <v/>
      </c>
    </row>
    <row r="1126" spans="1:20">
      <c r="A1126" s="195" t="str">
        <f>IF(C1126="","",MAX(A$1077:A1125)+1)</f>
        <v/>
      </c>
      <c r="B1126" s="195" t="b">
        <f t="shared" si="17"/>
        <v>0</v>
      </c>
      <c r="C1126" t="str">
        <f>CONCATENATE('Final Building Profile'!B51)</f>
        <v/>
      </c>
      <c r="D1126" t="str">
        <f>CONCATENATE('Final Building Profile'!C51)</f>
        <v/>
      </c>
      <c r="E1126" t="str">
        <f>CONCATENATE('Final Building Profile'!F51)</f>
        <v/>
      </c>
      <c r="F1126" s="316" t="str">
        <f>IF(AND($B1126, Calculations!$B$9), 'Final Building Profile'!J51, "")</f>
        <v/>
      </c>
      <c r="G1126" s="250" t="str">
        <f>IF(AND($B1126, Calculations!$B$9), 'Final Building Profile'!K51, "")</f>
        <v/>
      </c>
      <c r="H1126" t="str">
        <f>IF(AND($B1126, Calculations!$B$9),'Final Building Profile'!M51,"")</f>
        <v/>
      </c>
      <c r="I1126" t="str">
        <f>IF(AND($B1126, Calculations!$B$9),Calculations!AB701,"")</f>
        <v/>
      </c>
      <c r="J1126" t="str">
        <f>IF(AND($B1126, Calculations!$B$9),Calculations!AC701,"")</f>
        <v/>
      </c>
      <c r="K1126" s="316" t="str">
        <f>IF(AND($B1126, Calculations!$B$8), 'Final Building Profile'!J51, "")</f>
        <v/>
      </c>
      <c r="L1126" s="250" t="str">
        <f>IF(AND($B1126, Calculations!$B$8), 'Final Building Profile'!K51, "")</f>
        <v/>
      </c>
      <c r="M1126" t="str">
        <f>IF(AND($B1126, Calculations!$B$8), 'Final Building Profile'!L51, "")</f>
        <v/>
      </c>
      <c r="N1126" t="str">
        <f>IF(AND($B1126, Calculations!$B$8),Calculations!AB701,"")</f>
        <v/>
      </c>
      <c r="O1126" t="str">
        <f>IF(AND($B1126, Calculations!$B$8),Calculations!AC701,"")</f>
        <v/>
      </c>
      <c r="P1126" s="316" t="str">
        <f>IF(AND($B1126, Calculations!$B$7), 'Final Building Profile'!P51, "")</f>
        <v/>
      </c>
      <c r="Q1126" s="204" t="str">
        <f>IF(AND($B1126, Calculations!$B$7), 'Final Building Profile'!Q51, "")</f>
        <v/>
      </c>
      <c r="R1126" t="str">
        <f>IF(AND($B1126, Calculations!$B$7), 'Final Building Profile'!N51-'Final Building Profile'!O51, "")</f>
        <v/>
      </c>
      <c r="S1126" t="str">
        <f>IF(AND($B1126, Calculations!$B$7),Calculations!AD701,"")</f>
        <v/>
      </c>
      <c r="T1126" t="str">
        <f>IF(AND($B1126, Calculations!$B$7),Calculations!AE701,"")</f>
        <v/>
      </c>
    </row>
    <row r="1127" spans="1:20">
      <c r="A1127" s="195" t="str">
        <f>IF(C1127="","",MAX(A$1077:A1126)+1)</f>
        <v/>
      </c>
      <c r="B1127" s="195" t="b">
        <f t="shared" si="17"/>
        <v>0</v>
      </c>
      <c r="C1127" t="str">
        <f>CONCATENATE('Final Building Profile'!B52)</f>
        <v/>
      </c>
      <c r="D1127" t="str">
        <f>CONCATENATE('Final Building Profile'!C52)</f>
        <v/>
      </c>
      <c r="E1127" t="str">
        <f>CONCATENATE('Final Building Profile'!F52)</f>
        <v/>
      </c>
      <c r="F1127" s="316" t="str">
        <f>IF(AND($B1127, Calculations!$B$9), 'Final Building Profile'!J52, "")</f>
        <v/>
      </c>
      <c r="G1127" s="250" t="str">
        <f>IF(AND($B1127, Calculations!$B$9), 'Final Building Profile'!K52, "")</f>
        <v/>
      </c>
      <c r="H1127" t="str">
        <f>IF(AND($B1127, Calculations!$B$9),'Final Building Profile'!M52,"")</f>
        <v/>
      </c>
      <c r="I1127" t="str">
        <f>IF(AND($B1127, Calculations!$B$9),Calculations!AB702,"")</f>
        <v/>
      </c>
      <c r="J1127" t="str">
        <f>IF(AND($B1127, Calculations!$B$9),Calculations!AC702,"")</f>
        <v/>
      </c>
      <c r="K1127" s="316" t="str">
        <f>IF(AND($B1127, Calculations!$B$8), 'Final Building Profile'!J52, "")</f>
        <v/>
      </c>
      <c r="L1127" s="250" t="str">
        <f>IF(AND($B1127, Calculations!$B$8), 'Final Building Profile'!K52, "")</f>
        <v/>
      </c>
      <c r="M1127" t="str">
        <f>IF(AND($B1127, Calculations!$B$8), 'Final Building Profile'!L52, "")</f>
        <v/>
      </c>
      <c r="N1127" t="str">
        <f>IF(AND($B1127, Calculations!$B$8),Calculations!AB702,"")</f>
        <v/>
      </c>
      <c r="O1127" t="str">
        <f>IF(AND($B1127, Calculations!$B$8),Calculations!AC702,"")</f>
        <v/>
      </c>
      <c r="P1127" s="316" t="str">
        <f>IF(AND($B1127, Calculations!$B$7), 'Final Building Profile'!P52, "")</f>
        <v/>
      </c>
      <c r="Q1127" s="204" t="str">
        <f>IF(AND($B1127, Calculations!$B$7), 'Final Building Profile'!Q52, "")</f>
        <v/>
      </c>
      <c r="R1127" t="str">
        <f>IF(AND($B1127, Calculations!$B$7), 'Final Building Profile'!N52-'Final Building Profile'!O52, "")</f>
        <v/>
      </c>
      <c r="S1127" t="str">
        <f>IF(AND($B1127, Calculations!$B$7),Calculations!AD702,"")</f>
        <v/>
      </c>
      <c r="T1127" t="str">
        <f>IF(AND($B1127, Calculations!$B$7),Calculations!AE702,"")</f>
        <v/>
      </c>
    </row>
    <row r="1128" spans="1:20">
      <c r="A1128" s="195" t="str">
        <f>IF(C1128="","",MAX(A$1077:A1127)+1)</f>
        <v/>
      </c>
      <c r="B1128" s="195" t="b">
        <f t="shared" si="17"/>
        <v>0</v>
      </c>
      <c r="C1128" t="str">
        <f>CONCATENATE('Final Building Profile'!B53)</f>
        <v/>
      </c>
      <c r="D1128" t="str">
        <f>CONCATENATE('Final Building Profile'!C53)</f>
        <v/>
      </c>
      <c r="E1128" t="str">
        <f>CONCATENATE('Final Building Profile'!F53)</f>
        <v/>
      </c>
      <c r="F1128" s="316" t="str">
        <f>IF(AND($B1128, Calculations!$B$9), 'Final Building Profile'!J53, "")</f>
        <v/>
      </c>
      <c r="G1128" s="250" t="str">
        <f>IF(AND($B1128, Calculations!$B$9), 'Final Building Profile'!K53, "")</f>
        <v/>
      </c>
      <c r="H1128" t="str">
        <f>IF(AND($B1128, Calculations!$B$9),'Final Building Profile'!M53,"")</f>
        <v/>
      </c>
      <c r="I1128" t="str">
        <f>IF(AND($B1128, Calculations!$B$9),Calculations!AB703,"")</f>
        <v/>
      </c>
      <c r="J1128" t="str">
        <f>IF(AND($B1128, Calculations!$B$9),Calculations!AC703,"")</f>
        <v/>
      </c>
      <c r="K1128" s="316" t="str">
        <f>IF(AND($B1128, Calculations!$B$8), 'Final Building Profile'!J53, "")</f>
        <v/>
      </c>
      <c r="L1128" s="250" t="str">
        <f>IF(AND($B1128, Calculations!$B$8), 'Final Building Profile'!K53, "")</f>
        <v/>
      </c>
      <c r="M1128" t="str">
        <f>IF(AND($B1128, Calculations!$B$8), 'Final Building Profile'!L53, "")</f>
        <v/>
      </c>
      <c r="N1128" t="str">
        <f>IF(AND($B1128, Calculations!$B$8),Calculations!AB703,"")</f>
        <v/>
      </c>
      <c r="O1128" t="str">
        <f>IF(AND($B1128, Calculations!$B$8),Calculations!AC703,"")</f>
        <v/>
      </c>
      <c r="P1128" s="316" t="str">
        <f>IF(AND($B1128, Calculations!$B$7), 'Final Building Profile'!P53, "")</f>
        <v/>
      </c>
      <c r="Q1128" s="204" t="str">
        <f>IF(AND($B1128, Calculations!$B$7), 'Final Building Profile'!Q53, "")</f>
        <v/>
      </c>
      <c r="R1128" t="str">
        <f>IF(AND($B1128, Calculations!$B$7), 'Final Building Profile'!N53-'Final Building Profile'!O53, "")</f>
        <v/>
      </c>
      <c r="S1128" t="str">
        <f>IF(AND($B1128, Calculations!$B$7),Calculations!AD703,"")</f>
        <v/>
      </c>
      <c r="T1128" t="str">
        <f>IF(AND($B1128, Calculations!$B$7),Calculations!AE703,"")</f>
        <v/>
      </c>
    </row>
    <row r="1129" spans="1:20">
      <c r="A1129" s="195" t="str">
        <f>IF(C1129="","",MAX(A$1077:A1128)+1)</f>
        <v/>
      </c>
      <c r="B1129" s="195" t="b">
        <f t="shared" si="17"/>
        <v>0</v>
      </c>
      <c r="C1129" t="str">
        <f>CONCATENATE('Final Building Profile'!B54)</f>
        <v/>
      </c>
      <c r="D1129" t="str">
        <f>CONCATENATE('Final Building Profile'!C54)</f>
        <v/>
      </c>
      <c r="E1129" t="str">
        <f>CONCATENATE('Final Building Profile'!F54)</f>
        <v/>
      </c>
      <c r="F1129" s="316" t="str">
        <f>IF(AND($B1129, Calculations!$B$9), 'Final Building Profile'!J54, "")</f>
        <v/>
      </c>
      <c r="G1129" s="250" t="str">
        <f>IF(AND($B1129, Calculations!$B$9), 'Final Building Profile'!K54, "")</f>
        <v/>
      </c>
      <c r="H1129" t="str">
        <f>IF(AND($B1129, Calculations!$B$9),'Final Building Profile'!M54,"")</f>
        <v/>
      </c>
      <c r="I1129" t="str">
        <f>IF(AND($B1129, Calculations!$B$9),Calculations!AB704,"")</f>
        <v/>
      </c>
      <c r="J1129" t="str">
        <f>IF(AND($B1129, Calculations!$B$9),Calculations!AC704,"")</f>
        <v/>
      </c>
      <c r="K1129" s="316" t="str">
        <f>IF(AND($B1129, Calculations!$B$8), 'Final Building Profile'!J54, "")</f>
        <v/>
      </c>
      <c r="L1129" s="250" t="str">
        <f>IF(AND($B1129, Calculations!$B$8), 'Final Building Profile'!K54, "")</f>
        <v/>
      </c>
      <c r="M1129" t="str">
        <f>IF(AND($B1129, Calculations!$B$8), 'Final Building Profile'!L54, "")</f>
        <v/>
      </c>
      <c r="N1129" t="str">
        <f>IF(AND($B1129, Calculations!$B$8),Calculations!AB704,"")</f>
        <v/>
      </c>
      <c r="O1129" t="str">
        <f>IF(AND($B1129, Calculations!$B$8),Calculations!AC704,"")</f>
        <v/>
      </c>
      <c r="P1129" s="316" t="str">
        <f>IF(AND($B1129, Calculations!$B$7), 'Final Building Profile'!P54, "")</f>
        <v/>
      </c>
      <c r="Q1129" s="204" t="str">
        <f>IF(AND($B1129, Calculations!$B$7), 'Final Building Profile'!Q54, "")</f>
        <v/>
      </c>
      <c r="R1129" t="str">
        <f>IF(AND($B1129, Calculations!$B$7), 'Final Building Profile'!N54-'Final Building Profile'!O54, "")</f>
        <v/>
      </c>
      <c r="S1129" t="str">
        <f>IF(AND($B1129, Calculations!$B$7),Calculations!AD704,"")</f>
        <v/>
      </c>
      <c r="T1129" t="str">
        <f>IF(AND($B1129, Calculations!$B$7),Calculations!AE704,"")</f>
        <v/>
      </c>
    </row>
    <row r="1130" spans="1:20">
      <c r="A1130" s="195" t="str">
        <f>IF(C1130="","",MAX(A$1077:A1129)+1)</f>
        <v/>
      </c>
      <c r="B1130" s="195" t="b">
        <f t="shared" si="17"/>
        <v>0</v>
      </c>
      <c r="C1130" t="str">
        <f>CONCATENATE('Final Building Profile'!B55)</f>
        <v/>
      </c>
      <c r="D1130" t="str">
        <f>CONCATENATE('Final Building Profile'!C55)</f>
        <v/>
      </c>
      <c r="E1130" t="str">
        <f>CONCATENATE('Final Building Profile'!F55)</f>
        <v/>
      </c>
      <c r="F1130" s="316" t="str">
        <f>IF(AND($B1130, Calculations!$B$9), 'Final Building Profile'!J55, "")</f>
        <v/>
      </c>
      <c r="G1130" s="250" t="str">
        <f>IF(AND($B1130, Calculations!$B$9), 'Final Building Profile'!K55, "")</f>
        <v/>
      </c>
      <c r="H1130" t="str">
        <f>IF(AND($B1130, Calculations!$B$9),'Final Building Profile'!M55,"")</f>
        <v/>
      </c>
      <c r="I1130" t="str">
        <f>IF(AND($B1130, Calculations!$B$9),Calculations!AB705,"")</f>
        <v/>
      </c>
      <c r="J1130" t="str">
        <f>IF(AND($B1130, Calculations!$B$9),Calculations!AC705,"")</f>
        <v/>
      </c>
      <c r="K1130" s="316" t="str">
        <f>IF(AND($B1130, Calculations!$B$8), 'Final Building Profile'!J55, "")</f>
        <v/>
      </c>
      <c r="L1130" s="250" t="str">
        <f>IF(AND($B1130, Calculations!$B$8), 'Final Building Profile'!K55, "")</f>
        <v/>
      </c>
      <c r="M1130" t="str">
        <f>IF(AND($B1130, Calculations!$B$8), 'Final Building Profile'!L55, "")</f>
        <v/>
      </c>
      <c r="N1130" t="str">
        <f>IF(AND($B1130, Calculations!$B$8),Calculations!AB705,"")</f>
        <v/>
      </c>
      <c r="O1130" t="str">
        <f>IF(AND($B1130, Calculations!$B$8),Calculations!AC705,"")</f>
        <v/>
      </c>
      <c r="P1130" s="316" t="str">
        <f>IF(AND($B1130, Calculations!$B$7), 'Final Building Profile'!P55, "")</f>
        <v/>
      </c>
      <c r="Q1130" s="204" t="str">
        <f>IF(AND($B1130, Calculations!$B$7), 'Final Building Profile'!Q55, "")</f>
        <v/>
      </c>
      <c r="R1130" t="str">
        <f>IF(AND($B1130, Calculations!$B$7), 'Final Building Profile'!N55-'Final Building Profile'!O55, "")</f>
        <v/>
      </c>
      <c r="S1130" t="str">
        <f>IF(AND($B1130, Calculations!$B$7),Calculations!AD705,"")</f>
        <v/>
      </c>
      <c r="T1130" t="str">
        <f>IF(AND($B1130, Calculations!$B$7),Calculations!AE705,"")</f>
        <v/>
      </c>
    </row>
    <row r="1131" spans="1:20">
      <c r="A1131" s="195" t="str">
        <f>IF(C1131="","",MAX(A$1077:A1130)+1)</f>
        <v/>
      </c>
      <c r="B1131" s="195" t="b">
        <f t="shared" si="17"/>
        <v>0</v>
      </c>
      <c r="C1131" t="str">
        <f>CONCATENATE('Final Building Profile'!B56)</f>
        <v/>
      </c>
      <c r="D1131" t="str">
        <f>CONCATENATE('Final Building Profile'!C56)</f>
        <v/>
      </c>
      <c r="E1131" t="str">
        <f>CONCATENATE('Final Building Profile'!F56)</f>
        <v/>
      </c>
      <c r="F1131" s="316" t="str">
        <f>IF(AND($B1131, Calculations!$B$9), 'Final Building Profile'!J56, "")</f>
        <v/>
      </c>
      <c r="G1131" s="250" t="str">
        <f>IF(AND($B1131, Calculations!$B$9), 'Final Building Profile'!K56, "")</f>
        <v/>
      </c>
      <c r="H1131" t="str">
        <f>IF(AND($B1131, Calculations!$B$9),'Final Building Profile'!M56,"")</f>
        <v/>
      </c>
      <c r="I1131" t="str">
        <f>IF(AND($B1131, Calculations!$B$9),Calculations!AB706,"")</f>
        <v/>
      </c>
      <c r="J1131" t="str">
        <f>IF(AND($B1131, Calculations!$B$9),Calculations!AC706,"")</f>
        <v/>
      </c>
      <c r="K1131" s="316" t="str">
        <f>IF(AND($B1131, Calculations!$B$8), 'Final Building Profile'!J56, "")</f>
        <v/>
      </c>
      <c r="L1131" s="250" t="str">
        <f>IF(AND($B1131, Calculations!$B$8), 'Final Building Profile'!K56, "")</f>
        <v/>
      </c>
      <c r="M1131" t="str">
        <f>IF(AND($B1131, Calculations!$B$8), 'Final Building Profile'!L56, "")</f>
        <v/>
      </c>
      <c r="N1131" t="str">
        <f>IF(AND($B1131, Calculations!$B$8),Calculations!AB706,"")</f>
        <v/>
      </c>
      <c r="O1131" t="str">
        <f>IF(AND($B1131, Calculations!$B$8),Calculations!AC706,"")</f>
        <v/>
      </c>
      <c r="P1131" s="316" t="str">
        <f>IF(AND($B1131, Calculations!$B$7), 'Final Building Profile'!P56, "")</f>
        <v/>
      </c>
      <c r="Q1131" s="204" t="str">
        <f>IF(AND($B1131, Calculations!$B$7), 'Final Building Profile'!Q56, "")</f>
        <v/>
      </c>
      <c r="R1131" t="str">
        <f>IF(AND($B1131, Calculations!$B$7), 'Final Building Profile'!N56-'Final Building Profile'!O56, "")</f>
        <v/>
      </c>
      <c r="S1131" t="str">
        <f>IF(AND($B1131, Calculations!$B$7),Calculations!AD706,"")</f>
        <v/>
      </c>
      <c r="T1131" t="str">
        <f>IF(AND($B1131, Calculations!$B$7),Calculations!AE706,"")</f>
        <v/>
      </c>
    </row>
    <row r="1132" spans="1:20">
      <c r="A1132" s="195" t="str">
        <f>IF(C1132="","",MAX(A$1077:A1131)+1)</f>
        <v/>
      </c>
      <c r="B1132" s="195" t="b">
        <f t="shared" si="17"/>
        <v>0</v>
      </c>
      <c r="C1132" t="str">
        <f>CONCATENATE('Final Building Profile'!B57)</f>
        <v/>
      </c>
      <c r="D1132" t="str">
        <f>CONCATENATE('Final Building Profile'!C57)</f>
        <v/>
      </c>
      <c r="E1132" t="str">
        <f>CONCATENATE('Final Building Profile'!F57)</f>
        <v/>
      </c>
      <c r="F1132" s="316" t="str">
        <f>IF(AND($B1132, Calculations!$B$9), 'Final Building Profile'!J57, "")</f>
        <v/>
      </c>
      <c r="G1132" s="250" t="str">
        <f>IF(AND($B1132, Calculations!$B$9), 'Final Building Profile'!K57, "")</f>
        <v/>
      </c>
      <c r="H1132" t="str">
        <f>IF(AND($B1132, Calculations!$B$9),'Final Building Profile'!M57,"")</f>
        <v/>
      </c>
      <c r="I1132" t="str">
        <f>IF(AND($B1132, Calculations!$B$9),Calculations!AB707,"")</f>
        <v/>
      </c>
      <c r="J1132" t="str">
        <f>IF(AND($B1132, Calculations!$B$9),Calculations!AC707,"")</f>
        <v/>
      </c>
      <c r="K1132" s="316" t="str">
        <f>IF(AND($B1132, Calculations!$B$8), 'Final Building Profile'!J57, "")</f>
        <v/>
      </c>
      <c r="L1132" s="250" t="str">
        <f>IF(AND($B1132, Calculations!$B$8), 'Final Building Profile'!K57, "")</f>
        <v/>
      </c>
      <c r="M1132" t="str">
        <f>IF(AND($B1132, Calculations!$B$8), 'Final Building Profile'!L57, "")</f>
        <v/>
      </c>
      <c r="N1132" t="str">
        <f>IF(AND($B1132, Calculations!$B$8),Calculations!AB707,"")</f>
        <v/>
      </c>
      <c r="O1132" t="str">
        <f>IF(AND($B1132, Calculations!$B$8),Calculations!AC707,"")</f>
        <v/>
      </c>
      <c r="P1132" s="316" t="str">
        <f>IF(AND($B1132, Calculations!$B$7), 'Final Building Profile'!P57, "")</f>
        <v/>
      </c>
      <c r="Q1132" s="204" t="str">
        <f>IF(AND($B1132, Calculations!$B$7), 'Final Building Profile'!Q57, "")</f>
        <v/>
      </c>
      <c r="R1132" t="str">
        <f>IF(AND($B1132, Calculations!$B$7), 'Final Building Profile'!N57-'Final Building Profile'!O57, "")</f>
        <v/>
      </c>
      <c r="S1132" t="str">
        <f>IF(AND($B1132, Calculations!$B$7),Calculations!AD707,"")</f>
        <v/>
      </c>
      <c r="T1132" t="str">
        <f>IF(AND($B1132, Calculations!$B$7),Calculations!AE707,"")</f>
        <v/>
      </c>
    </row>
    <row r="1133" spans="1:20">
      <c r="A1133" s="195" t="str">
        <f>IF(C1133="","",MAX(A$1077:A1132)+1)</f>
        <v/>
      </c>
      <c r="B1133" s="195" t="b">
        <f t="shared" si="17"/>
        <v>0</v>
      </c>
      <c r="C1133" t="str">
        <f>CONCATENATE('Final Building Profile'!B58)</f>
        <v/>
      </c>
      <c r="D1133" t="str">
        <f>CONCATENATE('Final Building Profile'!C58)</f>
        <v/>
      </c>
      <c r="E1133" t="str">
        <f>CONCATENATE('Final Building Profile'!F58)</f>
        <v/>
      </c>
      <c r="F1133" s="316" t="str">
        <f>IF(AND($B1133, Calculations!$B$9), 'Final Building Profile'!J58, "")</f>
        <v/>
      </c>
      <c r="G1133" s="250" t="str">
        <f>IF(AND($B1133, Calculations!$B$9), 'Final Building Profile'!K58, "")</f>
        <v/>
      </c>
      <c r="H1133" t="str">
        <f>IF(AND($B1133, Calculations!$B$9),'Final Building Profile'!M58,"")</f>
        <v/>
      </c>
      <c r="I1133" t="str">
        <f>IF(AND($B1133, Calculations!$B$9),Calculations!AB708,"")</f>
        <v/>
      </c>
      <c r="J1133" t="str">
        <f>IF(AND($B1133, Calculations!$B$9),Calculations!AC708,"")</f>
        <v/>
      </c>
      <c r="K1133" s="316" t="str">
        <f>IF(AND($B1133, Calculations!$B$8), 'Final Building Profile'!J58, "")</f>
        <v/>
      </c>
      <c r="L1133" s="250" t="str">
        <f>IF(AND($B1133, Calculations!$B$8), 'Final Building Profile'!K58, "")</f>
        <v/>
      </c>
      <c r="M1133" t="str">
        <f>IF(AND($B1133, Calculations!$B$8), 'Final Building Profile'!L58, "")</f>
        <v/>
      </c>
      <c r="N1133" t="str">
        <f>IF(AND($B1133, Calculations!$B$8),Calculations!AB708,"")</f>
        <v/>
      </c>
      <c r="O1133" t="str">
        <f>IF(AND($B1133, Calculations!$B$8),Calculations!AC708,"")</f>
        <v/>
      </c>
      <c r="P1133" s="316" t="str">
        <f>IF(AND($B1133, Calculations!$B$7), 'Final Building Profile'!P58, "")</f>
        <v/>
      </c>
      <c r="Q1133" s="204" t="str">
        <f>IF(AND($B1133, Calculations!$B$7), 'Final Building Profile'!Q58, "")</f>
        <v/>
      </c>
      <c r="R1133" t="str">
        <f>IF(AND($B1133, Calculations!$B$7), 'Final Building Profile'!N58-'Final Building Profile'!O58, "")</f>
        <v/>
      </c>
      <c r="S1133" t="str">
        <f>IF(AND($B1133, Calculations!$B$7),Calculations!AD708,"")</f>
        <v/>
      </c>
      <c r="T1133" t="str">
        <f>IF(AND($B1133, Calculations!$B$7),Calculations!AE708,"")</f>
        <v/>
      </c>
    </row>
    <row r="1134" spans="1:20">
      <c r="A1134" s="195" t="str">
        <f>IF(C1134="","",MAX(A$1077:A1133)+1)</f>
        <v/>
      </c>
      <c r="B1134" s="195" t="b">
        <f t="shared" si="17"/>
        <v>0</v>
      </c>
      <c r="C1134" t="str">
        <f>CONCATENATE('Final Building Profile'!B59)</f>
        <v/>
      </c>
      <c r="D1134" t="str">
        <f>CONCATENATE('Final Building Profile'!C59)</f>
        <v/>
      </c>
      <c r="E1134" t="str">
        <f>CONCATENATE('Final Building Profile'!F59)</f>
        <v/>
      </c>
      <c r="F1134" s="316" t="str">
        <f>IF(AND($B1134, Calculations!$B$9), 'Final Building Profile'!J59, "")</f>
        <v/>
      </c>
      <c r="G1134" s="250" t="str">
        <f>IF(AND($B1134, Calculations!$B$9), 'Final Building Profile'!K59, "")</f>
        <v/>
      </c>
      <c r="H1134" t="str">
        <f>IF(AND($B1134, Calculations!$B$9),'Final Building Profile'!M59,"")</f>
        <v/>
      </c>
      <c r="I1134" t="str">
        <f>IF(AND($B1134, Calculations!$B$9),Calculations!AB709,"")</f>
        <v/>
      </c>
      <c r="J1134" t="str">
        <f>IF(AND($B1134, Calculations!$B$9),Calculations!AC709,"")</f>
        <v/>
      </c>
      <c r="K1134" s="316" t="str">
        <f>IF(AND($B1134, Calculations!$B$8), 'Final Building Profile'!J59, "")</f>
        <v/>
      </c>
      <c r="L1134" s="250" t="str">
        <f>IF(AND($B1134, Calculations!$B$8), 'Final Building Profile'!K59, "")</f>
        <v/>
      </c>
      <c r="M1134" t="str">
        <f>IF(AND($B1134, Calculations!$B$8), 'Final Building Profile'!L59, "")</f>
        <v/>
      </c>
      <c r="N1134" t="str">
        <f>IF(AND($B1134, Calculations!$B$8),Calculations!AB709,"")</f>
        <v/>
      </c>
      <c r="O1134" t="str">
        <f>IF(AND($B1134, Calculations!$B$8),Calculations!AC709,"")</f>
        <v/>
      </c>
      <c r="P1134" s="316" t="str">
        <f>IF(AND($B1134, Calculations!$B$7), 'Final Building Profile'!P59, "")</f>
        <v/>
      </c>
      <c r="Q1134" s="204" t="str">
        <f>IF(AND($B1134, Calculations!$B$7), 'Final Building Profile'!Q59, "")</f>
        <v/>
      </c>
      <c r="R1134" t="str">
        <f>IF(AND($B1134, Calculations!$B$7), 'Final Building Profile'!N59-'Final Building Profile'!O59, "")</f>
        <v/>
      </c>
      <c r="S1134" t="str">
        <f>IF(AND($B1134, Calculations!$B$7),Calculations!AD709,"")</f>
        <v/>
      </c>
      <c r="T1134" t="str">
        <f>IF(AND($B1134, Calculations!$B$7),Calculations!AE709,"")</f>
        <v/>
      </c>
    </row>
    <row r="1135" spans="1:20">
      <c r="A1135" s="195" t="str">
        <f>IF(C1135="","",MAX(A$1077:A1134)+1)</f>
        <v/>
      </c>
      <c r="B1135" s="195" t="b">
        <f t="shared" si="17"/>
        <v>0</v>
      </c>
      <c r="C1135" t="str">
        <f>CONCATENATE('Final Building Profile'!B60)</f>
        <v/>
      </c>
      <c r="D1135" t="str">
        <f>CONCATENATE('Final Building Profile'!C60)</f>
        <v/>
      </c>
      <c r="E1135" t="str">
        <f>CONCATENATE('Final Building Profile'!F60)</f>
        <v/>
      </c>
      <c r="F1135" s="316" t="str">
        <f>IF(AND($B1135, Calculations!$B$9), 'Final Building Profile'!J60, "")</f>
        <v/>
      </c>
      <c r="G1135" s="250" t="str">
        <f>IF(AND($B1135, Calculations!$B$9), 'Final Building Profile'!K60, "")</f>
        <v/>
      </c>
      <c r="H1135" t="str">
        <f>IF(AND($B1135, Calculations!$B$9),'Final Building Profile'!M60,"")</f>
        <v/>
      </c>
      <c r="I1135" t="str">
        <f>IF(AND($B1135, Calculations!$B$9),Calculations!AB710,"")</f>
        <v/>
      </c>
      <c r="J1135" t="str">
        <f>IF(AND($B1135, Calculations!$B$9),Calculations!AC710,"")</f>
        <v/>
      </c>
      <c r="K1135" s="316" t="str">
        <f>IF(AND($B1135, Calculations!$B$8), 'Final Building Profile'!J60, "")</f>
        <v/>
      </c>
      <c r="L1135" s="250" t="str">
        <f>IF(AND($B1135, Calculations!$B$8), 'Final Building Profile'!K60, "")</f>
        <v/>
      </c>
      <c r="M1135" t="str">
        <f>IF(AND($B1135, Calculations!$B$8), 'Final Building Profile'!L60, "")</f>
        <v/>
      </c>
      <c r="N1135" t="str">
        <f>IF(AND($B1135, Calculations!$B$8),Calculations!AB710,"")</f>
        <v/>
      </c>
      <c r="O1135" t="str">
        <f>IF(AND($B1135, Calculations!$B$8),Calculations!AC710,"")</f>
        <v/>
      </c>
      <c r="P1135" s="316" t="str">
        <f>IF(AND($B1135, Calculations!$B$7), 'Final Building Profile'!P60, "")</f>
        <v/>
      </c>
      <c r="Q1135" s="204" t="str">
        <f>IF(AND($B1135, Calculations!$B$7), 'Final Building Profile'!Q60, "")</f>
        <v/>
      </c>
      <c r="R1135" t="str">
        <f>IF(AND($B1135, Calculations!$B$7), 'Final Building Profile'!N60-'Final Building Profile'!O60, "")</f>
        <v/>
      </c>
      <c r="S1135" t="str">
        <f>IF(AND($B1135, Calculations!$B$7),Calculations!AD710,"")</f>
        <v/>
      </c>
      <c r="T1135" t="str">
        <f>IF(AND($B1135, Calculations!$B$7),Calculations!AE710,"")</f>
        <v/>
      </c>
    </row>
    <row r="1136" spans="1:20">
      <c r="A1136" s="195" t="str">
        <f>IF(C1136="","",MAX(A$1077:A1135)+1)</f>
        <v/>
      </c>
      <c r="B1136" s="195" t="b">
        <f t="shared" si="17"/>
        <v>0</v>
      </c>
      <c r="C1136" t="str">
        <f>CONCATENATE('Final Building Profile'!B61)</f>
        <v/>
      </c>
      <c r="D1136" t="str">
        <f>CONCATENATE('Final Building Profile'!C61)</f>
        <v/>
      </c>
      <c r="E1136" t="str">
        <f>CONCATENATE('Final Building Profile'!F61)</f>
        <v/>
      </c>
      <c r="F1136" s="316" t="str">
        <f>IF(AND($B1136, Calculations!$B$9), 'Final Building Profile'!J61, "")</f>
        <v/>
      </c>
      <c r="G1136" s="250" t="str">
        <f>IF(AND($B1136, Calculations!$B$9), 'Final Building Profile'!K61, "")</f>
        <v/>
      </c>
      <c r="H1136" t="str">
        <f>IF(AND($B1136, Calculations!$B$9),'Final Building Profile'!M61,"")</f>
        <v/>
      </c>
      <c r="I1136" t="str">
        <f>IF(AND($B1136, Calculations!$B$9),Calculations!AB711,"")</f>
        <v/>
      </c>
      <c r="J1136" t="str">
        <f>IF(AND($B1136, Calculations!$B$9),Calculations!AC711,"")</f>
        <v/>
      </c>
      <c r="K1136" s="316" t="str">
        <f>IF(AND($B1136, Calculations!$B$8), 'Final Building Profile'!J61, "")</f>
        <v/>
      </c>
      <c r="L1136" s="250" t="str">
        <f>IF(AND($B1136, Calculations!$B$8), 'Final Building Profile'!K61, "")</f>
        <v/>
      </c>
      <c r="M1136" t="str">
        <f>IF(AND($B1136, Calculations!$B$8), 'Final Building Profile'!L61, "")</f>
        <v/>
      </c>
      <c r="N1136" t="str">
        <f>IF(AND($B1136, Calculations!$B$8),Calculations!AB711,"")</f>
        <v/>
      </c>
      <c r="O1136" t="str">
        <f>IF(AND($B1136, Calculations!$B$8),Calculations!AC711,"")</f>
        <v/>
      </c>
      <c r="P1136" s="316" t="str">
        <f>IF(AND($B1136, Calculations!$B$7), 'Final Building Profile'!P61, "")</f>
        <v/>
      </c>
      <c r="Q1136" s="204" t="str">
        <f>IF(AND($B1136, Calculations!$B$7), 'Final Building Profile'!Q61, "")</f>
        <v/>
      </c>
      <c r="R1136" t="str">
        <f>IF(AND($B1136, Calculations!$B$7), 'Final Building Profile'!N61-'Final Building Profile'!O61, "")</f>
        <v/>
      </c>
      <c r="S1136" t="str">
        <f>IF(AND($B1136, Calculations!$B$7),Calculations!AD711,"")</f>
        <v/>
      </c>
      <c r="T1136" t="str">
        <f>IF(AND($B1136, Calculations!$B$7),Calculations!AE711,"")</f>
        <v/>
      </c>
    </row>
    <row r="1137" spans="1:20">
      <c r="A1137" s="195" t="str">
        <f>IF(C1137="","",MAX(A$1077:A1136)+1)</f>
        <v/>
      </c>
      <c r="B1137" s="195" t="b">
        <f t="shared" si="17"/>
        <v>0</v>
      </c>
      <c r="C1137" t="str">
        <f>CONCATENATE('Final Building Profile'!B62)</f>
        <v/>
      </c>
      <c r="D1137" t="str">
        <f>CONCATENATE('Final Building Profile'!C62)</f>
        <v/>
      </c>
      <c r="E1137" t="str">
        <f>CONCATENATE('Final Building Profile'!F62)</f>
        <v/>
      </c>
      <c r="F1137" s="316" t="str">
        <f>IF(AND($B1137, Calculations!$B$9), 'Final Building Profile'!J62, "")</f>
        <v/>
      </c>
      <c r="G1137" s="250" t="str">
        <f>IF(AND($B1137, Calculations!$B$9), 'Final Building Profile'!K62, "")</f>
        <v/>
      </c>
      <c r="H1137" t="str">
        <f>IF(AND($B1137, Calculations!$B$9),'Final Building Profile'!M62,"")</f>
        <v/>
      </c>
      <c r="I1137" t="str">
        <f>IF(AND($B1137, Calculations!$B$9),Calculations!AB712,"")</f>
        <v/>
      </c>
      <c r="J1137" t="str">
        <f>IF(AND($B1137, Calculations!$B$9),Calculations!AC712,"")</f>
        <v/>
      </c>
      <c r="K1137" s="316" t="str">
        <f>IF(AND($B1137, Calculations!$B$8), 'Final Building Profile'!J62, "")</f>
        <v/>
      </c>
      <c r="L1137" s="250" t="str">
        <f>IF(AND($B1137, Calculations!$B$8), 'Final Building Profile'!K62, "")</f>
        <v/>
      </c>
      <c r="M1137" t="str">
        <f>IF(AND($B1137, Calculations!$B$8), 'Final Building Profile'!L62, "")</f>
        <v/>
      </c>
      <c r="N1137" t="str">
        <f>IF(AND($B1137, Calculations!$B$8),Calculations!AB712,"")</f>
        <v/>
      </c>
      <c r="O1137" t="str">
        <f>IF(AND($B1137, Calculations!$B$8),Calculations!AC712,"")</f>
        <v/>
      </c>
      <c r="P1137" s="316" t="str">
        <f>IF(AND($B1137, Calculations!$B$7), 'Final Building Profile'!P62, "")</f>
        <v/>
      </c>
      <c r="Q1137" s="204" t="str">
        <f>IF(AND($B1137, Calculations!$B$7), 'Final Building Profile'!Q62, "")</f>
        <v/>
      </c>
      <c r="R1137" t="str">
        <f>IF(AND($B1137, Calculations!$B$7), 'Final Building Profile'!N62-'Final Building Profile'!O62, "")</f>
        <v/>
      </c>
      <c r="S1137" t="str">
        <f>IF(AND($B1137, Calculations!$B$7),Calculations!AD712,"")</f>
        <v/>
      </c>
      <c r="T1137" t="str">
        <f>IF(AND($B1137, Calculations!$B$7),Calculations!AE712,"")</f>
        <v/>
      </c>
    </row>
    <row r="1138" spans="1:20">
      <c r="A1138" s="195" t="str">
        <f>IF(C1138="","",MAX(A$1077:A1137)+1)</f>
        <v/>
      </c>
      <c r="B1138" s="195" t="b">
        <f t="shared" si="17"/>
        <v>0</v>
      </c>
      <c r="C1138" t="str">
        <f>CONCATENATE('Final Building Profile'!B63)</f>
        <v/>
      </c>
      <c r="D1138" t="str">
        <f>CONCATENATE('Final Building Profile'!C63)</f>
        <v/>
      </c>
      <c r="E1138" t="str">
        <f>CONCATENATE('Final Building Profile'!F63)</f>
        <v/>
      </c>
      <c r="F1138" s="316" t="str">
        <f>IF(AND($B1138, Calculations!$B$9), 'Final Building Profile'!J63, "")</f>
        <v/>
      </c>
      <c r="G1138" s="250" t="str">
        <f>IF(AND($B1138, Calculations!$B$9), 'Final Building Profile'!K63, "")</f>
        <v/>
      </c>
      <c r="H1138" t="str">
        <f>IF(AND($B1138, Calculations!$B$9),'Final Building Profile'!M63,"")</f>
        <v/>
      </c>
      <c r="I1138" t="str">
        <f>IF(AND($B1138, Calculations!$B$9),Calculations!AB713,"")</f>
        <v/>
      </c>
      <c r="J1138" t="str">
        <f>IF(AND($B1138, Calculations!$B$9),Calculations!AC713,"")</f>
        <v/>
      </c>
      <c r="K1138" s="316" t="str">
        <f>IF(AND($B1138, Calculations!$B$8), 'Final Building Profile'!J63, "")</f>
        <v/>
      </c>
      <c r="L1138" s="250" t="str">
        <f>IF(AND($B1138, Calculations!$B$8), 'Final Building Profile'!K63, "")</f>
        <v/>
      </c>
      <c r="M1138" t="str">
        <f>IF(AND($B1138, Calculations!$B$8), 'Final Building Profile'!L63, "")</f>
        <v/>
      </c>
      <c r="N1138" t="str">
        <f>IF(AND($B1138, Calculations!$B$8),Calculations!AB713,"")</f>
        <v/>
      </c>
      <c r="O1138" t="str">
        <f>IF(AND($B1138, Calculations!$B$8),Calculations!AC713,"")</f>
        <v/>
      </c>
      <c r="P1138" s="316" t="str">
        <f>IF(AND($B1138, Calculations!$B$7), 'Final Building Profile'!P63, "")</f>
        <v/>
      </c>
      <c r="Q1138" s="204" t="str">
        <f>IF(AND($B1138, Calculations!$B$7), 'Final Building Profile'!Q63, "")</f>
        <v/>
      </c>
      <c r="R1138" t="str">
        <f>IF(AND($B1138, Calculations!$B$7), 'Final Building Profile'!N63-'Final Building Profile'!O63, "")</f>
        <v/>
      </c>
      <c r="S1138" t="str">
        <f>IF(AND($B1138, Calculations!$B$7),Calculations!AD713,"")</f>
        <v/>
      </c>
      <c r="T1138" t="str">
        <f>IF(AND($B1138, Calculations!$B$7),Calculations!AE713,"")</f>
        <v/>
      </c>
    </row>
    <row r="1139" spans="1:20">
      <c r="A1139" s="195" t="str">
        <f>IF(C1139="","",MAX(A$1077:A1138)+1)</f>
        <v/>
      </c>
      <c r="B1139" s="195" t="b">
        <f t="shared" si="17"/>
        <v>0</v>
      </c>
      <c r="C1139" t="str">
        <f>CONCATENATE('Final Building Profile'!B64)</f>
        <v/>
      </c>
      <c r="D1139" t="str">
        <f>CONCATENATE('Final Building Profile'!C64)</f>
        <v/>
      </c>
      <c r="E1139" t="str">
        <f>CONCATENATE('Final Building Profile'!F64)</f>
        <v/>
      </c>
      <c r="F1139" s="316" t="str">
        <f>IF(AND($B1139, Calculations!$B$9), 'Final Building Profile'!J64, "")</f>
        <v/>
      </c>
      <c r="G1139" s="250" t="str">
        <f>IF(AND($B1139, Calculations!$B$9), 'Final Building Profile'!K64, "")</f>
        <v/>
      </c>
      <c r="H1139" t="str">
        <f>IF(AND($B1139, Calculations!$B$9),'Final Building Profile'!M64,"")</f>
        <v/>
      </c>
      <c r="I1139" t="str">
        <f>IF(AND($B1139, Calculations!$B$9),Calculations!AB714,"")</f>
        <v/>
      </c>
      <c r="J1139" t="str">
        <f>IF(AND($B1139, Calculations!$B$9),Calculations!AC714,"")</f>
        <v/>
      </c>
      <c r="K1139" s="316" t="str">
        <f>IF(AND($B1139, Calculations!$B$8), 'Final Building Profile'!J64, "")</f>
        <v/>
      </c>
      <c r="L1139" s="250" t="str">
        <f>IF(AND($B1139, Calculations!$B$8), 'Final Building Profile'!K64, "")</f>
        <v/>
      </c>
      <c r="M1139" t="str">
        <f>IF(AND($B1139, Calculations!$B$8), 'Final Building Profile'!L64, "")</f>
        <v/>
      </c>
      <c r="N1139" t="str">
        <f>IF(AND($B1139, Calculations!$B$8),Calculations!AB714,"")</f>
        <v/>
      </c>
      <c r="O1139" t="str">
        <f>IF(AND($B1139, Calculations!$B$8),Calculations!AC714,"")</f>
        <v/>
      </c>
      <c r="P1139" s="316" t="str">
        <f>IF(AND($B1139, Calculations!$B$7), 'Final Building Profile'!P64, "")</f>
        <v/>
      </c>
      <c r="Q1139" s="204" t="str">
        <f>IF(AND($B1139, Calculations!$B$7), 'Final Building Profile'!Q64, "")</f>
        <v/>
      </c>
      <c r="R1139" t="str">
        <f>IF(AND($B1139, Calculations!$B$7), 'Final Building Profile'!N64-'Final Building Profile'!O64, "")</f>
        <v/>
      </c>
      <c r="S1139" t="str">
        <f>IF(AND($B1139, Calculations!$B$7),Calculations!AD714,"")</f>
        <v/>
      </c>
      <c r="T1139" t="str">
        <f>IF(AND($B1139, Calculations!$B$7),Calculations!AE714,"")</f>
        <v/>
      </c>
    </row>
    <row r="1140" spans="1:20">
      <c r="A1140" s="195" t="str">
        <f>IF(C1140="","",MAX(A$1077:A1139)+1)</f>
        <v/>
      </c>
      <c r="B1140" s="195" t="b">
        <f t="shared" si="17"/>
        <v>0</v>
      </c>
      <c r="C1140" t="str">
        <f>CONCATENATE('Final Building Profile'!B65)</f>
        <v/>
      </c>
      <c r="D1140" t="str">
        <f>CONCATENATE('Final Building Profile'!C65)</f>
        <v/>
      </c>
      <c r="E1140" t="str">
        <f>CONCATENATE('Final Building Profile'!F65)</f>
        <v/>
      </c>
      <c r="F1140" s="316" t="str">
        <f>IF(AND($B1140, Calculations!$B$9), 'Final Building Profile'!J65, "")</f>
        <v/>
      </c>
      <c r="G1140" s="250" t="str">
        <f>IF(AND($B1140, Calculations!$B$9), 'Final Building Profile'!K65, "")</f>
        <v/>
      </c>
      <c r="H1140" t="str">
        <f>IF(AND($B1140, Calculations!$B$9),'Final Building Profile'!M65,"")</f>
        <v/>
      </c>
      <c r="I1140" t="str">
        <f>IF(AND($B1140, Calculations!$B$9),Calculations!AB715,"")</f>
        <v/>
      </c>
      <c r="J1140" t="str">
        <f>IF(AND($B1140, Calculations!$B$9),Calculations!AC715,"")</f>
        <v/>
      </c>
      <c r="K1140" s="316" t="str">
        <f>IF(AND($B1140, Calculations!$B$8), 'Final Building Profile'!J65, "")</f>
        <v/>
      </c>
      <c r="L1140" s="250" t="str">
        <f>IF(AND($B1140, Calculations!$B$8), 'Final Building Profile'!K65, "")</f>
        <v/>
      </c>
      <c r="M1140" t="str">
        <f>IF(AND($B1140, Calculations!$B$8), 'Final Building Profile'!L65, "")</f>
        <v/>
      </c>
      <c r="N1140" t="str">
        <f>IF(AND($B1140, Calculations!$B$8),Calculations!AB715,"")</f>
        <v/>
      </c>
      <c r="O1140" t="str">
        <f>IF(AND($B1140, Calculations!$B$8),Calculations!AC715,"")</f>
        <v/>
      </c>
      <c r="P1140" s="316" t="str">
        <f>IF(AND($B1140, Calculations!$B$7), 'Final Building Profile'!P65, "")</f>
        <v/>
      </c>
      <c r="Q1140" s="204" t="str">
        <f>IF(AND($B1140, Calculations!$B$7), 'Final Building Profile'!Q65, "")</f>
        <v/>
      </c>
      <c r="R1140" t="str">
        <f>IF(AND($B1140, Calculations!$B$7), 'Final Building Profile'!N65-'Final Building Profile'!O65, "")</f>
        <v/>
      </c>
      <c r="S1140" t="str">
        <f>IF(AND($B1140, Calculations!$B$7),Calculations!AD715,"")</f>
        <v/>
      </c>
      <c r="T1140" t="str">
        <f>IF(AND($B1140, Calculations!$B$7),Calculations!AE715,"")</f>
        <v/>
      </c>
    </row>
    <row r="1141" spans="1:20">
      <c r="A1141" s="195" t="str">
        <f>IF(C1141="","",MAX(A$1077:A1140)+1)</f>
        <v/>
      </c>
      <c r="B1141" s="195" t="b">
        <f t="shared" si="17"/>
        <v>0</v>
      </c>
      <c r="C1141" t="str">
        <f>CONCATENATE('Final Building Profile'!B66)</f>
        <v/>
      </c>
      <c r="D1141" t="str">
        <f>CONCATENATE('Final Building Profile'!C66)</f>
        <v/>
      </c>
      <c r="E1141" t="str">
        <f>CONCATENATE('Final Building Profile'!F66)</f>
        <v/>
      </c>
      <c r="F1141" s="316" t="str">
        <f>IF(AND($B1141, Calculations!$B$9), 'Final Building Profile'!J66, "")</f>
        <v/>
      </c>
      <c r="G1141" s="250" t="str">
        <f>IF(AND($B1141, Calculations!$B$9), 'Final Building Profile'!K66, "")</f>
        <v/>
      </c>
      <c r="H1141" t="str">
        <f>IF(AND($B1141, Calculations!$B$9),'Final Building Profile'!M66,"")</f>
        <v/>
      </c>
      <c r="I1141" t="str">
        <f>IF(AND($B1141, Calculations!$B$9),Calculations!AB716,"")</f>
        <v/>
      </c>
      <c r="J1141" t="str">
        <f>IF(AND($B1141, Calculations!$B$9),Calculations!AC716,"")</f>
        <v/>
      </c>
      <c r="K1141" s="316" t="str">
        <f>IF(AND($B1141, Calculations!$B$8), 'Final Building Profile'!J66, "")</f>
        <v/>
      </c>
      <c r="L1141" s="250" t="str">
        <f>IF(AND($B1141, Calculations!$B$8), 'Final Building Profile'!K66, "")</f>
        <v/>
      </c>
      <c r="M1141" t="str">
        <f>IF(AND($B1141, Calculations!$B$8), 'Final Building Profile'!L66, "")</f>
        <v/>
      </c>
      <c r="N1141" t="str">
        <f>IF(AND($B1141, Calculations!$B$8),Calculations!AB716,"")</f>
        <v/>
      </c>
      <c r="O1141" t="str">
        <f>IF(AND($B1141, Calculations!$B$8),Calculations!AC716,"")</f>
        <v/>
      </c>
      <c r="P1141" s="316" t="str">
        <f>IF(AND($B1141, Calculations!$B$7), 'Final Building Profile'!P66, "")</f>
        <v/>
      </c>
      <c r="Q1141" s="204" t="str">
        <f>IF(AND($B1141, Calculations!$B$7), 'Final Building Profile'!Q66, "")</f>
        <v/>
      </c>
      <c r="R1141" t="str">
        <f>IF(AND($B1141, Calculations!$B$7), 'Final Building Profile'!N66-'Final Building Profile'!O66, "")</f>
        <v/>
      </c>
      <c r="S1141" t="str">
        <f>IF(AND($B1141, Calculations!$B$7),Calculations!AD716,"")</f>
        <v/>
      </c>
      <c r="T1141" t="str">
        <f>IF(AND($B1141, Calculations!$B$7),Calculations!AE716,"")</f>
        <v/>
      </c>
    </row>
    <row r="1142" spans="1:20">
      <c r="A1142" s="195" t="str">
        <f>IF(C1142="","",MAX(A$1077:A1141)+1)</f>
        <v/>
      </c>
      <c r="B1142" s="195" t="b">
        <f t="shared" si="17"/>
        <v>0</v>
      </c>
      <c r="C1142" t="str">
        <f>CONCATENATE('Final Building Profile'!B67)</f>
        <v/>
      </c>
      <c r="D1142" t="str">
        <f>CONCATENATE('Final Building Profile'!C67)</f>
        <v/>
      </c>
      <c r="E1142" t="str">
        <f>CONCATENATE('Final Building Profile'!F67)</f>
        <v/>
      </c>
      <c r="F1142" s="316" t="str">
        <f>IF(AND($B1142, Calculations!$B$9), 'Final Building Profile'!J67, "")</f>
        <v/>
      </c>
      <c r="G1142" s="250" t="str">
        <f>IF(AND($B1142, Calculations!$B$9), 'Final Building Profile'!K67, "")</f>
        <v/>
      </c>
      <c r="H1142" t="str">
        <f>IF(AND($B1142, Calculations!$B$9),'Final Building Profile'!M67,"")</f>
        <v/>
      </c>
      <c r="I1142" t="str">
        <f>IF(AND($B1142, Calculations!$B$9),Calculations!AB717,"")</f>
        <v/>
      </c>
      <c r="J1142" t="str">
        <f>IF(AND($B1142, Calculations!$B$9),Calculations!AC717,"")</f>
        <v/>
      </c>
      <c r="K1142" s="316" t="str">
        <f>IF(AND($B1142, Calculations!$B$8), 'Final Building Profile'!J67, "")</f>
        <v/>
      </c>
      <c r="L1142" s="250" t="str">
        <f>IF(AND($B1142, Calculations!$B$8), 'Final Building Profile'!K67, "")</f>
        <v/>
      </c>
      <c r="M1142" t="str">
        <f>IF(AND($B1142, Calculations!$B$8), 'Final Building Profile'!L67, "")</f>
        <v/>
      </c>
      <c r="N1142" t="str">
        <f>IF(AND($B1142, Calculations!$B$8),Calculations!AB717,"")</f>
        <v/>
      </c>
      <c r="O1142" t="str">
        <f>IF(AND($B1142, Calculations!$B$8),Calculations!AC717,"")</f>
        <v/>
      </c>
      <c r="P1142" s="316" t="str">
        <f>IF(AND($B1142, Calculations!$B$7), 'Final Building Profile'!P67, "")</f>
        <v/>
      </c>
      <c r="Q1142" s="204" t="str">
        <f>IF(AND($B1142, Calculations!$B$7), 'Final Building Profile'!Q67, "")</f>
        <v/>
      </c>
      <c r="R1142" t="str">
        <f>IF(AND($B1142, Calculations!$B$7), 'Final Building Profile'!N67-'Final Building Profile'!O67, "")</f>
        <v/>
      </c>
      <c r="S1142" t="str">
        <f>IF(AND($B1142, Calculations!$B$7),Calculations!AD717,"")</f>
        <v/>
      </c>
      <c r="T1142" t="str">
        <f>IF(AND($B1142, Calculations!$B$7),Calculations!AE717,"")</f>
        <v/>
      </c>
    </row>
    <row r="1143" spans="1:20">
      <c r="A1143" s="195" t="str">
        <f>IF(C1143="","",MAX(A$1077:A1142)+1)</f>
        <v/>
      </c>
      <c r="B1143" s="195" t="b">
        <f t="shared" si="17"/>
        <v>0</v>
      </c>
      <c r="C1143" t="str">
        <f>CONCATENATE('Final Building Profile'!B68)</f>
        <v/>
      </c>
      <c r="D1143" t="str">
        <f>CONCATENATE('Final Building Profile'!C68)</f>
        <v/>
      </c>
      <c r="E1143" t="str">
        <f>CONCATENATE('Final Building Profile'!F68)</f>
        <v/>
      </c>
      <c r="F1143" s="316" t="str">
        <f>IF(AND($B1143, Calculations!$B$9), 'Final Building Profile'!J68, "")</f>
        <v/>
      </c>
      <c r="G1143" s="250" t="str">
        <f>IF(AND($B1143, Calculations!$B$9), 'Final Building Profile'!K68, "")</f>
        <v/>
      </c>
      <c r="H1143" t="str">
        <f>IF(AND($B1143, Calculations!$B$9),'Final Building Profile'!M68,"")</f>
        <v/>
      </c>
      <c r="I1143" t="str">
        <f>IF(AND($B1143, Calculations!$B$9),Calculations!AB718,"")</f>
        <v/>
      </c>
      <c r="J1143" t="str">
        <f>IF(AND($B1143, Calculations!$B$9),Calculations!AC718,"")</f>
        <v/>
      </c>
      <c r="K1143" s="316" t="str">
        <f>IF(AND($B1143, Calculations!$B$8), 'Final Building Profile'!J68, "")</f>
        <v/>
      </c>
      <c r="L1143" s="250" t="str">
        <f>IF(AND($B1143, Calculations!$B$8), 'Final Building Profile'!K68, "")</f>
        <v/>
      </c>
      <c r="M1143" t="str">
        <f>IF(AND($B1143, Calculations!$B$8), 'Final Building Profile'!L68, "")</f>
        <v/>
      </c>
      <c r="N1143" t="str">
        <f>IF(AND($B1143, Calculations!$B$8),Calculations!AB718,"")</f>
        <v/>
      </c>
      <c r="O1143" t="str">
        <f>IF(AND($B1143, Calculations!$B$8),Calculations!AC718,"")</f>
        <v/>
      </c>
      <c r="P1143" s="316" t="str">
        <f>IF(AND($B1143, Calculations!$B$7), 'Final Building Profile'!P68, "")</f>
        <v/>
      </c>
      <c r="Q1143" s="204" t="str">
        <f>IF(AND($B1143, Calculations!$B$7), 'Final Building Profile'!Q68, "")</f>
        <v/>
      </c>
      <c r="R1143" t="str">
        <f>IF(AND($B1143, Calculations!$B$7), 'Final Building Profile'!N68-'Final Building Profile'!O68, "")</f>
        <v/>
      </c>
      <c r="S1143" t="str">
        <f>IF(AND($B1143, Calculations!$B$7),Calculations!AD718,"")</f>
        <v/>
      </c>
      <c r="T1143" t="str">
        <f>IF(AND($B1143, Calculations!$B$7),Calculations!AE718,"")</f>
        <v/>
      </c>
    </row>
    <row r="1144" spans="1:20">
      <c r="A1144" s="195" t="str">
        <f>IF(C1144="","",MAX(A$1077:A1143)+1)</f>
        <v/>
      </c>
      <c r="B1144" s="195" t="b">
        <f t="shared" ref="B1144:B1177" si="18">A1144&lt;&gt;""</f>
        <v>0</v>
      </c>
      <c r="C1144" t="str">
        <f>CONCATENATE('Final Building Profile'!B69)</f>
        <v/>
      </c>
      <c r="D1144" t="str">
        <f>CONCATENATE('Final Building Profile'!C69)</f>
        <v/>
      </c>
      <c r="E1144" t="str">
        <f>CONCATENATE('Final Building Profile'!F69)</f>
        <v/>
      </c>
      <c r="F1144" s="316" t="str">
        <f>IF(AND($B1144, Calculations!$B$9), 'Final Building Profile'!J69, "")</f>
        <v/>
      </c>
      <c r="G1144" s="250" t="str">
        <f>IF(AND($B1144, Calculations!$B$9), 'Final Building Profile'!K69, "")</f>
        <v/>
      </c>
      <c r="H1144" t="str">
        <f>IF(AND($B1144, Calculations!$B$9),'Final Building Profile'!M69,"")</f>
        <v/>
      </c>
      <c r="I1144" t="str">
        <f>IF(AND($B1144, Calculations!$B$9),Calculations!AB719,"")</f>
        <v/>
      </c>
      <c r="J1144" t="str">
        <f>IF(AND($B1144, Calculations!$B$9),Calculations!AC719,"")</f>
        <v/>
      </c>
      <c r="K1144" s="316" t="str">
        <f>IF(AND($B1144, Calculations!$B$8), 'Final Building Profile'!J69, "")</f>
        <v/>
      </c>
      <c r="L1144" s="250" t="str">
        <f>IF(AND($B1144, Calculations!$B$8), 'Final Building Profile'!K69, "")</f>
        <v/>
      </c>
      <c r="M1144" t="str">
        <f>IF(AND($B1144, Calculations!$B$8), 'Final Building Profile'!L69, "")</f>
        <v/>
      </c>
      <c r="N1144" t="str">
        <f>IF(AND($B1144, Calculations!$B$8),Calculations!AB719,"")</f>
        <v/>
      </c>
      <c r="O1144" t="str">
        <f>IF(AND($B1144, Calculations!$B$8),Calculations!AC719,"")</f>
        <v/>
      </c>
      <c r="P1144" s="316" t="str">
        <f>IF(AND($B1144, Calculations!$B$7), 'Final Building Profile'!P69, "")</f>
        <v/>
      </c>
      <c r="Q1144" s="204" t="str">
        <f>IF(AND($B1144, Calculations!$B$7), 'Final Building Profile'!Q69, "")</f>
        <v/>
      </c>
      <c r="R1144" t="str">
        <f>IF(AND($B1144, Calculations!$B$7), 'Final Building Profile'!N69-'Final Building Profile'!O69, "")</f>
        <v/>
      </c>
      <c r="S1144" t="str">
        <f>IF(AND($B1144, Calculations!$B$7),Calculations!AD719,"")</f>
        <v/>
      </c>
      <c r="T1144" t="str">
        <f>IF(AND($B1144, Calculations!$B$7),Calculations!AE719,"")</f>
        <v/>
      </c>
    </row>
    <row r="1145" spans="1:20">
      <c r="A1145" s="195" t="str">
        <f>IF(C1145="","",MAX(A$1077:A1144)+1)</f>
        <v/>
      </c>
      <c r="B1145" s="195" t="b">
        <f t="shared" si="18"/>
        <v>0</v>
      </c>
      <c r="C1145" t="str">
        <f>CONCATENATE('Final Building Profile'!B70)</f>
        <v/>
      </c>
      <c r="D1145" t="str">
        <f>CONCATENATE('Final Building Profile'!C70)</f>
        <v/>
      </c>
      <c r="E1145" t="str">
        <f>CONCATENATE('Final Building Profile'!F70)</f>
        <v/>
      </c>
      <c r="F1145" s="316" t="str">
        <f>IF(AND($B1145, Calculations!$B$9), 'Final Building Profile'!J70, "")</f>
        <v/>
      </c>
      <c r="G1145" s="250" t="str">
        <f>IF(AND($B1145, Calculations!$B$9), 'Final Building Profile'!K70, "")</f>
        <v/>
      </c>
      <c r="H1145" t="str">
        <f>IF(AND($B1145, Calculations!$B$9),'Final Building Profile'!M70,"")</f>
        <v/>
      </c>
      <c r="I1145" t="str">
        <f>IF(AND($B1145, Calculations!$B$9),Calculations!AB720,"")</f>
        <v/>
      </c>
      <c r="J1145" t="str">
        <f>IF(AND($B1145, Calculations!$B$9),Calculations!AC720,"")</f>
        <v/>
      </c>
      <c r="K1145" s="316" t="str">
        <f>IF(AND($B1145, Calculations!$B$8), 'Final Building Profile'!J70, "")</f>
        <v/>
      </c>
      <c r="L1145" s="250" t="str">
        <f>IF(AND($B1145, Calculations!$B$8), 'Final Building Profile'!K70, "")</f>
        <v/>
      </c>
      <c r="M1145" t="str">
        <f>IF(AND($B1145, Calculations!$B$8), 'Final Building Profile'!L70, "")</f>
        <v/>
      </c>
      <c r="N1145" t="str">
        <f>IF(AND($B1145, Calculations!$B$8),Calculations!AB720,"")</f>
        <v/>
      </c>
      <c r="O1145" t="str">
        <f>IF(AND($B1145, Calculations!$B$8),Calculations!AC720,"")</f>
        <v/>
      </c>
      <c r="P1145" s="316" t="str">
        <f>IF(AND($B1145, Calculations!$B$7), 'Final Building Profile'!P70, "")</f>
        <v/>
      </c>
      <c r="Q1145" s="204" t="str">
        <f>IF(AND($B1145, Calculations!$B$7), 'Final Building Profile'!Q70, "")</f>
        <v/>
      </c>
      <c r="R1145" t="str">
        <f>IF(AND($B1145, Calculations!$B$7), 'Final Building Profile'!N70-'Final Building Profile'!O70, "")</f>
        <v/>
      </c>
      <c r="S1145" t="str">
        <f>IF(AND($B1145, Calculations!$B$7),Calculations!AD720,"")</f>
        <v/>
      </c>
      <c r="T1145" t="str">
        <f>IF(AND($B1145, Calculations!$B$7),Calculations!AE720,"")</f>
        <v/>
      </c>
    </row>
    <row r="1146" spans="1:20">
      <c r="A1146" s="195" t="str">
        <f>IF(C1146="","",MAX(A$1077:A1145)+1)</f>
        <v/>
      </c>
      <c r="B1146" s="195" t="b">
        <f t="shared" si="18"/>
        <v>0</v>
      </c>
      <c r="C1146" t="str">
        <f>CONCATENATE('Final Building Profile'!B71)</f>
        <v/>
      </c>
      <c r="D1146" t="str">
        <f>CONCATENATE('Final Building Profile'!C71)</f>
        <v/>
      </c>
      <c r="E1146" t="str">
        <f>CONCATENATE('Final Building Profile'!F71)</f>
        <v/>
      </c>
      <c r="F1146" s="316" t="str">
        <f>IF(AND($B1146, Calculations!$B$9), 'Final Building Profile'!J71, "")</f>
        <v/>
      </c>
      <c r="G1146" s="250" t="str">
        <f>IF(AND($B1146, Calculations!$B$9), 'Final Building Profile'!K71, "")</f>
        <v/>
      </c>
      <c r="H1146" t="str">
        <f>IF(AND($B1146, Calculations!$B$9),'Final Building Profile'!M71,"")</f>
        <v/>
      </c>
      <c r="I1146" t="str">
        <f>IF(AND($B1146, Calculations!$B$9),Calculations!AB721,"")</f>
        <v/>
      </c>
      <c r="J1146" t="str">
        <f>IF(AND($B1146, Calculations!$B$9),Calculations!AC721,"")</f>
        <v/>
      </c>
      <c r="K1146" s="316" t="str">
        <f>IF(AND($B1146, Calculations!$B$8), 'Final Building Profile'!J71, "")</f>
        <v/>
      </c>
      <c r="L1146" s="250" t="str">
        <f>IF(AND($B1146, Calculations!$B$8), 'Final Building Profile'!K71, "")</f>
        <v/>
      </c>
      <c r="M1146" t="str">
        <f>IF(AND($B1146, Calculations!$B$8), 'Final Building Profile'!L71, "")</f>
        <v/>
      </c>
      <c r="N1146" t="str">
        <f>IF(AND($B1146, Calculations!$B$8),Calculations!AB721,"")</f>
        <v/>
      </c>
      <c r="O1146" t="str">
        <f>IF(AND($B1146, Calculations!$B$8),Calculations!AC721,"")</f>
        <v/>
      </c>
      <c r="P1146" s="316" t="str">
        <f>IF(AND($B1146, Calculations!$B$7), 'Final Building Profile'!P71, "")</f>
        <v/>
      </c>
      <c r="Q1146" s="204" t="str">
        <f>IF(AND($B1146, Calculations!$B$7), 'Final Building Profile'!Q71, "")</f>
        <v/>
      </c>
      <c r="R1146" t="str">
        <f>IF(AND($B1146, Calculations!$B$7), 'Final Building Profile'!N71-'Final Building Profile'!O71, "")</f>
        <v/>
      </c>
      <c r="S1146" t="str">
        <f>IF(AND($B1146, Calculations!$B$7),Calculations!AD721,"")</f>
        <v/>
      </c>
      <c r="T1146" t="str">
        <f>IF(AND($B1146, Calculations!$B$7),Calculations!AE721,"")</f>
        <v/>
      </c>
    </row>
    <row r="1147" spans="1:20">
      <c r="A1147" s="195" t="str">
        <f>IF(C1147="","",MAX(A$1077:A1146)+1)</f>
        <v/>
      </c>
      <c r="B1147" s="195" t="b">
        <f t="shared" si="18"/>
        <v>0</v>
      </c>
      <c r="C1147" t="str">
        <f>CONCATENATE('Final Building Profile'!B72)</f>
        <v/>
      </c>
      <c r="D1147" t="str">
        <f>CONCATENATE('Final Building Profile'!C72)</f>
        <v/>
      </c>
      <c r="E1147" t="str">
        <f>CONCATENATE('Final Building Profile'!F72)</f>
        <v/>
      </c>
      <c r="F1147" s="316" t="str">
        <f>IF(AND($B1147, Calculations!$B$9), 'Final Building Profile'!J72, "")</f>
        <v/>
      </c>
      <c r="G1147" s="250" t="str">
        <f>IF(AND($B1147, Calculations!$B$9), 'Final Building Profile'!K72, "")</f>
        <v/>
      </c>
      <c r="H1147" t="str">
        <f>IF(AND($B1147, Calculations!$B$9),'Final Building Profile'!M72,"")</f>
        <v/>
      </c>
      <c r="I1147" t="str">
        <f>IF(AND($B1147, Calculations!$B$9),Calculations!AB722,"")</f>
        <v/>
      </c>
      <c r="J1147" t="str">
        <f>IF(AND($B1147, Calculations!$B$9),Calculations!AC722,"")</f>
        <v/>
      </c>
      <c r="K1147" s="316" t="str">
        <f>IF(AND($B1147, Calculations!$B$8), 'Final Building Profile'!J72, "")</f>
        <v/>
      </c>
      <c r="L1147" s="250" t="str">
        <f>IF(AND($B1147, Calculations!$B$8), 'Final Building Profile'!K72, "")</f>
        <v/>
      </c>
      <c r="M1147" t="str">
        <f>IF(AND($B1147, Calculations!$B$8), 'Final Building Profile'!L72, "")</f>
        <v/>
      </c>
      <c r="N1147" t="str">
        <f>IF(AND($B1147, Calculations!$B$8),Calculations!AB722,"")</f>
        <v/>
      </c>
      <c r="O1147" t="str">
        <f>IF(AND($B1147, Calculations!$B$8),Calculations!AC722,"")</f>
        <v/>
      </c>
      <c r="P1147" s="316" t="str">
        <f>IF(AND($B1147, Calculations!$B$7), 'Final Building Profile'!P72, "")</f>
        <v/>
      </c>
      <c r="Q1147" s="204" t="str">
        <f>IF(AND($B1147, Calculations!$B$7), 'Final Building Profile'!Q72, "")</f>
        <v/>
      </c>
      <c r="R1147" t="str">
        <f>IF(AND($B1147, Calculations!$B$7), 'Final Building Profile'!N72-'Final Building Profile'!O72, "")</f>
        <v/>
      </c>
      <c r="S1147" t="str">
        <f>IF(AND($B1147, Calculations!$B$7),Calculations!AD722,"")</f>
        <v/>
      </c>
      <c r="T1147" t="str">
        <f>IF(AND($B1147, Calculations!$B$7),Calculations!AE722,"")</f>
        <v/>
      </c>
    </row>
    <row r="1148" spans="1:20">
      <c r="A1148" s="195" t="str">
        <f>IF(C1148="","",MAX(A$1077:A1147)+1)</f>
        <v/>
      </c>
      <c r="B1148" s="195" t="b">
        <f t="shared" si="18"/>
        <v>0</v>
      </c>
      <c r="C1148" t="str">
        <f>CONCATENATE('Final Building Profile'!B73)</f>
        <v/>
      </c>
      <c r="D1148" t="str">
        <f>CONCATENATE('Final Building Profile'!C73)</f>
        <v/>
      </c>
      <c r="E1148" t="str">
        <f>CONCATENATE('Final Building Profile'!F73)</f>
        <v/>
      </c>
      <c r="F1148" s="316" t="str">
        <f>IF(AND($B1148, Calculations!$B$9), 'Final Building Profile'!J73, "")</f>
        <v/>
      </c>
      <c r="G1148" s="250" t="str">
        <f>IF(AND($B1148, Calculations!$B$9), 'Final Building Profile'!K73, "")</f>
        <v/>
      </c>
      <c r="H1148" t="str">
        <f>IF(AND($B1148, Calculations!$B$9),'Final Building Profile'!M73,"")</f>
        <v/>
      </c>
      <c r="I1148" t="str">
        <f>IF(AND($B1148, Calculations!$B$9),Calculations!AB723,"")</f>
        <v/>
      </c>
      <c r="J1148" t="str">
        <f>IF(AND($B1148, Calculations!$B$9),Calculations!AC723,"")</f>
        <v/>
      </c>
      <c r="K1148" s="316" t="str">
        <f>IF(AND($B1148, Calculations!$B$8), 'Final Building Profile'!J73, "")</f>
        <v/>
      </c>
      <c r="L1148" s="250" t="str">
        <f>IF(AND($B1148, Calculations!$B$8), 'Final Building Profile'!K73, "")</f>
        <v/>
      </c>
      <c r="M1148" t="str">
        <f>IF(AND($B1148, Calculations!$B$8), 'Final Building Profile'!L73, "")</f>
        <v/>
      </c>
      <c r="N1148" t="str">
        <f>IF(AND($B1148, Calculations!$B$8),Calculations!AB723,"")</f>
        <v/>
      </c>
      <c r="O1148" t="str">
        <f>IF(AND($B1148, Calculations!$B$8),Calculations!AC723,"")</f>
        <v/>
      </c>
      <c r="P1148" s="316" t="str">
        <f>IF(AND($B1148, Calculations!$B$7), 'Final Building Profile'!P73, "")</f>
        <v/>
      </c>
      <c r="Q1148" s="204" t="str">
        <f>IF(AND($B1148, Calculations!$B$7), 'Final Building Profile'!Q73, "")</f>
        <v/>
      </c>
      <c r="R1148" t="str">
        <f>IF(AND($B1148, Calculations!$B$7), 'Final Building Profile'!N73-'Final Building Profile'!O73, "")</f>
        <v/>
      </c>
      <c r="S1148" t="str">
        <f>IF(AND($B1148, Calculations!$B$7),Calculations!AD723,"")</f>
        <v/>
      </c>
      <c r="T1148" t="str">
        <f>IF(AND($B1148, Calculations!$B$7),Calculations!AE723,"")</f>
        <v/>
      </c>
    </row>
    <row r="1149" spans="1:20">
      <c r="A1149" s="195" t="str">
        <f>IF(C1149="","",MAX(A$1077:A1148)+1)</f>
        <v/>
      </c>
      <c r="B1149" s="195" t="b">
        <f t="shared" si="18"/>
        <v>0</v>
      </c>
      <c r="C1149" t="str">
        <f>CONCATENATE('Final Building Profile'!B74)</f>
        <v/>
      </c>
      <c r="D1149" t="str">
        <f>CONCATENATE('Final Building Profile'!C74)</f>
        <v/>
      </c>
      <c r="E1149" t="str">
        <f>CONCATENATE('Final Building Profile'!F74)</f>
        <v/>
      </c>
      <c r="F1149" s="316" t="str">
        <f>IF(AND($B1149, Calculations!$B$9), 'Final Building Profile'!J74, "")</f>
        <v/>
      </c>
      <c r="G1149" s="250" t="str">
        <f>IF(AND($B1149, Calculations!$B$9), 'Final Building Profile'!K74, "")</f>
        <v/>
      </c>
      <c r="H1149" t="str">
        <f>IF(AND($B1149, Calculations!$B$9),'Final Building Profile'!M74,"")</f>
        <v/>
      </c>
      <c r="I1149" t="str">
        <f>IF(AND($B1149, Calculations!$B$9),Calculations!AB724,"")</f>
        <v/>
      </c>
      <c r="J1149" t="str">
        <f>IF(AND($B1149, Calculations!$B$9),Calculations!AC724,"")</f>
        <v/>
      </c>
      <c r="K1149" s="316" t="str">
        <f>IF(AND($B1149, Calculations!$B$8), 'Final Building Profile'!J74, "")</f>
        <v/>
      </c>
      <c r="L1149" s="250" t="str">
        <f>IF(AND($B1149, Calculations!$B$8), 'Final Building Profile'!K74, "")</f>
        <v/>
      </c>
      <c r="M1149" t="str">
        <f>IF(AND($B1149, Calculations!$B$8), 'Final Building Profile'!L74, "")</f>
        <v/>
      </c>
      <c r="N1149" t="str">
        <f>IF(AND($B1149, Calculations!$B$8),Calculations!AB724,"")</f>
        <v/>
      </c>
      <c r="O1149" t="str">
        <f>IF(AND($B1149, Calculations!$B$8),Calculations!AC724,"")</f>
        <v/>
      </c>
      <c r="P1149" s="316" t="str">
        <f>IF(AND($B1149, Calculations!$B$7), 'Final Building Profile'!P74, "")</f>
        <v/>
      </c>
      <c r="Q1149" s="204" t="str">
        <f>IF(AND($B1149, Calculations!$B$7), 'Final Building Profile'!Q74, "")</f>
        <v/>
      </c>
      <c r="R1149" t="str">
        <f>IF(AND($B1149, Calculations!$B$7), 'Final Building Profile'!N74-'Final Building Profile'!O74, "")</f>
        <v/>
      </c>
      <c r="S1149" t="str">
        <f>IF(AND($B1149, Calculations!$B$7),Calculations!AD724,"")</f>
        <v/>
      </c>
      <c r="T1149" t="str">
        <f>IF(AND($B1149, Calculations!$B$7),Calculations!AE724,"")</f>
        <v/>
      </c>
    </row>
    <row r="1150" spans="1:20">
      <c r="A1150" s="195" t="str">
        <f>IF(C1150="","",MAX(A$1077:A1149)+1)</f>
        <v/>
      </c>
      <c r="B1150" s="195" t="b">
        <f t="shared" si="18"/>
        <v>0</v>
      </c>
      <c r="C1150" t="str">
        <f>CONCATENATE('Final Building Profile'!B75)</f>
        <v/>
      </c>
      <c r="D1150" t="str">
        <f>CONCATENATE('Final Building Profile'!C75)</f>
        <v/>
      </c>
      <c r="E1150" t="str">
        <f>CONCATENATE('Final Building Profile'!F75)</f>
        <v/>
      </c>
      <c r="F1150" s="316" t="str">
        <f>IF(AND($B1150, Calculations!$B$9), 'Final Building Profile'!J75, "")</f>
        <v/>
      </c>
      <c r="G1150" s="250" t="str">
        <f>IF(AND($B1150, Calculations!$B$9), 'Final Building Profile'!K75, "")</f>
        <v/>
      </c>
      <c r="H1150" t="str">
        <f>IF(AND($B1150, Calculations!$B$9),'Final Building Profile'!M75,"")</f>
        <v/>
      </c>
      <c r="I1150" t="str">
        <f>IF(AND($B1150, Calculations!$B$9),Calculations!AB725,"")</f>
        <v/>
      </c>
      <c r="J1150" t="str">
        <f>IF(AND($B1150, Calculations!$B$9),Calculations!AC725,"")</f>
        <v/>
      </c>
      <c r="K1150" s="316" t="str">
        <f>IF(AND($B1150, Calculations!$B$8), 'Final Building Profile'!J75, "")</f>
        <v/>
      </c>
      <c r="L1150" s="250" t="str">
        <f>IF(AND($B1150, Calculations!$B$8), 'Final Building Profile'!K75, "")</f>
        <v/>
      </c>
      <c r="M1150" t="str">
        <f>IF(AND($B1150, Calculations!$B$8), 'Final Building Profile'!L75, "")</f>
        <v/>
      </c>
      <c r="N1150" t="str">
        <f>IF(AND($B1150, Calculations!$B$8),Calculations!AB725,"")</f>
        <v/>
      </c>
      <c r="O1150" t="str">
        <f>IF(AND($B1150, Calculations!$B$8),Calculations!AC725,"")</f>
        <v/>
      </c>
      <c r="P1150" s="316" t="str">
        <f>IF(AND($B1150, Calculations!$B$7), 'Final Building Profile'!P75, "")</f>
        <v/>
      </c>
      <c r="Q1150" s="204" t="str">
        <f>IF(AND($B1150, Calculations!$B$7), 'Final Building Profile'!Q75, "")</f>
        <v/>
      </c>
      <c r="R1150" t="str">
        <f>IF(AND($B1150, Calculations!$B$7), 'Final Building Profile'!N75-'Final Building Profile'!O75, "")</f>
        <v/>
      </c>
      <c r="S1150" t="str">
        <f>IF(AND($B1150, Calculations!$B$7),Calculations!AD725,"")</f>
        <v/>
      </c>
      <c r="T1150" t="str">
        <f>IF(AND($B1150, Calculations!$B$7),Calculations!AE725,"")</f>
        <v/>
      </c>
    </row>
    <row r="1151" spans="1:20">
      <c r="A1151" s="195" t="str">
        <f>IF(C1151="","",MAX(A$1077:A1150)+1)</f>
        <v/>
      </c>
      <c r="B1151" s="195" t="b">
        <f t="shared" si="18"/>
        <v>0</v>
      </c>
      <c r="C1151" t="str">
        <f>CONCATENATE('Final Building Profile'!B76)</f>
        <v/>
      </c>
      <c r="D1151" t="str">
        <f>CONCATENATE('Final Building Profile'!C76)</f>
        <v/>
      </c>
      <c r="E1151" t="str">
        <f>CONCATENATE('Final Building Profile'!F76)</f>
        <v/>
      </c>
      <c r="F1151" s="316" t="str">
        <f>IF(AND($B1151, Calculations!$B$9), 'Final Building Profile'!J76, "")</f>
        <v/>
      </c>
      <c r="G1151" s="250" t="str">
        <f>IF(AND($B1151, Calculations!$B$9), 'Final Building Profile'!K76, "")</f>
        <v/>
      </c>
      <c r="H1151" t="str">
        <f>IF(AND($B1151, Calculations!$B$9),'Final Building Profile'!M76,"")</f>
        <v/>
      </c>
      <c r="I1151" t="str">
        <f>IF(AND($B1151, Calculations!$B$9),Calculations!AB726,"")</f>
        <v/>
      </c>
      <c r="J1151" t="str">
        <f>IF(AND($B1151, Calculations!$B$9),Calculations!AC726,"")</f>
        <v/>
      </c>
      <c r="K1151" s="316" t="str">
        <f>IF(AND($B1151, Calculations!$B$8), 'Final Building Profile'!J76, "")</f>
        <v/>
      </c>
      <c r="L1151" s="250" t="str">
        <f>IF(AND($B1151, Calculations!$B$8), 'Final Building Profile'!K76, "")</f>
        <v/>
      </c>
      <c r="M1151" t="str">
        <f>IF(AND($B1151, Calculations!$B$8), 'Final Building Profile'!L76, "")</f>
        <v/>
      </c>
      <c r="N1151" t="str">
        <f>IF(AND($B1151, Calculations!$B$8),Calculations!AB726,"")</f>
        <v/>
      </c>
      <c r="O1151" t="str">
        <f>IF(AND($B1151, Calculations!$B$8),Calculations!AC726,"")</f>
        <v/>
      </c>
      <c r="P1151" s="316" t="str">
        <f>IF(AND($B1151, Calculations!$B$7), 'Final Building Profile'!P76, "")</f>
        <v/>
      </c>
      <c r="Q1151" s="204" t="str">
        <f>IF(AND($B1151, Calculations!$B$7), 'Final Building Profile'!Q76, "")</f>
        <v/>
      </c>
      <c r="R1151" t="str">
        <f>IF(AND($B1151, Calculations!$B$7), 'Final Building Profile'!N76-'Final Building Profile'!O76, "")</f>
        <v/>
      </c>
      <c r="S1151" t="str">
        <f>IF(AND($B1151, Calculations!$B$7),Calculations!AD726,"")</f>
        <v/>
      </c>
      <c r="T1151" t="str">
        <f>IF(AND($B1151, Calculations!$B$7),Calculations!AE726,"")</f>
        <v/>
      </c>
    </row>
    <row r="1152" spans="1:20">
      <c r="A1152" s="195" t="str">
        <f>IF(C1152="","",MAX(A$1077:A1151)+1)</f>
        <v/>
      </c>
      <c r="B1152" s="195" t="b">
        <f t="shared" si="18"/>
        <v>0</v>
      </c>
      <c r="C1152" t="str">
        <f>CONCATENATE('Final Building Profile'!B77)</f>
        <v/>
      </c>
      <c r="D1152" t="str">
        <f>CONCATENATE('Final Building Profile'!C77)</f>
        <v/>
      </c>
      <c r="E1152" t="str">
        <f>CONCATENATE('Final Building Profile'!F77)</f>
        <v/>
      </c>
      <c r="F1152" s="316" t="str">
        <f>IF(AND($B1152, Calculations!$B$9), 'Final Building Profile'!J77, "")</f>
        <v/>
      </c>
      <c r="G1152" s="250" t="str">
        <f>IF(AND($B1152, Calculations!$B$9), 'Final Building Profile'!K77, "")</f>
        <v/>
      </c>
      <c r="H1152" t="str">
        <f>IF(AND($B1152, Calculations!$B$9),'Final Building Profile'!M77,"")</f>
        <v/>
      </c>
      <c r="I1152" t="str">
        <f>IF(AND($B1152, Calculations!$B$9),Calculations!AB727,"")</f>
        <v/>
      </c>
      <c r="J1152" t="str">
        <f>IF(AND($B1152, Calculations!$B$9),Calculations!AC727,"")</f>
        <v/>
      </c>
      <c r="K1152" s="316" t="str">
        <f>IF(AND($B1152, Calculations!$B$8), 'Final Building Profile'!J77, "")</f>
        <v/>
      </c>
      <c r="L1152" s="250" t="str">
        <f>IF(AND($B1152, Calculations!$B$8), 'Final Building Profile'!K77, "")</f>
        <v/>
      </c>
      <c r="M1152" t="str">
        <f>IF(AND($B1152, Calculations!$B$8), 'Final Building Profile'!L77, "")</f>
        <v/>
      </c>
      <c r="N1152" t="str">
        <f>IF(AND($B1152, Calculations!$B$8),Calculations!AB727,"")</f>
        <v/>
      </c>
      <c r="O1152" t="str">
        <f>IF(AND($B1152, Calculations!$B$8),Calculations!AC727,"")</f>
        <v/>
      </c>
      <c r="P1152" s="316" t="str">
        <f>IF(AND($B1152, Calculations!$B$7), 'Final Building Profile'!P77, "")</f>
        <v/>
      </c>
      <c r="Q1152" s="204" t="str">
        <f>IF(AND($B1152, Calculations!$B$7), 'Final Building Profile'!Q77, "")</f>
        <v/>
      </c>
      <c r="R1152" t="str">
        <f>IF(AND($B1152, Calculations!$B$7), 'Final Building Profile'!N77-'Final Building Profile'!O77, "")</f>
        <v/>
      </c>
      <c r="S1152" t="str">
        <f>IF(AND($B1152, Calculations!$B$7),Calculations!AD727,"")</f>
        <v/>
      </c>
      <c r="T1152" t="str">
        <f>IF(AND($B1152, Calculations!$B$7),Calculations!AE727,"")</f>
        <v/>
      </c>
    </row>
    <row r="1153" spans="1:20">
      <c r="A1153" s="195" t="str">
        <f>IF(C1153="","",MAX(A$1077:A1152)+1)</f>
        <v/>
      </c>
      <c r="B1153" s="195" t="b">
        <f t="shared" si="18"/>
        <v>0</v>
      </c>
      <c r="C1153" t="str">
        <f>CONCATENATE('Final Building Profile'!B78)</f>
        <v/>
      </c>
      <c r="D1153" t="str">
        <f>CONCATENATE('Final Building Profile'!C78)</f>
        <v/>
      </c>
      <c r="E1153" t="str">
        <f>CONCATENATE('Final Building Profile'!F78)</f>
        <v/>
      </c>
      <c r="F1153" s="316" t="str">
        <f>IF(AND($B1153, Calculations!$B$9), 'Final Building Profile'!J78, "")</f>
        <v/>
      </c>
      <c r="G1153" s="250" t="str">
        <f>IF(AND($B1153, Calculations!$B$9), 'Final Building Profile'!K78, "")</f>
        <v/>
      </c>
      <c r="H1153" t="str">
        <f>IF(AND($B1153, Calculations!$B$9),'Final Building Profile'!M78,"")</f>
        <v/>
      </c>
      <c r="I1153" t="str">
        <f>IF(AND($B1153, Calculations!$B$9),Calculations!AB728,"")</f>
        <v/>
      </c>
      <c r="J1153" t="str">
        <f>IF(AND($B1153, Calculations!$B$9),Calculations!AC728,"")</f>
        <v/>
      </c>
      <c r="K1153" s="316" t="str">
        <f>IF(AND($B1153, Calculations!$B$8), 'Final Building Profile'!J78, "")</f>
        <v/>
      </c>
      <c r="L1153" s="250" t="str">
        <f>IF(AND($B1153, Calculations!$B$8), 'Final Building Profile'!K78, "")</f>
        <v/>
      </c>
      <c r="M1153" t="str">
        <f>IF(AND($B1153, Calculations!$B$8), 'Final Building Profile'!L78, "")</f>
        <v/>
      </c>
      <c r="N1153" t="str">
        <f>IF(AND($B1153, Calculations!$B$8),Calculations!AB728,"")</f>
        <v/>
      </c>
      <c r="O1153" t="str">
        <f>IF(AND($B1153, Calculations!$B$8),Calculations!AC728,"")</f>
        <v/>
      </c>
      <c r="P1153" s="316" t="str">
        <f>IF(AND($B1153, Calculations!$B$7), 'Final Building Profile'!P78, "")</f>
        <v/>
      </c>
      <c r="Q1153" s="204" t="str">
        <f>IF(AND($B1153, Calculations!$B$7), 'Final Building Profile'!Q78, "")</f>
        <v/>
      </c>
      <c r="R1153" t="str">
        <f>IF(AND($B1153, Calculations!$B$7), 'Final Building Profile'!N78-'Final Building Profile'!O78, "")</f>
        <v/>
      </c>
      <c r="S1153" t="str">
        <f>IF(AND($B1153, Calculations!$B$7),Calculations!AD728,"")</f>
        <v/>
      </c>
      <c r="T1153" t="str">
        <f>IF(AND($B1153, Calculations!$B$7),Calculations!AE728,"")</f>
        <v/>
      </c>
    </row>
    <row r="1154" spans="1:20">
      <c r="A1154" s="195" t="str">
        <f>IF(C1154="","",MAX(A$1077:A1153)+1)</f>
        <v/>
      </c>
      <c r="B1154" s="195" t="b">
        <f t="shared" si="18"/>
        <v>0</v>
      </c>
      <c r="C1154" t="str">
        <f>CONCATENATE('Final Building Profile'!B79)</f>
        <v/>
      </c>
      <c r="D1154" t="str">
        <f>CONCATENATE('Final Building Profile'!C79)</f>
        <v/>
      </c>
      <c r="E1154" t="str">
        <f>CONCATENATE('Final Building Profile'!F79)</f>
        <v/>
      </c>
      <c r="F1154" s="316" t="str">
        <f>IF(AND($B1154, Calculations!$B$9), 'Final Building Profile'!J79, "")</f>
        <v/>
      </c>
      <c r="G1154" s="250" t="str">
        <f>IF(AND($B1154, Calculations!$B$9), 'Final Building Profile'!K79, "")</f>
        <v/>
      </c>
      <c r="H1154" t="str">
        <f>IF(AND($B1154, Calculations!$B$9),'Final Building Profile'!M79,"")</f>
        <v/>
      </c>
      <c r="I1154" t="str">
        <f>IF(AND($B1154, Calculations!$B$9),Calculations!AB729,"")</f>
        <v/>
      </c>
      <c r="J1154" t="str">
        <f>IF(AND($B1154, Calculations!$B$9),Calculations!AC729,"")</f>
        <v/>
      </c>
      <c r="K1154" s="316" t="str">
        <f>IF(AND($B1154, Calculations!$B$8), 'Final Building Profile'!J79, "")</f>
        <v/>
      </c>
      <c r="L1154" s="250" t="str">
        <f>IF(AND($B1154, Calculations!$B$8), 'Final Building Profile'!K79, "")</f>
        <v/>
      </c>
      <c r="M1154" t="str">
        <f>IF(AND($B1154, Calculations!$B$8), 'Final Building Profile'!L79, "")</f>
        <v/>
      </c>
      <c r="N1154" t="str">
        <f>IF(AND($B1154, Calculations!$B$8),Calculations!AB729,"")</f>
        <v/>
      </c>
      <c r="O1154" t="str">
        <f>IF(AND($B1154, Calculations!$B$8),Calculations!AC729,"")</f>
        <v/>
      </c>
      <c r="P1154" s="316" t="str">
        <f>IF(AND($B1154, Calculations!$B$7), 'Final Building Profile'!P79, "")</f>
        <v/>
      </c>
      <c r="Q1154" s="204" t="str">
        <f>IF(AND($B1154, Calculations!$B$7), 'Final Building Profile'!Q79, "")</f>
        <v/>
      </c>
      <c r="R1154" t="str">
        <f>IF(AND($B1154, Calculations!$B$7), 'Final Building Profile'!N79-'Final Building Profile'!O79, "")</f>
        <v/>
      </c>
      <c r="S1154" t="str">
        <f>IF(AND($B1154, Calculations!$B$7),Calculations!AD729,"")</f>
        <v/>
      </c>
      <c r="T1154" t="str">
        <f>IF(AND($B1154, Calculations!$B$7),Calculations!AE729,"")</f>
        <v/>
      </c>
    </row>
    <row r="1155" spans="1:20">
      <c r="A1155" s="195" t="str">
        <f>IF(C1155="","",MAX(A$1077:A1154)+1)</f>
        <v/>
      </c>
      <c r="B1155" s="195" t="b">
        <f t="shared" si="18"/>
        <v>0</v>
      </c>
      <c r="C1155" t="str">
        <f>CONCATENATE('Final Building Profile'!B80)</f>
        <v/>
      </c>
      <c r="D1155" t="str">
        <f>CONCATENATE('Final Building Profile'!C80)</f>
        <v/>
      </c>
      <c r="E1155" t="str">
        <f>CONCATENATE('Final Building Profile'!F80)</f>
        <v/>
      </c>
      <c r="F1155" s="316" t="str">
        <f>IF(AND($B1155, Calculations!$B$9), 'Final Building Profile'!J80, "")</f>
        <v/>
      </c>
      <c r="G1155" s="250" t="str">
        <f>IF(AND($B1155, Calculations!$B$9), 'Final Building Profile'!K80, "")</f>
        <v/>
      </c>
      <c r="H1155" t="str">
        <f>IF(AND($B1155, Calculations!$B$9),'Final Building Profile'!M80,"")</f>
        <v/>
      </c>
      <c r="I1155" t="str">
        <f>IF(AND($B1155, Calculations!$B$9),Calculations!AB730,"")</f>
        <v/>
      </c>
      <c r="J1155" t="str">
        <f>IF(AND($B1155, Calculations!$B$9),Calculations!AC730,"")</f>
        <v/>
      </c>
      <c r="K1155" s="316" t="str">
        <f>IF(AND($B1155, Calculations!$B$8), 'Final Building Profile'!J80, "")</f>
        <v/>
      </c>
      <c r="L1155" s="250" t="str">
        <f>IF(AND($B1155, Calculations!$B$8), 'Final Building Profile'!K80, "")</f>
        <v/>
      </c>
      <c r="M1155" t="str">
        <f>IF(AND($B1155, Calculations!$B$8), 'Final Building Profile'!L80, "")</f>
        <v/>
      </c>
      <c r="N1155" t="str">
        <f>IF(AND($B1155, Calculations!$B$8),Calculations!AB730,"")</f>
        <v/>
      </c>
      <c r="O1155" t="str">
        <f>IF(AND($B1155, Calculations!$B$8),Calculations!AC730,"")</f>
        <v/>
      </c>
      <c r="P1155" s="316" t="str">
        <f>IF(AND($B1155, Calculations!$B$7), 'Final Building Profile'!P80, "")</f>
        <v/>
      </c>
      <c r="Q1155" s="204" t="str">
        <f>IF(AND($B1155, Calculations!$B$7), 'Final Building Profile'!Q80, "")</f>
        <v/>
      </c>
      <c r="R1155" t="str">
        <f>IF(AND($B1155, Calculations!$B$7), 'Final Building Profile'!N80-'Final Building Profile'!O80, "")</f>
        <v/>
      </c>
      <c r="S1155" t="str">
        <f>IF(AND($B1155, Calculations!$B$7),Calculations!AD730,"")</f>
        <v/>
      </c>
      <c r="T1155" t="str">
        <f>IF(AND($B1155, Calculations!$B$7),Calculations!AE730,"")</f>
        <v/>
      </c>
    </row>
    <row r="1156" spans="1:20">
      <c r="A1156" s="195" t="str">
        <f>IF(C1156="","",MAX(A$1077:A1155)+1)</f>
        <v/>
      </c>
      <c r="B1156" s="195" t="b">
        <f t="shared" si="18"/>
        <v>0</v>
      </c>
      <c r="C1156" t="str">
        <f>CONCATENATE('Final Building Profile'!B81)</f>
        <v/>
      </c>
      <c r="D1156" t="str">
        <f>CONCATENATE('Final Building Profile'!C81)</f>
        <v/>
      </c>
      <c r="E1156" t="str">
        <f>CONCATENATE('Final Building Profile'!F81)</f>
        <v/>
      </c>
      <c r="F1156" s="316" t="str">
        <f>IF(AND($B1156, Calculations!$B$9), 'Final Building Profile'!J81, "")</f>
        <v/>
      </c>
      <c r="G1156" s="250" t="str">
        <f>IF(AND($B1156, Calculations!$B$9), 'Final Building Profile'!K81, "")</f>
        <v/>
      </c>
      <c r="H1156" t="str">
        <f>IF(AND($B1156, Calculations!$B$9),'Final Building Profile'!M81,"")</f>
        <v/>
      </c>
      <c r="I1156" t="str">
        <f>IF(AND($B1156, Calculations!$B$9),Calculations!AB731,"")</f>
        <v/>
      </c>
      <c r="J1156" t="str">
        <f>IF(AND($B1156, Calculations!$B$9),Calculations!AC731,"")</f>
        <v/>
      </c>
      <c r="K1156" s="316" t="str">
        <f>IF(AND($B1156, Calculations!$B$8), 'Final Building Profile'!J81, "")</f>
        <v/>
      </c>
      <c r="L1156" s="250" t="str">
        <f>IF(AND($B1156, Calculations!$B$8), 'Final Building Profile'!K81, "")</f>
        <v/>
      </c>
      <c r="M1156" t="str">
        <f>IF(AND($B1156, Calculations!$B$8), 'Final Building Profile'!L81, "")</f>
        <v/>
      </c>
      <c r="N1156" t="str">
        <f>IF(AND($B1156, Calculations!$B$8),Calculations!AB731,"")</f>
        <v/>
      </c>
      <c r="O1156" t="str">
        <f>IF(AND($B1156, Calculations!$B$8),Calculations!AC731,"")</f>
        <v/>
      </c>
      <c r="P1156" s="316" t="str">
        <f>IF(AND($B1156, Calculations!$B$7), 'Final Building Profile'!P81, "")</f>
        <v/>
      </c>
      <c r="Q1156" s="204" t="str">
        <f>IF(AND($B1156, Calculations!$B$7), 'Final Building Profile'!Q81, "")</f>
        <v/>
      </c>
      <c r="R1156" t="str">
        <f>IF(AND($B1156, Calculations!$B$7), 'Final Building Profile'!N81-'Final Building Profile'!O81, "")</f>
        <v/>
      </c>
      <c r="S1156" t="str">
        <f>IF(AND($B1156, Calculations!$B$7),Calculations!AD731,"")</f>
        <v/>
      </c>
      <c r="T1156" t="str">
        <f>IF(AND($B1156, Calculations!$B$7),Calculations!AE731,"")</f>
        <v/>
      </c>
    </row>
    <row r="1157" spans="1:20">
      <c r="A1157" s="195" t="str">
        <f>IF(C1157="","",MAX(A$1077:A1156)+1)</f>
        <v/>
      </c>
      <c r="B1157" s="195" t="b">
        <f t="shared" si="18"/>
        <v>0</v>
      </c>
      <c r="C1157" t="str">
        <f>CONCATENATE('Final Building Profile'!B82)</f>
        <v/>
      </c>
      <c r="D1157" t="str">
        <f>CONCATENATE('Final Building Profile'!C82)</f>
        <v/>
      </c>
      <c r="E1157" t="str">
        <f>CONCATENATE('Final Building Profile'!F82)</f>
        <v/>
      </c>
      <c r="F1157" s="316" t="str">
        <f>IF(AND($B1157, Calculations!$B$9), 'Final Building Profile'!J82, "")</f>
        <v/>
      </c>
      <c r="G1157" s="250" t="str">
        <f>IF(AND($B1157, Calculations!$B$9), 'Final Building Profile'!K82, "")</f>
        <v/>
      </c>
      <c r="H1157" t="str">
        <f>IF(AND($B1157, Calculations!$B$9),'Final Building Profile'!M82,"")</f>
        <v/>
      </c>
      <c r="I1157" t="str">
        <f>IF(AND($B1157, Calculations!$B$9),Calculations!AB732,"")</f>
        <v/>
      </c>
      <c r="J1157" t="str">
        <f>IF(AND($B1157, Calculations!$B$9),Calculations!AC732,"")</f>
        <v/>
      </c>
      <c r="K1157" s="316" t="str">
        <f>IF(AND($B1157, Calculations!$B$8), 'Final Building Profile'!J82, "")</f>
        <v/>
      </c>
      <c r="L1157" s="250" t="str">
        <f>IF(AND($B1157, Calculations!$B$8), 'Final Building Profile'!K82, "")</f>
        <v/>
      </c>
      <c r="M1157" t="str">
        <f>IF(AND($B1157, Calculations!$B$8), 'Final Building Profile'!L82, "")</f>
        <v/>
      </c>
      <c r="N1157" t="str">
        <f>IF(AND($B1157, Calculations!$B$8),Calculations!AB732,"")</f>
        <v/>
      </c>
      <c r="O1157" t="str">
        <f>IF(AND($B1157, Calculations!$B$8),Calculations!AC732,"")</f>
        <v/>
      </c>
      <c r="P1157" s="316" t="str">
        <f>IF(AND($B1157, Calculations!$B$7), 'Final Building Profile'!P82, "")</f>
        <v/>
      </c>
      <c r="Q1157" s="204" t="str">
        <f>IF(AND($B1157, Calculations!$B$7), 'Final Building Profile'!Q82, "")</f>
        <v/>
      </c>
      <c r="R1157" t="str">
        <f>IF(AND($B1157, Calculations!$B$7), 'Final Building Profile'!N82-'Final Building Profile'!O82, "")</f>
        <v/>
      </c>
      <c r="S1157" t="str">
        <f>IF(AND($B1157, Calculations!$B$7),Calculations!AD732,"")</f>
        <v/>
      </c>
      <c r="T1157" t="str">
        <f>IF(AND($B1157, Calculations!$B$7),Calculations!AE732,"")</f>
        <v/>
      </c>
    </row>
    <row r="1158" spans="1:20">
      <c r="A1158" s="195" t="str">
        <f>IF(C1158="","",MAX(A$1077:A1157)+1)</f>
        <v/>
      </c>
      <c r="B1158" s="195" t="b">
        <f t="shared" si="18"/>
        <v>0</v>
      </c>
      <c r="C1158" t="str">
        <f>CONCATENATE('Final Building Profile'!B83)</f>
        <v/>
      </c>
      <c r="D1158" t="str">
        <f>CONCATENATE('Final Building Profile'!C83)</f>
        <v/>
      </c>
      <c r="E1158" t="str">
        <f>CONCATENATE('Final Building Profile'!F83)</f>
        <v/>
      </c>
      <c r="F1158" s="316" t="str">
        <f>IF(AND($B1158, Calculations!$B$9), 'Final Building Profile'!J83, "")</f>
        <v/>
      </c>
      <c r="G1158" s="250" t="str">
        <f>IF(AND($B1158, Calculations!$B$9), 'Final Building Profile'!K83, "")</f>
        <v/>
      </c>
      <c r="H1158" t="str">
        <f>IF(AND($B1158, Calculations!$B$9),'Final Building Profile'!M83,"")</f>
        <v/>
      </c>
      <c r="I1158" t="str">
        <f>IF(AND($B1158, Calculations!$B$9),Calculations!AB733,"")</f>
        <v/>
      </c>
      <c r="J1158" t="str">
        <f>IF(AND($B1158, Calculations!$B$9),Calculations!AC733,"")</f>
        <v/>
      </c>
      <c r="K1158" s="316" t="str">
        <f>IF(AND($B1158, Calculations!$B$8), 'Final Building Profile'!J83, "")</f>
        <v/>
      </c>
      <c r="L1158" s="250" t="str">
        <f>IF(AND($B1158, Calculations!$B$8), 'Final Building Profile'!K83, "")</f>
        <v/>
      </c>
      <c r="M1158" t="str">
        <f>IF(AND($B1158, Calculations!$B$8), 'Final Building Profile'!L83, "")</f>
        <v/>
      </c>
      <c r="N1158" t="str">
        <f>IF(AND($B1158, Calculations!$B$8),Calculations!AB733,"")</f>
        <v/>
      </c>
      <c r="O1158" t="str">
        <f>IF(AND($B1158, Calculations!$B$8),Calculations!AC733,"")</f>
        <v/>
      </c>
      <c r="P1158" s="316" t="str">
        <f>IF(AND($B1158, Calculations!$B$7), 'Final Building Profile'!P83, "")</f>
        <v/>
      </c>
      <c r="Q1158" s="204" t="str">
        <f>IF(AND($B1158, Calculations!$B$7), 'Final Building Profile'!Q83, "")</f>
        <v/>
      </c>
      <c r="R1158" t="str">
        <f>IF(AND($B1158, Calculations!$B$7), 'Final Building Profile'!N83-'Final Building Profile'!O83, "")</f>
        <v/>
      </c>
      <c r="S1158" t="str">
        <f>IF(AND($B1158, Calculations!$B$7),Calculations!AD733,"")</f>
        <v/>
      </c>
      <c r="T1158" t="str">
        <f>IF(AND($B1158, Calculations!$B$7),Calculations!AE733,"")</f>
        <v/>
      </c>
    </row>
    <row r="1159" spans="1:20">
      <c r="A1159" s="195" t="str">
        <f>IF(C1159="","",MAX(A$1077:A1158)+1)</f>
        <v/>
      </c>
      <c r="B1159" s="195" t="b">
        <f t="shared" si="18"/>
        <v>0</v>
      </c>
      <c r="C1159" t="str">
        <f>CONCATENATE('Final Building Profile'!B84)</f>
        <v/>
      </c>
      <c r="D1159" t="str">
        <f>CONCATENATE('Final Building Profile'!C84)</f>
        <v/>
      </c>
      <c r="E1159" t="str">
        <f>CONCATENATE('Final Building Profile'!F84)</f>
        <v/>
      </c>
      <c r="F1159" s="316" t="str">
        <f>IF(AND($B1159, Calculations!$B$9), 'Final Building Profile'!J84, "")</f>
        <v/>
      </c>
      <c r="G1159" s="250" t="str">
        <f>IF(AND($B1159, Calculations!$B$9), 'Final Building Profile'!K84, "")</f>
        <v/>
      </c>
      <c r="H1159" t="str">
        <f>IF(AND($B1159, Calculations!$B$9),'Final Building Profile'!M84,"")</f>
        <v/>
      </c>
      <c r="I1159" t="str">
        <f>IF(AND($B1159, Calculations!$B$9),Calculations!AB734,"")</f>
        <v/>
      </c>
      <c r="J1159" t="str">
        <f>IF(AND($B1159, Calculations!$B$9),Calculations!AC734,"")</f>
        <v/>
      </c>
      <c r="K1159" s="316" t="str">
        <f>IF(AND($B1159, Calculations!$B$8), 'Final Building Profile'!J84, "")</f>
        <v/>
      </c>
      <c r="L1159" s="250" t="str">
        <f>IF(AND($B1159, Calculations!$B$8), 'Final Building Profile'!K84, "")</f>
        <v/>
      </c>
      <c r="M1159" t="str">
        <f>IF(AND($B1159, Calculations!$B$8), 'Final Building Profile'!L84, "")</f>
        <v/>
      </c>
      <c r="N1159" t="str">
        <f>IF(AND($B1159, Calculations!$B$8),Calculations!AB734,"")</f>
        <v/>
      </c>
      <c r="O1159" t="str">
        <f>IF(AND($B1159, Calculations!$B$8),Calculations!AC734,"")</f>
        <v/>
      </c>
      <c r="P1159" s="316" t="str">
        <f>IF(AND($B1159, Calculations!$B$7), 'Final Building Profile'!P84, "")</f>
        <v/>
      </c>
      <c r="Q1159" s="204" t="str">
        <f>IF(AND($B1159, Calculations!$B$7), 'Final Building Profile'!Q84, "")</f>
        <v/>
      </c>
      <c r="R1159" t="str">
        <f>IF(AND($B1159, Calculations!$B$7), 'Final Building Profile'!N84-'Final Building Profile'!O84, "")</f>
        <v/>
      </c>
      <c r="S1159" t="str">
        <f>IF(AND($B1159, Calculations!$B$7),Calculations!AD734,"")</f>
        <v/>
      </c>
      <c r="T1159" t="str">
        <f>IF(AND($B1159, Calculations!$B$7),Calculations!AE734,"")</f>
        <v/>
      </c>
    </row>
    <row r="1160" spans="1:20">
      <c r="A1160" s="195" t="str">
        <f>IF(C1160="","",MAX(A$1077:A1159)+1)</f>
        <v/>
      </c>
      <c r="B1160" s="195" t="b">
        <f t="shared" si="18"/>
        <v>0</v>
      </c>
      <c r="C1160" t="str">
        <f>CONCATENATE('Final Building Profile'!B85)</f>
        <v/>
      </c>
      <c r="D1160" t="str">
        <f>CONCATENATE('Final Building Profile'!C85)</f>
        <v/>
      </c>
      <c r="E1160" t="str">
        <f>CONCATENATE('Final Building Profile'!F85)</f>
        <v/>
      </c>
      <c r="F1160" s="316" t="str">
        <f>IF(AND($B1160, Calculations!$B$9), 'Final Building Profile'!J85, "")</f>
        <v/>
      </c>
      <c r="G1160" s="250" t="str">
        <f>IF(AND($B1160, Calculations!$B$9), 'Final Building Profile'!K85, "")</f>
        <v/>
      </c>
      <c r="H1160" t="str">
        <f>IF(AND($B1160, Calculations!$B$9),'Final Building Profile'!M85,"")</f>
        <v/>
      </c>
      <c r="I1160" t="str">
        <f>IF(AND($B1160, Calculations!$B$9),Calculations!AB735,"")</f>
        <v/>
      </c>
      <c r="J1160" t="str">
        <f>IF(AND($B1160, Calculations!$B$9),Calculations!AC735,"")</f>
        <v/>
      </c>
      <c r="K1160" s="316" t="str">
        <f>IF(AND($B1160, Calculations!$B$8), 'Final Building Profile'!J85, "")</f>
        <v/>
      </c>
      <c r="L1160" s="250" t="str">
        <f>IF(AND($B1160, Calculations!$B$8), 'Final Building Profile'!K85, "")</f>
        <v/>
      </c>
      <c r="M1160" t="str">
        <f>IF(AND($B1160, Calculations!$B$8), 'Final Building Profile'!L85, "")</f>
        <v/>
      </c>
      <c r="N1160" t="str">
        <f>IF(AND($B1160, Calculations!$B$8),Calculations!AB735,"")</f>
        <v/>
      </c>
      <c r="O1160" t="str">
        <f>IF(AND($B1160, Calculations!$B$8),Calculations!AC735,"")</f>
        <v/>
      </c>
      <c r="P1160" s="316" t="str">
        <f>IF(AND($B1160, Calculations!$B$7), 'Final Building Profile'!P85, "")</f>
        <v/>
      </c>
      <c r="Q1160" s="204" t="str">
        <f>IF(AND($B1160, Calculations!$B$7), 'Final Building Profile'!Q85, "")</f>
        <v/>
      </c>
      <c r="R1160" t="str">
        <f>IF(AND($B1160, Calculations!$B$7), 'Final Building Profile'!N85-'Final Building Profile'!O85, "")</f>
        <v/>
      </c>
      <c r="S1160" t="str">
        <f>IF(AND($B1160, Calculations!$B$7),Calculations!AD735,"")</f>
        <v/>
      </c>
      <c r="T1160" t="str">
        <f>IF(AND($B1160, Calculations!$B$7),Calculations!AE735,"")</f>
        <v/>
      </c>
    </row>
    <row r="1161" spans="1:20">
      <c r="A1161" s="195" t="str">
        <f>IF(C1161="","",MAX(A$1077:A1160)+1)</f>
        <v/>
      </c>
      <c r="B1161" s="195" t="b">
        <f t="shared" si="18"/>
        <v>0</v>
      </c>
      <c r="C1161" t="str">
        <f>CONCATENATE('Final Building Profile'!B86)</f>
        <v/>
      </c>
      <c r="D1161" t="str">
        <f>CONCATENATE('Final Building Profile'!C86)</f>
        <v/>
      </c>
      <c r="E1161" t="str">
        <f>CONCATENATE('Final Building Profile'!F86)</f>
        <v/>
      </c>
      <c r="F1161" s="316" t="str">
        <f>IF(AND($B1161, Calculations!$B$9), 'Final Building Profile'!J86, "")</f>
        <v/>
      </c>
      <c r="G1161" s="250" t="str">
        <f>IF(AND($B1161, Calculations!$B$9), 'Final Building Profile'!K86, "")</f>
        <v/>
      </c>
      <c r="H1161" t="str">
        <f>IF(AND($B1161, Calculations!$B$9),'Final Building Profile'!M86,"")</f>
        <v/>
      </c>
      <c r="I1161" t="str">
        <f>IF(AND($B1161, Calculations!$B$9),Calculations!AB736,"")</f>
        <v/>
      </c>
      <c r="J1161" t="str">
        <f>IF(AND($B1161, Calculations!$B$9),Calculations!AC736,"")</f>
        <v/>
      </c>
      <c r="K1161" s="316" t="str">
        <f>IF(AND($B1161, Calculations!$B$8), 'Final Building Profile'!J86, "")</f>
        <v/>
      </c>
      <c r="L1161" s="250" t="str">
        <f>IF(AND($B1161, Calculations!$B$8), 'Final Building Profile'!K86, "")</f>
        <v/>
      </c>
      <c r="M1161" t="str">
        <f>IF(AND($B1161, Calculations!$B$8), 'Final Building Profile'!L86, "")</f>
        <v/>
      </c>
      <c r="N1161" t="str">
        <f>IF(AND($B1161, Calculations!$B$8),Calculations!AB736,"")</f>
        <v/>
      </c>
      <c r="O1161" t="str">
        <f>IF(AND($B1161, Calculations!$B$8),Calculations!AC736,"")</f>
        <v/>
      </c>
      <c r="P1161" s="316" t="str">
        <f>IF(AND($B1161, Calculations!$B$7), 'Final Building Profile'!P86, "")</f>
        <v/>
      </c>
      <c r="Q1161" s="204" t="str">
        <f>IF(AND($B1161, Calculations!$B$7), 'Final Building Profile'!Q86, "")</f>
        <v/>
      </c>
      <c r="R1161" t="str">
        <f>IF(AND($B1161, Calculations!$B$7), 'Final Building Profile'!N86-'Final Building Profile'!O86, "")</f>
        <v/>
      </c>
      <c r="S1161" t="str">
        <f>IF(AND($B1161, Calculations!$B$7),Calculations!AD736,"")</f>
        <v/>
      </c>
      <c r="T1161" t="str">
        <f>IF(AND($B1161, Calculations!$B$7),Calculations!AE736,"")</f>
        <v/>
      </c>
    </row>
    <row r="1162" spans="1:20">
      <c r="A1162" s="195" t="str">
        <f>IF(C1162="","",MAX(A$1077:A1161)+1)</f>
        <v/>
      </c>
      <c r="B1162" s="195" t="b">
        <f t="shared" si="18"/>
        <v>0</v>
      </c>
      <c r="C1162" t="str">
        <f>CONCATENATE('Final Building Profile'!B87)</f>
        <v/>
      </c>
      <c r="D1162" t="str">
        <f>CONCATENATE('Final Building Profile'!C87)</f>
        <v/>
      </c>
      <c r="E1162" t="str">
        <f>CONCATENATE('Final Building Profile'!F87)</f>
        <v/>
      </c>
      <c r="F1162" s="316" t="str">
        <f>IF(AND($B1162, Calculations!$B$9), 'Final Building Profile'!J87, "")</f>
        <v/>
      </c>
      <c r="G1162" s="250" t="str">
        <f>IF(AND($B1162, Calculations!$B$9), 'Final Building Profile'!K87, "")</f>
        <v/>
      </c>
      <c r="H1162" t="str">
        <f>IF(AND($B1162, Calculations!$B$9),'Final Building Profile'!M87,"")</f>
        <v/>
      </c>
      <c r="I1162" t="str">
        <f>IF(AND($B1162, Calculations!$B$9),Calculations!AB737,"")</f>
        <v/>
      </c>
      <c r="J1162" t="str">
        <f>IF(AND($B1162, Calculations!$B$9),Calculations!AC737,"")</f>
        <v/>
      </c>
      <c r="K1162" s="316" t="str">
        <f>IF(AND($B1162, Calculations!$B$8), 'Final Building Profile'!J87, "")</f>
        <v/>
      </c>
      <c r="L1162" s="250" t="str">
        <f>IF(AND($B1162, Calculations!$B$8), 'Final Building Profile'!K87, "")</f>
        <v/>
      </c>
      <c r="M1162" t="str">
        <f>IF(AND($B1162, Calculations!$B$8), 'Final Building Profile'!L87, "")</f>
        <v/>
      </c>
      <c r="N1162" t="str">
        <f>IF(AND($B1162, Calculations!$B$8),Calculations!AB737,"")</f>
        <v/>
      </c>
      <c r="O1162" t="str">
        <f>IF(AND($B1162, Calculations!$B$8),Calculations!AC737,"")</f>
        <v/>
      </c>
      <c r="P1162" s="316" t="str">
        <f>IF(AND($B1162, Calculations!$B$7), 'Final Building Profile'!P87, "")</f>
        <v/>
      </c>
      <c r="Q1162" s="204" t="str">
        <f>IF(AND($B1162, Calculations!$B$7), 'Final Building Profile'!Q87, "")</f>
        <v/>
      </c>
      <c r="R1162" t="str">
        <f>IF(AND($B1162, Calculations!$B$7), 'Final Building Profile'!N87-'Final Building Profile'!O87, "")</f>
        <v/>
      </c>
      <c r="S1162" t="str">
        <f>IF(AND($B1162, Calculations!$B$7),Calculations!AD737,"")</f>
        <v/>
      </c>
      <c r="T1162" t="str">
        <f>IF(AND($B1162, Calculations!$B$7),Calculations!AE737,"")</f>
        <v/>
      </c>
    </row>
    <row r="1163" spans="1:20">
      <c r="A1163" s="195" t="str">
        <f>IF(C1163="","",MAX(A$1077:A1162)+1)</f>
        <v/>
      </c>
      <c r="B1163" s="195" t="b">
        <f t="shared" si="18"/>
        <v>0</v>
      </c>
      <c r="C1163" t="str">
        <f>CONCATENATE('Final Building Profile'!B88)</f>
        <v/>
      </c>
      <c r="D1163" t="str">
        <f>CONCATENATE('Final Building Profile'!C88)</f>
        <v/>
      </c>
      <c r="E1163" t="str">
        <f>CONCATENATE('Final Building Profile'!F88)</f>
        <v/>
      </c>
      <c r="F1163" s="316" t="str">
        <f>IF(AND($B1163, Calculations!$B$9), 'Final Building Profile'!J88, "")</f>
        <v/>
      </c>
      <c r="G1163" s="250" t="str">
        <f>IF(AND($B1163, Calculations!$B$9), 'Final Building Profile'!K88, "")</f>
        <v/>
      </c>
      <c r="H1163" t="str">
        <f>IF(AND($B1163, Calculations!$B$9),'Final Building Profile'!M88,"")</f>
        <v/>
      </c>
      <c r="I1163" t="str">
        <f>IF(AND($B1163, Calculations!$B$9),Calculations!AB738,"")</f>
        <v/>
      </c>
      <c r="J1163" t="str">
        <f>IF(AND($B1163, Calculations!$B$9),Calculations!AC738,"")</f>
        <v/>
      </c>
      <c r="K1163" s="316" t="str">
        <f>IF(AND($B1163, Calculations!$B$8), 'Final Building Profile'!J88, "")</f>
        <v/>
      </c>
      <c r="L1163" s="250" t="str">
        <f>IF(AND($B1163, Calculations!$B$8), 'Final Building Profile'!K88, "")</f>
        <v/>
      </c>
      <c r="M1163" t="str">
        <f>IF(AND($B1163, Calculations!$B$8), 'Final Building Profile'!L88, "")</f>
        <v/>
      </c>
      <c r="N1163" t="str">
        <f>IF(AND($B1163, Calculations!$B$8),Calculations!AB738,"")</f>
        <v/>
      </c>
      <c r="O1163" t="str">
        <f>IF(AND($B1163, Calculations!$B$8),Calculations!AC738,"")</f>
        <v/>
      </c>
      <c r="P1163" s="316" t="str">
        <f>IF(AND($B1163, Calculations!$B$7), 'Final Building Profile'!P88, "")</f>
        <v/>
      </c>
      <c r="Q1163" s="204" t="str">
        <f>IF(AND($B1163, Calculations!$B$7), 'Final Building Profile'!Q88, "")</f>
        <v/>
      </c>
      <c r="R1163" t="str">
        <f>IF(AND($B1163, Calculations!$B$7), 'Final Building Profile'!N88-'Final Building Profile'!O88, "")</f>
        <v/>
      </c>
      <c r="S1163" t="str">
        <f>IF(AND($B1163, Calculations!$B$7),Calculations!AD738,"")</f>
        <v/>
      </c>
      <c r="T1163" t="str">
        <f>IF(AND($B1163, Calculations!$B$7),Calculations!AE738,"")</f>
        <v/>
      </c>
    </row>
    <row r="1164" spans="1:20">
      <c r="A1164" s="195" t="str">
        <f>IF(C1164="","",MAX(A$1077:A1163)+1)</f>
        <v/>
      </c>
      <c r="B1164" s="195" t="b">
        <f t="shared" si="18"/>
        <v>0</v>
      </c>
      <c r="C1164" t="str">
        <f>CONCATENATE('Final Building Profile'!B89)</f>
        <v/>
      </c>
      <c r="D1164" t="str">
        <f>CONCATENATE('Final Building Profile'!C89)</f>
        <v/>
      </c>
      <c r="E1164" t="str">
        <f>CONCATENATE('Final Building Profile'!F89)</f>
        <v/>
      </c>
      <c r="F1164" s="316" t="str">
        <f>IF(AND($B1164, Calculations!$B$9), 'Final Building Profile'!J89, "")</f>
        <v/>
      </c>
      <c r="G1164" s="250" t="str">
        <f>IF(AND($B1164, Calculations!$B$9), 'Final Building Profile'!K89, "")</f>
        <v/>
      </c>
      <c r="H1164" t="str">
        <f>IF(AND($B1164, Calculations!$B$9),'Final Building Profile'!M89,"")</f>
        <v/>
      </c>
      <c r="I1164" t="str">
        <f>IF(AND($B1164, Calculations!$B$9),Calculations!AB739,"")</f>
        <v/>
      </c>
      <c r="J1164" t="str">
        <f>IF(AND($B1164, Calculations!$B$9),Calculations!AC739,"")</f>
        <v/>
      </c>
      <c r="K1164" s="316" t="str">
        <f>IF(AND($B1164, Calculations!$B$8), 'Final Building Profile'!J89, "")</f>
        <v/>
      </c>
      <c r="L1164" s="250" t="str">
        <f>IF(AND($B1164, Calculations!$B$8), 'Final Building Profile'!K89, "")</f>
        <v/>
      </c>
      <c r="M1164" t="str">
        <f>IF(AND($B1164, Calculations!$B$8), 'Final Building Profile'!L89, "")</f>
        <v/>
      </c>
      <c r="N1164" t="str">
        <f>IF(AND($B1164, Calculations!$B$8),Calculations!AB739,"")</f>
        <v/>
      </c>
      <c r="O1164" t="str">
        <f>IF(AND($B1164, Calculations!$B$8),Calculations!AC739,"")</f>
        <v/>
      </c>
      <c r="P1164" s="316" t="str">
        <f>IF(AND($B1164, Calculations!$B$7), 'Final Building Profile'!P89, "")</f>
        <v/>
      </c>
      <c r="Q1164" s="204" t="str">
        <f>IF(AND($B1164, Calculations!$B$7), 'Final Building Profile'!Q89, "")</f>
        <v/>
      </c>
      <c r="R1164" t="str">
        <f>IF(AND($B1164, Calculations!$B$7), 'Final Building Profile'!N89-'Final Building Profile'!O89, "")</f>
        <v/>
      </c>
      <c r="S1164" t="str">
        <f>IF(AND($B1164, Calculations!$B$7),Calculations!AD739,"")</f>
        <v/>
      </c>
      <c r="T1164" t="str">
        <f>IF(AND($B1164, Calculations!$B$7),Calculations!AE739,"")</f>
        <v/>
      </c>
    </row>
    <row r="1165" spans="1:20">
      <c r="A1165" s="195" t="str">
        <f>IF(C1165="","",MAX(A$1077:A1164)+1)</f>
        <v/>
      </c>
      <c r="B1165" s="195" t="b">
        <f t="shared" si="18"/>
        <v>0</v>
      </c>
      <c r="C1165" t="str">
        <f>CONCATENATE('Final Building Profile'!B90)</f>
        <v/>
      </c>
      <c r="D1165" t="str">
        <f>CONCATENATE('Final Building Profile'!C90)</f>
        <v/>
      </c>
      <c r="E1165" t="str">
        <f>CONCATENATE('Final Building Profile'!F90)</f>
        <v/>
      </c>
      <c r="F1165" s="316" t="str">
        <f>IF(AND($B1165, Calculations!$B$9), 'Final Building Profile'!J90, "")</f>
        <v/>
      </c>
      <c r="G1165" s="250" t="str">
        <f>IF(AND($B1165, Calculations!$B$9), 'Final Building Profile'!K90, "")</f>
        <v/>
      </c>
      <c r="H1165" t="str">
        <f>IF(AND($B1165, Calculations!$B$9),'Final Building Profile'!M90,"")</f>
        <v/>
      </c>
      <c r="I1165" t="str">
        <f>IF(AND($B1165, Calculations!$B$9),Calculations!AB740,"")</f>
        <v/>
      </c>
      <c r="J1165" t="str">
        <f>IF(AND($B1165, Calculations!$B$9),Calculations!AC740,"")</f>
        <v/>
      </c>
      <c r="K1165" s="316" t="str">
        <f>IF(AND($B1165, Calculations!$B$8), 'Final Building Profile'!J90, "")</f>
        <v/>
      </c>
      <c r="L1165" s="250" t="str">
        <f>IF(AND($B1165, Calculations!$B$8), 'Final Building Profile'!K90, "")</f>
        <v/>
      </c>
      <c r="M1165" t="str">
        <f>IF(AND($B1165, Calculations!$B$8), 'Final Building Profile'!L90, "")</f>
        <v/>
      </c>
      <c r="N1165" t="str">
        <f>IF(AND($B1165, Calculations!$B$8),Calculations!AB740,"")</f>
        <v/>
      </c>
      <c r="O1165" t="str">
        <f>IF(AND($B1165, Calculations!$B$8),Calculations!AC740,"")</f>
        <v/>
      </c>
      <c r="P1165" s="316" t="str">
        <f>IF(AND($B1165, Calculations!$B$7), 'Final Building Profile'!P90, "")</f>
        <v/>
      </c>
      <c r="Q1165" s="204" t="str">
        <f>IF(AND($B1165, Calculations!$B$7), 'Final Building Profile'!Q90, "")</f>
        <v/>
      </c>
      <c r="R1165" t="str">
        <f>IF(AND($B1165, Calculations!$B$7), 'Final Building Profile'!N90-'Final Building Profile'!O90, "")</f>
        <v/>
      </c>
      <c r="S1165" t="str">
        <f>IF(AND($B1165, Calculations!$B$7),Calculations!AD740,"")</f>
        <v/>
      </c>
      <c r="T1165" t="str">
        <f>IF(AND($B1165, Calculations!$B$7),Calculations!AE740,"")</f>
        <v/>
      </c>
    </row>
    <row r="1166" spans="1:20">
      <c r="A1166" s="195" t="str">
        <f>IF(C1166="","",MAX(A$1077:A1165)+1)</f>
        <v/>
      </c>
      <c r="B1166" s="195" t="b">
        <f t="shared" si="18"/>
        <v>0</v>
      </c>
      <c r="C1166" t="str">
        <f>CONCATENATE('Final Building Profile'!B91)</f>
        <v/>
      </c>
      <c r="D1166" t="str">
        <f>CONCATENATE('Final Building Profile'!C91)</f>
        <v/>
      </c>
      <c r="E1166" t="str">
        <f>CONCATENATE('Final Building Profile'!F91)</f>
        <v/>
      </c>
      <c r="F1166" s="316" t="str">
        <f>IF(AND($B1166, Calculations!$B$9), 'Final Building Profile'!J91, "")</f>
        <v/>
      </c>
      <c r="G1166" s="250" t="str">
        <f>IF(AND($B1166, Calculations!$B$9), 'Final Building Profile'!K91, "")</f>
        <v/>
      </c>
      <c r="H1166" t="str">
        <f>IF(AND($B1166, Calculations!$B$9),'Final Building Profile'!M91,"")</f>
        <v/>
      </c>
      <c r="I1166" t="str">
        <f>IF(AND($B1166, Calculations!$B$9),Calculations!AB741,"")</f>
        <v/>
      </c>
      <c r="J1166" t="str">
        <f>IF(AND($B1166, Calculations!$B$9),Calculations!AC741,"")</f>
        <v/>
      </c>
      <c r="K1166" s="316" t="str">
        <f>IF(AND($B1166, Calculations!$B$8), 'Final Building Profile'!J91, "")</f>
        <v/>
      </c>
      <c r="L1166" s="250" t="str">
        <f>IF(AND($B1166, Calculations!$B$8), 'Final Building Profile'!K91, "")</f>
        <v/>
      </c>
      <c r="M1166" t="str">
        <f>IF(AND($B1166, Calculations!$B$8), 'Final Building Profile'!L91, "")</f>
        <v/>
      </c>
      <c r="N1166" t="str">
        <f>IF(AND($B1166, Calculations!$B$8),Calculations!AB741,"")</f>
        <v/>
      </c>
      <c r="O1166" t="str">
        <f>IF(AND($B1166, Calculations!$B$8),Calculations!AC741,"")</f>
        <v/>
      </c>
      <c r="P1166" s="316" t="str">
        <f>IF(AND($B1166, Calculations!$B$7), 'Final Building Profile'!P91, "")</f>
        <v/>
      </c>
      <c r="Q1166" s="204" t="str">
        <f>IF(AND($B1166, Calculations!$B$7), 'Final Building Profile'!Q91, "")</f>
        <v/>
      </c>
      <c r="R1166" t="str">
        <f>IF(AND($B1166, Calculations!$B$7), 'Final Building Profile'!N91-'Final Building Profile'!O91, "")</f>
        <v/>
      </c>
      <c r="S1166" t="str">
        <f>IF(AND($B1166, Calculations!$B$7),Calculations!AD741,"")</f>
        <v/>
      </c>
      <c r="T1166" t="str">
        <f>IF(AND($B1166, Calculations!$B$7),Calculations!AE741,"")</f>
        <v/>
      </c>
    </row>
    <row r="1167" spans="1:20">
      <c r="A1167" s="195" t="str">
        <f>IF(C1167="","",MAX(A$1077:A1166)+1)</f>
        <v/>
      </c>
      <c r="B1167" s="195" t="b">
        <f t="shared" si="18"/>
        <v>0</v>
      </c>
      <c r="C1167" t="str">
        <f>CONCATENATE('Final Building Profile'!B92)</f>
        <v/>
      </c>
      <c r="D1167" t="str">
        <f>CONCATENATE('Final Building Profile'!C92)</f>
        <v/>
      </c>
      <c r="E1167" t="str">
        <f>CONCATENATE('Final Building Profile'!F92)</f>
        <v/>
      </c>
      <c r="F1167" s="316" t="str">
        <f>IF(AND($B1167, Calculations!$B$9), 'Final Building Profile'!J92, "")</f>
        <v/>
      </c>
      <c r="G1167" s="250" t="str">
        <f>IF(AND($B1167, Calculations!$B$9), 'Final Building Profile'!K92, "")</f>
        <v/>
      </c>
      <c r="H1167" t="str">
        <f>IF(AND($B1167, Calculations!$B$9),'Final Building Profile'!M92,"")</f>
        <v/>
      </c>
      <c r="I1167" t="str">
        <f>IF(AND($B1167, Calculations!$B$9),Calculations!AB742,"")</f>
        <v/>
      </c>
      <c r="J1167" t="str">
        <f>IF(AND($B1167, Calculations!$B$9),Calculations!AC742,"")</f>
        <v/>
      </c>
      <c r="K1167" s="316" t="str">
        <f>IF(AND($B1167, Calculations!$B$8), 'Final Building Profile'!J92, "")</f>
        <v/>
      </c>
      <c r="L1167" s="250" t="str">
        <f>IF(AND($B1167, Calculations!$B$8), 'Final Building Profile'!K92, "")</f>
        <v/>
      </c>
      <c r="M1167" t="str">
        <f>IF(AND($B1167, Calculations!$B$8), 'Final Building Profile'!L92, "")</f>
        <v/>
      </c>
      <c r="N1167" t="str">
        <f>IF(AND($B1167, Calculations!$B$8),Calculations!AB742,"")</f>
        <v/>
      </c>
      <c r="O1167" t="str">
        <f>IF(AND($B1167, Calculations!$B$8),Calculations!AC742,"")</f>
        <v/>
      </c>
      <c r="P1167" s="316" t="str">
        <f>IF(AND($B1167, Calculations!$B$7), 'Final Building Profile'!P92, "")</f>
        <v/>
      </c>
      <c r="Q1167" s="204" t="str">
        <f>IF(AND($B1167, Calculations!$B$7), 'Final Building Profile'!Q92, "")</f>
        <v/>
      </c>
      <c r="R1167" t="str">
        <f>IF(AND($B1167, Calculations!$B$7), 'Final Building Profile'!N92-'Final Building Profile'!O92, "")</f>
        <v/>
      </c>
      <c r="S1167" t="str">
        <f>IF(AND($B1167, Calculations!$B$7),Calculations!AD742,"")</f>
        <v/>
      </c>
      <c r="T1167" t="str">
        <f>IF(AND($B1167, Calculations!$B$7),Calculations!AE742,"")</f>
        <v/>
      </c>
    </row>
    <row r="1168" spans="1:20">
      <c r="A1168" s="195" t="str">
        <f>IF(C1168="","",MAX(A$1077:A1167)+1)</f>
        <v/>
      </c>
      <c r="B1168" s="195" t="b">
        <f t="shared" si="18"/>
        <v>0</v>
      </c>
      <c r="C1168" t="str">
        <f>CONCATENATE('Final Building Profile'!B93)</f>
        <v/>
      </c>
      <c r="D1168" t="str">
        <f>CONCATENATE('Final Building Profile'!C93)</f>
        <v/>
      </c>
      <c r="E1168" t="str">
        <f>CONCATENATE('Final Building Profile'!F93)</f>
        <v/>
      </c>
      <c r="F1168" s="316" t="str">
        <f>IF(AND($B1168, Calculations!$B$9), 'Final Building Profile'!J93, "")</f>
        <v/>
      </c>
      <c r="G1168" s="250" t="str">
        <f>IF(AND($B1168, Calculations!$B$9), 'Final Building Profile'!K93, "")</f>
        <v/>
      </c>
      <c r="H1168" t="str">
        <f>IF(AND($B1168, Calculations!$B$9),'Final Building Profile'!M93,"")</f>
        <v/>
      </c>
      <c r="I1168" t="str">
        <f>IF(AND($B1168, Calculations!$B$9),Calculations!AB743,"")</f>
        <v/>
      </c>
      <c r="J1168" t="str">
        <f>IF(AND($B1168, Calculations!$B$9),Calculations!AC743,"")</f>
        <v/>
      </c>
      <c r="K1168" s="316" t="str">
        <f>IF(AND($B1168, Calculations!$B$8), 'Final Building Profile'!J93, "")</f>
        <v/>
      </c>
      <c r="L1168" s="250" t="str">
        <f>IF(AND($B1168, Calculations!$B$8), 'Final Building Profile'!K93, "")</f>
        <v/>
      </c>
      <c r="M1168" t="str">
        <f>IF(AND($B1168, Calculations!$B$8), 'Final Building Profile'!L93, "")</f>
        <v/>
      </c>
      <c r="N1168" t="str">
        <f>IF(AND($B1168, Calculations!$B$8),Calculations!AB743,"")</f>
        <v/>
      </c>
      <c r="O1168" t="str">
        <f>IF(AND($B1168, Calculations!$B$8),Calculations!AC743,"")</f>
        <v/>
      </c>
      <c r="P1168" s="316" t="str">
        <f>IF(AND($B1168, Calculations!$B$7), 'Final Building Profile'!P93, "")</f>
        <v/>
      </c>
      <c r="Q1168" s="204" t="str">
        <f>IF(AND($B1168, Calculations!$B$7), 'Final Building Profile'!Q93, "")</f>
        <v/>
      </c>
      <c r="R1168" t="str">
        <f>IF(AND($B1168, Calculations!$B$7), 'Final Building Profile'!N93-'Final Building Profile'!O93, "")</f>
        <v/>
      </c>
      <c r="S1168" t="str">
        <f>IF(AND($B1168, Calculations!$B$7),Calculations!AD743,"")</f>
        <v/>
      </c>
      <c r="T1168" t="str">
        <f>IF(AND($B1168, Calculations!$B$7),Calculations!AE743,"")</f>
        <v/>
      </c>
    </row>
    <row r="1169" spans="1:20">
      <c r="A1169" s="195" t="str">
        <f>IF(C1169="","",MAX(A$1077:A1168)+1)</f>
        <v/>
      </c>
      <c r="B1169" s="195" t="b">
        <f t="shared" si="18"/>
        <v>0</v>
      </c>
      <c r="C1169" t="str">
        <f>CONCATENATE('Final Building Profile'!B94)</f>
        <v/>
      </c>
      <c r="D1169" t="str">
        <f>CONCATENATE('Final Building Profile'!C94)</f>
        <v/>
      </c>
      <c r="E1169" t="str">
        <f>CONCATENATE('Final Building Profile'!F94)</f>
        <v/>
      </c>
      <c r="F1169" s="316" t="str">
        <f>IF(AND($B1169, Calculations!$B$9), 'Final Building Profile'!J94, "")</f>
        <v/>
      </c>
      <c r="G1169" s="250" t="str">
        <f>IF(AND($B1169, Calculations!$B$9), 'Final Building Profile'!K94, "")</f>
        <v/>
      </c>
      <c r="H1169" t="str">
        <f>IF(AND($B1169, Calculations!$B$9),'Final Building Profile'!M94,"")</f>
        <v/>
      </c>
      <c r="I1169" t="str">
        <f>IF(AND($B1169, Calculations!$B$9),Calculations!AB744,"")</f>
        <v/>
      </c>
      <c r="J1169" t="str">
        <f>IF(AND($B1169, Calculations!$B$9),Calculations!AC744,"")</f>
        <v/>
      </c>
      <c r="K1169" s="316" t="str">
        <f>IF(AND($B1169, Calculations!$B$8), 'Final Building Profile'!J94, "")</f>
        <v/>
      </c>
      <c r="L1169" s="250" t="str">
        <f>IF(AND($B1169, Calculations!$B$8), 'Final Building Profile'!K94, "")</f>
        <v/>
      </c>
      <c r="M1169" t="str">
        <f>IF(AND($B1169, Calculations!$B$8), 'Final Building Profile'!L94, "")</f>
        <v/>
      </c>
      <c r="N1169" t="str">
        <f>IF(AND($B1169, Calculations!$B$8),Calculations!AB744,"")</f>
        <v/>
      </c>
      <c r="O1169" t="str">
        <f>IF(AND($B1169, Calculations!$B$8),Calculations!AC744,"")</f>
        <v/>
      </c>
      <c r="P1169" s="316" t="str">
        <f>IF(AND($B1169, Calculations!$B$7), 'Final Building Profile'!P94, "")</f>
        <v/>
      </c>
      <c r="Q1169" s="204" t="str">
        <f>IF(AND($B1169, Calculations!$B$7), 'Final Building Profile'!Q94, "")</f>
        <v/>
      </c>
      <c r="R1169" t="str">
        <f>IF(AND($B1169, Calculations!$B$7), 'Final Building Profile'!N94-'Final Building Profile'!O94, "")</f>
        <v/>
      </c>
      <c r="S1169" t="str">
        <f>IF(AND($B1169, Calculations!$B$7),Calculations!AD744,"")</f>
        <v/>
      </c>
      <c r="T1169" t="str">
        <f>IF(AND($B1169, Calculations!$B$7),Calculations!AE744,"")</f>
        <v/>
      </c>
    </row>
    <row r="1170" spans="1:20">
      <c r="A1170" s="195" t="str">
        <f>IF(C1170="","",MAX(A$1077:A1169)+1)</f>
        <v/>
      </c>
      <c r="B1170" s="195" t="b">
        <f t="shared" si="18"/>
        <v>0</v>
      </c>
      <c r="C1170" t="str">
        <f>CONCATENATE('Final Building Profile'!B95)</f>
        <v/>
      </c>
      <c r="D1170" t="str">
        <f>CONCATENATE('Final Building Profile'!C95)</f>
        <v/>
      </c>
      <c r="E1170" t="str">
        <f>CONCATENATE('Final Building Profile'!F95)</f>
        <v/>
      </c>
      <c r="F1170" s="316" t="str">
        <f>IF(AND($B1170, Calculations!$B$9), 'Final Building Profile'!J95, "")</f>
        <v/>
      </c>
      <c r="G1170" s="250" t="str">
        <f>IF(AND($B1170, Calculations!$B$9), 'Final Building Profile'!K95, "")</f>
        <v/>
      </c>
      <c r="H1170" t="str">
        <f>IF(AND($B1170, Calculations!$B$9),'Final Building Profile'!M95,"")</f>
        <v/>
      </c>
      <c r="I1170" t="str">
        <f>IF(AND($B1170, Calculations!$B$9),Calculations!AB745,"")</f>
        <v/>
      </c>
      <c r="J1170" t="str">
        <f>IF(AND($B1170, Calculations!$B$9),Calculations!AC745,"")</f>
        <v/>
      </c>
      <c r="K1170" s="316" t="str">
        <f>IF(AND($B1170, Calculations!$B$8), 'Final Building Profile'!J95, "")</f>
        <v/>
      </c>
      <c r="L1170" s="250" t="str">
        <f>IF(AND($B1170, Calculations!$B$8), 'Final Building Profile'!K95, "")</f>
        <v/>
      </c>
      <c r="M1170" t="str">
        <f>IF(AND($B1170, Calculations!$B$8), 'Final Building Profile'!L95, "")</f>
        <v/>
      </c>
      <c r="N1170" t="str">
        <f>IF(AND($B1170, Calculations!$B$8),Calculations!AB745,"")</f>
        <v/>
      </c>
      <c r="O1170" t="str">
        <f>IF(AND($B1170, Calculations!$B$8),Calculations!AC745,"")</f>
        <v/>
      </c>
      <c r="P1170" s="316" t="str">
        <f>IF(AND($B1170, Calculations!$B$7), 'Final Building Profile'!P95, "")</f>
        <v/>
      </c>
      <c r="Q1170" s="204" t="str">
        <f>IF(AND($B1170, Calculations!$B$7), 'Final Building Profile'!Q95, "")</f>
        <v/>
      </c>
      <c r="R1170" t="str">
        <f>IF(AND($B1170, Calculations!$B$7), 'Final Building Profile'!N95-'Final Building Profile'!O95, "")</f>
        <v/>
      </c>
      <c r="S1170" t="str">
        <f>IF(AND($B1170, Calculations!$B$7),Calculations!AD745,"")</f>
        <v/>
      </c>
      <c r="T1170" t="str">
        <f>IF(AND($B1170, Calculations!$B$7),Calculations!AE745,"")</f>
        <v/>
      </c>
    </row>
    <row r="1171" spans="1:20">
      <c r="A1171" s="195" t="str">
        <f>IF(C1171="","",MAX(A$1077:A1170)+1)</f>
        <v/>
      </c>
      <c r="B1171" s="195" t="b">
        <f t="shared" si="18"/>
        <v>0</v>
      </c>
      <c r="C1171" t="str">
        <f>CONCATENATE('Final Building Profile'!B96)</f>
        <v/>
      </c>
      <c r="D1171" t="str">
        <f>CONCATENATE('Final Building Profile'!C96)</f>
        <v/>
      </c>
      <c r="E1171" t="str">
        <f>CONCATENATE('Final Building Profile'!F96)</f>
        <v/>
      </c>
      <c r="F1171" s="316" t="str">
        <f>IF(AND($B1171, Calculations!$B$9), 'Final Building Profile'!J96, "")</f>
        <v/>
      </c>
      <c r="G1171" s="250" t="str">
        <f>IF(AND($B1171, Calculations!$B$9), 'Final Building Profile'!K96, "")</f>
        <v/>
      </c>
      <c r="H1171" t="str">
        <f>IF(AND($B1171, Calculations!$B$9),'Final Building Profile'!M96,"")</f>
        <v/>
      </c>
      <c r="I1171" t="str">
        <f>IF(AND($B1171, Calculations!$B$9),Calculations!AB746,"")</f>
        <v/>
      </c>
      <c r="J1171" t="str">
        <f>IF(AND($B1171, Calculations!$B$9),Calculations!AC746,"")</f>
        <v/>
      </c>
      <c r="K1171" s="316" t="str">
        <f>IF(AND($B1171, Calculations!$B$8), 'Final Building Profile'!J96, "")</f>
        <v/>
      </c>
      <c r="L1171" s="250" t="str">
        <f>IF(AND($B1171, Calculations!$B$8), 'Final Building Profile'!K96, "")</f>
        <v/>
      </c>
      <c r="M1171" t="str">
        <f>IF(AND($B1171, Calculations!$B$8), 'Final Building Profile'!L96, "")</f>
        <v/>
      </c>
      <c r="N1171" t="str">
        <f>IF(AND($B1171, Calculations!$B$8),Calculations!AB746,"")</f>
        <v/>
      </c>
      <c r="O1171" t="str">
        <f>IF(AND($B1171, Calculations!$B$8),Calculations!AC746,"")</f>
        <v/>
      </c>
      <c r="P1171" s="316" t="str">
        <f>IF(AND($B1171, Calculations!$B$7), 'Final Building Profile'!P96, "")</f>
        <v/>
      </c>
      <c r="Q1171" s="204" t="str">
        <f>IF(AND($B1171, Calculations!$B$7), 'Final Building Profile'!Q96, "")</f>
        <v/>
      </c>
      <c r="R1171" t="str">
        <f>IF(AND($B1171, Calculations!$B$7), 'Final Building Profile'!N96-'Final Building Profile'!O96, "")</f>
        <v/>
      </c>
      <c r="S1171" t="str">
        <f>IF(AND($B1171, Calculations!$B$7),Calculations!AD746,"")</f>
        <v/>
      </c>
      <c r="T1171" t="str">
        <f>IF(AND($B1171, Calculations!$B$7),Calculations!AE746,"")</f>
        <v/>
      </c>
    </row>
    <row r="1172" spans="1:20">
      <c r="A1172" s="195" t="str">
        <f>IF(C1172="","",MAX(A$1077:A1171)+1)</f>
        <v/>
      </c>
      <c r="B1172" s="195" t="b">
        <f t="shared" si="18"/>
        <v>0</v>
      </c>
      <c r="C1172" t="str">
        <f>CONCATENATE('Final Building Profile'!B97)</f>
        <v/>
      </c>
      <c r="D1172" t="str">
        <f>CONCATENATE('Final Building Profile'!C97)</f>
        <v/>
      </c>
      <c r="E1172" t="str">
        <f>CONCATENATE('Final Building Profile'!F97)</f>
        <v/>
      </c>
      <c r="F1172" s="316" t="str">
        <f>IF(AND($B1172, Calculations!$B$9), 'Final Building Profile'!J97, "")</f>
        <v/>
      </c>
      <c r="G1172" s="250" t="str">
        <f>IF(AND($B1172, Calculations!$B$9), 'Final Building Profile'!K97, "")</f>
        <v/>
      </c>
      <c r="H1172" t="str">
        <f>IF(AND($B1172, Calculations!$B$9),'Final Building Profile'!M97,"")</f>
        <v/>
      </c>
      <c r="I1172" t="str">
        <f>IF(AND($B1172, Calculations!$B$9),Calculations!AB747,"")</f>
        <v/>
      </c>
      <c r="J1172" t="str">
        <f>IF(AND($B1172, Calculations!$B$9),Calculations!AC747,"")</f>
        <v/>
      </c>
      <c r="K1172" s="316" t="str">
        <f>IF(AND($B1172, Calculations!$B$8), 'Final Building Profile'!J97, "")</f>
        <v/>
      </c>
      <c r="L1172" s="250" t="str">
        <f>IF(AND($B1172, Calculations!$B$8), 'Final Building Profile'!K97, "")</f>
        <v/>
      </c>
      <c r="M1172" t="str">
        <f>IF(AND($B1172, Calculations!$B$8), 'Final Building Profile'!L97, "")</f>
        <v/>
      </c>
      <c r="N1172" t="str">
        <f>IF(AND($B1172, Calculations!$B$8),Calculations!AB747,"")</f>
        <v/>
      </c>
      <c r="O1172" t="str">
        <f>IF(AND($B1172, Calculations!$B$8),Calculations!AC747,"")</f>
        <v/>
      </c>
      <c r="P1172" s="316" t="str">
        <f>IF(AND($B1172, Calculations!$B$7), 'Final Building Profile'!P97, "")</f>
        <v/>
      </c>
      <c r="Q1172" s="204" t="str">
        <f>IF(AND($B1172, Calculations!$B$7), 'Final Building Profile'!Q97, "")</f>
        <v/>
      </c>
      <c r="R1172" t="str">
        <f>IF(AND($B1172, Calculations!$B$7), 'Final Building Profile'!N97-'Final Building Profile'!O97, "")</f>
        <v/>
      </c>
      <c r="S1172" t="str">
        <f>IF(AND($B1172, Calculations!$B$7),Calculations!AD747,"")</f>
        <v/>
      </c>
      <c r="T1172" t="str">
        <f>IF(AND($B1172, Calculations!$B$7),Calculations!AE747,"")</f>
        <v/>
      </c>
    </row>
    <row r="1173" spans="1:20">
      <c r="A1173" s="195" t="str">
        <f>IF(C1173="","",MAX(A$1077:A1172)+1)</f>
        <v/>
      </c>
      <c r="B1173" s="195" t="b">
        <f t="shared" si="18"/>
        <v>0</v>
      </c>
      <c r="C1173" t="str">
        <f>CONCATENATE('Final Building Profile'!B98)</f>
        <v/>
      </c>
      <c r="D1173" t="str">
        <f>CONCATENATE('Final Building Profile'!C98)</f>
        <v/>
      </c>
      <c r="E1173" t="str">
        <f>CONCATENATE('Final Building Profile'!F98)</f>
        <v/>
      </c>
      <c r="F1173" s="316" t="str">
        <f>IF(AND($B1173, Calculations!$B$9), 'Final Building Profile'!J98, "")</f>
        <v/>
      </c>
      <c r="G1173" s="250" t="str">
        <f>IF(AND($B1173, Calculations!$B$9), 'Final Building Profile'!K98, "")</f>
        <v/>
      </c>
      <c r="H1173" t="str">
        <f>IF(AND($B1173, Calculations!$B$9),'Final Building Profile'!M98,"")</f>
        <v/>
      </c>
      <c r="I1173" t="str">
        <f>IF(AND($B1173, Calculations!$B$9),Calculations!AB748,"")</f>
        <v/>
      </c>
      <c r="J1173" t="str">
        <f>IF(AND($B1173, Calculations!$B$9),Calculations!AC748,"")</f>
        <v/>
      </c>
      <c r="K1173" s="316" t="str">
        <f>IF(AND($B1173, Calculations!$B$8), 'Final Building Profile'!J98, "")</f>
        <v/>
      </c>
      <c r="L1173" s="250" t="str">
        <f>IF(AND($B1173, Calculations!$B$8), 'Final Building Profile'!K98, "")</f>
        <v/>
      </c>
      <c r="M1173" t="str">
        <f>IF(AND($B1173, Calculations!$B$8), 'Final Building Profile'!L98, "")</f>
        <v/>
      </c>
      <c r="N1173" t="str">
        <f>IF(AND($B1173, Calculations!$B$8),Calculations!AB748,"")</f>
        <v/>
      </c>
      <c r="O1173" t="str">
        <f>IF(AND($B1173, Calculations!$B$8),Calculations!AC748,"")</f>
        <v/>
      </c>
      <c r="P1173" s="316" t="str">
        <f>IF(AND($B1173, Calculations!$B$7), 'Final Building Profile'!P98, "")</f>
        <v/>
      </c>
      <c r="Q1173" s="204" t="str">
        <f>IF(AND($B1173, Calculations!$B$7), 'Final Building Profile'!Q98, "")</f>
        <v/>
      </c>
      <c r="R1173" t="str">
        <f>IF(AND($B1173, Calculations!$B$7), 'Final Building Profile'!N98-'Final Building Profile'!O98, "")</f>
        <v/>
      </c>
      <c r="S1173" t="str">
        <f>IF(AND($B1173, Calculations!$B$7),Calculations!AD748,"")</f>
        <v/>
      </c>
      <c r="T1173" t="str">
        <f>IF(AND($B1173, Calculations!$B$7),Calculations!AE748,"")</f>
        <v/>
      </c>
    </row>
    <row r="1174" spans="1:20">
      <c r="A1174" s="195" t="str">
        <f>IF(C1174="","",MAX(A$1077:A1173)+1)</f>
        <v/>
      </c>
      <c r="B1174" s="195" t="b">
        <f t="shared" si="18"/>
        <v>0</v>
      </c>
      <c r="C1174" t="str">
        <f>CONCATENATE('Final Building Profile'!B99)</f>
        <v/>
      </c>
      <c r="D1174" t="str">
        <f>CONCATENATE('Final Building Profile'!C99)</f>
        <v/>
      </c>
      <c r="E1174" t="str">
        <f>CONCATENATE('Final Building Profile'!F99)</f>
        <v/>
      </c>
      <c r="F1174" s="316" t="str">
        <f>IF(AND($B1174, Calculations!$B$9), 'Final Building Profile'!J99, "")</f>
        <v/>
      </c>
      <c r="G1174" s="250" t="str">
        <f>IF(AND($B1174, Calculations!$B$9), 'Final Building Profile'!K99, "")</f>
        <v/>
      </c>
      <c r="H1174" t="str">
        <f>IF(AND($B1174, Calculations!$B$9),'Final Building Profile'!M99,"")</f>
        <v/>
      </c>
      <c r="I1174" t="str">
        <f>IF(AND($B1174, Calculations!$B$9),Calculations!AB749,"")</f>
        <v/>
      </c>
      <c r="J1174" t="str">
        <f>IF(AND($B1174, Calculations!$B$9),Calculations!AC749,"")</f>
        <v/>
      </c>
      <c r="K1174" s="316" t="str">
        <f>IF(AND($B1174, Calculations!$B$8), 'Final Building Profile'!J99, "")</f>
        <v/>
      </c>
      <c r="L1174" s="250" t="str">
        <f>IF(AND($B1174, Calculations!$B$8), 'Final Building Profile'!K99, "")</f>
        <v/>
      </c>
      <c r="M1174" t="str">
        <f>IF(AND($B1174, Calculations!$B$8), 'Final Building Profile'!L99, "")</f>
        <v/>
      </c>
      <c r="N1174" t="str">
        <f>IF(AND($B1174, Calculations!$B$8),Calculations!AB749,"")</f>
        <v/>
      </c>
      <c r="O1174" t="str">
        <f>IF(AND($B1174, Calculations!$B$8),Calculations!AC749,"")</f>
        <v/>
      </c>
      <c r="P1174" s="316" t="str">
        <f>IF(AND($B1174, Calculations!$B$7), 'Final Building Profile'!P99, "")</f>
        <v/>
      </c>
      <c r="Q1174" s="204" t="str">
        <f>IF(AND($B1174, Calculations!$B$7), 'Final Building Profile'!Q99, "")</f>
        <v/>
      </c>
      <c r="R1174" t="str">
        <f>IF(AND($B1174, Calculations!$B$7), 'Final Building Profile'!N99-'Final Building Profile'!O99, "")</f>
        <v/>
      </c>
      <c r="S1174" t="str">
        <f>IF(AND($B1174, Calculations!$B$7),Calculations!AD749,"")</f>
        <v/>
      </c>
      <c r="T1174" t="str">
        <f>IF(AND($B1174, Calculations!$B$7),Calculations!AE749,"")</f>
        <v/>
      </c>
    </row>
    <row r="1175" spans="1:20">
      <c r="A1175" s="195" t="str">
        <f>IF(C1175="","",MAX(A$1077:A1174)+1)</f>
        <v/>
      </c>
      <c r="B1175" s="195" t="b">
        <f t="shared" si="18"/>
        <v>0</v>
      </c>
      <c r="C1175" t="str">
        <f>CONCATENATE('Final Building Profile'!B100)</f>
        <v/>
      </c>
      <c r="D1175" t="str">
        <f>CONCATENATE('Final Building Profile'!C100)</f>
        <v/>
      </c>
      <c r="E1175" t="str">
        <f>CONCATENATE('Final Building Profile'!F100)</f>
        <v/>
      </c>
      <c r="F1175" s="316" t="str">
        <f>IF(AND($B1175, Calculations!$B$9), 'Final Building Profile'!J100, "")</f>
        <v/>
      </c>
      <c r="G1175" s="250" t="str">
        <f>IF(AND($B1175, Calculations!$B$9), 'Final Building Profile'!K100, "")</f>
        <v/>
      </c>
      <c r="H1175" t="str">
        <f>IF(AND($B1175, Calculations!$B$9),'Final Building Profile'!M100,"")</f>
        <v/>
      </c>
      <c r="I1175" t="str">
        <f>IF(AND($B1175, Calculations!$B$9),Calculations!AB750,"")</f>
        <v/>
      </c>
      <c r="J1175" t="str">
        <f>IF(AND($B1175, Calculations!$B$9),Calculations!AC750,"")</f>
        <v/>
      </c>
      <c r="K1175" s="316" t="str">
        <f>IF(AND($B1175, Calculations!$B$8), 'Final Building Profile'!J100, "")</f>
        <v/>
      </c>
      <c r="L1175" s="250" t="str">
        <f>IF(AND($B1175, Calculations!$B$8), 'Final Building Profile'!K100, "")</f>
        <v/>
      </c>
      <c r="M1175" t="str">
        <f>IF(AND($B1175, Calculations!$B$8), 'Final Building Profile'!L100, "")</f>
        <v/>
      </c>
      <c r="N1175" t="str">
        <f>IF(AND($B1175, Calculations!$B$8),Calculations!AB750,"")</f>
        <v/>
      </c>
      <c r="O1175" t="str">
        <f>IF(AND($B1175, Calculations!$B$8),Calculations!AC750,"")</f>
        <v/>
      </c>
      <c r="P1175" s="316" t="str">
        <f>IF(AND($B1175, Calculations!$B$7), 'Final Building Profile'!P100, "")</f>
        <v/>
      </c>
      <c r="Q1175" s="204" t="str">
        <f>IF(AND($B1175, Calculations!$B$7), 'Final Building Profile'!Q100, "")</f>
        <v/>
      </c>
      <c r="R1175" t="str">
        <f>IF(AND($B1175, Calculations!$B$7), 'Final Building Profile'!N100-'Final Building Profile'!O100, "")</f>
        <v/>
      </c>
      <c r="S1175" t="str">
        <f>IF(AND($B1175, Calculations!$B$7),Calculations!AD750,"")</f>
        <v/>
      </c>
      <c r="T1175" t="str">
        <f>IF(AND($B1175, Calculations!$B$7),Calculations!AE750,"")</f>
        <v/>
      </c>
    </row>
    <row r="1176" spans="1:20">
      <c r="A1176" s="195" t="str">
        <f>IF(C1176="","",MAX(A$1077:A1175)+1)</f>
        <v/>
      </c>
      <c r="B1176" s="195" t="b">
        <f t="shared" si="18"/>
        <v>0</v>
      </c>
      <c r="C1176" t="str">
        <f>CONCATENATE('Final Building Profile'!B101)</f>
        <v/>
      </c>
      <c r="D1176" t="str">
        <f>CONCATENATE('Final Building Profile'!C101)</f>
        <v/>
      </c>
      <c r="E1176" t="str">
        <f>CONCATENATE('Final Building Profile'!F101)</f>
        <v/>
      </c>
      <c r="F1176" s="316" t="str">
        <f>IF(AND($B1176, Calculations!$B$9), 'Final Building Profile'!J101, "")</f>
        <v/>
      </c>
      <c r="G1176" s="250" t="str">
        <f>IF(AND($B1176, Calculations!$B$9), 'Final Building Profile'!K101, "")</f>
        <v/>
      </c>
      <c r="H1176" t="str">
        <f>IF(AND($B1176, Calculations!$B$9),'Final Building Profile'!M101,"")</f>
        <v/>
      </c>
      <c r="I1176" t="str">
        <f>IF(AND($B1176, Calculations!$B$9),Calculations!AB751,"")</f>
        <v/>
      </c>
      <c r="J1176" t="str">
        <f>IF(AND($B1176, Calculations!$B$9),Calculations!AC751,"")</f>
        <v/>
      </c>
      <c r="K1176" s="316" t="str">
        <f>IF(AND($B1176, Calculations!$B$8), 'Final Building Profile'!J101, "")</f>
        <v/>
      </c>
      <c r="L1176" s="250" t="str">
        <f>IF(AND($B1176, Calculations!$B$8), 'Final Building Profile'!K101, "")</f>
        <v/>
      </c>
      <c r="M1176" t="str">
        <f>IF(AND($B1176, Calculations!$B$8), 'Final Building Profile'!L101, "")</f>
        <v/>
      </c>
      <c r="N1176" t="str">
        <f>IF(AND($B1176, Calculations!$B$8),Calculations!AB751,"")</f>
        <v/>
      </c>
      <c r="O1176" t="str">
        <f>IF(AND($B1176, Calculations!$B$8),Calculations!AC751,"")</f>
        <v/>
      </c>
      <c r="P1176" s="316" t="str">
        <f>IF(AND($B1176, Calculations!$B$7), 'Final Building Profile'!P101, "")</f>
        <v/>
      </c>
      <c r="Q1176" s="204" t="str">
        <f>IF(AND($B1176, Calculations!$B$7), 'Final Building Profile'!Q101, "")</f>
        <v/>
      </c>
      <c r="R1176" t="str">
        <f>IF(AND($B1176, Calculations!$B$7), 'Final Building Profile'!N101-'Final Building Profile'!O101, "")</f>
        <v/>
      </c>
      <c r="S1176" t="str">
        <f>IF(AND($B1176, Calculations!$B$7),Calculations!AD751,"")</f>
        <v/>
      </c>
      <c r="T1176" t="str">
        <f>IF(AND($B1176, Calculations!$B$7),Calculations!AE751,"")</f>
        <v/>
      </c>
    </row>
    <row r="1177" spans="1:20">
      <c r="A1177" s="195" t="str">
        <f>IF(C1177="","",MAX(A$1077:A1176)+1)</f>
        <v/>
      </c>
      <c r="B1177" s="195" t="b">
        <f t="shared" si="18"/>
        <v>0</v>
      </c>
      <c r="C1177" t="str">
        <f>CONCATENATE('Final Building Profile'!B102)</f>
        <v/>
      </c>
      <c r="D1177" t="str">
        <f>CONCATENATE('Final Building Profile'!C102)</f>
        <v/>
      </c>
      <c r="E1177" t="str">
        <f>CONCATENATE('Final Building Profile'!F102)</f>
        <v/>
      </c>
      <c r="F1177" s="316" t="str">
        <f>IF(AND($B1177, Calculations!$B$9), 'Final Building Profile'!J102, "")</f>
        <v/>
      </c>
      <c r="G1177" s="250" t="str">
        <f>IF(AND($B1177, Calculations!$B$9), 'Final Building Profile'!K102, "")</f>
        <v/>
      </c>
      <c r="H1177" t="str">
        <f>IF(AND($B1177, Calculations!$B$9),'Final Building Profile'!M102,"")</f>
        <v/>
      </c>
      <c r="I1177" t="str">
        <f>IF(AND($B1177, Calculations!$B$9),Calculations!AB752,"")</f>
        <v/>
      </c>
      <c r="J1177" t="str">
        <f>IF(AND($B1177, Calculations!$B$9),Calculations!AC752,"")</f>
        <v/>
      </c>
      <c r="K1177" s="316" t="str">
        <f>IF(AND($B1177, Calculations!$B$8), 'Final Building Profile'!J102, "")</f>
        <v/>
      </c>
      <c r="L1177" s="250" t="str">
        <f>IF(AND($B1177, Calculations!$B$8), 'Final Building Profile'!K102, "")</f>
        <v/>
      </c>
      <c r="M1177" t="str">
        <f>IF(AND($B1177, Calculations!$B$8), 'Final Building Profile'!L102, "")</f>
        <v/>
      </c>
      <c r="N1177" t="str">
        <f>IF(AND($B1177, Calculations!$B$8),Calculations!AB752,"")</f>
        <v/>
      </c>
      <c r="O1177" t="str">
        <f>IF(AND($B1177, Calculations!$B$8),Calculations!AC752,"")</f>
        <v/>
      </c>
      <c r="P1177" s="316" t="str">
        <f>IF(AND($B1177, Calculations!$B$7), 'Final Building Profile'!P102, "")</f>
        <v/>
      </c>
      <c r="Q1177" s="204" t="str">
        <f>IF(AND($B1177, Calculations!$B$7), 'Final Building Profile'!Q102, "")</f>
        <v/>
      </c>
      <c r="R1177" t="str">
        <f>IF(AND($B1177, Calculations!$B$7), 'Final Building Profile'!N102-'Final Building Profile'!O102, "")</f>
        <v/>
      </c>
      <c r="S1177" t="str">
        <f>IF(AND($B1177, Calculations!$B$7),Calculations!AD752,"")</f>
        <v/>
      </c>
      <c r="T1177" t="str">
        <f>IF(AND($B1177, Calculations!$B$7),Calculations!AE752,"")</f>
        <v/>
      </c>
    </row>
    <row r="1180" spans="1:20">
      <c r="A1180" t="s">
        <v>2596</v>
      </c>
      <c r="C1180" t="s">
        <v>2580</v>
      </c>
      <c r="D1180" t="s">
        <v>1665</v>
      </c>
      <c r="E1180" t="s">
        <v>2520</v>
      </c>
      <c r="F1180" t="s">
        <v>2581</v>
      </c>
      <c r="G1180" t="s">
        <v>2582</v>
      </c>
      <c r="H1180" t="s">
        <v>2583</v>
      </c>
      <c r="I1180" t="s">
        <v>2584</v>
      </c>
      <c r="J1180" t="s">
        <v>2585</v>
      </c>
      <c r="K1180" t="s">
        <v>2586</v>
      </c>
      <c r="L1180" t="s">
        <v>2587</v>
      </c>
      <c r="M1180" t="s">
        <v>2588</v>
      </c>
      <c r="N1180" t="s">
        <v>2589</v>
      </c>
      <c r="O1180" t="s">
        <v>2590</v>
      </c>
      <c r="P1180" t="s">
        <v>2591</v>
      </c>
      <c r="Q1180" t="s">
        <v>2592</v>
      </c>
      <c r="R1180" t="s">
        <v>2593</v>
      </c>
      <c r="S1180" t="s">
        <v>2594</v>
      </c>
      <c r="T1180" t="s">
        <v>2595</v>
      </c>
    </row>
    <row r="1181" spans="1:20">
      <c r="A1181" t="s">
        <v>2270</v>
      </c>
      <c r="B1181" t="s">
        <v>2271</v>
      </c>
      <c r="C1181">
        <v>2</v>
      </c>
      <c r="D1181">
        <v>3</v>
      </c>
      <c r="E1181">
        <v>4</v>
      </c>
      <c r="F1181">
        <v>5</v>
      </c>
      <c r="G1181">
        <v>6</v>
      </c>
      <c r="H1181">
        <v>7</v>
      </c>
      <c r="I1181">
        <v>8</v>
      </c>
      <c r="J1181">
        <v>9</v>
      </c>
      <c r="K1181">
        <v>10</v>
      </c>
      <c r="L1181">
        <v>11</v>
      </c>
      <c r="M1181">
        <v>12</v>
      </c>
      <c r="N1181">
        <v>13</v>
      </c>
      <c r="O1181">
        <v>14</v>
      </c>
      <c r="P1181">
        <v>15</v>
      </c>
      <c r="Q1181">
        <v>16</v>
      </c>
      <c r="R1181">
        <v>17</v>
      </c>
      <c r="S1181">
        <v>18</v>
      </c>
      <c r="T1181">
        <v>19</v>
      </c>
    </row>
    <row r="1182" spans="1:20">
      <c r="A1182" s="195">
        <f t="shared" ref="A1182:A1245" si="19">IF(ISNA(MATCH(B1182, $A$1078:$A$1177, 0)), 1, MATCH(B1182, $A$1078:$A$1177, 0))</f>
        <v>1</v>
      </c>
      <c r="B1182">
        <v>1</v>
      </c>
      <c r="C1182" s="8" t="str">
        <f t="shared" ref="C1182:C1213" si="20">IF(INDEX($B$1078:$T$1177, $A1182, C$1181) = "", "", INDEX($B$1078:$T$1177, $A1182, C$1181))</f>
        <v/>
      </c>
      <c r="D1182" t="str">
        <f t="shared" ref="D1182:E1201" si="21">CONCATENATE(INDEX($B$1078:$T$1177, $A1182, D$1181))</f>
        <v/>
      </c>
      <c r="E1182" t="str">
        <f t="shared" si="21"/>
        <v/>
      </c>
      <c r="F1182" s="316" t="str">
        <f t="shared" ref="F1182:F1213" si="22">IF(ISBLANK(INDEX($B$1078:$T$1177, $A1182, F$1181)), "", INDEX($B$1078:$T$1177, $A1182, F$1181))</f>
        <v/>
      </c>
      <c r="G1182" t="str">
        <f t="shared" ref="G1182:J1201" si="23">CONCATENATE(INDEX($B$1078:$T$1177, $A1182, G$1181))</f>
        <v/>
      </c>
      <c r="H1182" t="str">
        <f t="shared" si="23"/>
        <v/>
      </c>
      <c r="I1182" t="str">
        <f t="shared" si="23"/>
        <v/>
      </c>
      <c r="J1182" t="str">
        <f t="shared" si="23"/>
        <v/>
      </c>
      <c r="K1182" s="316" t="str">
        <f t="shared" ref="K1182:K1213" si="24">IF(ISBLANK(INDEX($B$1078:$T$1177, $A1182, K$1181)), "", INDEX($B$1078:$T$1177, $A1182, K$1181))</f>
        <v/>
      </c>
      <c r="L1182" t="str">
        <f t="shared" ref="L1182:O1201" si="25">CONCATENATE(INDEX($B$1078:$T$1177, $A1182, L$1181))</f>
        <v/>
      </c>
      <c r="M1182" t="str">
        <f t="shared" si="25"/>
        <v/>
      </c>
      <c r="N1182" t="str">
        <f t="shared" si="25"/>
        <v/>
      </c>
      <c r="O1182" t="str">
        <f t="shared" si="25"/>
        <v/>
      </c>
      <c r="P1182" s="316" t="str">
        <f t="shared" ref="P1182:P1213" si="26">IF(ISBLANK(INDEX($B$1078:$T$1177, $A1182, P$1181)), "", INDEX($B$1078:$T$1177, $A1182, P$1181))</f>
        <v/>
      </c>
      <c r="Q1182" t="str">
        <f t="shared" ref="Q1182:T1201" si="27">CONCATENATE(INDEX($B$1078:$T$1177, $A1182, Q$1181))</f>
        <v/>
      </c>
      <c r="R1182" t="str">
        <f t="shared" si="27"/>
        <v/>
      </c>
      <c r="S1182" t="str">
        <f t="shared" si="27"/>
        <v/>
      </c>
      <c r="T1182" t="str">
        <f t="shared" si="27"/>
        <v/>
      </c>
    </row>
    <row r="1183" spans="1:20">
      <c r="A1183" s="195">
        <f t="shared" si="19"/>
        <v>1</v>
      </c>
      <c r="B1183">
        <f>B1182+1</f>
        <v>2</v>
      </c>
      <c r="C1183" s="8" t="str">
        <f t="shared" si="20"/>
        <v/>
      </c>
      <c r="D1183" t="str">
        <f t="shared" si="21"/>
        <v/>
      </c>
      <c r="E1183" t="str">
        <f t="shared" si="21"/>
        <v/>
      </c>
      <c r="F1183" s="316" t="str">
        <f t="shared" si="22"/>
        <v/>
      </c>
      <c r="G1183" t="str">
        <f t="shared" si="23"/>
        <v/>
      </c>
      <c r="H1183" t="str">
        <f t="shared" si="23"/>
        <v/>
      </c>
      <c r="I1183" t="str">
        <f t="shared" si="23"/>
        <v/>
      </c>
      <c r="J1183" t="str">
        <f t="shared" si="23"/>
        <v/>
      </c>
      <c r="K1183" s="316" t="str">
        <f t="shared" si="24"/>
        <v/>
      </c>
      <c r="L1183" t="str">
        <f t="shared" si="25"/>
        <v/>
      </c>
      <c r="M1183" t="str">
        <f t="shared" si="25"/>
        <v/>
      </c>
      <c r="N1183" t="str">
        <f t="shared" si="25"/>
        <v/>
      </c>
      <c r="O1183" t="str">
        <f t="shared" si="25"/>
        <v/>
      </c>
      <c r="P1183" s="316" t="str">
        <f t="shared" si="26"/>
        <v/>
      </c>
      <c r="Q1183" t="str">
        <f t="shared" si="27"/>
        <v/>
      </c>
      <c r="R1183" t="str">
        <f t="shared" si="27"/>
        <v/>
      </c>
      <c r="S1183" t="str">
        <f t="shared" si="27"/>
        <v/>
      </c>
      <c r="T1183" t="str">
        <f t="shared" si="27"/>
        <v/>
      </c>
    </row>
    <row r="1184" spans="1:20">
      <c r="A1184" s="195">
        <f t="shared" si="19"/>
        <v>1</v>
      </c>
      <c r="B1184">
        <f t="shared" ref="B1184:B1247" si="28">B1183+1</f>
        <v>3</v>
      </c>
      <c r="C1184" s="8" t="str">
        <f t="shared" si="20"/>
        <v/>
      </c>
      <c r="D1184" t="str">
        <f t="shared" si="21"/>
        <v/>
      </c>
      <c r="E1184" t="str">
        <f t="shared" si="21"/>
        <v/>
      </c>
      <c r="F1184" s="316" t="str">
        <f t="shared" si="22"/>
        <v/>
      </c>
      <c r="G1184" t="str">
        <f t="shared" si="23"/>
        <v/>
      </c>
      <c r="H1184" t="str">
        <f t="shared" si="23"/>
        <v/>
      </c>
      <c r="I1184" t="str">
        <f t="shared" si="23"/>
        <v/>
      </c>
      <c r="J1184" t="str">
        <f t="shared" si="23"/>
        <v/>
      </c>
      <c r="K1184" s="316" t="str">
        <f t="shared" si="24"/>
        <v/>
      </c>
      <c r="L1184" t="str">
        <f t="shared" si="25"/>
        <v/>
      </c>
      <c r="M1184" t="str">
        <f t="shared" si="25"/>
        <v/>
      </c>
      <c r="N1184" t="str">
        <f t="shared" si="25"/>
        <v/>
      </c>
      <c r="O1184" t="str">
        <f t="shared" si="25"/>
        <v/>
      </c>
      <c r="P1184" s="316" t="str">
        <f t="shared" si="26"/>
        <v/>
      </c>
      <c r="Q1184" t="str">
        <f t="shared" si="27"/>
        <v/>
      </c>
      <c r="R1184" t="str">
        <f t="shared" si="27"/>
        <v/>
      </c>
      <c r="S1184" t="str">
        <f t="shared" si="27"/>
        <v/>
      </c>
      <c r="T1184" t="str">
        <f t="shared" si="27"/>
        <v/>
      </c>
    </row>
    <row r="1185" spans="1:20">
      <c r="A1185" s="195">
        <f t="shared" si="19"/>
        <v>1</v>
      </c>
      <c r="B1185">
        <f t="shared" si="28"/>
        <v>4</v>
      </c>
      <c r="C1185" s="8" t="str">
        <f t="shared" si="20"/>
        <v/>
      </c>
      <c r="D1185" t="str">
        <f t="shared" si="21"/>
        <v/>
      </c>
      <c r="E1185" t="str">
        <f t="shared" si="21"/>
        <v/>
      </c>
      <c r="F1185" s="316" t="str">
        <f t="shared" si="22"/>
        <v/>
      </c>
      <c r="G1185" t="str">
        <f t="shared" si="23"/>
        <v/>
      </c>
      <c r="H1185" t="str">
        <f t="shared" si="23"/>
        <v/>
      </c>
      <c r="I1185" t="str">
        <f t="shared" si="23"/>
        <v/>
      </c>
      <c r="J1185" t="str">
        <f t="shared" si="23"/>
        <v/>
      </c>
      <c r="K1185" s="316" t="str">
        <f t="shared" si="24"/>
        <v/>
      </c>
      <c r="L1185" t="str">
        <f t="shared" si="25"/>
        <v/>
      </c>
      <c r="M1185" t="str">
        <f t="shared" si="25"/>
        <v/>
      </c>
      <c r="N1185" t="str">
        <f t="shared" si="25"/>
        <v/>
      </c>
      <c r="O1185" t="str">
        <f t="shared" si="25"/>
        <v/>
      </c>
      <c r="P1185" s="316" t="str">
        <f t="shared" si="26"/>
        <v/>
      </c>
      <c r="Q1185" t="str">
        <f t="shared" si="27"/>
        <v/>
      </c>
      <c r="R1185" t="str">
        <f t="shared" si="27"/>
        <v/>
      </c>
      <c r="S1185" t="str">
        <f t="shared" si="27"/>
        <v/>
      </c>
      <c r="T1185" t="str">
        <f t="shared" si="27"/>
        <v/>
      </c>
    </row>
    <row r="1186" spans="1:20">
      <c r="A1186" s="195">
        <f t="shared" si="19"/>
        <v>1</v>
      </c>
      <c r="B1186">
        <f t="shared" si="28"/>
        <v>5</v>
      </c>
      <c r="C1186" s="8" t="str">
        <f t="shared" si="20"/>
        <v/>
      </c>
      <c r="D1186" t="str">
        <f t="shared" si="21"/>
        <v/>
      </c>
      <c r="E1186" t="str">
        <f t="shared" si="21"/>
        <v/>
      </c>
      <c r="F1186" s="316" t="str">
        <f t="shared" si="22"/>
        <v/>
      </c>
      <c r="G1186" t="str">
        <f t="shared" si="23"/>
        <v/>
      </c>
      <c r="H1186" t="str">
        <f t="shared" si="23"/>
        <v/>
      </c>
      <c r="I1186" t="str">
        <f t="shared" si="23"/>
        <v/>
      </c>
      <c r="J1186" t="str">
        <f t="shared" si="23"/>
        <v/>
      </c>
      <c r="K1186" s="316" t="str">
        <f t="shared" si="24"/>
        <v/>
      </c>
      <c r="L1186" t="str">
        <f t="shared" si="25"/>
        <v/>
      </c>
      <c r="M1186" t="str">
        <f t="shared" si="25"/>
        <v/>
      </c>
      <c r="N1186" t="str">
        <f t="shared" si="25"/>
        <v/>
      </c>
      <c r="O1186" t="str">
        <f t="shared" si="25"/>
        <v/>
      </c>
      <c r="P1186" s="316" t="str">
        <f t="shared" si="26"/>
        <v/>
      </c>
      <c r="Q1186" t="str">
        <f t="shared" si="27"/>
        <v/>
      </c>
      <c r="R1186" t="str">
        <f t="shared" si="27"/>
        <v/>
      </c>
      <c r="S1186" t="str">
        <f t="shared" si="27"/>
        <v/>
      </c>
      <c r="T1186" t="str">
        <f t="shared" si="27"/>
        <v/>
      </c>
    </row>
    <row r="1187" spans="1:20">
      <c r="A1187" s="195">
        <f t="shared" si="19"/>
        <v>1</v>
      </c>
      <c r="B1187">
        <f t="shared" si="28"/>
        <v>6</v>
      </c>
      <c r="C1187" s="8" t="str">
        <f t="shared" si="20"/>
        <v/>
      </c>
      <c r="D1187" t="str">
        <f t="shared" si="21"/>
        <v/>
      </c>
      <c r="E1187" t="str">
        <f t="shared" si="21"/>
        <v/>
      </c>
      <c r="F1187" s="316" t="str">
        <f t="shared" si="22"/>
        <v/>
      </c>
      <c r="G1187" t="str">
        <f t="shared" si="23"/>
        <v/>
      </c>
      <c r="H1187" t="str">
        <f t="shared" si="23"/>
        <v/>
      </c>
      <c r="I1187" t="str">
        <f t="shared" si="23"/>
        <v/>
      </c>
      <c r="J1187" t="str">
        <f t="shared" si="23"/>
        <v/>
      </c>
      <c r="K1187" s="316" t="str">
        <f t="shared" si="24"/>
        <v/>
      </c>
      <c r="L1187" t="str">
        <f t="shared" si="25"/>
        <v/>
      </c>
      <c r="M1187" t="str">
        <f t="shared" si="25"/>
        <v/>
      </c>
      <c r="N1187" t="str">
        <f t="shared" si="25"/>
        <v/>
      </c>
      <c r="O1187" t="str">
        <f t="shared" si="25"/>
        <v/>
      </c>
      <c r="P1187" s="316" t="str">
        <f t="shared" si="26"/>
        <v/>
      </c>
      <c r="Q1187" t="str">
        <f t="shared" si="27"/>
        <v/>
      </c>
      <c r="R1187" t="str">
        <f t="shared" si="27"/>
        <v/>
      </c>
      <c r="S1187" t="str">
        <f t="shared" si="27"/>
        <v/>
      </c>
      <c r="T1187" t="str">
        <f t="shared" si="27"/>
        <v/>
      </c>
    </row>
    <row r="1188" spans="1:20">
      <c r="A1188" s="195">
        <f t="shared" si="19"/>
        <v>1</v>
      </c>
      <c r="B1188">
        <f t="shared" si="28"/>
        <v>7</v>
      </c>
      <c r="C1188" s="8" t="str">
        <f t="shared" si="20"/>
        <v/>
      </c>
      <c r="D1188" t="str">
        <f t="shared" si="21"/>
        <v/>
      </c>
      <c r="E1188" t="str">
        <f t="shared" si="21"/>
        <v/>
      </c>
      <c r="F1188" s="316" t="str">
        <f t="shared" si="22"/>
        <v/>
      </c>
      <c r="G1188" t="str">
        <f t="shared" si="23"/>
        <v/>
      </c>
      <c r="H1188" t="str">
        <f t="shared" si="23"/>
        <v/>
      </c>
      <c r="I1188" t="str">
        <f t="shared" si="23"/>
        <v/>
      </c>
      <c r="J1188" t="str">
        <f t="shared" si="23"/>
        <v/>
      </c>
      <c r="K1188" s="316" t="str">
        <f t="shared" si="24"/>
        <v/>
      </c>
      <c r="L1188" t="str">
        <f t="shared" si="25"/>
        <v/>
      </c>
      <c r="M1188" t="str">
        <f t="shared" si="25"/>
        <v/>
      </c>
      <c r="N1188" t="str">
        <f t="shared" si="25"/>
        <v/>
      </c>
      <c r="O1188" t="str">
        <f t="shared" si="25"/>
        <v/>
      </c>
      <c r="P1188" s="316" t="str">
        <f t="shared" si="26"/>
        <v/>
      </c>
      <c r="Q1188" t="str">
        <f t="shared" si="27"/>
        <v/>
      </c>
      <c r="R1188" t="str">
        <f t="shared" si="27"/>
        <v/>
      </c>
      <c r="S1188" t="str">
        <f t="shared" si="27"/>
        <v/>
      </c>
      <c r="T1188" t="str">
        <f t="shared" si="27"/>
        <v/>
      </c>
    </row>
    <row r="1189" spans="1:20">
      <c r="A1189" s="195">
        <f t="shared" si="19"/>
        <v>1</v>
      </c>
      <c r="B1189">
        <f t="shared" si="28"/>
        <v>8</v>
      </c>
      <c r="C1189" s="8" t="str">
        <f t="shared" si="20"/>
        <v/>
      </c>
      <c r="D1189" t="str">
        <f t="shared" si="21"/>
        <v/>
      </c>
      <c r="E1189" t="str">
        <f t="shared" si="21"/>
        <v/>
      </c>
      <c r="F1189" s="316" t="str">
        <f t="shared" si="22"/>
        <v/>
      </c>
      <c r="G1189" t="str">
        <f t="shared" si="23"/>
        <v/>
      </c>
      <c r="H1189" t="str">
        <f t="shared" si="23"/>
        <v/>
      </c>
      <c r="I1189" t="str">
        <f t="shared" si="23"/>
        <v/>
      </c>
      <c r="J1189" t="str">
        <f t="shared" si="23"/>
        <v/>
      </c>
      <c r="K1189" s="316" t="str">
        <f t="shared" si="24"/>
        <v/>
      </c>
      <c r="L1189" t="str">
        <f t="shared" si="25"/>
        <v/>
      </c>
      <c r="M1189" t="str">
        <f t="shared" si="25"/>
        <v/>
      </c>
      <c r="N1189" t="str">
        <f t="shared" si="25"/>
        <v/>
      </c>
      <c r="O1189" t="str">
        <f t="shared" si="25"/>
        <v/>
      </c>
      <c r="P1189" s="316" t="str">
        <f t="shared" si="26"/>
        <v/>
      </c>
      <c r="Q1189" t="str">
        <f t="shared" si="27"/>
        <v/>
      </c>
      <c r="R1189" t="str">
        <f t="shared" si="27"/>
        <v/>
      </c>
      <c r="S1189" t="str">
        <f t="shared" si="27"/>
        <v/>
      </c>
      <c r="T1189" t="str">
        <f t="shared" si="27"/>
        <v/>
      </c>
    </row>
    <row r="1190" spans="1:20">
      <c r="A1190" s="195">
        <f t="shared" si="19"/>
        <v>1</v>
      </c>
      <c r="B1190">
        <f t="shared" si="28"/>
        <v>9</v>
      </c>
      <c r="C1190" s="8" t="str">
        <f t="shared" si="20"/>
        <v/>
      </c>
      <c r="D1190" t="str">
        <f t="shared" si="21"/>
        <v/>
      </c>
      <c r="E1190" t="str">
        <f t="shared" si="21"/>
        <v/>
      </c>
      <c r="F1190" s="316" t="str">
        <f t="shared" si="22"/>
        <v/>
      </c>
      <c r="G1190" t="str">
        <f t="shared" si="23"/>
        <v/>
      </c>
      <c r="H1190" t="str">
        <f t="shared" si="23"/>
        <v/>
      </c>
      <c r="I1190" t="str">
        <f t="shared" si="23"/>
        <v/>
      </c>
      <c r="J1190" t="str">
        <f t="shared" si="23"/>
        <v/>
      </c>
      <c r="K1190" s="316" t="str">
        <f t="shared" si="24"/>
        <v/>
      </c>
      <c r="L1190" t="str">
        <f t="shared" si="25"/>
        <v/>
      </c>
      <c r="M1190" t="str">
        <f t="shared" si="25"/>
        <v/>
      </c>
      <c r="N1190" t="str">
        <f t="shared" si="25"/>
        <v/>
      </c>
      <c r="O1190" t="str">
        <f t="shared" si="25"/>
        <v/>
      </c>
      <c r="P1190" s="316" t="str">
        <f t="shared" si="26"/>
        <v/>
      </c>
      <c r="Q1190" t="str">
        <f t="shared" si="27"/>
        <v/>
      </c>
      <c r="R1190" t="str">
        <f t="shared" si="27"/>
        <v/>
      </c>
      <c r="S1190" t="str">
        <f t="shared" si="27"/>
        <v/>
      </c>
      <c r="T1190" t="str">
        <f t="shared" si="27"/>
        <v/>
      </c>
    </row>
    <row r="1191" spans="1:20">
      <c r="A1191" s="195">
        <f t="shared" si="19"/>
        <v>1</v>
      </c>
      <c r="B1191">
        <f t="shared" si="28"/>
        <v>10</v>
      </c>
      <c r="C1191" s="8" t="str">
        <f t="shared" si="20"/>
        <v/>
      </c>
      <c r="D1191" t="str">
        <f t="shared" si="21"/>
        <v/>
      </c>
      <c r="E1191" t="str">
        <f t="shared" si="21"/>
        <v/>
      </c>
      <c r="F1191" s="316" t="str">
        <f t="shared" si="22"/>
        <v/>
      </c>
      <c r="G1191" t="str">
        <f t="shared" si="23"/>
        <v/>
      </c>
      <c r="H1191" t="str">
        <f t="shared" si="23"/>
        <v/>
      </c>
      <c r="I1191" t="str">
        <f t="shared" si="23"/>
        <v/>
      </c>
      <c r="J1191" t="str">
        <f t="shared" si="23"/>
        <v/>
      </c>
      <c r="K1191" s="316" t="str">
        <f t="shared" si="24"/>
        <v/>
      </c>
      <c r="L1191" t="str">
        <f t="shared" si="25"/>
        <v/>
      </c>
      <c r="M1191" t="str">
        <f t="shared" si="25"/>
        <v/>
      </c>
      <c r="N1191" t="str">
        <f t="shared" si="25"/>
        <v/>
      </c>
      <c r="O1191" t="str">
        <f t="shared" si="25"/>
        <v/>
      </c>
      <c r="P1191" s="316" t="str">
        <f t="shared" si="26"/>
        <v/>
      </c>
      <c r="Q1191" t="str">
        <f t="shared" si="27"/>
        <v/>
      </c>
      <c r="R1191" t="str">
        <f t="shared" si="27"/>
        <v/>
      </c>
      <c r="S1191" t="str">
        <f t="shared" si="27"/>
        <v/>
      </c>
      <c r="T1191" t="str">
        <f t="shared" si="27"/>
        <v/>
      </c>
    </row>
    <row r="1192" spans="1:20">
      <c r="A1192" s="195">
        <f t="shared" si="19"/>
        <v>1</v>
      </c>
      <c r="B1192">
        <f t="shared" si="28"/>
        <v>11</v>
      </c>
      <c r="C1192" s="8" t="str">
        <f t="shared" si="20"/>
        <v/>
      </c>
      <c r="D1192" t="str">
        <f t="shared" si="21"/>
        <v/>
      </c>
      <c r="E1192" t="str">
        <f t="shared" si="21"/>
        <v/>
      </c>
      <c r="F1192" s="316" t="str">
        <f t="shared" si="22"/>
        <v/>
      </c>
      <c r="G1192" t="str">
        <f t="shared" si="23"/>
        <v/>
      </c>
      <c r="H1192" t="str">
        <f t="shared" si="23"/>
        <v/>
      </c>
      <c r="I1192" t="str">
        <f t="shared" si="23"/>
        <v/>
      </c>
      <c r="J1192" t="str">
        <f t="shared" si="23"/>
        <v/>
      </c>
      <c r="K1192" s="316" t="str">
        <f t="shared" si="24"/>
        <v/>
      </c>
      <c r="L1192" t="str">
        <f t="shared" si="25"/>
        <v/>
      </c>
      <c r="M1192" t="str">
        <f t="shared" si="25"/>
        <v/>
      </c>
      <c r="N1192" t="str">
        <f t="shared" si="25"/>
        <v/>
      </c>
      <c r="O1192" t="str">
        <f t="shared" si="25"/>
        <v/>
      </c>
      <c r="P1192" s="316" t="str">
        <f t="shared" si="26"/>
        <v/>
      </c>
      <c r="Q1192" t="str">
        <f t="shared" si="27"/>
        <v/>
      </c>
      <c r="R1192" t="str">
        <f t="shared" si="27"/>
        <v/>
      </c>
      <c r="S1192" t="str">
        <f t="shared" si="27"/>
        <v/>
      </c>
      <c r="T1192" t="str">
        <f t="shared" si="27"/>
        <v/>
      </c>
    </row>
    <row r="1193" spans="1:20">
      <c r="A1193" s="195">
        <f t="shared" si="19"/>
        <v>1</v>
      </c>
      <c r="B1193">
        <f t="shared" si="28"/>
        <v>12</v>
      </c>
      <c r="C1193" s="8" t="str">
        <f t="shared" si="20"/>
        <v/>
      </c>
      <c r="D1193" t="str">
        <f t="shared" si="21"/>
        <v/>
      </c>
      <c r="E1193" t="str">
        <f t="shared" si="21"/>
        <v/>
      </c>
      <c r="F1193" s="316" t="str">
        <f t="shared" si="22"/>
        <v/>
      </c>
      <c r="G1193" t="str">
        <f t="shared" si="23"/>
        <v/>
      </c>
      <c r="H1193" t="str">
        <f t="shared" si="23"/>
        <v/>
      </c>
      <c r="I1193" t="str">
        <f t="shared" si="23"/>
        <v/>
      </c>
      <c r="J1193" t="str">
        <f t="shared" si="23"/>
        <v/>
      </c>
      <c r="K1193" s="316" t="str">
        <f t="shared" si="24"/>
        <v/>
      </c>
      <c r="L1193" t="str">
        <f t="shared" si="25"/>
        <v/>
      </c>
      <c r="M1193" t="str">
        <f t="shared" si="25"/>
        <v/>
      </c>
      <c r="N1193" t="str">
        <f t="shared" si="25"/>
        <v/>
      </c>
      <c r="O1193" t="str">
        <f t="shared" si="25"/>
        <v/>
      </c>
      <c r="P1193" s="316" t="str">
        <f t="shared" si="26"/>
        <v/>
      </c>
      <c r="Q1193" t="str">
        <f t="shared" si="27"/>
        <v/>
      </c>
      <c r="R1193" t="str">
        <f t="shared" si="27"/>
        <v/>
      </c>
      <c r="S1193" t="str">
        <f t="shared" si="27"/>
        <v/>
      </c>
      <c r="T1193" t="str">
        <f t="shared" si="27"/>
        <v/>
      </c>
    </row>
    <row r="1194" spans="1:20">
      <c r="A1194" s="195">
        <f t="shared" si="19"/>
        <v>1</v>
      </c>
      <c r="B1194">
        <f t="shared" si="28"/>
        <v>13</v>
      </c>
      <c r="C1194" s="8" t="str">
        <f t="shared" si="20"/>
        <v/>
      </c>
      <c r="D1194" t="str">
        <f t="shared" si="21"/>
        <v/>
      </c>
      <c r="E1194" t="str">
        <f t="shared" si="21"/>
        <v/>
      </c>
      <c r="F1194" s="316" t="str">
        <f t="shared" si="22"/>
        <v/>
      </c>
      <c r="G1194" t="str">
        <f t="shared" si="23"/>
        <v/>
      </c>
      <c r="H1194" t="str">
        <f t="shared" si="23"/>
        <v/>
      </c>
      <c r="I1194" t="str">
        <f t="shared" si="23"/>
        <v/>
      </c>
      <c r="J1194" t="str">
        <f t="shared" si="23"/>
        <v/>
      </c>
      <c r="K1194" s="316" t="str">
        <f t="shared" si="24"/>
        <v/>
      </c>
      <c r="L1194" t="str">
        <f t="shared" si="25"/>
        <v/>
      </c>
      <c r="M1194" t="str">
        <f t="shared" si="25"/>
        <v/>
      </c>
      <c r="N1194" t="str">
        <f t="shared" si="25"/>
        <v/>
      </c>
      <c r="O1194" t="str">
        <f t="shared" si="25"/>
        <v/>
      </c>
      <c r="P1194" s="316" t="str">
        <f t="shared" si="26"/>
        <v/>
      </c>
      <c r="Q1194" t="str">
        <f t="shared" si="27"/>
        <v/>
      </c>
      <c r="R1194" t="str">
        <f t="shared" si="27"/>
        <v/>
      </c>
      <c r="S1194" t="str">
        <f t="shared" si="27"/>
        <v/>
      </c>
      <c r="T1194" t="str">
        <f t="shared" si="27"/>
        <v/>
      </c>
    </row>
    <row r="1195" spans="1:20">
      <c r="A1195" s="195">
        <f t="shared" si="19"/>
        <v>1</v>
      </c>
      <c r="B1195">
        <f t="shared" si="28"/>
        <v>14</v>
      </c>
      <c r="C1195" s="8" t="str">
        <f t="shared" si="20"/>
        <v/>
      </c>
      <c r="D1195" t="str">
        <f t="shared" si="21"/>
        <v/>
      </c>
      <c r="E1195" t="str">
        <f t="shared" si="21"/>
        <v/>
      </c>
      <c r="F1195" s="316" t="str">
        <f t="shared" si="22"/>
        <v/>
      </c>
      <c r="G1195" t="str">
        <f t="shared" si="23"/>
        <v/>
      </c>
      <c r="H1195" t="str">
        <f t="shared" si="23"/>
        <v/>
      </c>
      <c r="I1195" t="str">
        <f t="shared" si="23"/>
        <v/>
      </c>
      <c r="J1195" t="str">
        <f t="shared" si="23"/>
        <v/>
      </c>
      <c r="K1195" s="316" t="str">
        <f t="shared" si="24"/>
        <v/>
      </c>
      <c r="L1195" t="str">
        <f t="shared" si="25"/>
        <v/>
      </c>
      <c r="M1195" t="str">
        <f t="shared" si="25"/>
        <v/>
      </c>
      <c r="N1195" t="str">
        <f t="shared" si="25"/>
        <v/>
      </c>
      <c r="O1195" t="str">
        <f t="shared" si="25"/>
        <v/>
      </c>
      <c r="P1195" s="316" t="str">
        <f t="shared" si="26"/>
        <v/>
      </c>
      <c r="Q1195" t="str">
        <f t="shared" si="27"/>
        <v/>
      </c>
      <c r="R1195" t="str">
        <f t="shared" si="27"/>
        <v/>
      </c>
      <c r="S1195" t="str">
        <f t="shared" si="27"/>
        <v/>
      </c>
      <c r="T1195" t="str">
        <f t="shared" si="27"/>
        <v/>
      </c>
    </row>
    <row r="1196" spans="1:20">
      <c r="A1196" s="195">
        <f t="shared" si="19"/>
        <v>1</v>
      </c>
      <c r="B1196">
        <f t="shared" si="28"/>
        <v>15</v>
      </c>
      <c r="C1196" s="8" t="str">
        <f t="shared" si="20"/>
        <v/>
      </c>
      <c r="D1196" t="str">
        <f t="shared" si="21"/>
        <v/>
      </c>
      <c r="E1196" t="str">
        <f t="shared" si="21"/>
        <v/>
      </c>
      <c r="F1196" s="316" t="str">
        <f t="shared" si="22"/>
        <v/>
      </c>
      <c r="G1196" t="str">
        <f t="shared" si="23"/>
        <v/>
      </c>
      <c r="H1196" t="str">
        <f t="shared" si="23"/>
        <v/>
      </c>
      <c r="I1196" t="str">
        <f t="shared" si="23"/>
        <v/>
      </c>
      <c r="J1196" t="str">
        <f t="shared" si="23"/>
        <v/>
      </c>
      <c r="K1196" s="316" t="str">
        <f t="shared" si="24"/>
        <v/>
      </c>
      <c r="L1196" t="str">
        <f t="shared" si="25"/>
        <v/>
      </c>
      <c r="M1196" t="str">
        <f t="shared" si="25"/>
        <v/>
      </c>
      <c r="N1196" t="str">
        <f t="shared" si="25"/>
        <v/>
      </c>
      <c r="O1196" t="str">
        <f t="shared" si="25"/>
        <v/>
      </c>
      <c r="P1196" s="316" t="str">
        <f t="shared" si="26"/>
        <v/>
      </c>
      <c r="Q1196" t="str">
        <f t="shared" si="27"/>
        <v/>
      </c>
      <c r="R1196" t="str">
        <f t="shared" si="27"/>
        <v/>
      </c>
      <c r="S1196" t="str">
        <f t="shared" si="27"/>
        <v/>
      </c>
      <c r="T1196" t="str">
        <f t="shared" si="27"/>
        <v/>
      </c>
    </row>
    <row r="1197" spans="1:20">
      <c r="A1197" s="195">
        <f t="shared" si="19"/>
        <v>1</v>
      </c>
      <c r="B1197">
        <f t="shared" si="28"/>
        <v>16</v>
      </c>
      <c r="C1197" s="8" t="str">
        <f t="shared" si="20"/>
        <v/>
      </c>
      <c r="D1197" t="str">
        <f t="shared" si="21"/>
        <v/>
      </c>
      <c r="E1197" t="str">
        <f t="shared" si="21"/>
        <v/>
      </c>
      <c r="F1197" s="316" t="str">
        <f t="shared" si="22"/>
        <v/>
      </c>
      <c r="G1197" t="str">
        <f t="shared" si="23"/>
        <v/>
      </c>
      <c r="H1197" t="str">
        <f t="shared" si="23"/>
        <v/>
      </c>
      <c r="I1197" t="str">
        <f t="shared" si="23"/>
        <v/>
      </c>
      <c r="J1197" t="str">
        <f t="shared" si="23"/>
        <v/>
      </c>
      <c r="K1197" s="316" t="str">
        <f t="shared" si="24"/>
        <v/>
      </c>
      <c r="L1197" t="str">
        <f t="shared" si="25"/>
        <v/>
      </c>
      <c r="M1197" t="str">
        <f t="shared" si="25"/>
        <v/>
      </c>
      <c r="N1197" t="str">
        <f t="shared" si="25"/>
        <v/>
      </c>
      <c r="O1197" t="str">
        <f t="shared" si="25"/>
        <v/>
      </c>
      <c r="P1197" s="316" t="str">
        <f t="shared" si="26"/>
        <v/>
      </c>
      <c r="Q1197" t="str">
        <f t="shared" si="27"/>
        <v/>
      </c>
      <c r="R1197" t="str">
        <f t="shared" si="27"/>
        <v/>
      </c>
      <c r="S1197" t="str">
        <f t="shared" si="27"/>
        <v/>
      </c>
      <c r="T1197" t="str">
        <f t="shared" si="27"/>
        <v/>
      </c>
    </row>
    <row r="1198" spans="1:20">
      <c r="A1198" s="195">
        <f t="shared" si="19"/>
        <v>1</v>
      </c>
      <c r="B1198">
        <f t="shared" si="28"/>
        <v>17</v>
      </c>
      <c r="C1198" s="8" t="str">
        <f t="shared" si="20"/>
        <v/>
      </c>
      <c r="D1198" t="str">
        <f t="shared" si="21"/>
        <v/>
      </c>
      <c r="E1198" t="str">
        <f t="shared" si="21"/>
        <v/>
      </c>
      <c r="F1198" s="316" t="str">
        <f t="shared" si="22"/>
        <v/>
      </c>
      <c r="G1198" t="str">
        <f t="shared" si="23"/>
        <v/>
      </c>
      <c r="H1198" t="str">
        <f t="shared" si="23"/>
        <v/>
      </c>
      <c r="I1198" t="str">
        <f t="shared" si="23"/>
        <v/>
      </c>
      <c r="J1198" t="str">
        <f t="shared" si="23"/>
        <v/>
      </c>
      <c r="K1198" s="316" t="str">
        <f t="shared" si="24"/>
        <v/>
      </c>
      <c r="L1198" t="str">
        <f t="shared" si="25"/>
        <v/>
      </c>
      <c r="M1198" t="str">
        <f t="shared" si="25"/>
        <v/>
      </c>
      <c r="N1198" t="str">
        <f t="shared" si="25"/>
        <v/>
      </c>
      <c r="O1198" t="str">
        <f t="shared" si="25"/>
        <v/>
      </c>
      <c r="P1198" s="316" t="str">
        <f t="shared" si="26"/>
        <v/>
      </c>
      <c r="Q1198" t="str">
        <f t="shared" si="27"/>
        <v/>
      </c>
      <c r="R1198" t="str">
        <f t="shared" si="27"/>
        <v/>
      </c>
      <c r="S1198" t="str">
        <f t="shared" si="27"/>
        <v/>
      </c>
      <c r="T1198" t="str">
        <f t="shared" si="27"/>
        <v/>
      </c>
    </row>
    <row r="1199" spans="1:20">
      <c r="A1199" s="195">
        <f t="shared" si="19"/>
        <v>1</v>
      </c>
      <c r="B1199">
        <f t="shared" si="28"/>
        <v>18</v>
      </c>
      <c r="C1199" s="8" t="str">
        <f t="shared" si="20"/>
        <v/>
      </c>
      <c r="D1199" t="str">
        <f t="shared" si="21"/>
        <v/>
      </c>
      <c r="E1199" t="str">
        <f t="shared" si="21"/>
        <v/>
      </c>
      <c r="F1199" s="316" t="str">
        <f t="shared" si="22"/>
        <v/>
      </c>
      <c r="G1199" t="str">
        <f t="shared" si="23"/>
        <v/>
      </c>
      <c r="H1199" t="str">
        <f t="shared" si="23"/>
        <v/>
      </c>
      <c r="I1199" t="str">
        <f t="shared" si="23"/>
        <v/>
      </c>
      <c r="J1199" t="str">
        <f t="shared" si="23"/>
        <v/>
      </c>
      <c r="K1199" s="316" t="str">
        <f t="shared" si="24"/>
        <v/>
      </c>
      <c r="L1199" t="str">
        <f t="shared" si="25"/>
        <v/>
      </c>
      <c r="M1199" t="str">
        <f t="shared" si="25"/>
        <v/>
      </c>
      <c r="N1199" t="str">
        <f t="shared" si="25"/>
        <v/>
      </c>
      <c r="O1199" t="str">
        <f t="shared" si="25"/>
        <v/>
      </c>
      <c r="P1199" s="316" t="str">
        <f t="shared" si="26"/>
        <v/>
      </c>
      <c r="Q1199" t="str">
        <f t="shared" si="27"/>
        <v/>
      </c>
      <c r="R1199" t="str">
        <f t="shared" si="27"/>
        <v/>
      </c>
      <c r="S1199" t="str">
        <f t="shared" si="27"/>
        <v/>
      </c>
      <c r="T1199" t="str">
        <f t="shared" si="27"/>
        <v/>
      </c>
    </row>
    <row r="1200" spans="1:20">
      <c r="A1200" s="195">
        <f t="shared" si="19"/>
        <v>1</v>
      </c>
      <c r="B1200">
        <f t="shared" si="28"/>
        <v>19</v>
      </c>
      <c r="C1200" s="8" t="str">
        <f t="shared" si="20"/>
        <v/>
      </c>
      <c r="D1200" t="str">
        <f t="shared" si="21"/>
        <v/>
      </c>
      <c r="E1200" t="str">
        <f t="shared" si="21"/>
        <v/>
      </c>
      <c r="F1200" s="316" t="str">
        <f t="shared" si="22"/>
        <v/>
      </c>
      <c r="G1200" t="str">
        <f t="shared" si="23"/>
        <v/>
      </c>
      <c r="H1200" t="str">
        <f t="shared" si="23"/>
        <v/>
      </c>
      <c r="I1200" t="str">
        <f t="shared" si="23"/>
        <v/>
      </c>
      <c r="J1200" t="str">
        <f t="shared" si="23"/>
        <v/>
      </c>
      <c r="K1200" s="316" t="str">
        <f t="shared" si="24"/>
        <v/>
      </c>
      <c r="L1200" t="str">
        <f t="shared" si="25"/>
        <v/>
      </c>
      <c r="M1200" t="str">
        <f t="shared" si="25"/>
        <v/>
      </c>
      <c r="N1200" t="str">
        <f t="shared" si="25"/>
        <v/>
      </c>
      <c r="O1200" t="str">
        <f t="shared" si="25"/>
        <v/>
      </c>
      <c r="P1200" s="316" t="str">
        <f t="shared" si="26"/>
        <v/>
      </c>
      <c r="Q1200" t="str">
        <f t="shared" si="27"/>
        <v/>
      </c>
      <c r="R1200" t="str">
        <f t="shared" si="27"/>
        <v/>
      </c>
      <c r="S1200" t="str">
        <f t="shared" si="27"/>
        <v/>
      </c>
      <c r="T1200" t="str">
        <f t="shared" si="27"/>
        <v/>
      </c>
    </row>
    <row r="1201" spans="1:20">
      <c r="A1201" s="195">
        <f t="shared" si="19"/>
        <v>1</v>
      </c>
      <c r="B1201">
        <f t="shared" si="28"/>
        <v>20</v>
      </c>
      <c r="C1201" s="8" t="str">
        <f t="shared" si="20"/>
        <v/>
      </c>
      <c r="D1201" t="str">
        <f t="shared" si="21"/>
        <v/>
      </c>
      <c r="E1201" t="str">
        <f t="shared" si="21"/>
        <v/>
      </c>
      <c r="F1201" s="316" t="str">
        <f t="shared" si="22"/>
        <v/>
      </c>
      <c r="G1201" t="str">
        <f t="shared" si="23"/>
        <v/>
      </c>
      <c r="H1201" t="str">
        <f t="shared" si="23"/>
        <v/>
      </c>
      <c r="I1201" t="str">
        <f t="shared" si="23"/>
        <v/>
      </c>
      <c r="J1201" t="str">
        <f t="shared" si="23"/>
        <v/>
      </c>
      <c r="K1201" s="316" t="str">
        <f t="shared" si="24"/>
        <v/>
      </c>
      <c r="L1201" t="str">
        <f t="shared" si="25"/>
        <v/>
      </c>
      <c r="M1201" t="str">
        <f t="shared" si="25"/>
        <v/>
      </c>
      <c r="N1201" t="str">
        <f t="shared" si="25"/>
        <v/>
      </c>
      <c r="O1201" t="str">
        <f t="shared" si="25"/>
        <v/>
      </c>
      <c r="P1201" s="316" t="str">
        <f t="shared" si="26"/>
        <v/>
      </c>
      <c r="Q1201" t="str">
        <f t="shared" si="27"/>
        <v/>
      </c>
      <c r="R1201" t="str">
        <f t="shared" si="27"/>
        <v/>
      </c>
      <c r="S1201" t="str">
        <f t="shared" si="27"/>
        <v/>
      </c>
      <c r="T1201" t="str">
        <f t="shared" si="27"/>
        <v/>
      </c>
    </row>
    <row r="1202" spans="1:20">
      <c r="A1202" s="195">
        <f t="shared" si="19"/>
        <v>1</v>
      </c>
      <c r="B1202">
        <f t="shared" si="28"/>
        <v>21</v>
      </c>
      <c r="C1202" s="8" t="str">
        <f t="shared" si="20"/>
        <v/>
      </c>
      <c r="D1202" t="str">
        <f t="shared" ref="D1202:E1221" si="29">CONCATENATE(INDEX($B$1078:$T$1177, $A1202, D$1181))</f>
        <v/>
      </c>
      <c r="E1202" t="str">
        <f t="shared" si="29"/>
        <v/>
      </c>
      <c r="F1202" s="316" t="str">
        <f t="shared" si="22"/>
        <v/>
      </c>
      <c r="G1202" t="str">
        <f t="shared" ref="G1202:J1221" si="30">CONCATENATE(INDEX($B$1078:$T$1177, $A1202, G$1181))</f>
        <v/>
      </c>
      <c r="H1202" t="str">
        <f t="shared" si="30"/>
        <v/>
      </c>
      <c r="I1202" t="str">
        <f t="shared" si="30"/>
        <v/>
      </c>
      <c r="J1202" t="str">
        <f t="shared" si="30"/>
        <v/>
      </c>
      <c r="K1202" s="316" t="str">
        <f t="shared" si="24"/>
        <v/>
      </c>
      <c r="L1202" t="str">
        <f t="shared" ref="L1202:O1221" si="31">CONCATENATE(INDEX($B$1078:$T$1177, $A1202, L$1181))</f>
        <v/>
      </c>
      <c r="M1202" t="str">
        <f t="shared" si="31"/>
        <v/>
      </c>
      <c r="N1202" t="str">
        <f t="shared" si="31"/>
        <v/>
      </c>
      <c r="O1202" t="str">
        <f t="shared" si="31"/>
        <v/>
      </c>
      <c r="P1202" s="316" t="str">
        <f t="shared" si="26"/>
        <v/>
      </c>
      <c r="Q1202" t="str">
        <f t="shared" ref="Q1202:T1221" si="32">CONCATENATE(INDEX($B$1078:$T$1177, $A1202, Q$1181))</f>
        <v/>
      </c>
      <c r="R1202" t="str">
        <f t="shared" si="32"/>
        <v/>
      </c>
      <c r="S1202" t="str">
        <f t="shared" si="32"/>
        <v/>
      </c>
      <c r="T1202" t="str">
        <f t="shared" si="32"/>
        <v/>
      </c>
    </row>
    <row r="1203" spans="1:20">
      <c r="A1203" s="195">
        <f t="shared" si="19"/>
        <v>1</v>
      </c>
      <c r="B1203">
        <f t="shared" si="28"/>
        <v>22</v>
      </c>
      <c r="C1203" s="8" t="str">
        <f t="shared" si="20"/>
        <v/>
      </c>
      <c r="D1203" t="str">
        <f t="shared" si="29"/>
        <v/>
      </c>
      <c r="E1203" t="str">
        <f t="shared" si="29"/>
        <v/>
      </c>
      <c r="F1203" s="316" t="str">
        <f t="shared" si="22"/>
        <v/>
      </c>
      <c r="G1203" t="str">
        <f t="shared" si="30"/>
        <v/>
      </c>
      <c r="H1203" t="str">
        <f t="shared" si="30"/>
        <v/>
      </c>
      <c r="I1203" t="str">
        <f t="shared" si="30"/>
        <v/>
      </c>
      <c r="J1203" t="str">
        <f t="shared" si="30"/>
        <v/>
      </c>
      <c r="K1203" s="316" t="str">
        <f t="shared" si="24"/>
        <v/>
      </c>
      <c r="L1203" t="str">
        <f t="shared" si="31"/>
        <v/>
      </c>
      <c r="M1203" t="str">
        <f t="shared" si="31"/>
        <v/>
      </c>
      <c r="N1203" t="str">
        <f t="shared" si="31"/>
        <v/>
      </c>
      <c r="O1203" t="str">
        <f t="shared" si="31"/>
        <v/>
      </c>
      <c r="P1203" s="316" t="str">
        <f t="shared" si="26"/>
        <v/>
      </c>
      <c r="Q1203" t="str">
        <f t="shared" si="32"/>
        <v/>
      </c>
      <c r="R1203" t="str">
        <f t="shared" si="32"/>
        <v/>
      </c>
      <c r="S1203" t="str">
        <f t="shared" si="32"/>
        <v/>
      </c>
      <c r="T1203" t="str">
        <f t="shared" si="32"/>
        <v/>
      </c>
    </row>
    <row r="1204" spans="1:20">
      <c r="A1204" s="195">
        <f t="shared" si="19"/>
        <v>1</v>
      </c>
      <c r="B1204">
        <f t="shared" si="28"/>
        <v>23</v>
      </c>
      <c r="C1204" s="8" t="str">
        <f t="shared" si="20"/>
        <v/>
      </c>
      <c r="D1204" t="str">
        <f t="shared" si="29"/>
        <v/>
      </c>
      <c r="E1204" t="str">
        <f t="shared" si="29"/>
        <v/>
      </c>
      <c r="F1204" s="316" t="str">
        <f t="shared" si="22"/>
        <v/>
      </c>
      <c r="G1204" t="str">
        <f t="shared" si="30"/>
        <v/>
      </c>
      <c r="H1204" t="str">
        <f t="shared" si="30"/>
        <v/>
      </c>
      <c r="I1204" t="str">
        <f t="shared" si="30"/>
        <v/>
      </c>
      <c r="J1204" t="str">
        <f t="shared" si="30"/>
        <v/>
      </c>
      <c r="K1204" s="316" t="str">
        <f t="shared" si="24"/>
        <v/>
      </c>
      <c r="L1204" t="str">
        <f t="shared" si="31"/>
        <v/>
      </c>
      <c r="M1204" t="str">
        <f t="shared" si="31"/>
        <v/>
      </c>
      <c r="N1204" t="str">
        <f t="shared" si="31"/>
        <v/>
      </c>
      <c r="O1204" t="str">
        <f t="shared" si="31"/>
        <v/>
      </c>
      <c r="P1204" s="316" t="str">
        <f t="shared" si="26"/>
        <v/>
      </c>
      <c r="Q1204" t="str">
        <f t="shared" si="32"/>
        <v/>
      </c>
      <c r="R1204" t="str">
        <f t="shared" si="32"/>
        <v/>
      </c>
      <c r="S1204" t="str">
        <f t="shared" si="32"/>
        <v/>
      </c>
      <c r="T1204" t="str">
        <f t="shared" si="32"/>
        <v/>
      </c>
    </row>
    <row r="1205" spans="1:20">
      <c r="A1205" s="195">
        <f t="shared" si="19"/>
        <v>1</v>
      </c>
      <c r="B1205">
        <f t="shared" si="28"/>
        <v>24</v>
      </c>
      <c r="C1205" s="8" t="str">
        <f t="shared" si="20"/>
        <v/>
      </c>
      <c r="D1205" t="str">
        <f t="shared" si="29"/>
        <v/>
      </c>
      <c r="E1205" t="str">
        <f t="shared" si="29"/>
        <v/>
      </c>
      <c r="F1205" s="316" t="str">
        <f t="shared" si="22"/>
        <v/>
      </c>
      <c r="G1205" t="str">
        <f t="shared" si="30"/>
        <v/>
      </c>
      <c r="H1205" t="str">
        <f t="shared" si="30"/>
        <v/>
      </c>
      <c r="I1205" t="str">
        <f t="shared" si="30"/>
        <v/>
      </c>
      <c r="J1205" t="str">
        <f t="shared" si="30"/>
        <v/>
      </c>
      <c r="K1205" s="316" t="str">
        <f t="shared" si="24"/>
        <v/>
      </c>
      <c r="L1205" t="str">
        <f t="shared" si="31"/>
        <v/>
      </c>
      <c r="M1205" t="str">
        <f t="shared" si="31"/>
        <v/>
      </c>
      <c r="N1205" t="str">
        <f t="shared" si="31"/>
        <v/>
      </c>
      <c r="O1205" t="str">
        <f t="shared" si="31"/>
        <v/>
      </c>
      <c r="P1205" s="316" t="str">
        <f t="shared" si="26"/>
        <v/>
      </c>
      <c r="Q1205" t="str">
        <f t="shared" si="32"/>
        <v/>
      </c>
      <c r="R1205" t="str">
        <f t="shared" si="32"/>
        <v/>
      </c>
      <c r="S1205" t="str">
        <f t="shared" si="32"/>
        <v/>
      </c>
      <c r="T1205" t="str">
        <f t="shared" si="32"/>
        <v/>
      </c>
    </row>
    <row r="1206" spans="1:20">
      <c r="A1206" s="195">
        <f t="shared" si="19"/>
        <v>1</v>
      </c>
      <c r="B1206">
        <f t="shared" si="28"/>
        <v>25</v>
      </c>
      <c r="C1206" s="8" t="str">
        <f t="shared" si="20"/>
        <v/>
      </c>
      <c r="D1206" t="str">
        <f t="shared" si="29"/>
        <v/>
      </c>
      <c r="E1206" t="str">
        <f t="shared" si="29"/>
        <v/>
      </c>
      <c r="F1206" s="316" t="str">
        <f t="shared" si="22"/>
        <v/>
      </c>
      <c r="G1206" t="str">
        <f t="shared" si="30"/>
        <v/>
      </c>
      <c r="H1206" t="str">
        <f t="shared" si="30"/>
        <v/>
      </c>
      <c r="I1206" t="str">
        <f t="shared" si="30"/>
        <v/>
      </c>
      <c r="J1206" t="str">
        <f t="shared" si="30"/>
        <v/>
      </c>
      <c r="K1206" s="316" t="str">
        <f t="shared" si="24"/>
        <v/>
      </c>
      <c r="L1206" t="str">
        <f t="shared" si="31"/>
        <v/>
      </c>
      <c r="M1206" t="str">
        <f t="shared" si="31"/>
        <v/>
      </c>
      <c r="N1206" t="str">
        <f t="shared" si="31"/>
        <v/>
      </c>
      <c r="O1206" t="str">
        <f t="shared" si="31"/>
        <v/>
      </c>
      <c r="P1206" s="316" t="str">
        <f t="shared" si="26"/>
        <v/>
      </c>
      <c r="Q1206" t="str">
        <f t="shared" si="32"/>
        <v/>
      </c>
      <c r="R1206" t="str">
        <f t="shared" si="32"/>
        <v/>
      </c>
      <c r="S1206" t="str">
        <f t="shared" si="32"/>
        <v/>
      </c>
      <c r="T1206" t="str">
        <f t="shared" si="32"/>
        <v/>
      </c>
    </row>
    <row r="1207" spans="1:20">
      <c r="A1207" s="195">
        <f t="shared" si="19"/>
        <v>1</v>
      </c>
      <c r="B1207">
        <f t="shared" si="28"/>
        <v>26</v>
      </c>
      <c r="C1207" s="8" t="str">
        <f t="shared" si="20"/>
        <v/>
      </c>
      <c r="D1207" t="str">
        <f t="shared" si="29"/>
        <v/>
      </c>
      <c r="E1207" t="str">
        <f t="shared" si="29"/>
        <v/>
      </c>
      <c r="F1207" s="316" t="str">
        <f t="shared" si="22"/>
        <v/>
      </c>
      <c r="G1207" t="str">
        <f t="shared" si="30"/>
        <v/>
      </c>
      <c r="H1207" t="str">
        <f t="shared" si="30"/>
        <v/>
      </c>
      <c r="I1207" t="str">
        <f t="shared" si="30"/>
        <v/>
      </c>
      <c r="J1207" t="str">
        <f t="shared" si="30"/>
        <v/>
      </c>
      <c r="K1207" s="316" t="str">
        <f t="shared" si="24"/>
        <v/>
      </c>
      <c r="L1207" t="str">
        <f t="shared" si="31"/>
        <v/>
      </c>
      <c r="M1207" t="str">
        <f t="shared" si="31"/>
        <v/>
      </c>
      <c r="N1207" t="str">
        <f t="shared" si="31"/>
        <v/>
      </c>
      <c r="O1207" t="str">
        <f t="shared" si="31"/>
        <v/>
      </c>
      <c r="P1207" s="316" t="str">
        <f t="shared" si="26"/>
        <v/>
      </c>
      <c r="Q1207" t="str">
        <f t="shared" si="32"/>
        <v/>
      </c>
      <c r="R1207" t="str">
        <f t="shared" si="32"/>
        <v/>
      </c>
      <c r="S1207" t="str">
        <f t="shared" si="32"/>
        <v/>
      </c>
      <c r="T1207" t="str">
        <f t="shared" si="32"/>
        <v/>
      </c>
    </row>
    <row r="1208" spans="1:20">
      <c r="A1208" s="195">
        <f t="shared" si="19"/>
        <v>1</v>
      </c>
      <c r="B1208">
        <f t="shared" si="28"/>
        <v>27</v>
      </c>
      <c r="C1208" s="8" t="str">
        <f t="shared" si="20"/>
        <v/>
      </c>
      <c r="D1208" t="str">
        <f t="shared" si="29"/>
        <v/>
      </c>
      <c r="E1208" t="str">
        <f t="shared" si="29"/>
        <v/>
      </c>
      <c r="F1208" s="316" t="str">
        <f t="shared" si="22"/>
        <v/>
      </c>
      <c r="G1208" t="str">
        <f t="shared" si="30"/>
        <v/>
      </c>
      <c r="H1208" t="str">
        <f t="shared" si="30"/>
        <v/>
      </c>
      <c r="I1208" t="str">
        <f t="shared" si="30"/>
        <v/>
      </c>
      <c r="J1208" t="str">
        <f t="shared" si="30"/>
        <v/>
      </c>
      <c r="K1208" s="316" t="str">
        <f t="shared" si="24"/>
        <v/>
      </c>
      <c r="L1208" t="str">
        <f t="shared" si="31"/>
        <v/>
      </c>
      <c r="M1208" t="str">
        <f t="shared" si="31"/>
        <v/>
      </c>
      <c r="N1208" t="str">
        <f t="shared" si="31"/>
        <v/>
      </c>
      <c r="O1208" t="str">
        <f t="shared" si="31"/>
        <v/>
      </c>
      <c r="P1208" s="316" t="str">
        <f t="shared" si="26"/>
        <v/>
      </c>
      <c r="Q1208" t="str">
        <f t="shared" si="32"/>
        <v/>
      </c>
      <c r="R1208" t="str">
        <f t="shared" si="32"/>
        <v/>
      </c>
      <c r="S1208" t="str">
        <f t="shared" si="32"/>
        <v/>
      </c>
      <c r="T1208" t="str">
        <f t="shared" si="32"/>
        <v/>
      </c>
    </row>
    <row r="1209" spans="1:20">
      <c r="A1209" s="195">
        <f t="shared" si="19"/>
        <v>1</v>
      </c>
      <c r="B1209">
        <f t="shared" si="28"/>
        <v>28</v>
      </c>
      <c r="C1209" s="8" t="str">
        <f t="shared" si="20"/>
        <v/>
      </c>
      <c r="D1209" t="str">
        <f t="shared" si="29"/>
        <v/>
      </c>
      <c r="E1209" t="str">
        <f t="shared" si="29"/>
        <v/>
      </c>
      <c r="F1209" s="316" t="str">
        <f t="shared" si="22"/>
        <v/>
      </c>
      <c r="G1209" t="str">
        <f t="shared" si="30"/>
        <v/>
      </c>
      <c r="H1209" t="str">
        <f t="shared" si="30"/>
        <v/>
      </c>
      <c r="I1209" t="str">
        <f t="shared" si="30"/>
        <v/>
      </c>
      <c r="J1209" t="str">
        <f t="shared" si="30"/>
        <v/>
      </c>
      <c r="K1209" s="316" t="str">
        <f t="shared" si="24"/>
        <v/>
      </c>
      <c r="L1209" t="str">
        <f t="shared" si="31"/>
        <v/>
      </c>
      <c r="M1209" t="str">
        <f t="shared" si="31"/>
        <v/>
      </c>
      <c r="N1209" t="str">
        <f t="shared" si="31"/>
        <v/>
      </c>
      <c r="O1209" t="str">
        <f t="shared" si="31"/>
        <v/>
      </c>
      <c r="P1209" s="316" t="str">
        <f t="shared" si="26"/>
        <v/>
      </c>
      <c r="Q1209" t="str">
        <f t="shared" si="32"/>
        <v/>
      </c>
      <c r="R1209" t="str">
        <f t="shared" si="32"/>
        <v/>
      </c>
      <c r="S1209" t="str">
        <f t="shared" si="32"/>
        <v/>
      </c>
      <c r="T1209" t="str">
        <f t="shared" si="32"/>
        <v/>
      </c>
    </row>
    <row r="1210" spans="1:20">
      <c r="A1210" s="195">
        <f t="shared" si="19"/>
        <v>1</v>
      </c>
      <c r="B1210">
        <f t="shared" si="28"/>
        <v>29</v>
      </c>
      <c r="C1210" s="8" t="str">
        <f t="shared" si="20"/>
        <v/>
      </c>
      <c r="D1210" t="str">
        <f t="shared" si="29"/>
        <v/>
      </c>
      <c r="E1210" t="str">
        <f t="shared" si="29"/>
        <v/>
      </c>
      <c r="F1210" s="316" t="str">
        <f t="shared" si="22"/>
        <v/>
      </c>
      <c r="G1210" t="str">
        <f t="shared" si="30"/>
        <v/>
      </c>
      <c r="H1210" t="str">
        <f t="shared" si="30"/>
        <v/>
      </c>
      <c r="I1210" t="str">
        <f t="shared" si="30"/>
        <v/>
      </c>
      <c r="J1210" t="str">
        <f t="shared" si="30"/>
        <v/>
      </c>
      <c r="K1210" s="316" t="str">
        <f t="shared" si="24"/>
        <v/>
      </c>
      <c r="L1210" t="str">
        <f t="shared" si="31"/>
        <v/>
      </c>
      <c r="M1210" t="str">
        <f t="shared" si="31"/>
        <v/>
      </c>
      <c r="N1210" t="str">
        <f t="shared" si="31"/>
        <v/>
      </c>
      <c r="O1210" t="str">
        <f t="shared" si="31"/>
        <v/>
      </c>
      <c r="P1210" s="316" t="str">
        <f t="shared" si="26"/>
        <v/>
      </c>
      <c r="Q1210" t="str">
        <f t="shared" si="32"/>
        <v/>
      </c>
      <c r="R1210" t="str">
        <f t="shared" si="32"/>
        <v/>
      </c>
      <c r="S1210" t="str">
        <f t="shared" si="32"/>
        <v/>
      </c>
      <c r="T1210" t="str">
        <f t="shared" si="32"/>
        <v/>
      </c>
    </row>
    <row r="1211" spans="1:20">
      <c r="A1211" s="195">
        <f t="shared" si="19"/>
        <v>1</v>
      </c>
      <c r="B1211">
        <f t="shared" si="28"/>
        <v>30</v>
      </c>
      <c r="C1211" s="8" t="str">
        <f t="shared" si="20"/>
        <v/>
      </c>
      <c r="D1211" t="str">
        <f t="shared" si="29"/>
        <v/>
      </c>
      <c r="E1211" t="str">
        <f t="shared" si="29"/>
        <v/>
      </c>
      <c r="F1211" s="316" t="str">
        <f t="shared" si="22"/>
        <v/>
      </c>
      <c r="G1211" t="str">
        <f t="shared" si="30"/>
        <v/>
      </c>
      <c r="H1211" t="str">
        <f t="shared" si="30"/>
        <v/>
      </c>
      <c r="I1211" t="str">
        <f t="shared" si="30"/>
        <v/>
      </c>
      <c r="J1211" t="str">
        <f t="shared" si="30"/>
        <v/>
      </c>
      <c r="K1211" s="316" t="str">
        <f t="shared" si="24"/>
        <v/>
      </c>
      <c r="L1211" t="str">
        <f t="shared" si="31"/>
        <v/>
      </c>
      <c r="M1211" t="str">
        <f t="shared" si="31"/>
        <v/>
      </c>
      <c r="N1211" t="str">
        <f t="shared" si="31"/>
        <v/>
      </c>
      <c r="O1211" t="str">
        <f t="shared" si="31"/>
        <v/>
      </c>
      <c r="P1211" s="316" t="str">
        <f t="shared" si="26"/>
        <v/>
      </c>
      <c r="Q1211" t="str">
        <f t="shared" si="32"/>
        <v/>
      </c>
      <c r="R1211" t="str">
        <f t="shared" si="32"/>
        <v/>
      </c>
      <c r="S1211" t="str">
        <f t="shared" si="32"/>
        <v/>
      </c>
      <c r="T1211" t="str">
        <f t="shared" si="32"/>
        <v/>
      </c>
    </row>
    <row r="1212" spans="1:20">
      <c r="A1212" s="195">
        <f t="shared" si="19"/>
        <v>1</v>
      </c>
      <c r="B1212">
        <f t="shared" si="28"/>
        <v>31</v>
      </c>
      <c r="C1212" s="8" t="str">
        <f t="shared" si="20"/>
        <v/>
      </c>
      <c r="D1212" t="str">
        <f t="shared" si="29"/>
        <v/>
      </c>
      <c r="E1212" t="str">
        <f t="shared" si="29"/>
        <v/>
      </c>
      <c r="F1212" s="316" t="str">
        <f t="shared" si="22"/>
        <v/>
      </c>
      <c r="G1212" t="str">
        <f t="shared" si="30"/>
        <v/>
      </c>
      <c r="H1212" t="str">
        <f t="shared" si="30"/>
        <v/>
      </c>
      <c r="I1212" t="str">
        <f t="shared" si="30"/>
        <v/>
      </c>
      <c r="J1212" t="str">
        <f t="shared" si="30"/>
        <v/>
      </c>
      <c r="K1212" s="316" t="str">
        <f t="shared" si="24"/>
        <v/>
      </c>
      <c r="L1212" t="str">
        <f t="shared" si="31"/>
        <v/>
      </c>
      <c r="M1212" t="str">
        <f t="shared" si="31"/>
        <v/>
      </c>
      <c r="N1212" t="str">
        <f t="shared" si="31"/>
        <v/>
      </c>
      <c r="O1212" t="str">
        <f t="shared" si="31"/>
        <v/>
      </c>
      <c r="P1212" s="316" t="str">
        <f t="shared" si="26"/>
        <v/>
      </c>
      <c r="Q1212" t="str">
        <f t="shared" si="32"/>
        <v/>
      </c>
      <c r="R1212" t="str">
        <f t="shared" si="32"/>
        <v/>
      </c>
      <c r="S1212" t="str">
        <f t="shared" si="32"/>
        <v/>
      </c>
      <c r="T1212" t="str">
        <f t="shared" si="32"/>
        <v/>
      </c>
    </row>
    <row r="1213" spans="1:20">
      <c r="A1213" s="195">
        <f t="shared" si="19"/>
        <v>1</v>
      </c>
      <c r="B1213">
        <f t="shared" si="28"/>
        <v>32</v>
      </c>
      <c r="C1213" s="8" t="str">
        <f t="shared" si="20"/>
        <v/>
      </c>
      <c r="D1213" t="str">
        <f t="shared" si="29"/>
        <v/>
      </c>
      <c r="E1213" t="str">
        <f t="shared" si="29"/>
        <v/>
      </c>
      <c r="F1213" s="316" t="str">
        <f t="shared" si="22"/>
        <v/>
      </c>
      <c r="G1213" t="str">
        <f t="shared" si="30"/>
        <v/>
      </c>
      <c r="H1213" t="str">
        <f t="shared" si="30"/>
        <v/>
      </c>
      <c r="I1213" t="str">
        <f t="shared" si="30"/>
        <v/>
      </c>
      <c r="J1213" t="str">
        <f t="shared" si="30"/>
        <v/>
      </c>
      <c r="K1213" s="316" t="str">
        <f t="shared" si="24"/>
        <v/>
      </c>
      <c r="L1213" t="str">
        <f t="shared" si="31"/>
        <v/>
      </c>
      <c r="M1213" t="str">
        <f t="shared" si="31"/>
        <v/>
      </c>
      <c r="N1213" t="str">
        <f t="shared" si="31"/>
        <v/>
      </c>
      <c r="O1213" t="str">
        <f t="shared" si="31"/>
        <v/>
      </c>
      <c r="P1213" s="316" t="str">
        <f t="shared" si="26"/>
        <v/>
      </c>
      <c r="Q1213" t="str">
        <f t="shared" si="32"/>
        <v/>
      </c>
      <c r="R1213" t="str">
        <f t="shared" si="32"/>
        <v/>
      </c>
      <c r="S1213" t="str">
        <f t="shared" si="32"/>
        <v/>
      </c>
      <c r="T1213" t="str">
        <f t="shared" si="32"/>
        <v/>
      </c>
    </row>
    <row r="1214" spans="1:20">
      <c r="A1214" s="195">
        <f t="shared" si="19"/>
        <v>1</v>
      </c>
      <c r="B1214">
        <f t="shared" si="28"/>
        <v>33</v>
      </c>
      <c r="C1214" s="8" t="str">
        <f t="shared" ref="C1214:C1245" si="33">IF(INDEX($B$1078:$T$1177, $A1214, C$1181) = "", "", INDEX($B$1078:$T$1177, $A1214, C$1181))</f>
        <v/>
      </c>
      <c r="D1214" t="str">
        <f t="shared" si="29"/>
        <v/>
      </c>
      <c r="E1214" t="str">
        <f t="shared" si="29"/>
        <v/>
      </c>
      <c r="F1214" s="316" t="str">
        <f t="shared" ref="F1214:F1245" si="34">IF(ISBLANK(INDEX($B$1078:$T$1177, $A1214, F$1181)), "", INDEX($B$1078:$T$1177, $A1214, F$1181))</f>
        <v/>
      </c>
      <c r="G1214" t="str">
        <f t="shared" si="30"/>
        <v/>
      </c>
      <c r="H1214" t="str">
        <f t="shared" si="30"/>
        <v/>
      </c>
      <c r="I1214" t="str">
        <f t="shared" si="30"/>
        <v/>
      </c>
      <c r="J1214" t="str">
        <f t="shared" si="30"/>
        <v/>
      </c>
      <c r="K1214" s="316" t="str">
        <f t="shared" ref="K1214:K1245" si="35">IF(ISBLANK(INDEX($B$1078:$T$1177, $A1214, K$1181)), "", INDEX($B$1078:$T$1177, $A1214, K$1181))</f>
        <v/>
      </c>
      <c r="L1214" t="str">
        <f t="shared" si="31"/>
        <v/>
      </c>
      <c r="M1214" t="str">
        <f t="shared" si="31"/>
        <v/>
      </c>
      <c r="N1214" t="str">
        <f t="shared" si="31"/>
        <v/>
      </c>
      <c r="O1214" t="str">
        <f t="shared" si="31"/>
        <v/>
      </c>
      <c r="P1214" s="316" t="str">
        <f t="shared" ref="P1214:P1245" si="36">IF(ISBLANK(INDEX($B$1078:$T$1177, $A1214, P$1181)), "", INDEX($B$1078:$T$1177, $A1214, P$1181))</f>
        <v/>
      </c>
      <c r="Q1214" t="str">
        <f t="shared" si="32"/>
        <v/>
      </c>
      <c r="R1214" t="str">
        <f t="shared" si="32"/>
        <v/>
      </c>
      <c r="S1214" t="str">
        <f t="shared" si="32"/>
        <v/>
      </c>
      <c r="T1214" t="str">
        <f t="shared" si="32"/>
        <v/>
      </c>
    </row>
    <row r="1215" spans="1:20">
      <c r="A1215" s="195">
        <f t="shared" si="19"/>
        <v>1</v>
      </c>
      <c r="B1215">
        <f t="shared" si="28"/>
        <v>34</v>
      </c>
      <c r="C1215" s="8" t="str">
        <f t="shared" si="33"/>
        <v/>
      </c>
      <c r="D1215" t="str">
        <f t="shared" si="29"/>
        <v/>
      </c>
      <c r="E1215" t="str">
        <f t="shared" si="29"/>
        <v/>
      </c>
      <c r="F1215" s="316" t="str">
        <f t="shared" si="34"/>
        <v/>
      </c>
      <c r="G1215" t="str">
        <f t="shared" si="30"/>
        <v/>
      </c>
      <c r="H1215" t="str">
        <f t="shared" si="30"/>
        <v/>
      </c>
      <c r="I1215" t="str">
        <f t="shared" si="30"/>
        <v/>
      </c>
      <c r="J1215" t="str">
        <f t="shared" si="30"/>
        <v/>
      </c>
      <c r="K1215" s="316" t="str">
        <f t="shared" si="35"/>
        <v/>
      </c>
      <c r="L1215" t="str">
        <f t="shared" si="31"/>
        <v/>
      </c>
      <c r="M1215" t="str">
        <f t="shared" si="31"/>
        <v/>
      </c>
      <c r="N1215" t="str">
        <f t="shared" si="31"/>
        <v/>
      </c>
      <c r="O1215" t="str">
        <f t="shared" si="31"/>
        <v/>
      </c>
      <c r="P1215" s="316" t="str">
        <f t="shared" si="36"/>
        <v/>
      </c>
      <c r="Q1215" t="str">
        <f t="shared" si="32"/>
        <v/>
      </c>
      <c r="R1215" t="str">
        <f t="shared" si="32"/>
        <v/>
      </c>
      <c r="S1215" t="str">
        <f t="shared" si="32"/>
        <v/>
      </c>
      <c r="T1215" t="str">
        <f t="shared" si="32"/>
        <v/>
      </c>
    </row>
    <row r="1216" spans="1:20">
      <c r="A1216" s="195">
        <f t="shared" si="19"/>
        <v>1</v>
      </c>
      <c r="B1216">
        <f t="shared" si="28"/>
        <v>35</v>
      </c>
      <c r="C1216" s="8" t="str">
        <f t="shared" si="33"/>
        <v/>
      </c>
      <c r="D1216" t="str">
        <f t="shared" si="29"/>
        <v/>
      </c>
      <c r="E1216" t="str">
        <f t="shared" si="29"/>
        <v/>
      </c>
      <c r="F1216" s="316" t="str">
        <f t="shared" si="34"/>
        <v/>
      </c>
      <c r="G1216" t="str">
        <f t="shared" si="30"/>
        <v/>
      </c>
      <c r="H1216" t="str">
        <f t="shared" si="30"/>
        <v/>
      </c>
      <c r="I1216" t="str">
        <f t="shared" si="30"/>
        <v/>
      </c>
      <c r="J1216" t="str">
        <f t="shared" si="30"/>
        <v/>
      </c>
      <c r="K1216" s="316" t="str">
        <f t="shared" si="35"/>
        <v/>
      </c>
      <c r="L1216" t="str">
        <f t="shared" si="31"/>
        <v/>
      </c>
      <c r="M1216" t="str">
        <f t="shared" si="31"/>
        <v/>
      </c>
      <c r="N1216" t="str">
        <f t="shared" si="31"/>
        <v/>
      </c>
      <c r="O1216" t="str">
        <f t="shared" si="31"/>
        <v/>
      </c>
      <c r="P1216" s="316" t="str">
        <f t="shared" si="36"/>
        <v/>
      </c>
      <c r="Q1216" t="str">
        <f t="shared" si="32"/>
        <v/>
      </c>
      <c r="R1216" t="str">
        <f t="shared" si="32"/>
        <v/>
      </c>
      <c r="S1216" t="str">
        <f t="shared" si="32"/>
        <v/>
      </c>
      <c r="T1216" t="str">
        <f t="shared" si="32"/>
        <v/>
      </c>
    </row>
    <row r="1217" spans="1:20">
      <c r="A1217" s="195">
        <f t="shared" si="19"/>
        <v>1</v>
      </c>
      <c r="B1217">
        <f t="shared" si="28"/>
        <v>36</v>
      </c>
      <c r="C1217" s="8" t="str">
        <f t="shared" si="33"/>
        <v/>
      </c>
      <c r="D1217" t="str">
        <f t="shared" si="29"/>
        <v/>
      </c>
      <c r="E1217" t="str">
        <f t="shared" si="29"/>
        <v/>
      </c>
      <c r="F1217" s="316" t="str">
        <f t="shared" si="34"/>
        <v/>
      </c>
      <c r="G1217" t="str">
        <f t="shared" si="30"/>
        <v/>
      </c>
      <c r="H1217" t="str">
        <f t="shared" si="30"/>
        <v/>
      </c>
      <c r="I1217" t="str">
        <f t="shared" si="30"/>
        <v/>
      </c>
      <c r="J1217" t="str">
        <f t="shared" si="30"/>
        <v/>
      </c>
      <c r="K1217" s="316" t="str">
        <f t="shared" si="35"/>
        <v/>
      </c>
      <c r="L1217" t="str">
        <f t="shared" si="31"/>
        <v/>
      </c>
      <c r="M1217" t="str">
        <f t="shared" si="31"/>
        <v/>
      </c>
      <c r="N1217" t="str">
        <f t="shared" si="31"/>
        <v/>
      </c>
      <c r="O1217" t="str">
        <f t="shared" si="31"/>
        <v/>
      </c>
      <c r="P1217" s="316" t="str">
        <f t="shared" si="36"/>
        <v/>
      </c>
      <c r="Q1217" t="str">
        <f t="shared" si="32"/>
        <v/>
      </c>
      <c r="R1217" t="str">
        <f t="shared" si="32"/>
        <v/>
      </c>
      <c r="S1217" t="str">
        <f t="shared" si="32"/>
        <v/>
      </c>
      <c r="T1217" t="str">
        <f t="shared" si="32"/>
        <v/>
      </c>
    </row>
    <row r="1218" spans="1:20">
      <c r="A1218" s="195">
        <f t="shared" si="19"/>
        <v>1</v>
      </c>
      <c r="B1218">
        <f t="shared" si="28"/>
        <v>37</v>
      </c>
      <c r="C1218" s="8" t="str">
        <f t="shared" si="33"/>
        <v/>
      </c>
      <c r="D1218" t="str">
        <f t="shared" si="29"/>
        <v/>
      </c>
      <c r="E1218" t="str">
        <f t="shared" si="29"/>
        <v/>
      </c>
      <c r="F1218" s="316" t="str">
        <f t="shared" si="34"/>
        <v/>
      </c>
      <c r="G1218" t="str">
        <f t="shared" si="30"/>
        <v/>
      </c>
      <c r="H1218" t="str">
        <f t="shared" si="30"/>
        <v/>
      </c>
      <c r="I1218" t="str">
        <f t="shared" si="30"/>
        <v/>
      </c>
      <c r="J1218" t="str">
        <f t="shared" si="30"/>
        <v/>
      </c>
      <c r="K1218" s="316" t="str">
        <f t="shared" si="35"/>
        <v/>
      </c>
      <c r="L1218" t="str">
        <f t="shared" si="31"/>
        <v/>
      </c>
      <c r="M1218" t="str">
        <f t="shared" si="31"/>
        <v/>
      </c>
      <c r="N1218" t="str">
        <f t="shared" si="31"/>
        <v/>
      </c>
      <c r="O1218" t="str">
        <f t="shared" si="31"/>
        <v/>
      </c>
      <c r="P1218" s="316" t="str">
        <f t="shared" si="36"/>
        <v/>
      </c>
      <c r="Q1218" t="str">
        <f t="shared" si="32"/>
        <v/>
      </c>
      <c r="R1218" t="str">
        <f t="shared" si="32"/>
        <v/>
      </c>
      <c r="S1218" t="str">
        <f t="shared" si="32"/>
        <v/>
      </c>
      <c r="T1218" t="str">
        <f t="shared" si="32"/>
        <v/>
      </c>
    </row>
    <row r="1219" spans="1:20">
      <c r="A1219" s="195">
        <f t="shared" si="19"/>
        <v>1</v>
      </c>
      <c r="B1219">
        <f t="shared" si="28"/>
        <v>38</v>
      </c>
      <c r="C1219" s="8" t="str">
        <f t="shared" si="33"/>
        <v/>
      </c>
      <c r="D1219" t="str">
        <f t="shared" si="29"/>
        <v/>
      </c>
      <c r="E1219" t="str">
        <f t="shared" si="29"/>
        <v/>
      </c>
      <c r="F1219" s="316" t="str">
        <f t="shared" si="34"/>
        <v/>
      </c>
      <c r="G1219" t="str">
        <f t="shared" si="30"/>
        <v/>
      </c>
      <c r="H1219" t="str">
        <f t="shared" si="30"/>
        <v/>
      </c>
      <c r="I1219" t="str">
        <f t="shared" si="30"/>
        <v/>
      </c>
      <c r="J1219" t="str">
        <f t="shared" si="30"/>
        <v/>
      </c>
      <c r="K1219" s="316" t="str">
        <f t="shared" si="35"/>
        <v/>
      </c>
      <c r="L1219" t="str">
        <f t="shared" si="31"/>
        <v/>
      </c>
      <c r="M1219" t="str">
        <f t="shared" si="31"/>
        <v/>
      </c>
      <c r="N1219" t="str">
        <f t="shared" si="31"/>
        <v/>
      </c>
      <c r="O1219" t="str">
        <f t="shared" si="31"/>
        <v/>
      </c>
      <c r="P1219" s="316" t="str">
        <f t="shared" si="36"/>
        <v/>
      </c>
      <c r="Q1219" t="str">
        <f t="shared" si="32"/>
        <v/>
      </c>
      <c r="R1219" t="str">
        <f t="shared" si="32"/>
        <v/>
      </c>
      <c r="S1219" t="str">
        <f t="shared" si="32"/>
        <v/>
      </c>
      <c r="T1219" t="str">
        <f t="shared" si="32"/>
        <v/>
      </c>
    </row>
    <row r="1220" spans="1:20">
      <c r="A1220" s="195">
        <f t="shared" si="19"/>
        <v>1</v>
      </c>
      <c r="B1220">
        <f t="shared" si="28"/>
        <v>39</v>
      </c>
      <c r="C1220" s="8" t="str">
        <f t="shared" si="33"/>
        <v/>
      </c>
      <c r="D1220" t="str">
        <f t="shared" si="29"/>
        <v/>
      </c>
      <c r="E1220" t="str">
        <f t="shared" si="29"/>
        <v/>
      </c>
      <c r="F1220" s="316" t="str">
        <f t="shared" si="34"/>
        <v/>
      </c>
      <c r="G1220" t="str">
        <f t="shared" si="30"/>
        <v/>
      </c>
      <c r="H1220" t="str">
        <f t="shared" si="30"/>
        <v/>
      </c>
      <c r="I1220" t="str">
        <f t="shared" si="30"/>
        <v/>
      </c>
      <c r="J1220" t="str">
        <f t="shared" si="30"/>
        <v/>
      </c>
      <c r="K1220" s="316" t="str">
        <f t="shared" si="35"/>
        <v/>
      </c>
      <c r="L1220" t="str">
        <f t="shared" si="31"/>
        <v/>
      </c>
      <c r="M1220" t="str">
        <f t="shared" si="31"/>
        <v/>
      </c>
      <c r="N1220" t="str">
        <f t="shared" si="31"/>
        <v/>
      </c>
      <c r="O1220" t="str">
        <f t="shared" si="31"/>
        <v/>
      </c>
      <c r="P1220" s="316" t="str">
        <f t="shared" si="36"/>
        <v/>
      </c>
      <c r="Q1220" t="str">
        <f t="shared" si="32"/>
        <v/>
      </c>
      <c r="R1220" t="str">
        <f t="shared" si="32"/>
        <v/>
      </c>
      <c r="S1220" t="str">
        <f t="shared" si="32"/>
        <v/>
      </c>
      <c r="T1220" t="str">
        <f t="shared" si="32"/>
        <v/>
      </c>
    </row>
    <row r="1221" spans="1:20">
      <c r="A1221" s="195">
        <f t="shared" si="19"/>
        <v>1</v>
      </c>
      <c r="B1221">
        <f t="shared" si="28"/>
        <v>40</v>
      </c>
      <c r="C1221" s="8" t="str">
        <f t="shared" si="33"/>
        <v/>
      </c>
      <c r="D1221" t="str">
        <f t="shared" si="29"/>
        <v/>
      </c>
      <c r="E1221" t="str">
        <f t="shared" si="29"/>
        <v/>
      </c>
      <c r="F1221" s="316" t="str">
        <f t="shared" si="34"/>
        <v/>
      </c>
      <c r="G1221" t="str">
        <f t="shared" si="30"/>
        <v/>
      </c>
      <c r="H1221" t="str">
        <f t="shared" si="30"/>
        <v/>
      </c>
      <c r="I1221" t="str">
        <f t="shared" si="30"/>
        <v/>
      </c>
      <c r="J1221" t="str">
        <f t="shared" si="30"/>
        <v/>
      </c>
      <c r="K1221" s="316" t="str">
        <f t="shared" si="35"/>
        <v/>
      </c>
      <c r="L1221" t="str">
        <f t="shared" si="31"/>
        <v/>
      </c>
      <c r="M1221" t="str">
        <f t="shared" si="31"/>
        <v/>
      </c>
      <c r="N1221" t="str">
        <f t="shared" si="31"/>
        <v/>
      </c>
      <c r="O1221" t="str">
        <f t="shared" si="31"/>
        <v/>
      </c>
      <c r="P1221" s="316" t="str">
        <f t="shared" si="36"/>
        <v/>
      </c>
      <c r="Q1221" t="str">
        <f t="shared" si="32"/>
        <v/>
      </c>
      <c r="R1221" t="str">
        <f t="shared" si="32"/>
        <v/>
      </c>
      <c r="S1221" t="str">
        <f t="shared" si="32"/>
        <v/>
      </c>
      <c r="T1221" t="str">
        <f t="shared" si="32"/>
        <v/>
      </c>
    </row>
    <row r="1222" spans="1:20">
      <c r="A1222" s="195">
        <f t="shared" si="19"/>
        <v>1</v>
      </c>
      <c r="B1222">
        <f t="shared" si="28"/>
        <v>41</v>
      </c>
      <c r="C1222" s="8" t="str">
        <f t="shared" si="33"/>
        <v/>
      </c>
      <c r="D1222" t="str">
        <f t="shared" ref="D1222:E1241" si="37">CONCATENATE(INDEX($B$1078:$T$1177, $A1222, D$1181))</f>
        <v/>
      </c>
      <c r="E1222" t="str">
        <f t="shared" si="37"/>
        <v/>
      </c>
      <c r="F1222" s="316" t="str">
        <f t="shared" si="34"/>
        <v/>
      </c>
      <c r="G1222" t="str">
        <f t="shared" ref="G1222:J1241" si="38">CONCATENATE(INDEX($B$1078:$T$1177, $A1222, G$1181))</f>
        <v/>
      </c>
      <c r="H1222" t="str">
        <f t="shared" si="38"/>
        <v/>
      </c>
      <c r="I1222" t="str">
        <f t="shared" si="38"/>
        <v/>
      </c>
      <c r="J1222" t="str">
        <f t="shared" si="38"/>
        <v/>
      </c>
      <c r="K1222" s="316" t="str">
        <f t="shared" si="35"/>
        <v/>
      </c>
      <c r="L1222" t="str">
        <f t="shared" ref="L1222:O1241" si="39">CONCATENATE(INDEX($B$1078:$T$1177, $A1222, L$1181))</f>
        <v/>
      </c>
      <c r="M1222" t="str">
        <f t="shared" si="39"/>
        <v/>
      </c>
      <c r="N1222" t="str">
        <f t="shared" si="39"/>
        <v/>
      </c>
      <c r="O1222" t="str">
        <f t="shared" si="39"/>
        <v/>
      </c>
      <c r="P1222" s="316" t="str">
        <f t="shared" si="36"/>
        <v/>
      </c>
      <c r="Q1222" t="str">
        <f t="shared" ref="Q1222:T1241" si="40">CONCATENATE(INDEX($B$1078:$T$1177, $A1222, Q$1181))</f>
        <v/>
      </c>
      <c r="R1222" t="str">
        <f t="shared" si="40"/>
        <v/>
      </c>
      <c r="S1222" t="str">
        <f t="shared" si="40"/>
        <v/>
      </c>
      <c r="T1222" t="str">
        <f t="shared" si="40"/>
        <v/>
      </c>
    </row>
    <row r="1223" spans="1:20">
      <c r="A1223" s="195">
        <f t="shared" si="19"/>
        <v>1</v>
      </c>
      <c r="B1223">
        <f t="shared" si="28"/>
        <v>42</v>
      </c>
      <c r="C1223" s="8" t="str">
        <f t="shared" si="33"/>
        <v/>
      </c>
      <c r="D1223" t="str">
        <f t="shared" si="37"/>
        <v/>
      </c>
      <c r="E1223" t="str">
        <f t="shared" si="37"/>
        <v/>
      </c>
      <c r="F1223" s="316" t="str">
        <f t="shared" si="34"/>
        <v/>
      </c>
      <c r="G1223" t="str">
        <f t="shared" si="38"/>
        <v/>
      </c>
      <c r="H1223" t="str">
        <f t="shared" si="38"/>
        <v/>
      </c>
      <c r="I1223" t="str">
        <f t="shared" si="38"/>
        <v/>
      </c>
      <c r="J1223" t="str">
        <f t="shared" si="38"/>
        <v/>
      </c>
      <c r="K1223" s="316" t="str">
        <f t="shared" si="35"/>
        <v/>
      </c>
      <c r="L1223" t="str">
        <f t="shared" si="39"/>
        <v/>
      </c>
      <c r="M1223" t="str">
        <f t="shared" si="39"/>
        <v/>
      </c>
      <c r="N1223" t="str">
        <f t="shared" si="39"/>
        <v/>
      </c>
      <c r="O1223" t="str">
        <f t="shared" si="39"/>
        <v/>
      </c>
      <c r="P1223" s="316" t="str">
        <f t="shared" si="36"/>
        <v/>
      </c>
      <c r="Q1223" t="str">
        <f t="shared" si="40"/>
        <v/>
      </c>
      <c r="R1223" t="str">
        <f t="shared" si="40"/>
        <v/>
      </c>
      <c r="S1223" t="str">
        <f t="shared" si="40"/>
        <v/>
      </c>
      <c r="T1223" t="str">
        <f t="shared" si="40"/>
        <v/>
      </c>
    </row>
    <row r="1224" spans="1:20">
      <c r="A1224" s="195">
        <f t="shared" si="19"/>
        <v>1</v>
      </c>
      <c r="B1224">
        <f t="shared" si="28"/>
        <v>43</v>
      </c>
      <c r="C1224" s="8" t="str">
        <f t="shared" si="33"/>
        <v/>
      </c>
      <c r="D1224" t="str">
        <f t="shared" si="37"/>
        <v/>
      </c>
      <c r="E1224" t="str">
        <f t="shared" si="37"/>
        <v/>
      </c>
      <c r="F1224" s="316" t="str">
        <f t="shared" si="34"/>
        <v/>
      </c>
      <c r="G1224" t="str">
        <f t="shared" si="38"/>
        <v/>
      </c>
      <c r="H1224" t="str">
        <f t="shared" si="38"/>
        <v/>
      </c>
      <c r="I1224" t="str">
        <f t="shared" si="38"/>
        <v/>
      </c>
      <c r="J1224" t="str">
        <f t="shared" si="38"/>
        <v/>
      </c>
      <c r="K1224" s="316" t="str">
        <f t="shared" si="35"/>
        <v/>
      </c>
      <c r="L1224" t="str">
        <f t="shared" si="39"/>
        <v/>
      </c>
      <c r="M1224" t="str">
        <f t="shared" si="39"/>
        <v/>
      </c>
      <c r="N1224" t="str">
        <f t="shared" si="39"/>
        <v/>
      </c>
      <c r="O1224" t="str">
        <f t="shared" si="39"/>
        <v/>
      </c>
      <c r="P1224" s="316" t="str">
        <f t="shared" si="36"/>
        <v/>
      </c>
      <c r="Q1224" t="str">
        <f t="shared" si="40"/>
        <v/>
      </c>
      <c r="R1224" t="str">
        <f t="shared" si="40"/>
        <v/>
      </c>
      <c r="S1224" t="str">
        <f t="shared" si="40"/>
        <v/>
      </c>
      <c r="T1224" t="str">
        <f t="shared" si="40"/>
        <v/>
      </c>
    </row>
    <row r="1225" spans="1:20">
      <c r="A1225" s="195">
        <f t="shared" si="19"/>
        <v>1</v>
      </c>
      <c r="B1225">
        <f t="shared" si="28"/>
        <v>44</v>
      </c>
      <c r="C1225" s="8" t="str">
        <f t="shared" si="33"/>
        <v/>
      </c>
      <c r="D1225" t="str">
        <f t="shared" si="37"/>
        <v/>
      </c>
      <c r="E1225" t="str">
        <f t="shared" si="37"/>
        <v/>
      </c>
      <c r="F1225" s="316" t="str">
        <f t="shared" si="34"/>
        <v/>
      </c>
      <c r="G1225" t="str">
        <f t="shared" si="38"/>
        <v/>
      </c>
      <c r="H1225" t="str">
        <f t="shared" si="38"/>
        <v/>
      </c>
      <c r="I1225" t="str">
        <f t="shared" si="38"/>
        <v/>
      </c>
      <c r="J1225" t="str">
        <f t="shared" si="38"/>
        <v/>
      </c>
      <c r="K1225" s="316" t="str">
        <f t="shared" si="35"/>
        <v/>
      </c>
      <c r="L1225" t="str">
        <f t="shared" si="39"/>
        <v/>
      </c>
      <c r="M1225" t="str">
        <f t="shared" si="39"/>
        <v/>
      </c>
      <c r="N1225" t="str">
        <f t="shared" si="39"/>
        <v/>
      </c>
      <c r="O1225" t="str">
        <f t="shared" si="39"/>
        <v/>
      </c>
      <c r="P1225" s="316" t="str">
        <f t="shared" si="36"/>
        <v/>
      </c>
      <c r="Q1225" t="str">
        <f t="shared" si="40"/>
        <v/>
      </c>
      <c r="R1225" t="str">
        <f t="shared" si="40"/>
        <v/>
      </c>
      <c r="S1225" t="str">
        <f t="shared" si="40"/>
        <v/>
      </c>
      <c r="T1225" t="str">
        <f t="shared" si="40"/>
        <v/>
      </c>
    </row>
    <row r="1226" spans="1:20">
      <c r="A1226" s="195">
        <f t="shared" si="19"/>
        <v>1</v>
      </c>
      <c r="B1226">
        <f t="shared" si="28"/>
        <v>45</v>
      </c>
      <c r="C1226" s="8" t="str">
        <f t="shared" si="33"/>
        <v/>
      </c>
      <c r="D1226" t="str">
        <f t="shared" si="37"/>
        <v/>
      </c>
      <c r="E1226" t="str">
        <f t="shared" si="37"/>
        <v/>
      </c>
      <c r="F1226" s="316" t="str">
        <f t="shared" si="34"/>
        <v/>
      </c>
      <c r="G1226" t="str">
        <f t="shared" si="38"/>
        <v/>
      </c>
      <c r="H1226" t="str">
        <f t="shared" si="38"/>
        <v/>
      </c>
      <c r="I1226" t="str">
        <f t="shared" si="38"/>
        <v/>
      </c>
      <c r="J1226" t="str">
        <f t="shared" si="38"/>
        <v/>
      </c>
      <c r="K1226" s="316" t="str">
        <f t="shared" si="35"/>
        <v/>
      </c>
      <c r="L1226" t="str">
        <f t="shared" si="39"/>
        <v/>
      </c>
      <c r="M1226" t="str">
        <f t="shared" si="39"/>
        <v/>
      </c>
      <c r="N1226" t="str">
        <f t="shared" si="39"/>
        <v/>
      </c>
      <c r="O1226" t="str">
        <f t="shared" si="39"/>
        <v/>
      </c>
      <c r="P1226" s="316" t="str">
        <f t="shared" si="36"/>
        <v/>
      </c>
      <c r="Q1226" t="str">
        <f t="shared" si="40"/>
        <v/>
      </c>
      <c r="R1226" t="str">
        <f t="shared" si="40"/>
        <v/>
      </c>
      <c r="S1226" t="str">
        <f t="shared" si="40"/>
        <v/>
      </c>
      <c r="T1226" t="str">
        <f t="shared" si="40"/>
        <v/>
      </c>
    </row>
    <row r="1227" spans="1:20">
      <c r="A1227" s="195">
        <f t="shared" si="19"/>
        <v>1</v>
      </c>
      <c r="B1227">
        <f t="shared" si="28"/>
        <v>46</v>
      </c>
      <c r="C1227" s="8" t="str">
        <f t="shared" si="33"/>
        <v/>
      </c>
      <c r="D1227" t="str">
        <f t="shared" si="37"/>
        <v/>
      </c>
      <c r="E1227" t="str">
        <f t="shared" si="37"/>
        <v/>
      </c>
      <c r="F1227" s="316" t="str">
        <f t="shared" si="34"/>
        <v/>
      </c>
      <c r="G1227" t="str">
        <f t="shared" si="38"/>
        <v/>
      </c>
      <c r="H1227" t="str">
        <f t="shared" si="38"/>
        <v/>
      </c>
      <c r="I1227" t="str">
        <f t="shared" si="38"/>
        <v/>
      </c>
      <c r="J1227" t="str">
        <f t="shared" si="38"/>
        <v/>
      </c>
      <c r="K1227" s="316" t="str">
        <f t="shared" si="35"/>
        <v/>
      </c>
      <c r="L1227" t="str">
        <f t="shared" si="39"/>
        <v/>
      </c>
      <c r="M1227" t="str">
        <f t="shared" si="39"/>
        <v/>
      </c>
      <c r="N1227" t="str">
        <f t="shared" si="39"/>
        <v/>
      </c>
      <c r="O1227" t="str">
        <f t="shared" si="39"/>
        <v/>
      </c>
      <c r="P1227" s="316" t="str">
        <f t="shared" si="36"/>
        <v/>
      </c>
      <c r="Q1227" t="str">
        <f t="shared" si="40"/>
        <v/>
      </c>
      <c r="R1227" t="str">
        <f t="shared" si="40"/>
        <v/>
      </c>
      <c r="S1227" t="str">
        <f t="shared" si="40"/>
        <v/>
      </c>
      <c r="T1227" t="str">
        <f t="shared" si="40"/>
        <v/>
      </c>
    </row>
    <row r="1228" spans="1:20">
      <c r="A1228" s="195">
        <f t="shared" si="19"/>
        <v>1</v>
      </c>
      <c r="B1228">
        <f t="shared" si="28"/>
        <v>47</v>
      </c>
      <c r="C1228" s="8" t="str">
        <f t="shared" si="33"/>
        <v/>
      </c>
      <c r="D1228" t="str">
        <f t="shared" si="37"/>
        <v/>
      </c>
      <c r="E1228" t="str">
        <f t="shared" si="37"/>
        <v/>
      </c>
      <c r="F1228" s="316" t="str">
        <f t="shared" si="34"/>
        <v/>
      </c>
      <c r="G1228" t="str">
        <f t="shared" si="38"/>
        <v/>
      </c>
      <c r="H1228" t="str">
        <f t="shared" si="38"/>
        <v/>
      </c>
      <c r="I1228" t="str">
        <f t="shared" si="38"/>
        <v/>
      </c>
      <c r="J1228" t="str">
        <f t="shared" si="38"/>
        <v/>
      </c>
      <c r="K1228" s="316" t="str">
        <f t="shared" si="35"/>
        <v/>
      </c>
      <c r="L1228" t="str">
        <f t="shared" si="39"/>
        <v/>
      </c>
      <c r="M1228" t="str">
        <f t="shared" si="39"/>
        <v/>
      </c>
      <c r="N1228" t="str">
        <f t="shared" si="39"/>
        <v/>
      </c>
      <c r="O1228" t="str">
        <f t="shared" si="39"/>
        <v/>
      </c>
      <c r="P1228" s="316" t="str">
        <f t="shared" si="36"/>
        <v/>
      </c>
      <c r="Q1228" t="str">
        <f t="shared" si="40"/>
        <v/>
      </c>
      <c r="R1228" t="str">
        <f t="shared" si="40"/>
        <v/>
      </c>
      <c r="S1228" t="str">
        <f t="shared" si="40"/>
        <v/>
      </c>
      <c r="T1228" t="str">
        <f t="shared" si="40"/>
        <v/>
      </c>
    </row>
    <row r="1229" spans="1:20">
      <c r="A1229" s="195">
        <f t="shared" si="19"/>
        <v>1</v>
      </c>
      <c r="B1229">
        <f t="shared" si="28"/>
        <v>48</v>
      </c>
      <c r="C1229" s="8" t="str">
        <f t="shared" si="33"/>
        <v/>
      </c>
      <c r="D1229" t="str">
        <f t="shared" si="37"/>
        <v/>
      </c>
      <c r="E1229" t="str">
        <f t="shared" si="37"/>
        <v/>
      </c>
      <c r="F1229" s="316" t="str">
        <f t="shared" si="34"/>
        <v/>
      </c>
      <c r="G1229" t="str">
        <f t="shared" si="38"/>
        <v/>
      </c>
      <c r="H1229" t="str">
        <f t="shared" si="38"/>
        <v/>
      </c>
      <c r="I1229" t="str">
        <f t="shared" si="38"/>
        <v/>
      </c>
      <c r="J1229" t="str">
        <f t="shared" si="38"/>
        <v/>
      </c>
      <c r="K1229" s="316" t="str">
        <f t="shared" si="35"/>
        <v/>
      </c>
      <c r="L1229" t="str">
        <f t="shared" si="39"/>
        <v/>
      </c>
      <c r="M1229" t="str">
        <f t="shared" si="39"/>
        <v/>
      </c>
      <c r="N1229" t="str">
        <f t="shared" si="39"/>
        <v/>
      </c>
      <c r="O1229" t="str">
        <f t="shared" si="39"/>
        <v/>
      </c>
      <c r="P1229" s="316" t="str">
        <f t="shared" si="36"/>
        <v/>
      </c>
      <c r="Q1229" t="str">
        <f t="shared" si="40"/>
        <v/>
      </c>
      <c r="R1229" t="str">
        <f t="shared" si="40"/>
        <v/>
      </c>
      <c r="S1229" t="str">
        <f t="shared" si="40"/>
        <v/>
      </c>
      <c r="T1229" t="str">
        <f t="shared" si="40"/>
        <v/>
      </c>
    </row>
    <row r="1230" spans="1:20">
      <c r="A1230" s="195">
        <f t="shared" si="19"/>
        <v>1</v>
      </c>
      <c r="B1230">
        <f t="shared" si="28"/>
        <v>49</v>
      </c>
      <c r="C1230" s="8" t="str">
        <f t="shared" si="33"/>
        <v/>
      </c>
      <c r="D1230" t="str">
        <f t="shared" si="37"/>
        <v/>
      </c>
      <c r="E1230" t="str">
        <f t="shared" si="37"/>
        <v/>
      </c>
      <c r="F1230" s="316" t="str">
        <f t="shared" si="34"/>
        <v/>
      </c>
      <c r="G1230" t="str">
        <f t="shared" si="38"/>
        <v/>
      </c>
      <c r="H1230" t="str">
        <f t="shared" si="38"/>
        <v/>
      </c>
      <c r="I1230" t="str">
        <f t="shared" si="38"/>
        <v/>
      </c>
      <c r="J1230" t="str">
        <f t="shared" si="38"/>
        <v/>
      </c>
      <c r="K1230" s="316" t="str">
        <f t="shared" si="35"/>
        <v/>
      </c>
      <c r="L1230" t="str">
        <f t="shared" si="39"/>
        <v/>
      </c>
      <c r="M1230" t="str">
        <f t="shared" si="39"/>
        <v/>
      </c>
      <c r="N1230" t="str">
        <f t="shared" si="39"/>
        <v/>
      </c>
      <c r="O1230" t="str">
        <f t="shared" si="39"/>
        <v/>
      </c>
      <c r="P1230" s="316" t="str">
        <f t="shared" si="36"/>
        <v/>
      </c>
      <c r="Q1230" t="str">
        <f t="shared" si="40"/>
        <v/>
      </c>
      <c r="R1230" t="str">
        <f t="shared" si="40"/>
        <v/>
      </c>
      <c r="S1230" t="str">
        <f t="shared" si="40"/>
        <v/>
      </c>
      <c r="T1230" t="str">
        <f t="shared" si="40"/>
        <v/>
      </c>
    </row>
    <row r="1231" spans="1:20">
      <c r="A1231" s="195">
        <f t="shared" si="19"/>
        <v>1</v>
      </c>
      <c r="B1231">
        <f t="shared" si="28"/>
        <v>50</v>
      </c>
      <c r="C1231" s="8" t="str">
        <f t="shared" si="33"/>
        <v/>
      </c>
      <c r="D1231" t="str">
        <f t="shared" si="37"/>
        <v/>
      </c>
      <c r="E1231" t="str">
        <f t="shared" si="37"/>
        <v/>
      </c>
      <c r="F1231" s="316" t="str">
        <f t="shared" si="34"/>
        <v/>
      </c>
      <c r="G1231" t="str">
        <f t="shared" si="38"/>
        <v/>
      </c>
      <c r="H1231" t="str">
        <f t="shared" si="38"/>
        <v/>
      </c>
      <c r="I1231" t="str">
        <f t="shared" si="38"/>
        <v/>
      </c>
      <c r="J1231" t="str">
        <f t="shared" si="38"/>
        <v/>
      </c>
      <c r="K1231" s="316" t="str">
        <f t="shared" si="35"/>
        <v/>
      </c>
      <c r="L1231" t="str">
        <f t="shared" si="39"/>
        <v/>
      </c>
      <c r="M1231" t="str">
        <f t="shared" si="39"/>
        <v/>
      </c>
      <c r="N1231" t="str">
        <f t="shared" si="39"/>
        <v/>
      </c>
      <c r="O1231" t="str">
        <f t="shared" si="39"/>
        <v/>
      </c>
      <c r="P1231" s="316" t="str">
        <f t="shared" si="36"/>
        <v/>
      </c>
      <c r="Q1231" t="str">
        <f t="shared" si="40"/>
        <v/>
      </c>
      <c r="R1231" t="str">
        <f t="shared" si="40"/>
        <v/>
      </c>
      <c r="S1231" t="str">
        <f t="shared" si="40"/>
        <v/>
      </c>
      <c r="T1231" t="str">
        <f t="shared" si="40"/>
        <v/>
      </c>
    </row>
    <row r="1232" spans="1:20">
      <c r="A1232" s="195">
        <f t="shared" si="19"/>
        <v>1</v>
      </c>
      <c r="B1232">
        <f t="shared" si="28"/>
        <v>51</v>
      </c>
      <c r="C1232" s="8" t="str">
        <f t="shared" si="33"/>
        <v/>
      </c>
      <c r="D1232" t="str">
        <f t="shared" si="37"/>
        <v/>
      </c>
      <c r="E1232" t="str">
        <f t="shared" si="37"/>
        <v/>
      </c>
      <c r="F1232" s="316" t="str">
        <f t="shared" si="34"/>
        <v/>
      </c>
      <c r="G1232" t="str">
        <f t="shared" si="38"/>
        <v/>
      </c>
      <c r="H1232" t="str">
        <f t="shared" si="38"/>
        <v/>
      </c>
      <c r="I1232" t="str">
        <f t="shared" si="38"/>
        <v/>
      </c>
      <c r="J1232" t="str">
        <f t="shared" si="38"/>
        <v/>
      </c>
      <c r="K1232" s="316" t="str">
        <f t="shared" si="35"/>
        <v/>
      </c>
      <c r="L1232" t="str">
        <f t="shared" si="39"/>
        <v/>
      </c>
      <c r="M1232" t="str">
        <f t="shared" si="39"/>
        <v/>
      </c>
      <c r="N1232" t="str">
        <f t="shared" si="39"/>
        <v/>
      </c>
      <c r="O1232" t="str">
        <f t="shared" si="39"/>
        <v/>
      </c>
      <c r="P1232" s="316" t="str">
        <f t="shared" si="36"/>
        <v/>
      </c>
      <c r="Q1232" t="str">
        <f t="shared" si="40"/>
        <v/>
      </c>
      <c r="R1232" t="str">
        <f t="shared" si="40"/>
        <v/>
      </c>
      <c r="S1232" t="str">
        <f t="shared" si="40"/>
        <v/>
      </c>
      <c r="T1232" t="str">
        <f t="shared" si="40"/>
        <v/>
      </c>
    </row>
    <row r="1233" spans="1:20">
      <c r="A1233" s="195">
        <f t="shared" si="19"/>
        <v>1</v>
      </c>
      <c r="B1233">
        <f t="shared" si="28"/>
        <v>52</v>
      </c>
      <c r="C1233" s="8" t="str">
        <f t="shared" si="33"/>
        <v/>
      </c>
      <c r="D1233" t="str">
        <f t="shared" si="37"/>
        <v/>
      </c>
      <c r="E1233" t="str">
        <f t="shared" si="37"/>
        <v/>
      </c>
      <c r="F1233" s="316" t="str">
        <f t="shared" si="34"/>
        <v/>
      </c>
      <c r="G1233" t="str">
        <f t="shared" si="38"/>
        <v/>
      </c>
      <c r="H1233" t="str">
        <f t="shared" si="38"/>
        <v/>
      </c>
      <c r="I1233" t="str">
        <f t="shared" si="38"/>
        <v/>
      </c>
      <c r="J1233" t="str">
        <f t="shared" si="38"/>
        <v/>
      </c>
      <c r="K1233" s="316" t="str">
        <f t="shared" si="35"/>
        <v/>
      </c>
      <c r="L1233" t="str">
        <f t="shared" si="39"/>
        <v/>
      </c>
      <c r="M1233" t="str">
        <f t="shared" si="39"/>
        <v/>
      </c>
      <c r="N1233" t="str">
        <f t="shared" si="39"/>
        <v/>
      </c>
      <c r="O1233" t="str">
        <f t="shared" si="39"/>
        <v/>
      </c>
      <c r="P1233" s="316" t="str">
        <f t="shared" si="36"/>
        <v/>
      </c>
      <c r="Q1233" t="str">
        <f t="shared" si="40"/>
        <v/>
      </c>
      <c r="R1233" t="str">
        <f t="shared" si="40"/>
        <v/>
      </c>
      <c r="S1233" t="str">
        <f t="shared" si="40"/>
        <v/>
      </c>
      <c r="T1233" t="str">
        <f t="shared" si="40"/>
        <v/>
      </c>
    </row>
    <row r="1234" spans="1:20">
      <c r="A1234" s="195">
        <f t="shared" si="19"/>
        <v>1</v>
      </c>
      <c r="B1234">
        <f t="shared" si="28"/>
        <v>53</v>
      </c>
      <c r="C1234" s="8" t="str">
        <f t="shared" si="33"/>
        <v/>
      </c>
      <c r="D1234" t="str">
        <f t="shared" si="37"/>
        <v/>
      </c>
      <c r="E1234" t="str">
        <f t="shared" si="37"/>
        <v/>
      </c>
      <c r="F1234" s="316" t="str">
        <f t="shared" si="34"/>
        <v/>
      </c>
      <c r="G1234" t="str">
        <f t="shared" si="38"/>
        <v/>
      </c>
      <c r="H1234" t="str">
        <f t="shared" si="38"/>
        <v/>
      </c>
      <c r="I1234" t="str">
        <f t="shared" si="38"/>
        <v/>
      </c>
      <c r="J1234" t="str">
        <f t="shared" si="38"/>
        <v/>
      </c>
      <c r="K1234" s="316" t="str">
        <f t="shared" si="35"/>
        <v/>
      </c>
      <c r="L1234" t="str">
        <f t="shared" si="39"/>
        <v/>
      </c>
      <c r="M1234" t="str">
        <f t="shared" si="39"/>
        <v/>
      </c>
      <c r="N1234" t="str">
        <f t="shared" si="39"/>
        <v/>
      </c>
      <c r="O1234" t="str">
        <f t="shared" si="39"/>
        <v/>
      </c>
      <c r="P1234" s="316" t="str">
        <f t="shared" si="36"/>
        <v/>
      </c>
      <c r="Q1234" t="str">
        <f t="shared" si="40"/>
        <v/>
      </c>
      <c r="R1234" t="str">
        <f t="shared" si="40"/>
        <v/>
      </c>
      <c r="S1234" t="str">
        <f t="shared" si="40"/>
        <v/>
      </c>
      <c r="T1234" t="str">
        <f t="shared" si="40"/>
        <v/>
      </c>
    </row>
    <row r="1235" spans="1:20">
      <c r="A1235" s="195">
        <f t="shared" si="19"/>
        <v>1</v>
      </c>
      <c r="B1235">
        <f t="shared" si="28"/>
        <v>54</v>
      </c>
      <c r="C1235" s="8" t="str">
        <f t="shared" si="33"/>
        <v/>
      </c>
      <c r="D1235" t="str">
        <f t="shared" si="37"/>
        <v/>
      </c>
      <c r="E1235" t="str">
        <f t="shared" si="37"/>
        <v/>
      </c>
      <c r="F1235" s="316" t="str">
        <f t="shared" si="34"/>
        <v/>
      </c>
      <c r="G1235" t="str">
        <f t="shared" si="38"/>
        <v/>
      </c>
      <c r="H1235" t="str">
        <f t="shared" si="38"/>
        <v/>
      </c>
      <c r="I1235" t="str">
        <f t="shared" si="38"/>
        <v/>
      </c>
      <c r="J1235" t="str">
        <f t="shared" si="38"/>
        <v/>
      </c>
      <c r="K1235" s="316" t="str">
        <f t="shared" si="35"/>
        <v/>
      </c>
      <c r="L1235" t="str">
        <f t="shared" si="39"/>
        <v/>
      </c>
      <c r="M1235" t="str">
        <f t="shared" si="39"/>
        <v/>
      </c>
      <c r="N1235" t="str">
        <f t="shared" si="39"/>
        <v/>
      </c>
      <c r="O1235" t="str">
        <f t="shared" si="39"/>
        <v/>
      </c>
      <c r="P1235" s="316" t="str">
        <f t="shared" si="36"/>
        <v/>
      </c>
      <c r="Q1235" t="str">
        <f t="shared" si="40"/>
        <v/>
      </c>
      <c r="R1235" t="str">
        <f t="shared" si="40"/>
        <v/>
      </c>
      <c r="S1235" t="str">
        <f t="shared" si="40"/>
        <v/>
      </c>
      <c r="T1235" t="str">
        <f t="shared" si="40"/>
        <v/>
      </c>
    </row>
    <row r="1236" spans="1:20">
      <c r="A1236" s="195">
        <f t="shared" si="19"/>
        <v>1</v>
      </c>
      <c r="B1236">
        <f t="shared" si="28"/>
        <v>55</v>
      </c>
      <c r="C1236" s="8" t="str">
        <f t="shared" si="33"/>
        <v/>
      </c>
      <c r="D1236" t="str">
        <f t="shared" si="37"/>
        <v/>
      </c>
      <c r="E1236" t="str">
        <f t="shared" si="37"/>
        <v/>
      </c>
      <c r="F1236" s="316" t="str">
        <f t="shared" si="34"/>
        <v/>
      </c>
      <c r="G1236" t="str">
        <f t="shared" si="38"/>
        <v/>
      </c>
      <c r="H1236" t="str">
        <f t="shared" si="38"/>
        <v/>
      </c>
      <c r="I1236" t="str">
        <f t="shared" si="38"/>
        <v/>
      </c>
      <c r="J1236" t="str">
        <f t="shared" si="38"/>
        <v/>
      </c>
      <c r="K1236" s="316" t="str">
        <f t="shared" si="35"/>
        <v/>
      </c>
      <c r="L1236" t="str">
        <f t="shared" si="39"/>
        <v/>
      </c>
      <c r="M1236" t="str">
        <f t="shared" si="39"/>
        <v/>
      </c>
      <c r="N1236" t="str">
        <f t="shared" si="39"/>
        <v/>
      </c>
      <c r="O1236" t="str">
        <f t="shared" si="39"/>
        <v/>
      </c>
      <c r="P1236" s="316" t="str">
        <f t="shared" si="36"/>
        <v/>
      </c>
      <c r="Q1236" t="str">
        <f t="shared" si="40"/>
        <v/>
      </c>
      <c r="R1236" t="str">
        <f t="shared" si="40"/>
        <v/>
      </c>
      <c r="S1236" t="str">
        <f t="shared" si="40"/>
        <v/>
      </c>
      <c r="T1236" t="str">
        <f t="shared" si="40"/>
        <v/>
      </c>
    </row>
    <row r="1237" spans="1:20">
      <c r="A1237" s="195">
        <f t="shared" si="19"/>
        <v>1</v>
      </c>
      <c r="B1237">
        <f t="shared" si="28"/>
        <v>56</v>
      </c>
      <c r="C1237" s="8" t="str">
        <f t="shared" si="33"/>
        <v/>
      </c>
      <c r="D1237" t="str">
        <f t="shared" si="37"/>
        <v/>
      </c>
      <c r="E1237" t="str">
        <f t="shared" si="37"/>
        <v/>
      </c>
      <c r="F1237" s="316" t="str">
        <f t="shared" si="34"/>
        <v/>
      </c>
      <c r="G1237" t="str">
        <f t="shared" si="38"/>
        <v/>
      </c>
      <c r="H1237" t="str">
        <f t="shared" si="38"/>
        <v/>
      </c>
      <c r="I1237" t="str">
        <f t="shared" si="38"/>
        <v/>
      </c>
      <c r="J1237" t="str">
        <f t="shared" si="38"/>
        <v/>
      </c>
      <c r="K1237" s="316" t="str">
        <f t="shared" si="35"/>
        <v/>
      </c>
      <c r="L1237" t="str">
        <f t="shared" si="39"/>
        <v/>
      </c>
      <c r="M1237" t="str">
        <f t="shared" si="39"/>
        <v/>
      </c>
      <c r="N1237" t="str">
        <f t="shared" si="39"/>
        <v/>
      </c>
      <c r="O1237" t="str">
        <f t="shared" si="39"/>
        <v/>
      </c>
      <c r="P1237" s="316" t="str">
        <f t="shared" si="36"/>
        <v/>
      </c>
      <c r="Q1237" t="str">
        <f t="shared" si="40"/>
        <v/>
      </c>
      <c r="R1237" t="str">
        <f t="shared" si="40"/>
        <v/>
      </c>
      <c r="S1237" t="str">
        <f t="shared" si="40"/>
        <v/>
      </c>
      <c r="T1237" t="str">
        <f t="shared" si="40"/>
        <v/>
      </c>
    </row>
    <row r="1238" spans="1:20">
      <c r="A1238" s="195">
        <f t="shared" si="19"/>
        <v>1</v>
      </c>
      <c r="B1238">
        <f t="shared" si="28"/>
        <v>57</v>
      </c>
      <c r="C1238" s="8" t="str">
        <f t="shared" si="33"/>
        <v/>
      </c>
      <c r="D1238" t="str">
        <f t="shared" si="37"/>
        <v/>
      </c>
      <c r="E1238" t="str">
        <f t="shared" si="37"/>
        <v/>
      </c>
      <c r="F1238" s="316" t="str">
        <f t="shared" si="34"/>
        <v/>
      </c>
      <c r="G1238" t="str">
        <f t="shared" si="38"/>
        <v/>
      </c>
      <c r="H1238" t="str">
        <f t="shared" si="38"/>
        <v/>
      </c>
      <c r="I1238" t="str">
        <f t="shared" si="38"/>
        <v/>
      </c>
      <c r="J1238" t="str">
        <f t="shared" si="38"/>
        <v/>
      </c>
      <c r="K1238" s="316" t="str">
        <f t="shared" si="35"/>
        <v/>
      </c>
      <c r="L1238" t="str">
        <f t="shared" si="39"/>
        <v/>
      </c>
      <c r="M1238" t="str">
        <f t="shared" si="39"/>
        <v/>
      </c>
      <c r="N1238" t="str">
        <f t="shared" si="39"/>
        <v/>
      </c>
      <c r="O1238" t="str">
        <f t="shared" si="39"/>
        <v/>
      </c>
      <c r="P1238" s="316" t="str">
        <f t="shared" si="36"/>
        <v/>
      </c>
      <c r="Q1238" t="str">
        <f t="shared" si="40"/>
        <v/>
      </c>
      <c r="R1238" t="str">
        <f t="shared" si="40"/>
        <v/>
      </c>
      <c r="S1238" t="str">
        <f t="shared" si="40"/>
        <v/>
      </c>
      <c r="T1238" t="str">
        <f t="shared" si="40"/>
        <v/>
      </c>
    </row>
    <row r="1239" spans="1:20">
      <c r="A1239" s="195">
        <f t="shared" si="19"/>
        <v>1</v>
      </c>
      <c r="B1239">
        <f t="shared" si="28"/>
        <v>58</v>
      </c>
      <c r="C1239" s="8" t="str">
        <f t="shared" si="33"/>
        <v/>
      </c>
      <c r="D1239" t="str">
        <f t="shared" si="37"/>
        <v/>
      </c>
      <c r="E1239" t="str">
        <f t="shared" si="37"/>
        <v/>
      </c>
      <c r="F1239" s="316" t="str">
        <f t="shared" si="34"/>
        <v/>
      </c>
      <c r="G1239" t="str">
        <f t="shared" si="38"/>
        <v/>
      </c>
      <c r="H1239" t="str">
        <f t="shared" si="38"/>
        <v/>
      </c>
      <c r="I1239" t="str">
        <f t="shared" si="38"/>
        <v/>
      </c>
      <c r="J1239" t="str">
        <f t="shared" si="38"/>
        <v/>
      </c>
      <c r="K1239" s="316" t="str">
        <f t="shared" si="35"/>
        <v/>
      </c>
      <c r="L1239" t="str">
        <f t="shared" si="39"/>
        <v/>
      </c>
      <c r="M1239" t="str">
        <f t="shared" si="39"/>
        <v/>
      </c>
      <c r="N1239" t="str">
        <f t="shared" si="39"/>
        <v/>
      </c>
      <c r="O1239" t="str">
        <f t="shared" si="39"/>
        <v/>
      </c>
      <c r="P1239" s="316" t="str">
        <f t="shared" si="36"/>
        <v/>
      </c>
      <c r="Q1239" t="str">
        <f t="shared" si="40"/>
        <v/>
      </c>
      <c r="R1239" t="str">
        <f t="shared" si="40"/>
        <v/>
      </c>
      <c r="S1239" t="str">
        <f t="shared" si="40"/>
        <v/>
      </c>
      <c r="T1239" t="str">
        <f t="shared" si="40"/>
        <v/>
      </c>
    </row>
    <row r="1240" spans="1:20">
      <c r="A1240" s="195">
        <f t="shared" si="19"/>
        <v>1</v>
      </c>
      <c r="B1240">
        <f t="shared" si="28"/>
        <v>59</v>
      </c>
      <c r="C1240" s="8" t="str">
        <f t="shared" si="33"/>
        <v/>
      </c>
      <c r="D1240" t="str">
        <f t="shared" si="37"/>
        <v/>
      </c>
      <c r="E1240" t="str">
        <f t="shared" si="37"/>
        <v/>
      </c>
      <c r="F1240" s="316" t="str">
        <f t="shared" si="34"/>
        <v/>
      </c>
      <c r="G1240" t="str">
        <f t="shared" si="38"/>
        <v/>
      </c>
      <c r="H1240" t="str">
        <f t="shared" si="38"/>
        <v/>
      </c>
      <c r="I1240" t="str">
        <f t="shared" si="38"/>
        <v/>
      </c>
      <c r="J1240" t="str">
        <f t="shared" si="38"/>
        <v/>
      </c>
      <c r="K1240" s="316" t="str">
        <f t="shared" si="35"/>
        <v/>
      </c>
      <c r="L1240" t="str">
        <f t="shared" si="39"/>
        <v/>
      </c>
      <c r="M1240" t="str">
        <f t="shared" si="39"/>
        <v/>
      </c>
      <c r="N1240" t="str">
        <f t="shared" si="39"/>
        <v/>
      </c>
      <c r="O1240" t="str">
        <f t="shared" si="39"/>
        <v/>
      </c>
      <c r="P1240" s="316" t="str">
        <f t="shared" si="36"/>
        <v/>
      </c>
      <c r="Q1240" t="str">
        <f t="shared" si="40"/>
        <v/>
      </c>
      <c r="R1240" t="str">
        <f t="shared" si="40"/>
        <v/>
      </c>
      <c r="S1240" t="str">
        <f t="shared" si="40"/>
        <v/>
      </c>
      <c r="T1240" t="str">
        <f t="shared" si="40"/>
        <v/>
      </c>
    </row>
    <row r="1241" spans="1:20">
      <c r="A1241" s="195">
        <f t="shared" si="19"/>
        <v>1</v>
      </c>
      <c r="B1241">
        <f t="shared" si="28"/>
        <v>60</v>
      </c>
      <c r="C1241" s="8" t="str">
        <f t="shared" si="33"/>
        <v/>
      </c>
      <c r="D1241" t="str">
        <f t="shared" si="37"/>
        <v/>
      </c>
      <c r="E1241" t="str">
        <f t="shared" si="37"/>
        <v/>
      </c>
      <c r="F1241" s="316" t="str">
        <f t="shared" si="34"/>
        <v/>
      </c>
      <c r="G1241" t="str">
        <f t="shared" si="38"/>
        <v/>
      </c>
      <c r="H1241" t="str">
        <f t="shared" si="38"/>
        <v/>
      </c>
      <c r="I1241" t="str">
        <f t="shared" si="38"/>
        <v/>
      </c>
      <c r="J1241" t="str">
        <f t="shared" si="38"/>
        <v/>
      </c>
      <c r="K1241" s="316" t="str">
        <f t="shared" si="35"/>
        <v/>
      </c>
      <c r="L1241" t="str">
        <f t="shared" si="39"/>
        <v/>
      </c>
      <c r="M1241" t="str">
        <f t="shared" si="39"/>
        <v/>
      </c>
      <c r="N1241" t="str">
        <f t="shared" si="39"/>
        <v/>
      </c>
      <c r="O1241" t="str">
        <f t="shared" si="39"/>
        <v/>
      </c>
      <c r="P1241" s="316" t="str">
        <f t="shared" si="36"/>
        <v/>
      </c>
      <c r="Q1241" t="str">
        <f t="shared" si="40"/>
        <v/>
      </c>
      <c r="R1241" t="str">
        <f t="shared" si="40"/>
        <v/>
      </c>
      <c r="S1241" t="str">
        <f t="shared" si="40"/>
        <v/>
      </c>
      <c r="T1241" t="str">
        <f t="shared" si="40"/>
        <v/>
      </c>
    </row>
    <row r="1242" spans="1:20">
      <c r="A1242" s="195">
        <f t="shared" si="19"/>
        <v>1</v>
      </c>
      <c r="B1242">
        <f t="shared" si="28"/>
        <v>61</v>
      </c>
      <c r="C1242" s="8" t="str">
        <f t="shared" si="33"/>
        <v/>
      </c>
      <c r="D1242" t="str">
        <f t="shared" ref="D1242:E1261" si="41">CONCATENATE(INDEX($B$1078:$T$1177, $A1242, D$1181))</f>
        <v/>
      </c>
      <c r="E1242" t="str">
        <f t="shared" si="41"/>
        <v/>
      </c>
      <c r="F1242" s="316" t="str">
        <f t="shared" si="34"/>
        <v/>
      </c>
      <c r="G1242" t="str">
        <f t="shared" ref="G1242:J1261" si="42">CONCATENATE(INDEX($B$1078:$T$1177, $A1242, G$1181))</f>
        <v/>
      </c>
      <c r="H1242" t="str">
        <f t="shared" si="42"/>
        <v/>
      </c>
      <c r="I1242" t="str">
        <f t="shared" si="42"/>
        <v/>
      </c>
      <c r="J1242" t="str">
        <f t="shared" si="42"/>
        <v/>
      </c>
      <c r="K1242" s="316" t="str">
        <f t="shared" si="35"/>
        <v/>
      </c>
      <c r="L1242" t="str">
        <f t="shared" ref="L1242:O1261" si="43">CONCATENATE(INDEX($B$1078:$T$1177, $A1242, L$1181))</f>
        <v/>
      </c>
      <c r="M1242" t="str">
        <f t="shared" si="43"/>
        <v/>
      </c>
      <c r="N1242" t="str">
        <f t="shared" si="43"/>
        <v/>
      </c>
      <c r="O1242" t="str">
        <f t="shared" si="43"/>
        <v/>
      </c>
      <c r="P1242" s="316" t="str">
        <f t="shared" si="36"/>
        <v/>
      </c>
      <c r="Q1242" t="str">
        <f t="shared" ref="Q1242:T1261" si="44">CONCATENATE(INDEX($B$1078:$T$1177, $A1242, Q$1181))</f>
        <v/>
      </c>
      <c r="R1242" t="str">
        <f t="shared" si="44"/>
        <v/>
      </c>
      <c r="S1242" t="str">
        <f t="shared" si="44"/>
        <v/>
      </c>
      <c r="T1242" t="str">
        <f t="shared" si="44"/>
        <v/>
      </c>
    </row>
    <row r="1243" spans="1:20">
      <c r="A1243" s="195">
        <f t="shared" si="19"/>
        <v>1</v>
      </c>
      <c r="B1243">
        <f t="shared" si="28"/>
        <v>62</v>
      </c>
      <c r="C1243" s="8" t="str">
        <f t="shared" si="33"/>
        <v/>
      </c>
      <c r="D1243" t="str">
        <f t="shared" si="41"/>
        <v/>
      </c>
      <c r="E1243" t="str">
        <f t="shared" si="41"/>
        <v/>
      </c>
      <c r="F1243" s="316" t="str">
        <f t="shared" si="34"/>
        <v/>
      </c>
      <c r="G1243" t="str">
        <f t="shared" si="42"/>
        <v/>
      </c>
      <c r="H1243" t="str">
        <f t="shared" si="42"/>
        <v/>
      </c>
      <c r="I1243" t="str">
        <f t="shared" si="42"/>
        <v/>
      </c>
      <c r="J1243" t="str">
        <f t="shared" si="42"/>
        <v/>
      </c>
      <c r="K1243" s="316" t="str">
        <f t="shared" si="35"/>
        <v/>
      </c>
      <c r="L1243" t="str">
        <f t="shared" si="43"/>
        <v/>
      </c>
      <c r="M1243" t="str">
        <f t="shared" si="43"/>
        <v/>
      </c>
      <c r="N1243" t="str">
        <f t="shared" si="43"/>
        <v/>
      </c>
      <c r="O1243" t="str">
        <f t="shared" si="43"/>
        <v/>
      </c>
      <c r="P1243" s="316" t="str">
        <f t="shared" si="36"/>
        <v/>
      </c>
      <c r="Q1243" t="str">
        <f t="shared" si="44"/>
        <v/>
      </c>
      <c r="R1243" t="str">
        <f t="shared" si="44"/>
        <v/>
      </c>
      <c r="S1243" t="str">
        <f t="shared" si="44"/>
        <v/>
      </c>
      <c r="T1243" t="str">
        <f t="shared" si="44"/>
        <v/>
      </c>
    </row>
    <row r="1244" spans="1:20">
      <c r="A1244" s="195">
        <f t="shared" si="19"/>
        <v>1</v>
      </c>
      <c r="B1244">
        <f t="shared" si="28"/>
        <v>63</v>
      </c>
      <c r="C1244" s="8" t="str">
        <f t="shared" si="33"/>
        <v/>
      </c>
      <c r="D1244" t="str">
        <f t="shared" si="41"/>
        <v/>
      </c>
      <c r="E1244" t="str">
        <f t="shared" si="41"/>
        <v/>
      </c>
      <c r="F1244" s="316" t="str">
        <f t="shared" si="34"/>
        <v/>
      </c>
      <c r="G1244" t="str">
        <f t="shared" si="42"/>
        <v/>
      </c>
      <c r="H1244" t="str">
        <f t="shared" si="42"/>
        <v/>
      </c>
      <c r="I1244" t="str">
        <f t="shared" si="42"/>
        <v/>
      </c>
      <c r="J1244" t="str">
        <f t="shared" si="42"/>
        <v/>
      </c>
      <c r="K1244" s="316" t="str">
        <f t="shared" si="35"/>
        <v/>
      </c>
      <c r="L1244" t="str">
        <f t="shared" si="43"/>
        <v/>
      </c>
      <c r="M1244" t="str">
        <f t="shared" si="43"/>
        <v/>
      </c>
      <c r="N1244" t="str">
        <f t="shared" si="43"/>
        <v/>
      </c>
      <c r="O1244" t="str">
        <f t="shared" si="43"/>
        <v/>
      </c>
      <c r="P1244" s="316" t="str">
        <f t="shared" si="36"/>
        <v/>
      </c>
      <c r="Q1244" t="str">
        <f t="shared" si="44"/>
        <v/>
      </c>
      <c r="R1244" t="str">
        <f t="shared" si="44"/>
        <v/>
      </c>
      <c r="S1244" t="str">
        <f t="shared" si="44"/>
        <v/>
      </c>
      <c r="T1244" t="str">
        <f t="shared" si="44"/>
        <v/>
      </c>
    </row>
    <row r="1245" spans="1:20">
      <c r="A1245" s="195">
        <f t="shared" si="19"/>
        <v>1</v>
      </c>
      <c r="B1245">
        <f t="shared" si="28"/>
        <v>64</v>
      </c>
      <c r="C1245" s="8" t="str">
        <f t="shared" si="33"/>
        <v/>
      </c>
      <c r="D1245" t="str">
        <f t="shared" si="41"/>
        <v/>
      </c>
      <c r="E1245" t="str">
        <f t="shared" si="41"/>
        <v/>
      </c>
      <c r="F1245" s="316" t="str">
        <f t="shared" si="34"/>
        <v/>
      </c>
      <c r="G1245" t="str">
        <f t="shared" si="42"/>
        <v/>
      </c>
      <c r="H1245" t="str">
        <f t="shared" si="42"/>
        <v/>
      </c>
      <c r="I1245" t="str">
        <f t="shared" si="42"/>
        <v/>
      </c>
      <c r="J1245" t="str">
        <f t="shared" si="42"/>
        <v/>
      </c>
      <c r="K1245" s="316" t="str">
        <f t="shared" si="35"/>
        <v/>
      </c>
      <c r="L1245" t="str">
        <f t="shared" si="43"/>
        <v/>
      </c>
      <c r="M1245" t="str">
        <f t="shared" si="43"/>
        <v/>
      </c>
      <c r="N1245" t="str">
        <f t="shared" si="43"/>
        <v/>
      </c>
      <c r="O1245" t="str">
        <f t="shared" si="43"/>
        <v/>
      </c>
      <c r="P1245" s="316" t="str">
        <f t="shared" si="36"/>
        <v/>
      </c>
      <c r="Q1245" t="str">
        <f t="shared" si="44"/>
        <v/>
      </c>
      <c r="R1245" t="str">
        <f t="shared" si="44"/>
        <v/>
      </c>
      <c r="S1245" t="str">
        <f t="shared" si="44"/>
        <v/>
      </c>
      <c r="T1245" t="str">
        <f t="shared" si="44"/>
        <v/>
      </c>
    </row>
    <row r="1246" spans="1:20">
      <c r="A1246" s="195">
        <f t="shared" ref="A1246:A1280" si="45">IF(ISNA(MATCH(B1246, $A$1078:$A$1177, 0)), 1, MATCH(B1246, $A$1078:$A$1177, 0))</f>
        <v>1</v>
      </c>
      <c r="B1246">
        <f t="shared" si="28"/>
        <v>65</v>
      </c>
      <c r="C1246" s="8" t="str">
        <f t="shared" ref="C1246:C1280" si="46">IF(INDEX($B$1078:$T$1177, $A1246, C$1181) = "", "", INDEX($B$1078:$T$1177, $A1246, C$1181))</f>
        <v/>
      </c>
      <c r="D1246" t="str">
        <f t="shared" si="41"/>
        <v/>
      </c>
      <c r="E1246" t="str">
        <f t="shared" si="41"/>
        <v/>
      </c>
      <c r="F1246" s="316" t="str">
        <f t="shared" ref="F1246:F1280" si="47">IF(ISBLANK(INDEX($B$1078:$T$1177, $A1246, F$1181)), "", INDEX($B$1078:$T$1177, $A1246, F$1181))</f>
        <v/>
      </c>
      <c r="G1246" t="str">
        <f t="shared" si="42"/>
        <v/>
      </c>
      <c r="H1246" t="str">
        <f t="shared" si="42"/>
        <v/>
      </c>
      <c r="I1246" t="str">
        <f t="shared" si="42"/>
        <v/>
      </c>
      <c r="J1246" t="str">
        <f t="shared" si="42"/>
        <v/>
      </c>
      <c r="K1246" s="316" t="str">
        <f t="shared" ref="K1246:K1280" si="48">IF(ISBLANK(INDEX($B$1078:$T$1177, $A1246, K$1181)), "", INDEX($B$1078:$T$1177, $A1246, K$1181))</f>
        <v/>
      </c>
      <c r="L1246" t="str">
        <f t="shared" si="43"/>
        <v/>
      </c>
      <c r="M1246" t="str">
        <f t="shared" si="43"/>
        <v/>
      </c>
      <c r="N1246" t="str">
        <f t="shared" si="43"/>
        <v/>
      </c>
      <c r="O1246" t="str">
        <f t="shared" si="43"/>
        <v/>
      </c>
      <c r="P1246" s="316" t="str">
        <f t="shared" ref="P1246:P1280" si="49">IF(ISBLANK(INDEX($B$1078:$T$1177, $A1246, P$1181)), "", INDEX($B$1078:$T$1177, $A1246, P$1181))</f>
        <v/>
      </c>
      <c r="Q1246" t="str">
        <f t="shared" si="44"/>
        <v/>
      </c>
      <c r="R1246" t="str">
        <f t="shared" si="44"/>
        <v/>
      </c>
      <c r="S1246" t="str">
        <f t="shared" si="44"/>
        <v/>
      </c>
      <c r="T1246" t="str">
        <f t="shared" si="44"/>
        <v/>
      </c>
    </row>
    <row r="1247" spans="1:20">
      <c r="A1247" s="195">
        <f t="shared" si="45"/>
        <v>1</v>
      </c>
      <c r="B1247">
        <f t="shared" si="28"/>
        <v>66</v>
      </c>
      <c r="C1247" s="8" t="str">
        <f t="shared" si="46"/>
        <v/>
      </c>
      <c r="D1247" t="str">
        <f t="shared" si="41"/>
        <v/>
      </c>
      <c r="E1247" t="str">
        <f t="shared" si="41"/>
        <v/>
      </c>
      <c r="F1247" s="316" t="str">
        <f t="shared" si="47"/>
        <v/>
      </c>
      <c r="G1247" t="str">
        <f t="shared" si="42"/>
        <v/>
      </c>
      <c r="H1247" t="str">
        <f t="shared" si="42"/>
        <v/>
      </c>
      <c r="I1247" t="str">
        <f t="shared" si="42"/>
        <v/>
      </c>
      <c r="J1247" t="str">
        <f t="shared" si="42"/>
        <v/>
      </c>
      <c r="K1247" s="316" t="str">
        <f t="shared" si="48"/>
        <v/>
      </c>
      <c r="L1247" t="str">
        <f t="shared" si="43"/>
        <v/>
      </c>
      <c r="M1247" t="str">
        <f t="shared" si="43"/>
        <v/>
      </c>
      <c r="N1247" t="str">
        <f t="shared" si="43"/>
        <v/>
      </c>
      <c r="O1247" t="str">
        <f t="shared" si="43"/>
        <v/>
      </c>
      <c r="P1247" s="316" t="str">
        <f t="shared" si="49"/>
        <v/>
      </c>
      <c r="Q1247" t="str">
        <f t="shared" si="44"/>
        <v/>
      </c>
      <c r="R1247" t="str">
        <f t="shared" si="44"/>
        <v/>
      </c>
      <c r="S1247" t="str">
        <f t="shared" si="44"/>
        <v/>
      </c>
      <c r="T1247" t="str">
        <f t="shared" si="44"/>
        <v/>
      </c>
    </row>
    <row r="1248" spans="1:20">
      <c r="A1248" s="195">
        <f t="shared" si="45"/>
        <v>1</v>
      </c>
      <c r="B1248">
        <f t="shared" ref="B1248:B1280" si="50">B1247+1</f>
        <v>67</v>
      </c>
      <c r="C1248" s="8" t="str">
        <f t="shared" si="46"/>
        <v/>
      </c>
      <c r="D1248" t="str">
        <f t="shared" si="41"/>
        <v/>
      </c>
      <c r="E1248" t="str">
        <f t="shared" si="41"/>
        <v/>
      </c>
      <c r="F1248" s="316" t="str">
        <f t="shared" si="47"/>
        <v/>
      </c>
      <c r="G1248" t="str">
        <f t="shared" si="42"/>
        <v/>
      </c>
      <c r="H1248" t="str">
        <f t="shared" si="42"/>
        <v/>
      </c>
      <c r="I1248" t="str">
        <f t="shared" si="42"/>
        <v/>
      </c>
      <c r="J1248" t="str">
        <f t="shared" si="42"/>
        <v/>
      </c>
      <c r="K1248" s="316" t="str">
        <f t="shared" si="48"/>
        <v/>
      </c>
      <c r="L1248" t="str">
        <f t="shared" si="43"/>
        <v/>
      </c>
      <c r="M1248" t="str">
        <f t="shared" si="43"/>
        <v/>
      </c>
      <c r="N1248" t="str">
        <f t="shared" si="43"/>
        <v/>
      </c>
      <c r="O1248" t="str">
        <f t="shared" si="43"/>
        <v/>
      </c>
      <c r="P1248" s="316" t="str">
        <f t="shared" si="49"/>
        <v/>
      </c>
      <c r="Q1248" t="str">
        <f t="shared" si="44"/>
        <v/>
      </c>
      <c r="R1248" t="str">
        <f t="shared" si="44"/>
        <v/>
      </c>
      <c r="S1248" t="str">
        <f t="shared" si="44"/>
        <v/>
      </c>
      <c r="T1248" t="str">
        <f t="shared" si="44"/>
        <v/>
      </c>
    </row>
    <row r="1249" spans="1:20">
      <c r="A1249" s="195">
        <f t="shared" si="45"/>
        <v>1</v>
      </c>
      <c r="B1249">
        <f t="shared" si="50"/>
        <v>68</v>
      </c>
      <c r="C1249" s="8" t="str">
        <f t="shared" si="46"/>
        <v/>
      </c>
      <c r="D1249" t="str">
        <f t="shared" si="41"/>
        <v/>
      </c>
      <c r="E1249" t="str">
        <f t="shared" si="41"/>
        <v/>
      </c>
      <c r="F1249" s="316" t="str">
        <f t="shared" si="47"/>
        <v/>
      </c>
      <c r="G1249" t="str">
        <f t="shared" si="42"/>
        <v/>
      </c>
      <c r="H1249" t="str">
        <f t="shared" si="42"/>
        <v/>
      </c>
      <c r="I1249" t="str">
        <f t="shared" si="42"/>
        <v/>
      </c>
      <c r="J1249" t="str">
        <f t="shared" si="42"/>
        <v/>
      </c>
      <c r="K1249" s="316" t="str">
        <f t="shared" si="48"/>
        <v/>
      </c>
      <c r="L1249" t="str">
        <f t="shared" si="43"/>
        <v/>
      </c>
      <c r="M1249" t="str">
        <f t="shared" si="43"/>
        <v/>
      </c>
      <c r="N1249" t="str">
        <f t="shared" si="43"/>
        <v/>
      </c>
      <c r="O1249" t="str">
        <f t="shared" si="43"/>
        <v/>
      </c>
      <c r="P1249" s="316" t="str">
        <f t="shared" si="49"/>
        <v/>
      </c>
      <c r="Q1249" t="str">
        <f t="shared" si="44"/>
        <v/>
      </c>
      <c r="R1249" t="str">
        <f t="shared" si="44"/>
        <v/>
      </c>
      <c r="S1249" t="str">
        <f t="shared" si="44"/>
        <v/>
      </c>
      <c r="T1249" t="str">
        <f t="shared" si="44"/>
        <v/>
      </c>
    </row>
    <row r="1250" spans="1:20">
      <c r="A1250" s="195">
        <f t="shared" si="45"/>
        <v>1</v>
      </c>
      <c r="B1250">
        <f t="shared" si="50"/>
        <v>69</v>
      </c>
      <c r="C1250" s="8" t="str">
        <f t="shared" si="46"/>
        <v/>
      </c>
      <c r="D1250" t="str">
        <f t="shared" si="41"/>
        <v/>
      </c>
      <c r="E1250" t="str">
        <f t="shared" si="41"/>
        <v/>
      </c>
      <c r="F1250" s="316" t="str">
        <f t="shared" si="47"/>
        <v/>
      </c>
      <c r="G1250" t="str">
        <f t="shared" si="42"/>
        <v/>
      </c>
      <c r="H1250" t="str">
        <f t="shared" si="42"/>
        <v/>
      </c>
      <c r="I1250" t="str">
        <f t="shared" si="42"/>
        <v/>
      </c>
      <c r="J1250" t="str">
        <f t="shared" si="42"/>
        <v/>
      </c>
      <c r="K1250" s="316" t="str">
        <f t="shared" si="48"/>
        <v/>
      </c>
      <c r="L1250" t="str">
        <f t="shared" si="43"/>
        <v/>
      </c>
      <c r="M1250" t="str">
        <f t="shared" si="43"/>
        <v/>
      </c>
      <c r="N1250" t="str">
        <f t="shared" si="43"/>
        <v/>
      </c>
      <c r="O1250" t="str">
        <f t="shared" si="43"/>
        <v/>
      </c>
      <c r="P1250" s="316" t="str">
        <f t="shared" si="49"/>
        <v/>
      </c>
      <c r="Q1250" t="str">
        <f t="shared" si="44"/>
        <v/>
      </c>
      <c r="R1250" t="str">
        <f t="shared" si="44"/>
        <v/>
      </c>
      <c r="S1250" t="str">
        <f t="shared" si="44"/>
        <v/>
      </c>
      <c r="T1250" t="str">
        <f t="shared" si="44"/>
        <v/>
      </c>
    </row>
    <row r="1251" spans="1:20">
      <c r="A1251" s="195">
        <f t="shared" si="45"/>
        <v>1</v>
      </c>
      <c r="B1251">
        <f t="shared" si="50"/>
        <v>70</v>
      </c>
      <c r="C1251" s="8" t="str">
        <f t="shared" si="46"/>
        <v/>
      </c>
      <c r="D1251" t="str">
        <f t="shared" si="41"/>
        <v/>
      </c>
      <c r="E1251" t="str">
        <f t="shared" si="41"/>
        <v/>
      </c>
      <c r="F1251" s="316" t="str">
        <f t="shared" si="47"/>
        <v/>
      </c>
      <c r="G1251" t="str">
        <f t="shared" si="42"/>
        <v/>
      </c>
      <c r="H1251" t="str">
        <f t="shared" si="42"/>
        <v/>
      </c>
      <c r="I1251" t="str">
        <f t="shared" si="42"/>
        <v/>
      </c>
      <c r="J1251" t="str">
        <f t="shared" si="42"/>
        <v/>
      </c>
      <c r="K1251" s="316" t="str">
        <f t="shared" si="48"/>
        <v/>
      </c>
      <c r="L1251" t="str">
        <f t="shared" si="43"/>
        <v/>
      </c>
      <c r="M1251" t="str">
        <f t="shared" si="43"/>
        <v/>
      </c>
      <c r="N1251" t="str">
        <f t="shared" si="43"/>
        <v/>
      </c>
      <c r="O1251" t="str">
        <f t="shared" si="43"/>
        <v/>
      </c>
      <c r="P1251" s="316" t="str">
        <f t="shared" si="49"/>
        <v/>
      </c>
      <c r="Q1251" t="str">
        <f t="shared" si="44"/>
        <v/>
      </c>
      <c r="R1251" t="str">
        <f t="shared" si="44"/>
        <v/>
      </c>
      <c r="S1251" t="str">
        <f t="shared" si="44"/>
        <v/>
      </c>
      <c r="T1251" t="str">
        <f t="shared" si="44"/>
        <v/>
      </c>
    </row>
    <row r="1252" spans="1:20">
      <c r="A1252" s="195">
        <f t="shared" si="45"/>
        <v>1</v>
      </c>
      <c r="B1252">
        <f t="shared" si="50"/>
        <v>71</v>
      </c>
      <c r="C1252" s="8" t="str">
        <f t="shared" si="46"/>
        <v/>
      </c>
      <c r="D1252" t="str">
        <f t="shared" si="41"/>
        <v/>
      </c>
      <c r="E1252" t="str">
        <f t="shared" si="41"/>
        <v/>
      </c>
      <c r="F1252" s="316" t="str">
        <f t="shared" si="47"/>
        <v/>
      </c>
      <c r="G1252" t="str">
        <f t="shared" si="42"/>
        <v/>
      </c>
      <c r="H1252" t="str">
        <f t="shared" si="42"/>
        <v/>
      </c>
      <c r="I1252" t="str">
        <f t="shared" si="42"/>
        <v/>
      </c>
      <c r="J1252" t="str">
        <f t="shared" si="42"/>
        <v/>
      </c>
      <c r="K1252" s="316" t="str">
        <f t="shared" si="48"/>
        <v/>
      </c>
      <c r="L1252" t="str">
        <f t="shared" si="43"/>
        <v/>
      </c>
      <c r="M1252" t="str">
        <f t="shared" si="43"/>
        <v/>
      </c>
      <c r="N1252" t="str">
        <f t="shared" si="43"/>
        <v/>
      </c>
      <c r="O1252" t="str">
        <f t="shared" si="43"/>
        <v/>
      </c>
      <c r="P1252" s="316" t="str">
        <f t="shared" si="49"/>
        <v/>
      </c>
      <c r="Q1252" t="str">
        <f t="shared" si="44"/>
        <v/>
      </c>
      <c r="R1252" t="str">
        <f t="shared" si="44"/>
        <v/>
      </c>
      <c r="S1252" t="str">
        <f t="shared" si="44"/>
        <v/>
      </c>
      <c r="T1252" t="str">
        <f t="shared" si="44"/>
        <v/>
      </c>
    </row>
    <row r="1253" spans="1:20">
      <c r="A1253" s="195">
        <f t="shared" si="45"/>
        <v>1</v>
      </c>
      <c r="B1253">
        <f t="shared" si="50"/>
        <v>72</v>
      </c>
      <c r="C1253" s="8" t="str">
        <f t="shared" si="46"/>
        <v/>
      </c>
      <c r="D1253" t="str">
        <f t="shared" si="41"/>
        <v/>
      </c>
      <c r="E1253" t="str">
        <f t="shared" si="41"/>
        <v/>
      </c>
      <c r="F1253" s="316" t="str">
        <f t="shared" si="47"/>
        <v/>
      </c>
      <c r="G1253" t="str">
        <f t="shared" si="42"/>
        <v/>
      </c>
      <c r="H1253" t="str">
        <f t="shared" si="42"/>
        <v/>
      </c>
      <c r="I1253" t="str">
        <f t="shared" si="42"/>
        <v/>
      </c>
      <c r="J1253" t="str">
        <f t="shared" si="42"/>
        <v/>
      </c>
      <c r="K1253" s="316" t="str">
        <f t="shared" si="48"/>
        <v/>
      </c>
      <c r="L1253" t="str">
        <f t="shared" si="43"/>
        <v/>
      </c>
      <c r="M1253" t="str">
        <f t="shared" si="43"/>
        <v/>
      </c>
      <c r="N1253" t="str">
        <f t="shared" si="43"/>
        <v/>
      </c>
      <c r="O1253" t="str">
        <f t="shared" si="43"/>
        <v/>
      </c>
      <c r="P1253" s="316" t="str">
        <f t="shared" si="49"/>
        <v/>
      </c>
      <c r="Q1253" t="str">
        <f t="shared" si="44"/>
        <v/>
      </c>
      <c r="R1253" t="str">
        <f t="shared" si="44"/>
        <v/>
      </c>
      <c r="S1253" t="str">
        <f t="shared" si="44"/>
        <v/>
      </c>
      <c r="T1253" t="str">
        <f t="shared" si="44"/>
        <v/>
      </c>
    </row>
    <row r="1254" spans="1:20">
      <c r="A1254" s="195">
        <f t="shared" si="45"/>
        <v>1</v>
      </c>
      <c r="B1254">
        <f t="shared" si="50"/>
        <v>73</v>
      </c>
      <c r="C1254" s="8" t="str">
        <f t="shared" si="46"/>
        <v/>
      </c>
      <c r="D1254" t="str">
        <f t="shared" si="41"/>
        <v/>
      </c>
      <c r="E1254" t="str">
        <f t="shared" si="41"/>
        <v/>
      </c>
      <c r="F1254" s="316" t="str">
        <f t="shared" si="47"/>
        <v/>
      </c>
      <c r="G1254" t="str">
        <f t="shared" si="42"/>
        <v/>
      </c>
      <c r="H1254" t="str">
        <f t="shared" si="42"/>
        <v/>
      </c>
      <c r="I1254" t="str">
        <f t="shared" si="42"/>
        <v/>
      </c>
      <c r="J1254" t="str">
        <f t="shared" si="42"/>
        <v/>
      </c>
      <c r="K1254" s="316" t="str">
        <f t="shared" si="48"/>
        <v/>
      </c>
      <c r="L1254" t="str">
        <f t="shared" si="43"/>
        <v/>
      </c>
      <c r="M1254" t="str">
        <f t="shared" si="43"/>
        <v/>
      </c>
      <c r="N1254" t="str">
        <f t="shared" si="43"/>
        <v/>
      </c>
      <c r="O1254" t="str">
        <f t="shared" si="43"/>
        <v/>
      </c>
      <c r="P1254" s="316" t="str">
        <f t="shared" si="49"/>
        <v/>
      </c>
      <c r="Q1254" t="str">
        <f t="shared" si="44"/>
        <v/>
      </c>
      <c r="R1254" t="str">
        <f t="shared" si="44"/>
        <v/>
      </c>
      <c r="S1254" t="str">
        <f t="shared" si="44"/>
        <v/>
      </c>
      <c r="T1254" t="str">
        <f t="shared" si="44"/>
        <v/>
      </c>
    </row>
    <row r="1255" spans="1:20">
      <c r="A1255" s="195">
        <f t="shared" si="45"/>
        <v>1</v>
      </c>
      <c r="B1255">
        <f t="shared" si="50"/>
        <v>74</v>
      </c>
      <c r="C1255" s="8" t="str">
        <f t="shared" si="46"/>
        <v/>
      </c>
      <c r="D1255" t="str">
        <f t="shared" si="41"/>
        <v/>
      </c>
      <c r="E1255" t="str">
        <f t="shared" si="41"/>
        <v/>
      </c>
      <c r="F1255" s="316" t="str">
        <f t="shared" si="47"/>
        <v/>
      </c>
      <c r="G1255" t="str">
        <f t="shared" si="42"/>
        <v/>
      </c>
      <c r="H1255" t="str">
        <f t="shared" si="42"/>
        <v/>
      </c>
      <c r="I1255" t="str">
        <f t="shared" si="42"/>
        <v/>
      </c>
      <c r="J1255" t="str">
        <f t="shared" si="42"/>
        <v/>
      </c>
      <c r="K1255" s="316" t="str">
        <f t="shared" si="48"/>
        <v/>
      </c>
      <c r="L1255" t="str">
        <f t="shared" si="43"/>
        <v/>
      </c>
      <c r="M1255" t="str">
        <f t="shared" si="43"/>
        <v/>
      </c>
      <c r="N1255" t="str">
        <f t="shared" si="43"/>
        <v/>
      </c>
      <c r="O1255" t="str">
        <f t="shared" si="43"/>
        <v/>
      </c>
      <c r="P1255" s="316" t="str">
        <f t="shared" si="49"/>
        <v/>
      </c>
      <c r="Q1255" t="str">
        <f t="shared" si="44"/>
        <v/>
      </c>
      <c r="R1255" t="str">
        <f t="shared" si="44"/>
        <v/>
      </c>
      <c r="S1255" t="str">
        <f t="shared" si="44"/>
        <v/>
      </c>
      <c r="T1255" t="str">
        <f t="shared" si="44"/>
        <v/>
      </c>
    </row>
    <row r="1256" spans="1:20">
      <c r="A1256" s="195">
        <f t="shared" si="45"/>
        <v>1</v>
      </c>
      <c r="B1256">
        <f t="shared" si="50"/>
        <v>75</v>
      </c>
      <c r="C1256" s="8" t="str">
        <f t="shared" si="46"/>
        <v/>
      </c>
      <c r="D1256" t="str">
        <f t="shared" si="41"/>
        <v/>
      </c>
      <c r="E1256" t="str">
        <f t="shared" si="41"/>
        <v/>
      </c>
      <c r="F1256" s="316" t="str">
        <f t="shared" si="47"/>
        <v/>
      </c>
      <c r="G1256" t="str">
        <f t="shared" si="42"/>
        <v/>
      </c>
      <c r="H1256" t="str">
        <f t="shared" si="42"/>
        <v/>
      </c>
      <c r="I1256" t="str">
        <f t="shared" si="42"/>
        <v/>
      </c>
      <c r="J1256" t="str">
        <f t="shared" si="42"/>
        <v/>
      </c>
      <c r="K1256" s="316" t="str">
        <f t="shared" si="48"/>
        <v/>
      </c>
      <c r="L1256" t="str">
        <f t="shared" si="43"/>
        <v/>
      </c>
      <c r="M1256" t="str">
        <f t="shared" si="43"/>
        <v/>
      </c>
      <c r="N1256" t="str">
        <f t="shared" si="43"/>
        <v/>
      </c>
      <c r="O1256" t="str">
        <f t="shared" si="43"/>
        <v/>
      </c>
      <c r="P1256" s="316" t="str">
        <f t="shared" si="49"/>
        <v/>
      </c>
      <c r="Q1256" t="str">
        <f t="shared" si="44"/>
        <v/>
      </c>
      <c r="R1256" t="str">
        <f t="shared" si="44"/>
        <v/>
      </c>
      <c r="S1256" t="str">
        <f t="shared" si="44"/>
        <v/>
      </c>
      <c r="T1256" t="str">
        <f t="shared" si="44"/>
        <v/>
      </c>
    </row>
    <row r="1257" spans="1:20">
      <c r="A1257" s="195">
        <f t="shared" si="45"/>
        <v>1</v>
      </c>
      <c r="B1257">
        <f t="shared" si="50"/>
        <v>76</v>
      </c>
      <c r="C1257" s="8" t="str">
        <f t="shared" si="46"/>
        <v/>
      </c>
      <c r="D1257" t="str">
        <f t="shared" si="41"/>
        <v/>
      </c>
      <c r="E1257" t="str">
        <f t="shared" si="41"/>
        <v/>
      </c>
      <c r="F1257" s="316" t="str">
        <f t="shared" si="47"/>
        <v/>
      </c>
      <c r="G1257" t="str">
        <f t="shared" si="42"/>
        <v/>
      </c>
      <c r="H1257" t="str">
        <f t="shared" si="42"/>
        <v/>
      </c>
      <c r="I1257" t="str">
        <f t="shared" si="42"/>
        <v/>
      </c>
      <c r="J1257" t="str">
        <f t="shared" si="42"/>
        <v/>
      </c>
      <c r="K1257" s="316" t="str">
        <f t="shared" si="48"/>
        <v/>
      </c>
      <c r="L1257" t="str">
        <f t="shared" si="43"/>
        <v/>
      </c>
      <c r="M1257" t="str">
        <f t="shared" si="43"/>
        <v/>
      </c>
      <c r="N1257" t="str">
        <f t="shared" si="43"/>
        <v/>
      </c>
      <c r="O1257" t="str">
        <f t="shared" si="43"/>
        <v/>
      </c>
      <c r="P1257" s="316" t="str">
        <f t="shared" si="49"/>
        <v/>
      </c>
      <c r="Q1257" t="str">
        <f t="shared" si="44"/>
        <v/>
      </c>
      <c r="R1257" t="str">
        <f t="shared" si="44"/>
        <v/>
      </c>
      <c r="S1257" t="str">
        <f t="shared" si="44"/>
        <v/>
      </c>
      <c r="T1257" t="str">
        <f t="shared" si="44"/>
        <v/>
      </c>
    </row>
    <row r="1258" spans="1:20">
      <c r="A1258" s="195">
        <f t="shared" si="45"/>
        <v>1</v>
      </c>
      <c r="B1258">
        <f t="shared" si="50"/>
        <v>77</v>
      </c>
      <c r="C1258" s="8" t="str">
        <f t="shared" si="46"/>
        <v/>
      </c>
      <c r="D1258" t="str">
        <f t="shared" si="41"/>
        <v/>
      </c>
      <c r="E1258" t="str">
        <f t="shared" si="41"/>
        <v/>
      </c>
      <c r="F1258" s="316" t="str">
        <f t="shared" si="47"/>
        <v/>
      </c>
      <c r="G1258" t="str">
        <f t="shared" si="42"/>
        <v/>
      </c>
      <c r="H1258" t="str">
        <f t="shared" si="42"/>
        <v/>
      </c>
      <c r="I1258" t="str">
        <f t="shared" si="42"/>
        <v/>
      </c>
      <c r="J1258" t="str">
        <f t="shared" si="42"/>
        <v/>
      </c>
      <c r="K1258" s="316" t="str">
        <f t="shared" si="48"/>
        <v/>
      </c>
      <c r="L1258" t="str">
        <f t="shared" si="43"/>
        <v/>
      </c>
      <c r="M1258" t="str">
        <f t="shared" si="43"/>
        <v/>
      </c>
      <c r="N1258" t="str">
        <f t="shared" si="43"/>
        <v/>
      </c>
      <c r="O1258" t="str">
        <f t="shared" si="43"/>
        <v/>
      </c>
      <c r="P1258" s="316" t="str">
        <f t="shared" si="49"/>
        <v/>
      </c>
      <c r="Q1258" t="str">
        <f t="shared" si="44"/>
        <v/>
      </c>
      <c r="R1258" t="str">
        <f t="shared" si="44"/>
        <v/>
      </c>
      <c r="S1258" t="str">
        <f t="shared" si="44"/>
        <v/>
      </c>
      <c r="T1258" t="str">
        <f t="shared" si="44"/>
        <v/>
      </c>
    </row>
    <row r="1259" spans="1:20">
      <c r="A1259" s="195">
        <f t="shared" si="45"/>
        <v>1</v>
      </c>
      <c r="B1259">
        <f t="shared" si="50"/>
        <v>78</v>
      </c>
      <c r="C1259" s="8" t="str">
        <f t="shared" si="46"/>
        <v/>
      </c>
      <c r="D1259" t="str">
        <f t="shared" si="41"/>
        <v/>
      </c>
      <c r="E1259" t="str">
        <f t="shared" si="41"/>
        <v/>
      </c>
      <c r="F1259" s="316" t="str">
        <f t="shared" si="47"/>
        <v/>
      </c>
      <c r="G1259" t="str">
        <f t="shared" si="42"/>
        <v/>
      </c>
      <c r="H1259" t="str">
        <f t="shared" si="42"/>
        <v/>
      </c>
      <c r="I1259" t="str">
        <f t="shared" si="42"/>
        <v/>
      </c>
      <c r="J1259" t="str">
        <f t="shared" si="42"/>
        <v/>
      </c>
      <c r="K1259" s="316" t="str">
        <f t="shared" si="48"/>
        <v/>
      </c>
      <c r="L1259" t="str">
        <f t="shared" si="43"/>
        <v/>
      </c>
      <c r="M1259" t="str">
        <f t="shared" si="43"/>
        <v/>
      </c>
      <c r="N1259" t="str">
        <f t="shared" si="43"/>
        <v/>
      </c>
      <c r="O1259" t="str">
        <f t="shared" si="43"/>
        <v/>
      </c>
      <c r="P1259" s="316" t="str">
        <f t="shared" si="49"/>
        <v/>
      </c>
      <c r="Q1259" t="str">
        <f t="shared" si="44"/>
        <v/>
      </c>
      <c r="R1259" t="str">
        <f t="shared" si="44"/>
        <v/>
      </c>
      <c r="S1259" t="str">
        <f t="shared" si="44"/>
        <v/>
      </c>
      <c r="T1259" t="str">
        <f t="shared" si="44"/>
        <v/>
      </c>
    </row>
    <row r="1260" spans="1:20">
      <c r="A1260" s="195">
        <f t="shared" si="45"/>
        <v>1</v>
      </c>
      <c r="B1260">
        <f t="shared" si="50"/>
        <v>79</v>
      </c>
      <c r="C1260" s="8" t="str">
        <f t="shared" si="46"/>
        <v/>
      </c>
      <c r="D1260" t="str">
        <f t="shared" si="41"/>
        <v/>
      </c>
      <c r="E1260" t="str">
        <f t="shared" si="41"/>
        <v/>
      </c>
      <c r="F1260" s="316" t="str">
        <f t="shared" si="47"/>
        <v/>
      </c>
      <c r="G1260" t="str">
        <f t="shared" si="42"/>
        <v/>
      </c>
      <c r="H1260" t="str">
        <f t="shared" si="42"/>
        <v/>
      </c>
      <c r="I1260" t="str">
        <f t="shared" si="42"/>
        <v/>
      </c>
      <c r="J1260" t="str">
        <f t="shared" si="42"/>
        <v/>
      </c>
      <c r="K1260" s="316" t="str">
        <f t="shared" si="48"/>
        <v/>
      </c>
      <c r="L1260" t="str">
        <f t="shared" si="43"/>
        <v/>
      </c>
      <c r="M1260" t="str">
        <f t="shared" si="43"/>
        <v/>
      </c>
      <c r="N1260" t="str">
        <f t="shared" si="43"/>
        <v/>
      </c>
      <c r="O1260" t="str">
        <f t="shared" si="43"/>
        <v/>
      </c>
      <c r="P1260" s="316" t="str">
        <f t="shared" si="49"/>
        <v/>
      </c>
      <c r="Q1260" t="str">
        <f t="shared" si="44"/>
        <v/>
      </c>
      <c r="R1260" t="str">
        <f t="shared" si="44"/>
        <v/>
      </c>
      <c r="S1260" t="str">
        <f t="shared" si="44"/>
        <v/>
      </c>
      <c r="T1260" t="str">
        <f t="shared" si="44"/>
        <v/>
      </c>
    </row>
    <row r="1261" spans="1:20">
      <c r="A1261" s="195">
        <f t="shared" si="45"/>
        <v>1</v>
      </c>
      <c r="B1261">
        <f t="shared" si="50"/>
        <v>80</v>
      </c>
      <c r="C1261" s="8" t="str">
        <f t="shared" si="46"/>
        <v/>
      </c>
      <c r="D1261" t="str">
        <f t="shared" si="41"/>
        <v/>
      </c>
      <c r="E1261" t="str">
        <f t="shared" si="41"/>
        <v/>
      </c>
      <c r="F1261" s="316" t="str">
        <f t="shared" si="47"/>
        <v/>
      </c>
      <c r="G1261" t="str">
        <f t="shared" si="42"/>
        <v/>
      </c>
      <c r="H1261" t="str">
        <f t="shared" si="42"/>
        <v/>
      </c>
      <c r="I1261" t="str">
        <f t="shared" si="42"/>
        <v/>
      </c>
      <c r="J1261" t="str">
        <f t="shared" si="42"/>
        <v/>
      </c>
      <c r="K1261" s="316" t="str">
        <f t="shared" si="48"/>
        <v/>
      </c>
      <c r="L1261" t="str">
        <f t="shared" si="43"/>
        <v/>
      </c>
      <c r="M1261" t="str">
        <f t="shared" si="43"/>
        <v/>
      </c>
      <c r="N1261" t="str">
        <f t="shared" si="43"/>
        <v/>
      </c>
      <c r="O1261" t="str">
        <f t="shared" si="43"/>
        <v/>
      </c>
      <c r="P1261" s="316" t="str">
        <f t="shared" si="49"/>
        <v/>
      </c>
      <c r="Q1261" t="str">
        <f t="shared" si="44"/>
        <v/>
      </c>
      <c r="R1261" t="str">
        <f t="shared" si="44"/>
        <v/>
      </c>
      <c r="S1261" t="str">
        <f t="shared" si="44"/>
        <v/>
      </c>
      <c r="T1261" t="str">
        <f t="shared" si="44"/>
        <v/>
      </c>
    </row>
    <row r="1262" spans="1:20">
      <c r="A1262" s="195">
        <f t="shared" si="45"/>
        <v>1</v>
      </c>
      <c r="B1262">
        <f t="shared" si="50"/>
        <v>81</v>
      </c>
      <c r="C1262" s="8" t="str">
        <f t="shared" si="46"/>
        <v/>
      </c>
      <c r="D1262" t="str">
        <f t="shared" ref="D1262:E1280" si="51">CONCATENATE(INDEX($B$1078:$T$1177, $A1262, D$1181))</f>
        <v/>
      </c>
      <c r="E1262" t="str">
        <f t="shared" si="51"/>
        <v/>
      </c>
      <c r="F1262" s="316" t="str">
        <f t="shared" si="47"/>
        <v/>
      </c>
      <c r="G1262" t="str">
        <f t="shared" ref="G1262:J1280" si="52">CONCATENATE(INDEX($B$1078:$T$1177, $A1262, G$1181))</f>
        <v/>
      </c>
      <c r="H1262" t="str">
        <f t="shared" si="52"/>
        <v/>
      </c>
      <c r="I1262" t="str">
        <f t="shared" si="52"/>
        <v/>
      </c>
      <c r="J1262" t="str">
        <f t="shared" si="52"/>
        <v/>
      </c>
      <c r="K1262" s="316" t="str">
        <f t="shared" si="48"/>
        <v/>
      </c>
      <c r="L1262" t="str">
        <f t="shared" ref="L1262:O1280" si="53">CONCATENATE(INDEX($B$1078:$T$1177, $A1262, L$1181))</f>
        <v/>
      </c>
      <c r="M1262" t="str">
        <f t="shared" si="53"/>
        <v/>
      </c>
      <c r="N1262" t="str">
        <f t="shared" si="53"/>
        <v/>
      </c>
      <c r="O1262" t="str">
        <f t="shared" si="53"/>
        <v/>
      </c>
      <c r="P1262" s="316" t="str">
        <f t="shared" si="49"/>
        <v/>
      </c>
      <c r="Q1262" t="str">
        <f t="shared" ref="Q1262:T1280" si="54">CONCATENATE(INDEX($B$1078:$T$1177, $A1262, Q$1181))</f>
        <v/>
      </c>
      <c r="R1262" t="str">
        <f t="shared" si="54"/>
        <v/>
      </c>
      <c r="S1262" t="str">
        <f t="shared" si="54"/>
        <v/>
      </c>
      <c r="T1262" t="str">
        <f t="shared" si="54"/>
        <v/>
      </c>
    </row>
    <row r="1263" spans="1:20">
      <c r="A1263" s="195">
        <f t="shared" si="45"/>
        <v>1</v>
      </c>
      <c r="B1263">
        <f t="shared" si="50"/>
        <v>82</v>
      </c>
      <c r="C1263" s="8" t="str">
        <f t="shared" si="46"/>
        <v/>
      </c>
      <c r="D1263" t="str">
        <f t="shared" si="51"/>
        <v/>
      </c>
      <c r="E1263" t="str">
        <f t="shared" si="51"/>
        <v/>
      </c>
      <c r="F1263" s="316" t="str">
        <f t="shared" si="47"/>
        <v/>
      </c>
      <c r="G1263" t="str">
        <f t="shared" si="52"/>
        <v/>
      </c>
      <c r="H1263" t="str">
        <f t="shared" si="52"/>
        <v/>
      </c>
      <c r="I1263" t="str">
        <f t="shared" si="52"/>
        <v/>
      </c>
      <c r="J1263" t="str">
        <f t="shared" si="52"/>
        <v/>
      </c>
      <c r="K1263" s="316" t="str">
        <f t="shared" si="48"/>
        <v/>
      </c>
      <c r="L1263" t="str">
        <f t="shared" si="53"/>
        <v/>
      </c>
      <c r="M1263" t="str">
        <f t="shared" si="53"/>
        <v/>
      </c>
      <c r="N1263" t="str">
        <f t="shared" si="53"/>
        <v/>
      </c>
      <c r="O1263" t="str">
        <f t="shared" si="53"/>
        <v/>
      </c>
      <c r="P1263" s="316" t="str">
        <f t="shared" si="49"/>
        <v/>
      </c>
      <c r="Q1263" t="str">
        <f t="shared" si="54"/>
        <v/>
      </c>
      <c r="R1263" t="str">
        <f t="shared" si="54"/>
        <v/>
      </c>
      <c r="S1263" t="str">
        <f t="shared" si="54"/>
        <v/>
      </c>
      <c r="T1263" t="str">
        <f t="shared" si="54"/>
        <v/>
      </c>
    </row>
    <row r="1264" spans="1:20">
      <c r="A1264" s="195">
        <f t="shared" si="45"/>
        <v>1</v>
      </c>
      <c r="B1264">
        <f t="shared" si="50"/>
        <v>83</v>
      </c>
      <c r="C1264" s="8" t="str">
        <f t="shared" si="46"/>
        <v/>
      </c>
      <c r="D1264" t="str">
        <f t="shared" si="51"/>
        <v/>
      </c>
      <c r="E1264" t="str">
        <f t="shared" si="51"/>
        <v/>
      </c>
      <c r="F1264" s="316" t="str">
        <f t="shared" si="47"/>
        <v/>
      </c>
      <c r="G1264" t="str">
        <f t="shared" si="52"/>
        <v/>
      </c>
      <c r="H1264" t="str">
        <f t="shared" si="52"/>
        <v/>
      </c>
      <c r="I1264" t="str">
        <f t="shared" si="52"/>
        <v/>
      </c>
      <c r="J1264" t="str">
        <f t="shared" si="52"/>
        <v/>
      </c>
      <c r="K1264" s="316" t="str">
        <f t="shared" si="48"/>
        <v/>
      </c>
      <c r="L1264" t="str">
        <f t="shared" si="53"/>
        <v/>
      </c>
      <c r="M1264" t="str">
        <f t="shared" si="53"/>
        <v/>
      </c>
      <c r="N1264" t="str">
        <f t="shared" si="53"/>
        <v/>
      </c>
      <c r="O1264" t="str">
        <f t="shared" si="53"/>
        <v/>
      </c>
      <c r="P1264" s="316" t="str">
        <f t="shared" si="49"/>
        <v/>
      </c>
      <c r="Q1264" t="str">
        <f t="shared" si="54"/>
        <v/>
      </c>
      <c r="R1264" t="str">
        <f t="shared" si="54"/>
        <v/>
      </c>
      <c r="S1264" t="str">
        <f t="shared" si="54"/>
        <v/>
      </c>
      <c r="T1264" t="str">
        <f t="shared" si="54"/>
        <v/>
      </c>
    </row>
    <row r="1265" spans="1:20">
      <c r="A1265" s="195">
        <f t="shared" si="45"/>
        <v>1</v>
      </c>
      <c r="B1265">
        <f t="shared" si="50"/>
        <v>84</v>
      </c>
      <c r="C1265" s="8" t="str">
        <f t="shared" si="46"/>
        <v/>
      </c>
      <c r="D1265" t="str">
        <f t="shared" si="51"/>
        <v/>
      </c>
      <c r="E1265" t="str">
        <f t="shared" si="51"/>
        <v/>
      </c>
      <c r="F1265" s="316" t="str">
        <f t="shared" si="47"/>
        <v/>
      </c>
      <c r="G1265" t="str">
        <f t="shared" si="52"/>
        <v/>
      </c>
      <c r="H1265" t="str">
        <f t="shared" si="52"/>
        <v/>
      </c>
      <c r="I1265" t="str">
        <f t="shared" si="52"/>
        <v/>
      </c>
      <c r="J1265" t="str">
        <f t="shared" si="52"/>
        <v/>
      </c>
      <c r="K1265" s="316" t="str">
        <f t="shared" si="48"/>
        <v/>
      </c>
      <c r="L1265" t="str">
        <f t="shared" si="53"/>
        <v/>
      </c>
      <c r="M1265" t="str">
        <f t="shared" si="53"/>
        <v/>
      </c>
      <c r="N1265" t="str">
        <f t="shared" si="53"/>
        <v/>
      </c>
      <c r="O1265" t="str">
        <f t="shared" si="53"/>
        <v/>
      </c>
      <c r="P1265" s="316" t="str">
        <f t="shared" si="49"/>
        <v/>
      </c>
      <c r="Q1265" t="str">
        <f t="shared" si="54"/>
        <v/>
      </c>
      <c r="R1265" t="str">
        <f t="shared" si="54"/>
        <v/>
      </c>
      <c r="S1265" t="str">
        <f t="shared" si="54"/>
        <v/>
      </c>
      <c r="T1265" t="str">
        <f t="shared" si="54"/>
        <v/>
      </c>
    </row>
    <row r="1266" spans="1:20">
      <c r="A1266" s="195">
        <f t="shared" si="45"/>
        <v>1</v>
      </c>
      <c r="B1266">
        <f t="shared" si="50"/>
        <v>85</v>
      </c>
      <c r="C1266" s="8" t="str">
        <f t="shared" si="46"/>
        <v/>
      </c>
      <c r="D1266" t="str">
        <f t="shared" si="51"/>
        <v/>
      </c>
      <c r="E1266" t="str">
        <f t="shared" si="51"/>
        <v/>
      </c>
      <c r="F1266" s="316" t="str">
        <f t="shared" si="47"/>
        <v/>
      </c>
      <c r="G1266" t="str">
        <f t="shared" si="52"/>
        <v/>
      </c>
      <c r="H1266" t="str">
        <f t="shared" si="52"/>
        <v/>
      </c>
      <c r="I1266" t="str">
        <f t="shared" si="52"/>
        <v/>
      </c>
      <c r="J1266" t="str">
        <f t="shared" si="52"/>
        <v/>
      </c>
      <c r="K1266" s="316" t="str">
        <f t="shared" si="48"/>
        <v/>
      </c>
      <c r="L1266" t="str">
        <f t="shared" si="53"/>
        <v/>
      </c>
      <c r="M1266" t="str">
        <f t="shared" si="53"/>
        <v/>
      </c>
      <c r="N1266" t="str">
        <f t="shared" si="53"/>
        <v/>
      </c>
      <c r="O1266" t="str">
        <f t="shared" si="53"/>
        <v/>
      </c>
      <c r="P1266" s="316" t="str">
        <f t="shared" si="49"/>
        <v/>
      </c>
      <c r="Q1266" t="str">
        <f t="shared" si="54"/>
        <v/>
      </c>
      <c r="R1266" t="str">
        <f t="shared" si="54"/>
        <v/>
      </c>
      <c r="S1266" t="str">
        <f t="shared" si="54"/>
        <v/>
      </c>
      <c r="T1266" t="str">
        <f t="shared" si="54"/>
        <v/>
      </c>
    </row>
    <row r="1267" spans="1:20">
      <c r="A1267" s="195">
        <f t="shared" si="45"/>
        <v>1</v>
      </c>
      <c r="B1267">
        <f t="shared" si="50"/>
        <v>86</v>
      </c>
      <c r="C1267" s="8" t="str">
        <f t="shared" si="46"/>
        <v/>
      </c>
      <c r="D1267" t="str">
        <f t="shared" si="51"/>
        <v/>
      </c>
      <c r="E1267" t="str">
        <f t="shared" si="51"/>
        <v/>
      </c>
      <c r="F1267" s="316" t="str">
        <f t="shared" si="47"/>
        <v/>
      </c>
      <c r="G1267" t="str">
        <f t="shared" si="52"/>
        <v/>
      </c>
      <c r="H1267" t="str">
        <f t="shared" si="52"/>
        <v/>
      </c>
      <c r="I1267" t="str">
        <f t="shared" si="52"/>
        <v/>
      </c>
      <c r="J1267" t="str">
        <f t="shared" si="52"/>
        <v/>
      </c>
      <c r="K1267" s="316" t="str">
        <f t="shared" si="48"/>
        <v/>
      </c>
      <c r="L1267" t="str">
        <f t="shared" si="53"/>
        <v/>
      </c>
      <c r="M1267" t="str">
        <f t="shared" si="53"/>
        <v/>
      </c>
      <c r="N1267" t="str">
        <f t="shared" si="53"/>
        <v/>
      </c>
      <c r="O1267" t="str">
        <f t="shared" si="53"/>
        <v/>
      </c>
      <c r="P1267" s="316" t="str">
        <f t="shared" si="49"/>
        <v/>
      </c>
      <c r="Q1267" t="str">
        <f t="shared" si="54"/>
        <v/>
      </c>
      <c r="R1267" t="str">
        <f t="shared" si="54"/>
        <v/>
      </c>
      <c r="S1267" t="str">
        <f t="shared" si="54"/>
        <v/>
      </c>
      <c r="T1267" t="str">
        <f t="shared" si="54"/>
        <v/>
      </c>
    </row>
    <row r="1268" spans="1:20">
      <c r="A1268" s="195">
        <f t="shared" si="45"/>
        <v>1</v>
      </c>
      <c r="B1268">
        <f t="shared" si="50"/>
        <v>87</v>
      </c>
      <c r="C1268" s="8" t="str">
        <f t="shared" si="46"/>
        <v/>
      </c>
      <c r="D1268" t="str">
        <f t="shared" si="51"/>
        <v/>
      </c>
      <c r="E1268" t="str">
        <f t="shared" si="51"/>
        <v/>
      </c>
      <c r="F1268" s="316" t="str">
        <f t="shared" si="47"/>
        <v/>
      </c>
      <c r="G1268" t="str">
        <f t="shared" si="52"/>
        <v/>
      </c>
      <c r="H1268" t="str">
        <f t="shared" si="52"/>
        <v/>
      </c>
      <c r="I1268" t="str">
        <f t="shared" si="52"/>
        <v/>
      </c>
      <c r="J1268" t="str">
        <f t="shared" si="52"/>
        <v/>
      </c>
      <c r="K1268" s="316" t="str">
        <f t="shared" si="48"/>
        <v/>
      </c>
      <c r="L1268" t="str">
        <f t="shared" si="53"/>
        <v/>
      </c>
      <c r="M1268" t="str">
        <f t="shared" si="53"/>
        <v/>
      </c>
      <c r="N1268" t="str">
        <f t="shared" si="53"/>
        <v/>
      </c>
      <c r="O1268" t="str">
        <f t="shared" si="53"/>
        <v/>
      </c>
      <c r="P1268" s="316" t="str">
        <f t="shared" si="49"/>
        <v/>
      </c>
      <c r="Q1268" t="str">
        <f t="shared" si="54"/>
        <v/>
      </c>
      <c r="R1268" t="str">
        <f t="shared" si="54"/>
        <v/>
      </c>
      <c r="S1268" t="str">
        <f t="shared" si="54"/>
        <v/>
      </c>
      <c r="T1268" t="str">
        <f t="shared" si="54"/>
        <v/>
      </c>
    </row>
    <row r="1269" spans="1:20">
      <c r="A1269" s="195">
        <f t="shared" si="45"/>
        <v>1</v>
      </c>
      <c r="B1269">
        <f t="shared" si="50"/>
        <v>88</v>
      </c>
      <c r="C1269" s="8" t="str">
        <f t="shared" si="46"/>
        <v/>
      </c>
      <c r="D1269" t="str">
        <f t="shared" si="51"/>
        <v/>
      </c>
      <c r="E1269" t="str">
        <f t="shared" si="51"/>
        <v/>
      </c>
      <c r="F1269" s="316" t="str">
        <f t="shared" si="47"/>
        <v/>
      </c>
      <c r="G1269" t="str">
        <f t="shared" si="52"/>
        <v/>
      </c>
      <c r="H1269" t="str">
        <f t="shared" si="52"/>
        <v/>
      </c>
      <c r="I1269" t="str">
        <f t="shared" si="52"/>
        <v/>
      </c>
      <c r="J1269" t="str">
        <f t="shared" si="52"/>
        <v/>
      </c>
      <c r="K1269" s="316" t="str">
        <f t="shared" si="48"/>
        <v/>
      </c>
      <c r="L1269" t="str">
        <f t="shared" si="53"/>
        <v/>
      </c>
      <c r="M1269" t="str">
        <f t="shared" si="53"/>
        <v/>
      </c>
      <c r="N1269" t="str">
        <f t="shared" si="53"/>
        <v/>
      </c>
      <c r="O1269" t="str">
        <f t="shared" si="53"/>
        <v/>
      </c>
      <c r="P1269" s="316" t="str">
        <f t="shared" si="49"/>
        <v/>
      </c>
      <c r="Q1269" t="str">
        <f t="shared" si="54"/>
        <v/>
      </c>
      <c r="R1269" t="str">
        <f t="shared" si="54"/>
        <v/>
      </c>
      <c r="S1269" t="str">
        <f t="shared" si="54"/>
        <v/>
      </c>
      <c r="T1269" t="str">
        <f t="shared" si="54"/>
        <v/>
      </c>
    </row>
    <row r="1270" spans="1:20">
      <c r="A1270" s="195">
        <f t="shared" si="45"/>
        <v>1</v>
      </c>
      <c r="B1270">
        <f t="shared" si="50"/>
        <v>89</v>
      </c>
      <c r="C1270" s="8" t="str">
        <f t="shared" si="46"/>
        <v/>
      </c>
      <c r="D1270" t="str">
        <f t="shared" si="51"/>
        <v/>
      </c>
      <c r="E1270" t="str">
        <f t="shared" si="51"/>
        <v/>
      </c>
      <c r="F1270" s="316" t="str">
        <f t="shared" si="47"/>
        <v/>
      </c>
      <c r="G1270" t="str">
        <f t="shared" si="52"/>
        <v/>
      </c>
      <c r="H1270" t="str">
        <f t="shared" si="52"/>
        <v/>
      </c>
      <c r="I1270" t="str">
        <f t="shared" si="52"/>
        <v/>
      </c>
      <c r="J1270" t="str">
        <f t="shared" si="52"/>
        <v/>
      </c>
      <c r="K1270" s="316" t="str">
        <f t="shared" si="48"/>
        <v/>
      </c>
      <c r="L1270" t="str">
        <f t="shared" si="53"/>
        <v/>
      </c>
      <c r="M1270" t="str">
        <f t="shared" si="53"/>
        <v/>
      </c>
      <c r="N1270" t="str">
        <f t="shared" si="53"/>
        <v/>
      </c>
      <c r="O1270" t="str">
        <f t="shared" si="53"/>
        <v/>
      </c>
      <c r="P1270" s="316" t="str">
        <f t="shared" si="49"/>
        <v/>
      </c>
      <c r="Q1270" t="str">
        <f t="shared" si="54"/>
        <v/>
      </c>
      <c r="R1270" t="str">
        <f t="shared" si="54"/>
        <v/>
      </c>
      <c r="S1270" t="str">
        <f t="shared" si="54"/>
        <v/>
      </c>
      <c r="T1270" t="str">
        <f t="shared" si="54"/>
        <v/>
      </c>
    </row>
    <row r="1271" spans="1:20">
      <c r="A1271" s="195">
        <f t="shared" si="45"/>
        <v>1</v>
      </c>
      <c r="B1271">
        <f t="shared" si="50"/>
        <v>90</v>
      </c>
      <c r="C1271" s="8" t="str">
        <f t="shared" si="46"/>
        <v/>
      </c>
      <c r="D1271" t="str">
        <f t="shared" si="51"/>
        <v/>
      </c>
      <c r="E1271" t="str">
        <f t="shared" si="51"/>
        <v/>
      </c>
      <c r="F1271" s="316" t="str">
        <f t="shared" si="47"/>
        <v/>
      </c>
      <c r="G1271" t="str">
        <f t="shared" si="52"/>
        <v/>
      </c>
      <c r="H1271" t="str">
        <f t="shared" si="52"/>
        <v/>
      </c>
      <c r="I1271" t="str">
        <f t="shared" si="52"/>
        <v/>
      </c>
      <c r="J1271" t="str">
        <f t="shared" si="52"/>
        <v/>
      </c>
      <c r="K1271" s="316" t="str">
        <f t="shared" si="48"/>
        <v/>
      </c>
      <c r="L1271" t="str">
        <f t="shared" si="53"/>
        <v/>
      </c>
      <c r="M1271" t="str">
        <f t="shared" si="53"/>
        <v/>
      </c>
      <c r="N1271" t="str">
        <f t="shared" si="53"/>
        <v/>
      </c>
      <c r="O1271" t="str">
        <f t="shared" si="53"/>
        <v/>
      </c>
      <c r="P1271" s="316" t="str">
        <f t="shared" si="49"/>
        <v/>
      </c>
      <c r="Q1271" t="str">
        <f t="shared" si="54"/>
        <v/>
      </c>
      <c r="R1271" t="str">
        <f t="shared" si="54"/>
        <v/>
      </c>
      <c r="S1271" t="str">
        <f t="shared" si="54"/>
        <v/>
      </c>
      <c r="T1271" t="str">
        <f t="shared" si="54"/>
        <v/>
      </c>
    </row>
    <row r="1272" spans="1:20">
      <c r="A1272" s="195">
        <f t="shared" si="45"/>
        <v>1</v>
      </c>
      <c r="B1272">
        <f t="shared" si="50"/>
        <v>91</v>
      </c>
      <c r="C1272" s="8" t="str">
        <f t="shared" si="46"/>
        <v/>
      </c>
      <c r="D1272" t="str">
        <f t="shared" si="51"/>
        <v/>
      </c>
      <c r="E1272" t="str">
        <f t="shared" si="51"/>
        <v/>
      </c>
      <c r="F1272" s="316" t="str">
        <f t="shared" si="47"/>
        <v/>
      </c>
      <c r="G1272" t="str">
        <f t="shared" si="52"/>
        <v/>
      </c>
      <c r="H1272" t="str">
        <f t="shared" si="52"/>
        <v/>
      </c>
      <c r="I1272" t="str">
        <f t="shared" si="52"/>
        <v/>
      </c>
      <c r="J1272" t="str">
        <f t="shared" si="52"/>
        <v/>
      </c>
      <c r="K1272" s="316" t="str">
        <f t="shared" si="48"/>
        <v/>
      </c>
      <c r="L1272" t="str">
        <f t="shared" si="53"/>
        <v/>
      </c>
      <c r="M1272" t="str">
        <f t="shared" si="53"/>
        <v/>
      </c>
      <c r="N1272" t="str">
        <f t="shared" si="53"/>
        <v/>
      </c>
      <c r="O1272" t="str">
        <f t="shared" si="53"/>
        <v/>
      </c>
      <c r="P1272" s="316" t="str">
        <f t="shared" si="49"/>
        <v/>
      </c>
      <c r="Q1272" t="str">
        <f t="shared" si="54"/>
        <v/>
      </c>
      <c r="R1272" t="str">
        <f t="shared" si="54"/>
        <v/>
      </c>
      <c r="S1272" t="str">
        <f t="shared" si="54"/>
        <v/>
      </c>
      <c r="T1272" t="str">
        <f t="shared" si="54"/>
        <v/>
      </c>
    </row>
    <row r="1273" spans="1:20">
      <c r="A1273" s="195">
        <f t="shared" si="45"/>
        <v>1</v>
      </c>
      <c r="B1273">
        <f t="shared" si="50"/>
        <v>92</v>
      </c>
      <c r="C1273" s="8" t="str">
        <f t="shared" si="46"/>
        <v/>
      </c>
      <c r="D1273" t="str">
        <f t="shared" si="51"/>
        <v/>
      </c>
      <c r="E1273" t="str">
        <f t="shared" si="51"/>
        <v/>
      </c>
      <c r="F1273" s="316" t="str">
        <f t="shared" si="47"/>
        <v/>
      </c>
      <c r="G1273" t="str">
        <f t="shared" si="52"/>
        <v/>
      </c>
      <c r="H1273" t="str">
        <f t="shared" si="52"/>
        <v/>
      </c>
      <c r="I1273" t="str">
        <f t="shared" si="52"/>
        <v/>
      </c>
      <c r="J1273" t="str">
        <f t="shared" si="52"/>
        <v/>
      </c>
      <c r="K1273" s="316" t="str">
        <f t="shared" si="48"/>
        <v/>
      </c>
      <c r="L1273" t="str">
        <f t="shared" si="53"/>
        <v/>
      </c>
      <c r="M1273" t="str">
        <f t="shared" si="53"/>
        <v/>
      </c>
      <c r="N1273" t="str">
        <f t="shared" si="53"/>
        <v/>
      </c>
      <c r="O1273" t="str">
        <f t="shared" si="53"/>
        <v/>
      </c>
      <c r="P1273" s="316" t="str">
        <f t="shared" si="49"/>
        <v/>
      </c>
      <c r="Q1273" t="str">
        <f t="shared" si="54"/>
        <v/>
      </c>
      <c r="R1273" t="str">
        <f t="shared" si="54"/>
        <v/>
      </c>
      <c r="S1273" t="str">
        <f t="shared" si="54"/>
        <v/>
      </c>
      <c r="T1273" t="str">
        <f t="shared" si="54"/>
        <v/>
      </c>
    </row>
    <row r="1274" spans="1:20">
      <c r="A1274" s="195">
        <f t="shared" si="45"/>
        <v>1</v>
      </c>
      <c r="B1274">
        <f t="shared" si="50"/>
        <v>93</v>
      </c>
      <c r="C1274" s="8" t="str">
        <f t="shared" si="46"/>
        <v/>
      </c>
      <c r="D1274" t="str">
        <f t="shared" si="51"/>
        <v/>
      </c>
      <c r="E1274" t="str">
        <f t="shared" si="51"/>
        <v/>
      </c>
      <c r="F1274" s="316" t="str">
        <f t="shared" si="47"/>
        <v/>
      </c>
      <c r="G1274" t="str">
        <f t="shared" si="52"/>
        <v/>
      </c>
      <c r="H1274" t="str">
        <f t="shared" si="52"/>
        <v/>
      </c>
      <c r="I1274" t="str">
        <f t="shared" si="52"/>
        <v/>
      </c>
      <c r="J1274" t="str">
        <f t="shared" si="52"/>
        <v/>
      </c>
      <c r="K1274" s="316" t="str">
        <f t="shared" si="48"/>
        <v/>
      </c>
      <c r="L1274" t="str">
        <f t="shared" si="53"/>
        <v/>
      </c>
      <c r="M1274" t="str">
        <f t="shared" si="53"/>
        <v/>
      </c>
      <c r="N1274" t="str">
        <f t="shared" si="53"/>
        <v/>
      </c>
      <c r="O1274" t="str">
        <f t="shared" si="53"/>
        <v/>
      </c>
      <c r="P1274" s="316" t="str">
        <f t="shared" si="49"/>
        <v/>
      </c>
      <c r="Q1274" t="str">
        <f t="shared" si="54"/>
        <v/>
      </c>
      <c r="R1274" t="str">
        <f t="shared" si="54"/>
        <v/>
      </c>
      <c r="S1274" t="str">
        <f t="shared" si="54"/>
        <v/>
      </c>
      <c r="T1274" t="str">
        <f t="shared" si="54"/>
        <v/>
      </c>
    </row>
    <row r="1275" spans="1:20">
      <c r="A1275" s="195">
        <f t="shared" si="45"/>
        <v>1</v>
      </c>
      <c r="B1275">
        <f t="shared" si="50"/>
        <v>94</v>
      </c>
      <c r="C1275" s="8" t="str">
        <f t="shared" si="46"/>
        <v/>
      </c>
      <c r="D1275" t="str">
        <f t="shared" si="51"/>
        <v/>
      </c>
      <c r="E1275" t="str">
        <f t="shared" si="51"/>
        <v/>
      </c>
      <c r="F1275" s="316" t="str">
        <f t="shared" si="47"/>
        <v/>
      </c>
      <c r="G1275" t="str">
        <f t="shared" si="52"/>
        <v/>
      </c>
      <c r="H1275" t="str">
        <f t="shared" si="52"/>
        <v/>
      </c>
      <c r="I1275" t="str">
        <f t="shared" si="52"/>
        <v/>
      </c>
      <c r="J1275" t="str">
        <f t="shared" si="52"/>
        <v/>
      </c>
      <c r="K1275" s="316" t="str">
        <f t="shared" si="48"/>
        <v/>
      </c>
      <c r="L1275" t="str">
        <f t="shared" si="53"/>
        <v/>
      </c>
      <c r="M1275" t="str">
        <f t="shared" si="53"/>
        <v/>
      </c>
      <c r="N1275" t="str">
        <f t="shared" si="53"/>
        <v/>
      </c>
      <c r="O1275" t="str">
        <f t="shared" si="53"/>
        <v/>
      </c>
      <c r="P1275" s="316" t="str">
        <f t="shared" si="49"/>
        <v/>
      </c>
      <c r="Q1275" t="str">
        <f t="shared" si="54"/>
        <v/>
      </c>
      <c r="R1275" t="str">
        <f t="shared" si="54"/>
        <v/>
      </c>
      <c r="S1275" t="str">
        <f t="shared" si="54"/>
        <v/>
      </c>
      <c r="T1275" t="str">
        <f t="shared" si="54"/>
        <v/>
      </c>
    </row>
    <row r="1276" spans="1:20">
      <c r="A1276" s="195">
        <f t="shared" si="45"/>
        <v>1</v>
      </c>
      <c r="B1276">
        <f t="shared" si="50"/>
        <v>95</v>
      </c>
      <c r="C1276" s="8" t="str">
        <f t="shared" si="46"/>
        <v/>
      </c>
      <c r="D1276" t="str">
        <f t="shared" si="51"/>
        <v/>
      </c>
      <c r="E1276" t="str">
        <f t="shared" si="51"/>
        <v/>
      </c>
      <c r="F1276" s="316" t="str">
        <f t="shared" si="47"/>
        <v/>
      </c>
      <c r="G1276" t="str">
        <f t="shared" si="52"/>
        <v/>
      </c>
      <c r="H1276" t="str">
        <f t="shared" si="52"/>
        <v/>
      </c>
      <c r="I1276" t="str">
        <f t="shared" si="52"/>
        <v/>
      </c>
      <c r="J1276" t="str">
        <f t="shared" si="52"/>
        <v/>
      </c>
      <c r="K1276" s="316" t="str">
        <f t="shared" si="48"/>
        <v/>
      </c>
      <c r="L1276" t="str">
        <f t="shared" si="53"/>
        <v/>
      </c>
      <c r="M1276" t="str">
        <f t="shared" si="53"/>
        <v/>
      </c>
      <c r="N1276" t="str">
        <f t="shared" si="53"/>
        <v/>
      </c>
      <c r="O1276" t="str">
        <f t="shared" si="53"/>
        <v/>
      </c>
      <c r="P1276" s="316" t="str">
        <f t="shared" si="49"/>
        <v/>
      </c>
      <c r="Q1276" t="str">
        <f t="shared" si="54"/>
        <v/>
      </c>
      <c r="R1276" t="str">
        <f t="shared" si="54"/>
        <v/>
      </c>
      <c r="S1276" t="str">
        <f t="shared" si="54"/>
        <v/>
      </c>
      <c r="T1276" t="str">
        <f t="shared" si="54"/>
        <v/>
      </c>
    </row>
    <row r="1277" spans="1:20">
      <c r="A1277" s="195">
        <f t="shared" si="45"/>
        <v>1</v>
      </c>
      <c r="B1277">
        <f t="shared" si="50"/>
        <v>96</v>
      </c>
      <c r="C1277" s="8" t="str">
        <f t="shared" si="46"/>
        <v/>
      </c>
      <c r="D1277" t="str">
        <f t="shared" si="51"/>
        <v/>
      </c>
      <c r="E1277" t="str">
        <f t="shared" si="51"/>
        <v/>
      </c>
      <c r="F1277" s="316" t="str">
        <f t="shared" si="47"/>
        <v/>
      </c>
      <c r="G1277" t="str">
        <f t="shared" si="52"/>
        <v/>
      </c>
      <c r="H1277" t="str">
        <f t="shared" si="52"/>
        <v/>
      </c>
      <c r="I1277" t="str">
        <f t="shared" si="52"/>
        <v/>
      </c>
      <c r="J1277" t="str">
        <f t="shared" si="52"/>
        <v/>
      </c>
      <c r="K1277" s="316" t="str">
        <f t="shared" si="48"/>
        <v/>
      </c>
      <c r="L1277" t="str">
        <f t="shared" si="53"/>
        <v/>
      </c>
      <c r="M1277" t="str">
        <f t="shared" si="53"/>
        <v/>
      </c>
      <c r="N1277" t="str">
        <f t="shared" si="53"/>
        <v/>
      </c>
      <c r="O1277" t="str">
        <f t="shared" si="53"/>
        <v/>
      </c>
      <c r="P1277" s="316" t="str">
        <f t="shared" si="49"/>
        <v/>
      </c>
      <c r="Q1277" t="str">
        <f t="shared" si="54"/>
        <v/>
      </c>
      <c r="R1277" t="str">
        <f t="shared" si="54"/>
        <v/>
      </c>
      <c r="S1277" t="str">
        <f t="shared" si="54"/>
        <v/>
      </c>
      <c r="T1277" t="str">
        <f t="shared" si="54"/>
        <v/>
      </c>
    </row>
    <row r="1278" spans="1:20">
      <c r="A1278" s="195">
        <f t="shared" si="45"/>
        <v>1</v>
      </c>
      <c r="B1278">
        <f t="shared" si="50"/>
        <v>97</v>
      </c>
      <c r="C1278" s="8" t="str">
        <f t="shared" si="46"/>
        <v/>
      </c>
      <c r="D1278" t="str">
        <f t="shared" si="51"/>
        <v/>
      </c>
      <c r="E1278" t="str">
        <f t="shared" si="51"/>
        <v/>
      </c>
      <c r="F1278" s="316" t="str">
        <f t="shared" si="47"/>
        <v/>
      </c>
      <c r="G1278" t="str">
        <f t="shared" si="52"/>
        <v/>
      </c>
      <c r="H1278" t="str">
        <f t="shared" si="52"/>
        <v/>
      </c>
      <c r="I1278" t="str">
        <f t="shared" si="52"/>
        <v/>
      </c>
      <c r="J1278" t="str">
        <f t="shared" si="52"/>
        <v/>
      </c>
      <c r="K1278" s="316" t="str">
        <f t="shared" si="48"/>
        <v/>
      </c>
      <c r="L1278" t="str">
        <f t="shared" si="53"/>
        <v/>
      </c>
      <c r="M1278" t="str">
        <f t="shared" si="53"/>
        <v/>
      </c>
      <c r="N1278" t="str">
        <f t="shared" si="53"/>
        <v/>
      </c>
      <c r="O1278" t="str">
        <f t="shared" si="53"/>
        <v/>
      </c>
      <c r="P1278" s="316" t="str">
        <f t="shared" si="49"/>
        <v/>
      </c>
      <c r="Q1278" t="str">
        <f t="shared" si="54"/>
        <v/>
      </c>
      <c r="R1278" t="str">
        <f t="shared" si="54"/>
        <v/>
      </c>
      <c r="S1278" t="str">
        <f t="shared" si="54"/>
        <v/>
      </c>
      <c r="T1278" t="str">
        <f t="shared" si="54"/>
        <v/>
      </c>
    </row>
    <row r="1279" spans="1:20">
      <c r="A1279" s="195">
        <f t="shared" si="45"/>
        <v>1</v>
      </c>
      <c r="B1279">
        <f t="shared" si="50"/>
        <v>98</v>
      </c>
      <c r="C1279" s="8" t="str">
        <f t="shared" si="46"/>
        <v/>
      </c>
      <c r="D1279" t="str">
        <f t="shared" si="51"/>
        <v/>
      </c>
      <c r="E1279" t="str">
        <f t="shared" si="51"/>
        <v/>
      </c>
      <c r="F1279" s="316" t="str">
        <f t="shared" si="47"/>
        <v/>
      </c>
      <c r="G1279" t="str">
        <f t="shared" si="52"/>
        <v/>
      </c>
      <c r="H1279" t="str">
        <f t="shared" si="52"/>
        <v/>
      </c>
      <c r="I1279" t="str">
        <f t="shared" si="52"/>
        <v/>
      </c>
      <c r="J1279" t="str">
        <f t="shared" si="52"/>
        <v/>
      </c>
      <c r="K1279" s="316" t="str">
        <f t="shared" si="48"/>
        <v/>
      </c>
      <c r="L1279" t="str">
        <f t="shared" si="53"/>
        <v/>
      </c>
      <c r="M1279" t="str">
        <f t="shared" si="53"/>
        <v/>
      </c>
      <c r="N1279" t="str">
        <f t="shared" si="53"/>
        <v/>
      </c>
      <c r="O1279" t="str">
        <f t="shared" si="53"/>
        <v/>
      </c>
      <c r="P1279" s="316" t="str">
        <f t="shared" si="49"/>
        <v/>
      </c>
      <c r="Q1279" t="str">
        <f t="shared" si="54"/>
        <v/>
      </c>
      <c r="R1279" t="str">
        <f t="shared" si="54"/>
        <v/>
      </c>
      <c r="S1279" t="str">
        <f t="shared" si="54"/>
        <v/>
      </c>
      <c r="T1279" t="str">
        <f t="shared" si="54"/>
        <v/>
      </c>
    </row>
    <row r="1280" spans="1:20">
      <c r="A1280" s="195">
        <f t="shared" si="45"/>
        <v>1</v>
      </c>
      <c r="B1280">
        <f t="shared" si="50"/>
        <v>99</v>
      </c>
      <c r="C1280" s="8" t="str">
        <f t="shared" si="46"/>
        <v/>
      </c>
      <c r="D1280" t="str">
        <f t="shared" si="51"/>
        <v/>
      </c>
      <c r="E1280" t="str">
        <f t="shared" si="51"/>
        <v/>
      </c>
      <c r="F1280" s="316" t="str">
        <f t="shared" si="47"/>
        <v/>
      </c>
      <c r="G1280" t="str">
        <f t="shared" si="52"/>
        <v/>
      </c>
      <c r="H1280" t="str">
        <f t="shared" si="52"/>
        <v/>
      </c>
      <c r="I1280" t="str">
        <f t="shared" si="52"/>
        <v/>
      </c>
      <c r="J1280" t="str">
        <f t="shared" si="52"/>
        <v/>
      </c>
      <c r="K1280" s="316" t="str">
        <f t="shared" si="48"/>
        <v/>
      </c>
      <c r="L1280" t="str">
        <f t="shared" si="53"/>
        <v/>
      </c>
      <c r="M1280" t="str">
        <f t="shared" si="53"/>
        <v/>
      </c>
      <c r="N1280" t="str">
        <f t="shared" si="53"/>
        <v/>
      </c>
      <c r="O1280" t="str">
        <f t="shared" si="53"/>
        <v/>
      </c>
      <c r="P1280" s="316" t="str">
        <f t="shared" si="49"/>
        <v/>
      </c>
      <c r="Q1280" t="str">
        <f t="shared" si="54"/>
        <v/>
      </c>
      <c r="R1280" t="str">
        <f t="shared" si="54"/>
        <v/>
      </c>
      <c r="S1280" t="str">
        <f t="shared" si="54"/>
        <v/>
      </c>
      <c r="T1280" t="str">
        <f t="shared" si="54"/>
        <v/>
      </c>
    </row>
    <row r="1334" spans="2:4">
      <c r="B1334" t="s">
        <v>2580</v>
      </c>
      <c r="D1334" t="s">
        <v>2597</v>
      </c>
    </row>
    <row r="1335" spans="2:4">
      <c r="B1335" t="s">
        <v>1665</v>
      </c>
      <c r="D1335" t="s">
        <v>2598</v>
      </c>
    </row>
    <row r="1336" spans="2:4">
      <c r="B1336" t="s">
        <v>2520</v>
      </c>
      <c r="D1336" t="s">
        <v>2599</v>
      </c>
    </row>
    <row r="1337" spans="2:4">
      <c r="B1337" t="s">
        <v>2581</v>
      </c>
      <c r="D1337" t="s">
        <v>2600</v>
      </c>
    </row>
    <row r="1338" spans="2:4">
      <c r="B1338" t="s">
        <v>2582</v>
      </c>
      <c r="D1338" t="s">
        <v>2601</v>
      </c>
    </row>
    <row r="1339" spans="2:4">
      <c r="B1339" t="s">
        <v>2583</v>
      </c>
      <c r="D1339" t="s">
        <v>2602</v>
      </c>
    </row>
    <row r="1340" spans="2:4">
      <c r="B1340" t="s">
        <v>2584</v>
      </c>
      <c r="D1340" t="s">
        <v>2603</v>
      </c>
    </row>
    <row r="1341" spans="2:4">
      <c r="B1341" t="s">
        <v>2585</v>
      </c>
      <c r="D1341" t="s">
        <v>2604</v>
      </c>
    </row>
    <row r="1342" spans="2:4">
      <c r="B1342" t="s">
        <v>2586</v>
      </c>
      <c r="D1342" t="s">
        <v>2605</v>
      </c>
    </row>
    <row r="1343" spans="2:4">
      <c r="B1343" t="s">
        <v>2587</v>
      </c>
      <c r="D1343" t="s">
        <v>2606</v>
      </c>
    </row>
    <row r="1344" spans="2:4">
      <c r="B1344" t="s">
        <v>2588</v>
      </c>
      <c r="D1344" t="s">
        <v>2607</v>
      </c>
    </row>
    <row r="1345" spans="1:4">
      <c r="B1345" t="s">
        <v>2589</v>
      </c>
      <c r="D1345" t="s">
        <v>2608</v>
      </c>
    </row>
    <row r="1346" spans="1:4">
      <c r="B1346" t="s">
        <v>2590</v>
      </c>
      <c r="D1346" t="s">
        <v>2609</v>
      </c>
    </row>
    <row r="1347" spans="1:4">
      <c r="B1347" t="s">
        <v>2591</v>
      </c>
      <c r="D1347" t="s">
        <v>2610</v>
      </c>
    </row>
    <row r="1348" spans="1:4">
      <c r="B1348" s="123" t="s">
        <v>2592</v>
      </c>
      <c r="D1348" t="s">
        <v>2611</v>
      </c>
    </row>
    <row r="1349" spans="1:4">
      <c r="B1349" s="123" t="s">
        <v>2593</v>
      </c>
      <c r="D1349" t="s">
        <v>2612</v>
      </c>
    </row>
    <row r="1350" spans="1:4">
      <c r="B1350" s="123" t="s">
        <v>2594</v>
      </c>
      <c r="D1350" t="s">
        <v>2613</v>
      </c>
    </row>
    <row r="1351" spans="1:4">
      <c r="B1351" s="123" t="s">
        <v>2595</v>
      </c>
      <c r="D1351" t="s">
        <v>2614</v>
      </c>
    </row>
    <row r="1352" spans="1:4">
      <c r="B1352" s="123"/>
    </row>
    <row r="1353" spans="1:4">
      <c r="A1353" t="s">
        <v>2615</v>
      </c>
      <c r="B1353" s="123" t="s">
        <v>630</v>
      </c>
    </row>
    <row r="1354" spans="1:4">
      <c r="A1354" t="s">
        <v>2616</v>
      </c>
      <c r="B1354" s="353" t="s">
        <v>631</v>
      </c>
      <c r="C1354">
        <f>Amenities!B4</f>
        <v>0</v>
      </c>
      <c r="D1354" s="446" t="b">
        <f>IF(C1354="YES",TRUE, IF(C1354="No",FALSE))</f>
        <v>0</v>
      </c>
    </row>
    <row r="1355" spans="1:4">
      <c r="A1355" t="s">
        <v>2617</v>
      </c>
      <c r="B1355" s="353" t="s">
        <v>632</v>
      </c>
      <c r="C1355">
        <f>Amenities!B5</f>
        <v>0</v>
      </c>
      <c r="D1355" s="446" t="b">
        <f>IF(C1355="YES",TRUE, IF(C1355="No",FALSE))</f>
        <v>0</v>
      </c>
    </row>
    <row r="1356" spans="1:4">
      <c r="A1356" t="s">
        <v>2618</v>
      </c>
      <c r="B1356" s="353" t="s">
        <v>633</v>
      </c>
      <c r="C1356">
        <f>Amenities!B6</f>
        <v>0</v>
      </c>
      <c r="D1356" s="446" t="b">
        <f>IF(C1356="YES",TRUE, IF(C1356="No",FALSE))</f>
        <v>0</v>
      </c>
    </row>
    <row r="1357" spans="1:4">
      <c r="A1357" t="s">
        <v>2619</v>
      </c>
      <c r="B1357" s="353" t="s">
        <v>634</v>
      </c>
      <c r="C1357">
        <f>Amenities!B7</f>
        <v>0</v>
      </c>
      <c r="D1357" s="446" t="b">
        <f>IF(C1357="YES",TRUE, IF(C1357="No",FALSE))</f>
        <v>0</v>
      </c>
    </row>
    <row r="1358" spans="1:4">
      <c r="A1358" t="s">
        <v>2620</v>
      </c>
      <c r="B1358" s="353" t="s">
        <v>635</v>
      </c>
      <c r="C1358">
        <f>Amenities!B8</f>
        <v>0</v>
      </c>
      <c r="D1358" s="446" t="b">
        <f t="shared" ref="D1358:D1430" si="55">IF(C1358="YES",TRUE, IF(C1358="No",FALSE))</f>
        <v>0</v>
      </c>
    </row>
    <row r="1359" spans="1:4">
      <c r="A1359" t="s">
        <v>2621</v>
      </c>
      <c r="B1359" s="353" t="s">
        <v>636</v>
      </c>
      <c r="C1359">
        <f>Amenities!B9</f>
        <v>0</v>
      </c>
      <c r="D1359" s="446" t="b">
        <f t="shared" si="55"/>
        <v>0</v>
      </c>
    </row>
    <row r="1360" spans="1:4">
      <c r="A1360" t="s">
        <v>2622</v>
      </c>
      <c r="B1360" s="1" t="s">
        <v>637</v>
      </c>
      <c r="C1360">
        <f>Amenities!B10</f>
        <v>0</v>
      </c>
      <c r="D1360" s="446" t="b">
        <f>IF(C1360="YES",TRUE, IF(C1360="No",FALSE))</f>
        <v>0</v>
      </c>
    </row>
    <row r="1361" spans="1:4">
      <c r="A1361" t="s">
        <v>2623</v>
      </c>
      <c r="B1361" s="353" t="s">
        <v>638</v>
      </c>
      <c r="C1361">
        <f>Amenities!B11</f>
        <v>0</v>
      </c>
      <c r="D1361" s="446" t="b">
        <f t="shared" si="55"/>
        <v>0</v>
      </c>
    </row>
    <row r="1362" spans="1:4">
      <c r="A1362" t="s">
        <v>2624</v>
      </c>
      <c r="B1362" s="353" t="s">
        <v>639</v>
      </c>
      <c r="C1362" s="18">
        <f>Amenities!B12</f>
        <v>0</v>
      </c>
      <c r="D1362" s="446" t="b">
        <f t="shared" si="55"/>
        <v>0</v>
      </c>
    </row>
    <row r="1363" spans="1:4">
      <c r="A1363" t="s">
        <v>2625</v>
      </c>
      <c r="B1363" s="353" t="s">
        <v>640</v>
      </c>
      <c r="C1363" s="18">
        <f>Amenities!B13</f>
        <v>0</v>
      </c>
      <c r="D1363" s="446" t="b">
        <f t="shared" si="55"/>
        <v>0</v>
      </c>
    </row>
    <row r="1364" spans="1:4">
      <c r="A1364" t="s">
        <v>2626</v>
      </c>
      <c r="B1364" s="353" t="s">
        <v>641</v>
      </c>
      <c r="C1364">
        <f>Amenities!B14</f>
        <v>0</v>
      </c>
      <c r="D1364" s="350" t="b">
        <f t="shared" si="55"/>
        <v>0</v>
      </c>
    </row>
    <row r="1365" spans="1:4">
      <c r="A1365" t="s">
        <v>2627</v>
      </c>
      <c r="B1365" s="353" t="s">
        <v>2628</v>
      </c>
      <c r="D1365" s="350" t="b">
        <f t="shared" si="55"/>
        <v>0</v>
      </c>
    </row>
    <row r="1366" spans="1:4">
      <c r="A1366" t="s">
        <v>2629</v>
      </c>
      <c r="B1366" s="353" t="s">
        <v>2630</v>
      </c>
      <c r="C1366">
        <f>Amenities!B17</f>
        <v>0</v>
      </c>
      <c r="D1366" s="350" t="b">
        <f t="shared" si="55"/>
        <v>0</v>
      </c>
    </row>
    <row r="1367" spans="1:4">
      <c r="A1367" t="s">
        <v>2631</v>
      </c>
      <c r="B1367" s="353" t="s">
        <v>2632</v>
      </c>
      <c r="C1367">
        <f>Amenities!B18</f>
        <v>0</v>
      </c>
      <c r="D1367" s="350" t="b">
        <f t="shared" si="55"/>
        <v>0</v>
      </c>
    </row>
    <row r="1368" spans="1:4">
      <c r="A1368" t="s">
        <v>2633</v>
      </c>
      <c r="B1368" s="353" t="s">
        <v>2634</v>
      </c>
      <c r="C1368">
        <f>Amenities!B19</f>
        <v>0</v>
      </c>
      <c r="D1368" s="350" t="b">
        <f t="shared" si="55"/>
        <v>0</v>
      </c>
    </row>
    <row r="1369" spans="1:4">
      <c r="A1369" t="s">
        <v>2635</v>
      </c>
      <c r="B1369" s="353" t="s">
        <v>2636</v>
      </c>
      <c r="C1369">
        <f>Amenities!B20</f>
        <v>0</v>
      </c>
      <c r="D1369" s="350" t="b">
        <f t="shared" si="55"/>
        <v>0</v>
      </c>
    </row>
    <row r="1370" spans="1:4">
      <c r="A1370" t="s">
        <v>2637</v>
      </c>
      <c r="B1370" s="353" t="s">
        <v>648</v>
      </c>
      <c r="C1370">
        <f>Amenities!B21</f>
        <v>0</v>
      </c>
      <c r="D1370" s="350" t="b">
        <f t="shared" si="55"/>
        <v>0</v>
      </c>
    </row>
    <row r="1371" spans="1:4" s="321" customFormat="1">
      <c r="A1371" s="321" t="s">
        <v>2638</v>
      </c>
      <c r="B1371" s="883" t="s">
        <v>649</v>
      </c>
      <c r="C1371" s="788">
        <f>Amenities!B22</f>
        <v>0</v>
      </c>
      <c r="D1371" s="789" t="b">
        <f t="shared" si="55"/>
        <v>0</v>
      </c>
    </row>
    <row r="1372" spans="1:4" s="321" customFormat="1">
      <c r="A1372" s="321" t="s">
        <v>2639</v>
      </c>
      <c r="B1372" s="883" t="s">
        <v>650</v>
      </c>
      <c r="C1372" s="788">
        <f>Amenities!B23</f>
        <v>0</v>
      </c>
      <c r="D1372" s="789" t="b">
        <f t="shared" si="55"/>
        <v>0</v>
      </c>
    </row>
    <row r="1373" spans="1:4" s="321" customFormat="1">
      <c r="A1373" s="321" t="s">
        <v>2640</v>
      </c>
      <c r="B1373" s="883" t="s">
        <v>651</v>
      </c>
      <c r="C1373" s="321">
        <f>Amenities!B24</f>
        <v>0</v>
      </c>
      <c r="D1373" s="884" t="b">
        <f t="shared" si="55"/>
        <v>0</v>
      </c>
    </row>
    <row r="1374" spans="1:4" s="321" customFormat="1">
      <c r="B1374" s="883" t="s">
        <v>2641</v>
      </c>
      <c r="D1374" s="884"/>
    </row>
    <row r="1375" spans="1:4" s="321" customFormat="1">
      <c r="A1375" s="321" t="s">
        <v>2642</v>
      </c>
      <c r="B1375" s="883" t="s">
        <v>653</v>
      </c>
      <c r="C1375" s="321">
        <f>Amenities!B27</f>
        <v>0</v>
      </c>
      <c r="D1375" s="884" t="b">
        <f t="shared" si="55"/>
        <v>0</v>
      </c>
    </row>
    <row r="1376" spans="1:4" s="321" customFormat="1">
      <c r="A1376" s="321" t="s">
        <v>2643</v>
      </c>
      <c r="B1376" s="885" t="s">
        <v>654</v>
      </c>
      <c r="C1376" s="321">
        <f>Amenities!B28</f>
        <v>0</v>
      </c>
      <c r="D1376" s="884" t="b">
        <f t="shared" si="55"/>
        <v>0</v>
      </c>
    </row>
    <row r="1377" spans="1:4" s="321" customFormat="1">
      <c r="A1377" s="321" t="s">
        <v>2644</v>
      </c>
      <c r="B1377" s="885" t="s">
        <v>655</v>
      </c>
      <c r="C1377" s="321">
        <f>Amenities!B29</f>
        <v>0</v>
      </c>
      <c r="D1377" s="884" t="b">
        <f t="shared" si="55"/>
        <v>0</v>
      </c>
    </row>
    <row r="1378" spans="1:4" s="321" customFormat="1">
      <c r="A1378" s="321" t="s">
        <v>2645</v>
      </c>
      <c r="B1378" s="885" t="s">
        <v>656</v>
      </c>
      <c r="C1378" s="321">
        <f>Amenities!B30</f>
        <v>0</v>
      </c>
      <c r="D1378" s="884" t="b">
        <f t="shared" si="55"/>
        <v>0</v>
      </c>
    </row>
    <row r="1379" spans="1:4" s="321" customFormat="1">
      <c r="A1379" s="321" t="s">
        <v>2646</v>
      </c>
      <c r="B1379" s="424" t="s">
        <v>657</v>
      </c>
      <c r="C1379" s="321">
        <f>Amenities!B31</f>
        <v>0</v>
      </c>
      <c r="D1379" s="884" t="b">
        <f t="shared" si="55"/>
        <v>0</v>
      </c>
    </row>
    <row r="1380" spans="1:4" s="321" customFormat="1">
      <c r="A1380" s="321" t="s">
        <v>2647</v>
      </c>
      <c r="B1380" s="885" t="s">
        <v>658</v>
      </c>
      <c r="C1380" s="321">
        <f>Amenities!B32</f>
        <v>0</v>
      </c>
      <c r="D1380" s="884" t="b">
        <f t="shared" si="55"/>
        <v>0</v>
      </c>
    </row>
    <row r="1381" spans="1:4" s="321" customFormat="1">
      <c r="B1381" s="885" t="str">
        <f>Amenities!A33</f>
        <v>Number of Laundry Rooms</v>
      </c>
      <c r="C1381" s="321">
        <f>Amenities!B33</f>
        <v>0</v>
      </c>
      <c r="D1381" s="884">
        <f>C1381</f>
        <v>0</v>
      </c>
    </row>
    <row r="1382" spans="1:4" s="321" customFormat="1">
      <c r="B1382" s="885" t="str">
        <f>Amenities!A34</f>
        <v>Laundry Room in each building (if more than one bldg)</v>
      </c>
      <c r="C1382" s="321">
        <f>Amenities!B34</f>
        <v>0</v>
      </c>
      <c r="D1382" s="884">
        <f>C1382</f>
        <v>0</v>
      </c>
    </row>
    <row r="1383" spans="1:4" s="321" customFormat="1">
      <c r="B1383" s="885" t="str">
        <f>Amenities!A35</f>
        <v>Laundry Room on each floor</v>
      </c>
      <c r="C1383" s="321">
        <f>Amenities!B35</f>
        <v>0</v>
      </c>
      <c r="D1383" s="884">
        <f>C1383</f>
        <v>0</v>
      </c>
    </row>
    <row r="1384" spans="1:4" s="321" customFormat="1">
      <c r="A1384" s="321" t="s">
        <v>2648</v>
      </c>
      <c r="B1384" s="885" t="s">
        <v>662</v>
      </c>
      <c r="C1384" s="321">
        <f>Amenities!B36</f>
        <v>0</v>
      </c>
      <c r="D1384" s="884" t="b">
        <f t="shared" si="55"/>
        <v>0</v>
      </c>
    </row>
    <row r="1385" spans="1:4" s="321" customFormat="1">
      <c r="A1385" s="321" t="s">
        <v>2649</v>
      </c>
      <c r="B1385" s="885" t="s">
        <v>663</v>
      </c>
      <c r="C1385" s="321">
        <f>Amenities!B37</f>
        <v>0</v>
      </c>
      <c r="D1385" s="884" t="b">
        <f t="shared" si="55"/>
        <v>0</v>
      </c>
    </row>
    <row r="1386" spans="1:4" s="321" customFormat="1">
      <c r="A1386" s="321" t="s">
        <v>2650</v>
      </c>
      <c r="B1386" s="885" t="s">
        <v>664</v>
      </c>
      <c r="C1386" s="321">
        <f>Amenities!B38</f>
        <v>0</v>
      </c>
      <c r="D1386" s="884" t="b">
        <f t="shared" si="55"/>
        <v>0</v>
      </c>
    </row>
    <row r="1387" spans="1:4" s="321" customFormat="1">
      <c r="A1387" s="321" t="s">
        <v>2651</v>
      </c>
      <c r="B1387" s="885" t="s">
        <v>665</v>
      </c>
      <c r="C1387" s="788">
        <f>Amenities!B39</f>
        <v>0</v>
      </c>
      <c r="D1387" s="789" t="b">
        <f t="shared" si="55"/>
        <v>0</v>
      </c>
    </row>
    <row r="1388" spans="1:4" s="321" customFormat="1">
      <c r="A1388" s="321" t="s">
        <v>2652</v>
      </c>
      <c r="B1388" s="883" t="s">
        <v>666</v>
      </c>
      <c r="C1388" s="321">
        <f>Amenities!B40</f>
        <v>0</v>
      </c>
      <c r="D1388" s="884">
        <f>C1388</f>
        <v>0</v>
      </c>
    </row>
    <row r="1389" spans="1:4" s="321" customFormat="1">
      <c r="A1389" s="321" t="s">
        <v>2653</v>
      </c>
      <c r="B1389" s="883" t="s">
        <v>667</v>
      </c>
      <c r="C1389" s="321">
        <f>Amenities!B41</f>
        <v>0</v>
      </c>
      <c r="D1389" s="884" t="b">
        <f t="shared" si="55"/>
        <v>0</v>
      </c>
    </row>
    <row r="1390" spans="1:4" s="321" customFormat="1">
      <c r="A1390" s="321" t="s">
        <v>2654</v>
      </c>
      <c r="B1390" s="883" t="s">
        <v>668</v>
      </c>
      <c r="C1390" s="321">
        <f>Amenities!B42</f>
        <v>0</v>
      </c>
      <c r="D1390" s="884" t="b">
        <f t="shared" si="55"/>
        <v>0</v>
      </c>
    </row>
    <row r="1391" spans="1:4" s="321" customFormat="1">
      <c r="A1391" s="321" t="s">
        <v>2655</v>
      </c>
      <c r="B1391" s="883" t="s">
        <v>669</v>
      </c>
      <c r="C1391" s="321">
        <f>Amenities!B43</f>
        <v>0</v>
      </c>
      <c r="D1391" s="884" t="b">
        <f t="shared" si="55"/>
        <v>0</v>
      </c>
    </row>
    <row r="1392" spans="1:4" s="321" customFormat="1">
      <c r="A1392" s="321" t="s">
        <v>2656</v>
      </c>
      <c r="B1392" s="883" t="s">
        <v>670</v>
      </c>
      <c r="C1392" s="788">
        <f>Amenities!B44</f>
        <v>0</v>
      </c>
      <c r="D1392" s="789" t="b">
        <f t="shared" si="55"/>
        <v>0</v>
      </c>
    </row>
    <row r="1393" spans="1:4" s="321" customFormat="1">
      <c r="A1393" s="321" t="s">
        <v>2657</v>
      </c>
      <c r="B1393" s="883" t="s">
        <v>671</v>
      </c>
      <c r="C1393" s="321">
        <f>Amenities!B45</f>
        <v>0</v>
      </c>
      <c r="D1393" s="884" t="b">
        <f t="shared" si="55"/>
        <v>0</v>
      </c>
    </row>
    <row r="1394" spans="1:4" s="321" customFormat="1">
      <c r="A1394" s="321" t="s">
        <v>2658</v>
      </c>
      <c r="B1394" s="883" t="s">
        <v>672</v>
      </c>
      <c r="C1394" s="321">
        <f>Amenities!B46</f>
        <v>0</v>
      </c>
      <c r="D1394" s="884" t="b">
        <f t="shared" si="55"/>
        <v>0</v>
      </c>
    </row>
    <row r="1395" spans="1:4" s="321" customFormat="1">
      <c r="B1395" s="883" t="str">
        <f>Amenities!A47</f>
        <v>Bike Storage</v>
      </c>
      <c r="C1395" s="321">
        <f>Amenities!B47</f>
        <v>0</v>
      </c>
      <c r="D1395" s="884" t="b">
        <f t="shared" si="55"/>
        <v>0</v>
      </c>
    </row>
    <row r="1396" spans="1:4" s="321" customFormat="1">
      <c r="B1396" s="883" t="str">
        <f>Amenities!A48</f>
        <v>Bike Maintenance</v>
      </c>
      <c r="C1396" s="321">
        <f>Amenities!B48</f>
        <v>0</v>
      </c>
      <c r="D1396" s="884" t="b">
        <f t="shared" si="55"/>
        <v>0</v>
      </c>
    </row>
    <row r="1397" spans="1:4" s="321" customFormat="1">
      <c r="B1397" s="883" t="str">
        <f>Amenities!A49</f>
        <v>Pet Wash Area</v>
      </c>
      <c r="C1397" s="321">
        <f>Amenities!B49</f>
        <v>0</v>
      </c>
      <c r="D1397" s="884" t="b">
        <f t="shared" si="55"/>
        <v>0</v>
      </c>
    </row>
    <row r="1398" spans="1:4" s="321" customFormat="1">
      <c r="B1398" s="883" t="str">
        <f>Amenities!A50</f>
        <v>Pet Relief Area</v>
      </c>
      <c r="C1398" s="321">
        <f>Amenities!B50</f>
        <v>0</v>
      </c>
      <c r="D1398" s="884" t="b">
        <f t="shared" si="55"/>
        <v>0</v>
      </c>
    </row>
    <row r="1399" spans="1:4" s="321" customFormat="1">
      <c r="B1399" s="883" t="str">
        <f>Amenities!A51</f>
        <v>Dog Run</v>
      </c>
      <c r="C1399" s="321">
        <f>Amenities!B51</f>
        <v>0</v>
      </c>
      <c r="D1399" s="884" t="b">
        <f t="shared" si="55"/>
        <v>0</v>
      </c>
    </row>
    <row r="1400" spans="1:4">
      <c r="A1400" t="s">
        <v>2659</v>
      </c>
      <c r="B1400" s="353" t="s">
        <v>2660</v>
      </c>
      <c r="C1400">
        <f>Amenities!B52</f>
        <v>0</v>
      </c>
      <c r="D1400" s="350" t="b">
        <f t="shared" si="55"/>
        <v>0</v>
      </c>
    </row>
    <row r="1401" spans="1:4">
      <c r="B1401" s="353" t="s">
        <v>2661</v>
      </c>
      <c r="D1401" s="350"/>
    </row>
    <row r="1402" spans="1:4">
      <c r="A1402" t="s">
        <v>2662</v>
      </c>
      <c r="B1402" s="353" t="s">
        <v>679</v>
      </c>
      <c r="C1402">
        <f>Amenities!B56</f>
        <v>0</v>
      </c>
      <c r="D1402" s="350" t="b">
        <f t="shared" si="55"/>
        <v>0</v>
      </c>
    </row>
    <row r="1403" spans="1:4">
      <c r="A1403" t="s">
        <v>2663</v>
      </c>
      <c r="B1403" s="353" t="s">
        <v>680</v>
      </c>
      <c r="C1403">
        <f>Amenities!B57</f>
        <v>0</v>
      </c>
      <c r="D1403" s="350" t="b">
        <f t="shared" si="55"/>
        <v>0</v>
      </c>
    </row>
    <row r="1404" spans="1:4">
      <c r="A1404" t="s">
        <v>2664</v>
      </c>
      <c r="B1404" s="353" t="s">
        <v>681</v>
      </c>
      <c r="C1404">
        <f>Amenities!B58</f>
        <v>0</v>
      </c>
      <c r="D1404" s="350" t="b">
        <f t="shared" si="55"/>
        <v>0</v>
      </c>
    </row>
    <row r="1405" spans="1:4">
      <c r="A1405" t="s">
        <v>2665</v>
      </c>
      <c r="B1405" s="353" t="s">
        <v>682</v>
      </c>
      <c r="C1405">
        <f>Amenities!B59</f>
        <v>0</v>
      </c>
      <c r="D1405" s="350" t="b">
        <f t="shared" si="55"/>
        <v>0</v>
      </c>
    </row>
    <row r="1406" spans="1:4">
      <c r="A1406" t="s">
        <v>2666</v>
      </c>
      <c r="B1406" s="353" t="s">
        <v>683</v>
      </c>
      <c r="C1406">
        <f>Amenities!B60</f>
        <v>0</v>
      </c>
      <c r="D1406" s="350" t="b">
        <f t="shared" si="55"/>
        <v>0</v>
      </c>
    </row>
    <row r="1407" spans="1:4">
      <c r="B1407" s="353" t="s">
        <v>2667</v>
      </c>
      <c r="D1407" s="350"/>
    </row>
    <row r="1408" spans="1:4" s="302" customFormat="1">
      <c r="A1408" s="302" t="s">
        <v>2668</v>
      </c>
      <c r="B1408" s="886" t="s">
        <v>2669</v>
      </c>
      <c r="D1408" s="887">
        <f>C1408</f>
        <v>0</v>
      </c>
    </row>
    <row r="1409" spans="1:5">
      <c r="B1409" s="353" t="s">
        <v>2669</v>
      </c>
      <c r="C1409">
        <f>Amenities!B62</f>
        <v>0</v>
      </c>
      <c r="D1409" s="350">
        <f>C1409</f>
        <v>0</v>
      </c>
    </row>
    <row r="1410" spans="1:5">
      <c r="A1410" t="s">
        <v>2670</v>
      </c>
      <c r="B1410" s="353" t="s">
        <v>2671</v>
      </c>
      <c r="C1410">
        <f>Amenities!B63</f>
        <v>0</v>
      </c>
      <c r="D1410" s="350">
        <f>C1410</f>
        <v>0</v>
      </c>
    </row>
    <row r="1411" spans="1:5">
      <c r="A1411" t="s">
        <v>2672</v>
      </c>
      <c r="B1411" s="353" t="s">
        <v>2673</v>
      </c>
      <c r="C1411">
        <f>Amenities!B64</f>
        <v>0</v>
      </c>
      <c r="D1411" s="350">
        <f t="shared" ref="D1411:D1414" si="56">C1411</f>
        <v>0</v>
      </c>
    </row>
    <row r="1412" spans="1:5">
      <c r="A1412" t="s">
        <v>2674</v>
      </c>
      <c r="B1412" s="353" t="s">
        <v>2675</v>
      </c>
      <c r="C1412">
        <f>Amenities!B65</f>
        <v>0</v>
      </c>
      <c r="D1412" s="350">
        <f t="shared" si="56"/>
        <v>0</v>
      </c>
    </row>
    <row r="1413" spans="1:5">
      <c r="A1413" t="s">
        <v>2676</v>
      </c>
      <c r="B1413" s="353" t="s">
        <v>2677</v>
      </c>
      <c r="C1413">
        <f>Amenities!B66</f>
        <v>0</v>
      </c>
      <c r="D1413" s="350">
        <f t="shared" si="56"/>
        <v>0</v>
      </c>
    </row>
    <row r="1414" spans="1:5">
      <c r="A1414" t="s">
        <v>2678</v>
      </c>
      <c r="B1414" s="353" t="s">
        <v>2679</v>
      </c>
      <c r="C1414" s="123">
        <f>Amenities!B67</f>
        <v>0</v>
      </c>
      <c r="D1414" s="354">
        <f t="shared" si="56"/>
        <v>0</v>
      </c>
    </row>
    <row r="1415" spans="1:5">
      <c r="A1415" t="s">
        <v>2680</v>
      </c>
      <c r="B1415" s="353" t="s">
        <v>692</v>
      </c>
      <c r="C1415" s="351">
        <f>Amenities!B69</f>
        <v>0</v>
      </c>
      <c r="D1415" s="352" t="b">
        <f t="shared" si="55"/>
        <v>0</v>
      </c>
    </row>
    <row r="1416" spans="1:5">
      <c r="A1416" t="s">
        <v>2681</v>
      </c>
      <c r="B1416" s="353" t="s">
        <v>693</v>
      </c>
      <c r="C1416" s="351">
        <f>Amenities!B70</f>
        <v>0</v>
      </c>
      <c r="D1416" s="352" t="b">
        <f t="shared" si="55"/>
        <v>0</v>
      </c>
    </row>
    <row r="1417" spans="1:5">
      <c r="A1417" t="s">
        <v>2682</v>
      </c>
      <c r="B1417" s="448" t="s">
        <v>694</v>
      </c>
      <c r="C1417" s="355">
        <f>Amenities!B71</f>
        <v>0</v>
      </c>
      <c r="D1417" s="356">
        <f>C1417</f>
        <v>0</v>
      </c>
    </row>
    <row r="1418" spans="1:5">
      <c r="A1418" t="s">
        <v>2683</v>
      </c>
      <c r="B1418" s="353" t="s">
        <v>696</v>
      </c>
      <c r="C1418">
        <f>Amenities!B73</f>
        <v>0</v>
      </c>
      <c r="D1418" s="350" t="b">
        <f t="shared" si="55"/>
        <v>0</v>
      </c>
    </row>
    <row r="1419" spans="1:5">
      <c r="A1419" t="s">
        <v>2684</v>
      </c>
      <c r="B1419" s="353" t="s">
        <v>697</v>
      </c>
      <c r="C1419">
        <f>Amenities!B74</f>
        <v>0</v>
      </c>
      <c r="D1419" s="350" t="b">
        <f t="shared" si="55"/>
        <v>0</v>
      </c>
    </row>
    <row r="1420" spans="1:5" ht="21" customHeight="1">
      <c r="A1420" t="s">
        <v>2685</v>
      </c>
      <c r="B1420" s="447" t="s">
        <v>694</v>
      </c>
      <c r="C1420" s="351">
        <f>Amenities!B75</f>
        <v>0</v>
      </c>
      <c r="D1420" s="352">
        <f>C1420</f>
        <v>0</v>
      </c>
    </row>
    <row r="1421" spans="1:5" ht="21" customHeight="1">
      <c r="A1421" s="321"/>
      <c r="B1421" s="491" t="s">
        <v>698</v>
      </c>
      <c r="C1421" s="788">
        <f>Amenities!B76</f>
        <v>0</v>
      </c>
      <c r="D1421" s="789" t="b">
        <f>IF(C1421="YES",TRUE, IF(C1421="No",FALSE))</f>
        <v>0</v>
      </c>
      <c r="E1421" s="321"/>
    </row>
    <row r="1422" spans="1:5" ht="16.5" customHeight="1">
      <c r="A1422" s="321"/>
      <c r="B1422" s="424" t="s">
        <v>699</v>
      </c>
      <c r="C1422" s="788">
        <f>Amenities!B77</f>
        <v>0</v>
      </c>
      <c r="D1422" s="789">
        <f>Amenities!B77</f>
        <v>0</v>
      </c>
      <c r="E1422" s="321"/>
    </row>
    <row r="1423" spans="1:5" ht="30.75" customHeight="1">
      <c r="B1423" s="513" t="str">
        <f>Amenities!A78</f>
        <v>Number of spaces for commerical or nonresidential</v>
      </c>
      <c r="C1423" s="351">
        <f>Amenities!B78</f>
        <v>0</v>
      </c>
      <c r="D1423" s="352">
        <f>Amenities!B78</f>
        <v>0</v>
      </c>
      <c r="E1423" s="321"/>
    </row>
    <row r="1424" spans="1:5" ht="21" customHeight="1">
      <c r="B1424" s="17" t="str">
        <f>Amenities!A79</f>
        <v>Transit Passes</v>
      </c>
      <c r="C1424" s="351">
        <f>Amenities!B79</f>
        <v>0</v>
      </c>
      <c r="D1424" s="352" t="b">
        <f>IF(C1424="YES",TRUE, IF(C1424="No",FALSE))</f>
        <v>0</v>
      </c>
      <c r="E1424" s="321"/>
    </row>
    <row r="1425" spans="1:5" ht="21" customHeight="1">
      <c r="B1425" s="17" t="str">
        <f>Amenities!A80</f>
        <v>Number of Transit Passes</v>
      </c>
      <c r="C1425" s="351">
        <f>Amenities!B79</f>
        <v>0</v>
      </c>
      <c r="D1425" s="352">
        <f>Amenities!B79</f>
        <v>0</v>
      </c>
      <c r="E1425" s="321"/>
    </row>
    <row r="1426" spans="1:5" ht="21" customHeight="1">
      <c r="A1426" s="321"/>
      <c r="B1426" s="424" t="str">
        <f>Amenities!A81</f>
        <v>Number of Transit Passes Budgeted for number of years</v>
      </c>
      <c r="C1426" s="788">
        <f>Amenities!B80</f>
        <v>0</v>
      </c>
      <c r="D1426" s="352">
        <f>Amenities!B80</f>
        <v>0</v>
      </c>
      <c r="E1426" s="321"/>
    </row>
    <row r="1427" spans="1:5">
      <c r="A1427" t="s">
        <v>2686</v>
      </c>
      <c r="B1427" s="353" t="s">
        <v>705</v>
      </c>
      <c r="C1427" s="351">
        <f>Amenities!B86</f>
        <v>0</v>
      </c>
      <c r="D1427" s="352" t="b">
        <f t="shared" si="55"/>
        <v>0</v>
      </c>
      <c r="E1427" s="321"/>
    </row>
    <row r="1428" spans="1:5">
      <c r="A1428" t="s">
        <v>2687</v>
      </c>
      <c r="B1428" s="353" t="s">
        <v>706</v>
      </c>
      <c r="C1428" s="351">
        <f>Amenities!B87</f>
        <v>0</v>
      </c>
      <c r="D1428" s="352" t="b">
        <f t="shared" si="55"/>
        <v>0</v>
      </c>
    </row>
    <row r="1429" spans="1:5">
      <c r="A1429" t="s">
        <v>2688</v>
      </c>
      <c r="B1429" s="353" t="s">
        <v>707</v>
      </c>
      <c r="C1429" s="351">
        <f>Amenities!B88</f>
        <v>0</v>
      </c>
      <c r="D1429" s="352" t="b">
        <f t="shared" si="55"/>
        <v>0</v>
      </c>
    </row>
    <row r="1430" spans="1:5">
      <c r="A1430" t="s">
        <v>2689</v>
      </c>
      <c r="B1430" s="353" t="s">
        <v>708</v>
      </c>
      <c r="C1430" s="351">
        <f>Amenities!B89</f>
        <v>0</v>
      </c>
      <c r="D1430" s="352" t="b">
        <f t="shared" si="55"/>
        <v>0</v>
      </c>
    </row>
    <row r="1431" spans="1:5">
      <c r="B1431" s="353" t="s">
        <v>709</v>
      </c>
      <c r="C1431" s="351"/>
      <c r="D1431" s="352"/>
    </row>
    <row r="1432" spans="1:5">
      <c r="B1432" s="353" t="s">
        <v>2690</v>
      </c>
      <c r="C1432" s="351">
        <f>Amenities!B91</f>
        <v>0</v>
      </c>
      <c r="D1432" s="352"/>
    </row>
    <row r="1433" spans="1:5">
      <c r="B1433" s="353" t="s">
        <v>2691</v>
      </c>
      <c r="C1433" s="351">
        <f>Amenities!B92</f>
        <v>0</v>
      </c>
      <c r="D1433" s="352"/>
    </row>
    <row r="1434" spans="1:5">
      <c r="B1434" s="353" t="s">
        <v>2692</v>
      </c>
      <c r="D1434" s="350"/>
    </row>
    <row r="1435" spans="1:5">
      <c r="A1435" t="s">
        <v>2693</v>
      </c>
      <c r="B1435" s="353" t="s">
        <v>713</v>
      </c>
      <c r="C1435" s="351">
        <f>Amenities!B95</f>
        <v>0</v>
      </c>
      <c r="D1435" s="352">
        <f>C1435</f>
        <v>0</v>
      </c>
    </row>
    <row r="1436" spans="1:5">
      <c r="A1436" t="s">
        <v>2694</v>
      </c>
      <c r="B1436" s="353" t="s">
        <v>714</v>
      </c>
      <c r="C1436" s="351">
        <f>Amenities!B96</f>
        <v>0</v>
      </c>
      <c r="D1436" s="352">
        <f>C1436</f>
        <v>0</v>
      </c>
    </row>
    <row r="1437" spans="1:5">
      <c r="B1437" s="353" t="s">
        <v>2695</v>
      </c>
      <c r="D1437" s="350"/>
    </row>
    <row r="1438" spans="1:5">
      <c r="A1438" t="s">
        <v>2696</v>
      </c>
      <c r="B1438" s="353" t="s">
        <v>606</v>
      </c>
      <c r="C1438" s="351">
        <f>Amenities!B105</f>
        <v>0</v>
      </c>
      <c r="D1438" s="352" t="b">
        <f t="shared" ref="D1438:D1452" si="57">IF(C1438="YES",TRUE, IF(C1438="No",FALSE))</f>
        <v>0</v>
      </c>
    </row>
    <row r="1439" spans="1:5">
      <c r="A1439" t="s">
        <v>2697</v>
      </c>
      <c r="B1439" s="353" t="s">
        <v>603</v>
      </c>
      <c r="C1439" s="351">
        <f>Amenities!B106</f>
        <v>0</v>
      </c>
      <c r="D1439" s="352" t="b">
        <f t="shared" si="57"/>
        <v>0</v>
      </c>
    </row>
    <row r="1440" spans="1:5">
      <c r="A1440" t="s">
        <v>2698</v>
      </c>
      <c r="B1440" s="353" t="s">
        <v>604</v>
      </c>
      <c r="C1440" s="351">
        <f>Amenities!B107</f>
        <v>0</v>
      </c>
      <c r="D1440" s="352" t="b">
        <f t="shared" si="57"/>
        <v>0</v>
      </c>
    </row>
    <row r="1441" spans="1:5">
      <c r="A1441" t="s">
        <v>2699</v>
      </c>
      <c r="B1441" s="353" t="s">
        <v>605</v>
      </c>
      <c r="C1441" s="351">
        <f>Amenities!B108</f>
        <v>0</v>
      </c>
      <c r="D1441" s="352" t="b">
        <f t="shared" si="57"/>
        <v>0</v>
      </c>
    </row>
    <row r="1442" spans="1:5">
      <c r="A1442" t="s">
        <v>2700</v>
      </c>
      <c r="B1442" s="353" t="s">
        <v>607</v>
      </c>
      <c r="C1442" s="351">
        <f>Amenities!B109</f>
        <v>0</v>
      </c>
      <c r="D1442" s="352" t="b">
        <f t="shared" si="57"/>
        <v>0</v>
      </c>
    </row>
    <row r="1443" spans="1:5">
      <c r="A1443" t="s">
        <v>2701</v>
      </c>
      <c r="B1443" s="353" t="s">
        <v>720</v>
      </c>
      <c r="C1443" s="351">
        <f>Amenities!B110</f>
        <v>0</v>
      </c>
      <c r="D1443" s="352" t="b">
        <f t="shared" si="57"/>
        <v>0</v>
      </c>
    </row>
    <row r="1444" spans="1:5" s="321" customFormat="1">
      <c r="B1444" s="883" t="str">
        <f>Amenities!A111</f>
        <v>WiFi in Unit</v>
      </c>
      <c r="C1444" s="788">
        <f>Amenities!B111</f>
        <v>0</v>
      </c>
      <c r="D1444" s="789" t="b">
        <f t="shared" si="57"/>
        <v>0</v>
      </c>
    </row>
    <row r="1445" spans="1:5">
      <c r="B1445" s="353" t="s">
        <v>2702</v>
      </c>
      <c r="D1445" s="350"/>
    </row>
    <row r="1446" spans="1:5">
      <c r="A1446" t="s">
        <v>2703</v>
      </c>
      <c r="B1446" s="353" t="s">
        <v>606</v>
      </c>
      <c r="C1446" s="351">
        <f>Amenities!B113</f>
        <v>0</v>
      </c>
      <c r="D1446" s="352" t="b">
        <f t="shared" si="57"/>
        <v>0</v>
      </c>
    </row>
    <row r="1447" spans="1:5">
      <c r="A1447" t="s">
        <v>2704</v>
      </c>
      <c r="B1447" s="353" t="s">
        <v>603</v>
      </c>
      <c r="C1447" s="351">
        <f>Amenities!B114</f>
        <v>0</v>
      </c>
      <c r="D1447" s="352" t="b">
        <f t="shared" si="57"/>
        <v>0</v>
      </c>
    </row>
    <row r="1448" spans="1:5">
      <c r="A1448" t="s">
        <v>2705</v>
      </c>
      <c r="B1448" s="353" t="s">
        <v>604</v>
      </c>
      <c r="C1448" s="351">
        <f>Amenities!B115</f>
        <v>0</v>
      </c>
      <c r="D1448" s="352" t="b">
        <f t="shared" si="57"/>
        <v>0</v>
      </c>
    </row>
    <row r="1449" spans="1:5">
      <c r="A1449" t="s">
        <v>2706</v>
      </c>
      <c r="B1449" s="353" t="s">
        <v>605</v>
      </c>
      <c r="C1449" s="351">
        <f>Amenities!B116</f>
        <v>0</v>
      </c>
      <c r="D1449" s="352" t="b">
        <f t="shared" si="57"/>
        <v>0</v>
      </c>
    </row>
    <row r="1450" spans="1:5">
      <c r="A1450" t="s">
        <v>2707</v>
      </c>
      <c r="B1450" s="353" t="s">
        <v>607</v>
      </c>
      <c r="C1450" s="351">
        <f>Amenities!B117</f>
        <v>0</v>
      </c>
      <c r="D1450" s="352" t="b">
        <f t="shared" si="57"/>
        <v>0</v>
      </c>
    </row>
    <row r="1451" spans="1:5">
      <c r="A1451" t="s">
        <v>2708</v>
      </c>
      <c r="B1451" s="353" t="s">
        <v>609</v>
      </c>
      <c r="C1451" s="351">
        <f>Amenities!B118</f>
        <v>0</v>
      </c>
      <c r="D1451" s="352" t="b">
        <f t="shared" si="57"/>
        <v>0</v>
      </c>
    </row>
    <row r="1452" spans="1:5" s="321" customFormat="1">
      <c r="B1452" s="883" t="str">
        <f>Amenities!A119</f>
        <v>WiFi in Unit</v>
      </c>
      <c r="C1452" s="788">
        <f>Amenities!B119</f>
        <v>0</v>
      </c>
      <c r="D1452" s="789" t="b">
        <f t="shared" si="57"/>
        <v>0</v>
      </c>
      <c r="E1452" s="321" t="s">
        <v>2709</v>
      </c>
    </row>
  </sheetData>
  <mergeCells count="1">
    <mergeCell ref="F302:H302"/>
  </mergeCells>
  <phoneticPr fontId="91" type="noConversion"/>
  <dataValidations count="27">
    <dataValidation type="list" showInputMessage="1" showErrorMessage="1" sqref="K713:K725" xr:uid="{2094F591-A022-4C24-9FEA-0EFE84AD054C}">
      <formula1>SD_D_PL_DealEntityRole_Name</formula1>
    </dataValidation>
    <dataValidation type="list" errorStyle="warning" showInputMessage="1" showErrorMessage="1" errorTitle="SmartDox" error="The value you entered for the dropdown is not valid." sqref="C899:C906" xr:uid="{EF673E6E-5F52-474B-B769-54D8CC798E88}">
      <formula1>SD_D_PL_TCDealFeeType_Name</formula1>
    </dataValidation>
    <dataValidation type="list" errorStyle="warning" showInputMessage="1" showErrorMessage="1" errorTitle="SmartDox" error="The value you entered for the dropdown is not valid." sqref="C236 F693:F708 C557" xr:uid="{F2A37DFA-06BA-45F5-9EAC-6B23665EF140}">
      <formula1>SD_D_PL_State_Name</formula1>
    </dataValidation>
    <dataValidation type="list" errorStyle="warning" showInputMessage="1" showErrorMessage="1" errorTitle="SmartDox" error="The value you entered for the dropdown is not valid." sqref="C242" xr:uid="{9437BD1F-6C5C-4D65-8A4E-F1DE62041C75}">
      <formula1>SD_D_PL_Jurisdiction_Name</formula1>
    </dataValidation>
    <dataValidation type="list" errorStyle="warning" showInputMessage="1" showErrorMessage="1" errorTitle="SmartDox" error="The value you entered for the dropdown is not valid." sqref="C298" xr:uid="{53B29980-74A6-4DB6-8F4B-260D68B6B224}">
      <formula1>SD_D_PL_TypeofAllocationRequested_Name</formula1>
    </dataValidation>
    <dataValidation type="list" errorStyle="warning" showInputMessage="1" showErrorMessage="1" errorTitle="SmartDox" error="The value you entered for the dropdown is not valid." sqref="C304" xr:uid="{A43451C8-625F-47C2-86C4-FF24B5F89780}">
      <formula1>SD_D_PL_TargetType_Name</formula1>
    </dataValidation>
    <dataValidation type="list" errorStyle="warning" showInputMessage="1" showErrorMessage="1" errorTitle="SmartDox" error="The value you entered for the dropdown is not valid." sqref="C511" xr:uid="{1725D202-61E6-42BB-8F65-5E9487E311C5}">
      <formula1>SD_D_PL_ExtendedUseAgreement_Name</formula1>
    </dataValidation>
    <dataValidation type="list" errorStyle="warning" showInputMessage="1" showErrorMessage="1" errorTitle="SmartDox" error="The value you entered for the dropdown is not valid." sqref="C300" xr:uid="{42CB0C67-81E4-4FF0-8EFA-0DA7A6E09C33}">
      <formula1>SD_D_PL_SiteControlType_Name</formula1>
    </dataValidation>
    <dataValidation type="list" errorStyle="warning" showInputMessage="1" showErrorMessage="1" errorTitle="SmartDox" error="The value you entered for the dropdown is not valid." sqref="C301" xr:uid="{2F5994DF-16C7-4E71-A052-4BE0514A1C0F}">
      <formula1>SD_D_PL_BldgAllocType_Name</formula1>
    </dataValidation>
    <dataValidation type="list" errorStyle="warning" showInputMessage="1" showErrorMessage="1" errorTitle="SmartDox" error="The value you entered for the dropdown is not valid." sqref="D917:D922" xr:uid="{71A89958-0900-4ED6-B810-E672C22D2F9C}">
      <formula1>SD_D_PL_TCUnitType_Name</formula1>
    </dataValidation>
    <dataValidation type="list" errorStyle="warning" showInputMessage="1" showErrorMessage="1" errorTitle="SmartDox" error="The value you entered for the dropdown is not valid." sqref="C755" xr:uid="{67633190-E232-456C-A0C8-5503D722420A}">
      <formula1>SD_D_PL_UDF_1161_Name</formula1>
    </dataValidation>
    <dataValidation type="list" errorStyle="warning" showInputMessage="1" showErrorMessage="1" errorTitle="SmartDox" error="The value you entered for the dropdown is not valid." sqref="C292" xr:uid="{17C964A0-33BD-447A-AA1C-1C9964B85C39}">
      <formula1>SD_D_PL_UDF_651_Name</formula1>
    </dataValidation>
    <dataValidation type="list" errorStyle="warning" showInputMessage="1" showErrorMessage="1" errorTitle="SmartDox" error="The value you entered for the dropdown is not valid." sqref="C254" xr:uid="{6B532A03-8751-4B0F-BA12-71EF0A50E47E}">
      <formula1>SD_D_PL_UDF_699_Name</formula1>
    </dataValidation>
    <dataValidation type="list" errorStyle="warning" showInputMessage="1" showErrorMessage="1" errorTitle="SmartDox" error="The value you entered for the dropdown is not valid." sqref="C256" xr:uid="{555DF7BC-963F-4654-9D7D-63DBD5700D8A}">
      <formula1>SD_D_PL_UDF_700_Name</formula1>
    </dataValidation>
    <dataValidation type="list" errorStyle="warning" showInputMessage="1" showErrorMessage="1" errorTitle="SmartDox" error="The value you entered for the dropdown is not valid." sqref="C263" xr:uid="{7E0C7429-13FB-432A-9A66-6868912D240D}">
      <formula1>SD_D_PL_UDF_701_Name</formula1>
    </dataValidation>
    <dataValidation type="list" errorStyle="warning" showInputMessage="1" showErrorMessage="1" errorTitle="SmartDox" error="The value you entered for the dropdown is not valid." sqref="C264" xr:uid="{D103ADEC-9C0D-4202-987D-23534ADE1516}">
      <formula1>SD_D_PL_UDF_703_Name</formula1>
    </dataValidation>
    <dataValidation type="list" errorStyle="warning" showInputMessage="1" showErrorMessage="1" errorTitle="SmartDox" error="The value you entered for the dropdown is not valid." sqref="C255" xr:uid="{2DF36AC7-F2C9-4ED4-8D1E-8F42F4E2A92B}">
      <formula1>SD_D_PL_UDF_880_Name</formula1>
    </dataValidation>
    <dataValidation type="list" errorStyle="warning" showInputMessage="1" showErrorMessage="1" errorTitle="SmartDox" error="The value you entered for the dropdown is not valid." sqref="C257" xr:uid="{A673B85C-17AE-4360-85A4-4D7DE86CFB53}">
      <formula1>SD_D_PL_UDF_882_Name</formula1>
    </dataValidation>
    <dataValidation type="list" errorStyle="warning" showInputMessage="1" showErrorMessage="1" errorTitle="SmartDox" error="The value you entered for the dropdown is not valid." sqref="C259" xr:uid="{69712000-7ED5-4B43-8118-0CD9E0191824}">
      <formula1>SD_D_PL_UDF_883_Name</formula1>
    </dataValidation>
    <dataValidation type="list" errorStyle="warning" showInputMessage="1" showErrorMessage="1" errorTitle="SmartDox" error="The value you entered for the dropdown is not valid." sqref="C260" xr:uid="{DB6D8654-92AC-4623-A911-075211E67C27}">
      <formula1>SD_D_PL_UDF_884_Name</formula1>
    </dataValidation>
    <dataValidation type="list" errorStyle="warning" showInputMessage="1" showErrorMessage="1" errorTitle="SmartDox" error="The value you entered for the dropdown is not valid." sqref="C258" xr:uid="{705099F8-327E-458B-8E82-1D381EAB5E1F}">
      <formula1>SD_D_PL_UDF_910_Name</formula1>
    </dataValidation>
    <dataValidation type="list" errorStyle="warning" showInputMessage="1" showErrorMessage="1" errorTitle="SmartDox" error="The value you entered for the dropdown is not valid." sqref="I845:I853 E869:E876" xr:uid="{3CEFFEB5-20A5-4373-9242-EDABD7E908B7}">
      <formula1>SD_D_PL_FinancingType_Name</formula1>
    </dataValidation>
    <dataValidation type="list" errorStyle="warning" showInputMessage="1" showErrorMessage="1" errorTitle="SmartDox" error="The value you entered for the dropdown is not valid." sqref="C466 C487 C484 C481 C478 C475 C472 C469" xr:uid="{AB1F4F23-94AA-4B8C-99CC-50C8A2987625}">
      <formula1>SD_D_PL_IssuingAuthority_Name</formula1>
    </dataValidation>
    <dataValidation type="list" errorStyle="warning" showInputMessage="1" showErrorMessage="1" errorTitle="SmartDox" error="The value you entered for the dropdown is not valid." sqref="C994:C1053" xr:uid="{BA1BFE82-5930-4BCB-A23C-F94FA6F8271A}">
      <formula1>SD_D_PL_IncomeTarget_Name</formula1>
    </dataValidation>
    <dataValidation type="list" errorStyle="warning" showInputMessage="1" showErrorMessage="1" errorTitle="SmartDox" error="The value you entered for the dropdown is not valid." sqref="D994:D1053" xr:uid="{F80A62D0-E76A-4851-BDEE-93B80CE91880}">
      <formula1>SD_D_PL_TCUnitMixType_Name</formula1>
    </dataValidation>
    <dataValidation type="list" errorStyle="warning" showInputMessage="1" showErrorMessage="1" errorTitle="SmartDox" error="The value you entered for the dropdown is not valid." sqref="K693:K708" xr:uid="{5C1627C0-877F-46FB-99BC-77A7F83751B5}">
      <formula1>SD_D_PL_EntityCompanyOrIndividual_Name</formula1>
    </dataValidation>
    <dataValidation type="list" errorStyle="warning" showInputMessage="1" showErrorMessage="1" errorTitle="SmartDox" error="The value you entered for the dropdown is not valid." sqref="J693:J708" xr:uid="{8EFBE2C6-1AC5-45B9-912B-2F6BACAD577D}">
      <formula1>SD_D_PL_DealEntityRole_Name</formula1>
    </dataValidation>
  </dataValidations>
  <pageMargins left="0.7" right="0.7" top="0.75" bottom="0.75" header="0.3" footer="0.3"/>
  <pageSetup orientation="portrait" r:id="rId1"/>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485"/>
  <sheetViews>
    <sheetView zoomScaleNormal="100" workbookViewId="0">
      <selection sqref="A1:M1"/>
    </sheetView>
  </sheetViews>
  <sheetFormatPr defaultRowHeight="15"/>
  <cols>
    <col min="1" max="1" width="78.7109375" customWidth="1"/>
    <col min="2" max="2" width="16" customWidth="1"/>
    <col min="3" max="3" width="35.42578125" customWidth="1"/>
    <col min="4" max="4" width="15.5703125" customWidth="1"/>
    <col min="5" max="5" width="15.140625" customWidth="1"/>
    <col min="6" max="6" width="48" customWidth="1"/>
    <col min="7" max="14" width="14.5703125" customWidth="1"/>
    <col min="15" max="15" width="16.5703125" customWidth="1"/>
    <col min="16" max="16" width="16" customWidth="1"/>
    <col min="17" max="17" width="15" customWidth="1"/>
    <col min="18" max="18" width="15.5703125" customWidth="1"/>
    <col min="19" max="19" width="13" customWidth="1"/>
    <col min="20" max="20" width="14.140625" customWidth="1"/>
    <col min="21" max="21" width="15" customWidth="1"/>
    <col min="22" max="22" width="13.5703125" customWidth="1"/>
    <col min="23" max="23" width="14" customWidth="1"/>
    <col min="24" max="24" width="14.5703125" customWidth="1"/>
    <col min="25" max="25" width="14" customWidth="1"/>
    <col min="26" max="26" width="13" customWidth="1"/>
    <col min="27" max="27" width="14" customWidth="1"/>
    <col min="28" max="29" width="20.5703125" customWidth="1"/>
    <col min="30" max="31" width="14" customWidth="1"/>
  </cols>
  <sheetData>
    <row r="1" spans="1:29" ht="27" customHeight="1">
      <c r="A1" s="956" t="s">
        <v>83</v>
      </c>
      <c r="B1" s="956"/>
      <c r="C1" s="956"/>
      <c r="D1" s="956"/>
      <c r="E1" s="956"/>
      <c r="F1" s="956"/>
      <c r="G1" s="956"/>
      <c r="H1" s="956"/>
      <c r="I1" s="956"/>
      <c r="J1" s="956"/>
      <c r="K1" s="956"/>
      <c r="L1" s="956"/>
      <c r="M1" s="956"/>
    </row>
    <row r="2" spans="1:29">
      <c r="A2" t="s">
        <v>2710</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60">
      <c r="A3" t="s">
        <v>2711</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934</v>
      </c>
      <c r="F3" s="92">
        <f>SUM(Amenities!B62:B67)</f>
        <v>0</v>
      </c>
      <c r="G3" s="9" t="s">
        <v>2712</v>
      </c>
      <c r="H3" s="92">
        <f>F3-Amenities!B72</f>
        <v>0</v>
      </c>
    </row>
    <row r="4" spans="1:29">
      <c r="A4" t="s">
        <v>2713</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936</v>
      </c>
      <c r="F4" s="94" t="str">
        <f>IF(H44=0,"",H3/H44)</f>
        <v/>
      </c>
    </row>
    <row r="5" spans="1:29">
      <c r="A5" t="s">
        <v>2714</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2715</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2716</v>
      </c>
      <c r="B7" t="b">
        <f>IF(ISNA(MATCH(Application!$B$12,Project_Type_Table[Project  Type],0)), FALSE,INDEX(Project_Type_Table[Has Acq/Rehab], MATCH(Application!$B$12,Project_Type_Table[Project  Type],0), 1))</f>
        <v>0</v>
      </c>
      <c r="C7" s="18" t="str">
        <f>IF(ISNA(MATCH(Application!$B$12,Project_Type_Table[Project  Type],0)), "PROJECT TYPE NOT SELECTED", "")</f>
        <v>PROJECT TYPE NOT SELECTED</v>
      </c>
    </row>
    <row r="8" spans="1:29">
      <c r="A8" t="s">
        <v>2717</v>
      </c>
      <c r="B8" t="b">
        <f>IF(ISNA(MATCH(Application!$B$12,Project_Type_Table[Project  Type],0)), FALSE,INDEX(Project_Type_Table[Has New Construction], MATCH(Application!$B$12,Project_Type_Table[Project  Type],0), 1))</f>
        <v>0</v>
      </c>
      <c r="C8" s="18" t="str">
        <f>IF(ISNA(MATCH(Application!$B$12,Project_Type_Table[Project  Type],0)), "PROJECT TYPE NOT SELECTED", "")</f>
        <v>PROJECT TYPE NOT SELECTED</v>
      </c>
    </row>
    <row r="9" spans="1:29">
      <c r="A9" t="s">
        <v>2718</v>
      </c>
      <c r="B9" t="b">
        <f>IF(ISNA(MATCH(Application!$B$12,Project_Type_Table[Project  Type],0)), FALSE,INDEX(Project_Type_Table[Has Rehab], MATCH(Application!$B$12,Project_Type_Table[Project  Type],0), 1))</f>
        <v>0</v>
      </c>
      <c r="C9" s="18" t="str">
        <f>IF(ISNA(MATCH(Application!$B$12,Project_Type_Table[Project  Type],0)), "PROJECT TYPE NOT SELECTED", "")</f>
        <v>PROJECT TYPE NOT SELECTED</v>
      </c>
    </row>
    <row r="10" spans="1:29">
      <c r="A10" t="s">
        <v>2719</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A11" t="s">
        <v>2720</v>
      </c>
      <c r="B11" s="150" t="str">
        <f>IF(OR(E11, F11), "", D11)</f>
        <v/>
      </c>
      <c r="D11" t="e">
        <f>INDEX(Tax_Credit_Type_Table[Type of State Tax Credit], MATCH(Application!$B$10,Tax_Credit_Type_Table[Type Of Tax Credit],0), 1)</f>
        <v>#N/A</v>
      </c>
      <c r="E11" t="b">
        <f>ISNA(D11)</f>
        <v>1</v>
      </c>
      <c r="F11" t="b">
        <f>IF(ISNA(D11=0),TRUE,D11=0)</f>
        <v>1</v>
      </c>
      <c r="G11" s="13"/>
    </row>
    <row r="12" spans="1:29">
      <c r="G12" s="13"/>
    </row>
    <row r="13" spans="1:29">
      <c r="A13" t="s">
        <v>239</v>
      </c>
      <c r="B13">
        <f>Application!B31</f>
        <v>0</v>
      </c>
      <c r="C13" s="18" t="str">
        <f>IF(B13=0, "COUNTY MISSING", "")</f>
        <v>COUNTY MISSING</v>
      </c>
      <c r="D13" t="e">
        <f>IF(OR(ISNA(INDEX(Tax_Credit_Type_Table[Type of State Tax Credit], MATCH(Application!$B$10,Tax_Credit_Type_Table[Type Of Tax Credit],0), 1)), INDEX(Tax_Credit_Type_Table[Type of State Tax Credit], MATCH(Application!$B$10,Tax_Credit_Type_Table[Type Of Tax Credit],0), 1) = 0), "", INDEX(Tax_Credit_Type_Table[Type of State Tax Credit], MATCH(Application!$B$10,Tax_Credit_Type_Table[Type Of Tax Credit],0), 1))</f>
        <v>#N/A</v>
      </c>
      <c r="G13" s="14"/>
      <c r="O13" s="12"/>
      <c r="P13" s="12"/>
      <c r="Q13" s="12"/>
      <c r="R13" s="12"/>
      <c r="S13" s="12"/>
      <c r="T13" s="12"/>
      <c r="U13" s="12"/>
      <c r="V13" s="12"/>
      <c r="W13" s="12"/>
      <c r="X13" s="12"/>
      <c r="Y13" s="12"/>
      <c r="Z13" s="12"/>
      <c r="AA13" s="12"/>
      <c r="AB13" s="12"/>
      <c r="AC13" s="12"/>
    </row>
    <row r="14" spans="1:29">
      <c r="A14" t="s">
        <v>2721</v>
      </c>
      <c r="B14">
        <f>IF(ISNA(MATCH(B13,Admin!$A$107:$A$170,0)), -1, MATCH(B13,Admin!$A$107:$A$170,0))</f>
        <v>-1</v>
      </c>
      <c r="G14" s="14"/>
    </row>
    <row r="15" spans="1:29">
      <c r="A15" t="s">
        <v>240</v>
      </c>
      <c r="B15">
        <f>Application!B32</f>
        <v>0</v>
      </c>
      <c r="C15" s="18" t="str">
        <f>IF(B15=0, "CENSUS TRACT MISSING", "")</f>
        <v>CENSUS TRACT MISSING</v>
      </c>
      <c r="G15" s="14"/>
    </row>
    <row r="16" spans="1:29">
      <c r="A16" t="s">
        <v>829</v>
      </c>
      <c r="B16" s="92" t="str">
        <f>IFERROR(VALUE(LEFT(Application!$B$30, 5)), "")</f>
        <v/>
      </c>
      <c r="C16" s="18" t="str">
        <f>IF(LEN(B16)&lt;&gt; 5, "ZIP MISSING OR INCORRECT", "")</f>
        <v>ZIP MISSING OR INCORRECT</v>
      </c>
      <c r="O16" s="70"/>
      <c r="P16" s="70"/>
      <c r="Q16" s="70"/>
      <c r="R16" s="70"/>
      <c r="S16" s="70"/>
      <c r="T16" s="70"/>
    </row>
    <row r="17" spans="1:13">
      <c r="A17" t="s">
        <v>2722</v>
      </c>
      <c r="B17" s="16" t="b" cm="1">
        <f t="array" ref="B17">IF($B$14 = -1, FALSE, INDEX(Admin!A107:F170, $B$14, COLUMN(Admin!F106)))</f>
        <v>0</v>
      </c>
      <c r="C17" s="16" t="str">
        <f>IF(B17,"DDA","")</f>
        <v/>
      </c>
      <c r="M17" s="70"/>
    </row>
    <row r="18" spans="1:13">
      <c r="A18" t="s">
        <v>1734</v>
      </c>
      <c r="B18" s="16" t="b">
        <f>IF(ISNA(MATCH(B16,SADDA_Zip_Table[SADDA Zip],0)), FALSE, MATCH(B16,SADDA_Zip_Table[SADDA Zip],0)  &gt; 0)</f>
        <v>0</v>
      </c>
      <c r="C18" s="16" t="str">
        <f>IF(B18,"SADDA","")</f>
        <v/>
      </c>
    </row>
    <row r="19" spans="1:13">
      <c r="A19" t="s">
        <v>2723</v>
      </c>
      <c r="B19" s="16" t="b">
        <f>IFERROR(MATCH(B15,INDEX(Admin!$G$107:$BF$170, B14,0),0), 0) &gt;0</f>
        <v>0</v>
      </c>
      <c r="C19" s="16" t="str">
        <f>IF(B19,"QCT","")</f>
        <v/>
      </c>
      <c r="M19" s="70"/>
    </row>
    <row r="20" spans="1:13">
      <c r="A20" t="s">
        <v>2724</v>
      </c>
      <c r="B20" t="b">
        <f>OR(B17,B18,B19)</f>
        <v>0</v>
      </c>
      <c r="M20" s="70"/>
    </row>
    <row r="21" spans="1:13">
      <c r="A21" t="s">
        <v>2725</v>
      </c>
      <c r="B21" t="b">
        <f>Application!$B$8="Yes"</f>
        <v>0</v>
      </c>
    </row>
    <row r="24" spans="1:13">
      <c r="A24" t="s">
        <v>2726</v>
      </c>
      <c r="B24" t="b">
        <f>Application!$B$63 &gt; 0</f>
        <v>0</v>
      </c>
      <c r="H24" s="92"/>
      <c r="I24" s="49"/>
    </row>
    <row r="25" spans="1:13">
      <c r="A25" t="s">
        <v>2727</v>
      </c>
      <c r="B25" s="65">
        <f>SUM(Financing!B46:B48,Financing!B53:B58,Financing!B63:B70,Financing!B75:B76)</f>
        <v>0</v>
      </c>
      <c r="G25" s="14"/>
    </row>
    <row r="26" spans="1:13">
      <c r="A26" t="s">
        <v>2728</v>
      </c>
      <c r="B26" s="65">
        <f>SUM(Financing!B9:B11,Financing!B26:B33,Financing!B38:B39)</f>
        <v>0</v>
      </c>
      <c r="G26" s="14"/>
    </row>
    <row r="27" spans="1:13">
      <c r="G27" s="14"/>
    </row>
    <row r="28" spans="1:13">
      <c r="A28" t="s">
        <v>2729</v>
      </c>
      <c r="B28" s="92">
        <f>Application!B57</f>
        <v>0</v>
      </c>
      <c r="G28" s="14"/>
    </row>
    <row r="29" spans="1:13">
      <c r="G29" s="14"/>
    </row>
    <row r="30" spans="1:13">
      <c r="A30" s="99" t="s">
        <v>19</v>
      </c>
      <c r="B30" s="99"/>
      <c r="C30" s="99"/>
      <c r="D30" s="99"/>
      <c r="E30" s="99"/>
      <c r="F30" s="99"/>
      <c r="G30" s="99"/>
      <c r="H30" s="71"/>
      <c r="I30" s="71"/>
      <c r="J30" s="71"/>
      <c r="K30" s="71"/>
      <c r="L30" s="71"/>
      <c r="M30" s="71"/>
    </row>
    <row r="31" spans="1:13">
      <c r="G31" s="14"/>
    </row>
    <row r="32" spans="1:13">
      <c r="A32" s="72" t="s">
        <v>373</v>
      </c>
      <c r="B32" s="72" t="s">
        <v>1197</v>
      </c>
      <c r="C32" s="72" t="s">
        <v>1198</v>
      </c>
      <c r="D32" s="72" t="s">
        <v>1199</v>
      </c>
      <c r="E32" s="72" t="s">
        <v>1200</v>
      </c>
      <c r="F32" s="72" t="s">
        <v>1201</v>
      </c>
      <c r="G32" s="72" t="s">
        <v>2730</v>
      </c>
      <c r="H32" s="72" t="s">
        <v>924</v>
      </c>
      <c r="I32" s="70"/>
    </row>
    <row r="33" spans="1:15">
      <c r="A33" s="70">
        <v>0.2</v>
      </c>
      <c r="B33">
        <f>SUMIFS('Unit Mix &amp; Rents'!$D$17:$D$76,'Unit Mix &amp; Rents'!$A$17:$A$76,$A33,'Unit Mix &amp; Rents'!$B$17:$B$76,B$32)</f>
        <v>0</v>
      </c>
      <c r="C33">
        <f>SUMIFS('Unit Mix &amp; Rents'!$D$17:$D$76,'Unit Mix &amp; Rents'!$A$17:$A$76,$A33,'Unit Mix &amp; Rents'!$B$17:$B$76,C$32)</f>
        <v>0</v>
      </c>
      <c r="D33">
        <f>SUMIFS('Unit Mix &amp; Rents'!$D$17:$D$76,'Unit Mix &amp; Rents'!$A$17:$A$76,$A33,'Unit Mix &amp; Rents'!$B$17:$B$76,D$32)</f>
        <v>0</v>
      </c>
      <c r="E33">
        <f>SUMIFS('Unit Mix &amp; Rents'!$D$17:$D$76,'Unit Mix &amp; Rents'!$A$17:$A$76,$A33,'Unit Mix &amp; Rents'!$B$17:$B$76,E$32)</f>
        <v>0</v>
      </c>
      <c r="F33">
        <f>SUMIFS('Unit Mix &amp; Rents'!$D$17:$D$76,'Unit Mix &amp; Rents'!$A$17:$A$76,$A33,'Unit Mix &amp; Rents'!$B$17:$B$76,F$32)</f>
        <v>0</v>
      </c>
      <c r="G33">
        <f>SUMIFS('Unit Mix &amp; Rents'!$D$17:$D$76,'Unit Mix &amp; Rents'!$A$17:$A$76,$A33,'Unit Mix &amp; Rents'!$B$17:$B$76,G$32)</f>
        <v>0</v>
      </c>
      <c r="H33">
        <f>SUM(B33:G33)</f>
        <v>0</v>
      </c>
      <c r="I33" s="70"/>
    </row>
    <row r="34" spans="1:15">
      <c r="A34" s="70">
        <v>0.3</v>
      </c>
      <c r="B34">
        <f>SUMIFS('Unit Mix &amp; Rents'!$D$17:$D$76,'Unit Mix &amp; Rents'!$A$17:$A$76,$A34,'Unit Mix &amp; Rents'!$B$17:$B$76,B$32)</f>
        <v>0</v>
      </c>
      <c r="C34">
        <f>SUMIFS('Unit Mix &amp; Rents'!$D$17:$D$76,'Unit Mix &amp; Rents'!$A$17:$A$76,$A34,'Unit Mix &amp; Rents'!$B$17:$B$76,C$32)</f>
        <v>0</v>
      </c>
      <c r="D34">
        <f>SUMIFS('Unit Mix &amp; Rents'!$D$17:$D$76,'Unit Mix &amp; Rents'!$A$17:$A$76,$A34,'Unit Mix &amp; Rents'!$B$17:$B$76,D$32)</f>
        <v>0</v>
      </c>
      <c r="E34">
        <f>SUMIFS('Unit Mix &amp; Rents'!$D$17:$D$76,'Unit Mix &amp; Rents'!$A$17:$A$76,$A34,'Unit Mix &amp; Rents'!$B$17:$B$76,E$32)</f>
        <v>0</v>
      </c>
      <c r="F34">
        <f>SUMIFS('Unit Mix &amp; Rents'!$D$17:$D$76,'Unit Mix &amp; Rents'!$A$17:$A$76,$A34,'Unit Mix &amp; Rents'!$B$17:$B$76,F$32)</f>
        <v>0</v>
      </c>
      <c r="G34">
        <f>SUMIFS('Unit Mix &amp; Rents'!$D$17:$D$76,'Unit Mix &amp; Rents'!$A$17:$A$76,$A34,'Unit Mix &amp; Rents'!$B$17:$B$76,G$32)</f>
        <v>0</v>
      </c>
      <c r="H34">
        <f>SUM(B34:G34)</f>
        <v>0</v>
      </c>
      <c r="I34" s="70"/>
    </row>
    <row r="35" spans="1:15">
      <c r="A35" s="70">
        <v>0.4</v>
      </c>
      <c r="B35">
        <f>SUMIFS('Unit Mix &amp; Rents'!$D$17:$D$76,'Unit Mix &amp; Rents'!$A$17:$A$76,$A35,'Unit Mix &amp; Rents'!$B$17:$B$76,B$32)</f>
        <v>0</v>
      </c>
      <c r="C35">
        <f>SUMIFS('Unit Mix &amp; Rents'!$D$17:$D$76,'Unit Mix &amp; Rents'!$A$17:$A$76,$A35,'Unit Mix &amp; Rents'!$B$17:$B$76,C$32)</f>
        <v>0</v>
      </c>
      <c r="D35">
        <f>SUMIFS('Unit Mix &amp; Rents'!$D$17:$D$76,'Unit Mix &amp; Rents'!$A$17:$A$76,$A35,'Unit Mix &amp; Rents'!$B$17:$B$76,D$32)</f>
        <v>0</v>
      </c>
      <c r="E35">
        <f>SUMIFS('Unit Mix &amp; Rents'!$D$17:$D$76,'Unit Mix &amp; Rents'!$A$17:$A$76,$A35,'Unit Mix &amp; Rents'!$B$17:$B$76,E$32)</f>
        <v>0</v>
      </c>
      <c r="F35">
        <f>SUMIFS('Unit Mix &amp; Rents'!$D$17:$D$76,'Unit Mix &amp; Rents'!$A$17:$A$76,$A35,'Unit Mix &amp; Rents'!$B$17:$B$76,F$32)</f>
        <v>0</v>
      </c>
      <c r="G35">
        <f>SUMIFS('Unit Mix &amp; Rents'!$D$17:$D$76,'Unit Mix &amp; Rents'!$A$17:$A$76,$A35,'Unit Mix &amp; Rents'!$B$17:$B$76,G$32)</f>
        <v>0</v>
      </c>
      <c r="H35">
        <f>SUM(B35:G35)</f>
        <v>0</v>
      </c>
      <c r="I35" s="70"/>
    </row>
    <row r="36" spans="1:15">
      <c r="A36" s="70">
        <v>0.5</v>
      </c>
      <c r="B36">
        <f>SUMIFS('Unit Mix &amp; Rents'!$D$17:$D$76,'Unit Mix &amp; Rents'!$A$17:$A$76,$A36,'Unit Mix &amp; Rents'!$B$17:$B$76,B$32)</f>
        <v>0</v>
      </c>
      <c r="C36">
        <f>SUMIFS('Unit Mix &amp; Rents'!$D$17:$D$76,'Unit Mix &amp; Rents'!$A$17:$A$76,$A36,'Unit Mix &amp; Rents'!$B$17:$B$76,C$32)</f>
        <v>0</v>
      </c>
      <c r="D36">
        <f>SUMIFS('Unit Mix &amp; Rents'!$D$17:$D$76,'Unit Mix &amp; Rents'!$A$17:$A$76,$A36,'Unit Mix &amp; Rents'!$B$17:$B$76,D$32)</f>
        <v>0</v>
      </c>
      <c r="E36">
        <f>SUMIFS('Unit Mix &amp; Rents'!$D$17:$D$76,'Unit Mix &amp; Rents'!$A$17:$A$76,$A36,'Unit Mix &amp; Rents'!$B$17:$B$76,E$32)</f>
        <v>0</v>
      </c>
      <c r="F36">
        <f>SUMIFS('Unit Mix &amp; Rents'!$D$17:$D$76,'Unit Mix &amp; Rents'!$A$17:$A$76,$A36,'Unit Mix &amp; Rents'!$B$17:$B$76,F$32)</f>
        <v>0</v>
      </c>
      <c r="G36">
        <f>SUMIFS('Unit Mix &amp; Rents'!$D$17:$D$76,'Unit Mix &amp; Rents'!$A$17:$A$76,$A36,'Unit Mix &amp; Rents'!$B$17:$B$76,G$32)</f>
        <v>0</v>
      </c>
      <c r="H36">
        <f>SUM(B36:G36)</f>
        <v>0</v>
      </c>
      <c r="I36" s="70"/>
    </row>
    <row r="37" spans="1:15">
      <c r="A37" s="70">
        <v>0.6</v>
      </c>
      <c r="B37">
        <f>SUMIFS('Unit Mix &amp; Rents'!$D$17:$D$76,'Unit Mix &amp; Rents'!$A$17:$A$76,$A37,'Unit Mix &amp; Rents'!$B$17:$B$76,B$32)</f>
        <v>0</v>
      </c>
      <c r="C37">
        <f>SUMIFS('Unit Mix &amp; Rents'!$D$17:$D$76,'Unit Mix &amp; Rents'!$A$17:$A$76,$A37,'Unit Mix &amp; Rents'!$B$17:$B$76,C$32)</f>
        <v>0</v>
      </c>
      <c r="D37">
        <f>SUMIFS('Unit Mix &amp; Rents'!$D$17:$D$76,'Unit Mix &amp; Rents'!$A$17:$A$76,$A37,'Unit Mix &amp; Rents'!$B$17:$B$76,D$32)</f>
        <v>0</v>
      </c>
      <c r="E37">
        <f>SUMIFS('Unit Mix &amp; Rents'!$D$17:$D$76,'Unit Mix &amp; Rents'!$A$17:$A$76,$A37,'Unit Mix &amp; Rents'!$B$17:$B$76,E$32)</f>
        <v>0</v>
      </c>
      <c r="F37">
        <f>SUMIFS('Unit Mix &amp; Rents'!$D$17:$D$76,'Unit Mix &amp; Rents'!$A$17:$A$76,$A37,'Unit Mix &amp; Rents'!$B$17:$B$76,F$32)</f>
        <v>0</v>
      </c>
      <c r="G37">
        <f>SUMIFS('Unit Mix &amp; Rents'!$D$17:$D$76,'Unit Mix &amp; Rents'!$A$17:$A$76,$A37,'Unit Mix &amp; Rents'!$B$17:$B$76,G$32)</f>
        <v>0</v>
      </c>
      <c r="H37">
        <f>SUM(B37:G37)</f>
        <v>0</v>
      </c>
      <c r="I37" s="70"/>
    </row>
    <row r="38" spans="1:15">
      <c r="A38" s="70">
        <v>0.7</v>
      </c>
      <c r="B38">
        <f>SUMIFS('Unit Mix &amp; Rents'!$D$17:$D$76,'Unit Mix &amp; Rents'!$A$17:$A$76,$A38,'Unit Mix &amp; Rents'!$B$17:$B$76,B$32)</f>
        <v>0</v>
      </c>
      <c r="C38">
        <f>SUMIFS('Unit Mix &amp; Rents'!$D$17:$D$76,'Unit Mix &amp; Rents'!$A$17:$A$76,$A38,'Unit Mix &amp; Rents'!$B$17:$B$76,C$32)</f>
        <v>0</v>
      </c>
      <c r="D38">
        <f>SUMIFS('Unit Mix &amp; Rents'!$D$17:$D$76,'Unit Mix &amp; Rents'!$A$17:$A$76,$A38,'Unit Mix &amp; Rents'!$B$17:$B$76,D$32)</f>
        <v>0</v>
      </c>
      <c r="E38">
        <f>SUMIFS('Unit Mix &amp; Rents'!$D$17:$D$76,'Unit Mix &amp; Rents'!$A$17:$A$76,$A38,'Unit Mix &amp; Rents'!$B$17:$B$76,E$32)</f>
        <v>0</v>
      </c>
      <c r="F38">
        <f>SUMIFS('Unit Mix &amp; Rents'!$D$17:$D$76,'Unit Mix &amp; Rents'!$A$17:$A$76,$A38,'Unit Mix &amp; Rents'!$B$17:$B$76,F$32)</f>
        <v>0</v>
      </c>
      <c r="G38">
        <f>SUMIFS('Unit Mix &amp; Rents'!$D$17:$D$76,'Unit Mix &amp; Rents'!$A$17:$A$76,$A38,'Unit Mix &amp; Rents'!$B$17:$B$76,G$32)</f>
        <v>0</v>
      </c>
      <c r="H38">
        <f t="shared" ref="H38:H39" si="0">SUM(B38:G38)</f>
        <v>0</v>
      </c>
      <c r="I38" s="70"/>
    </row>
    <row r="39" spans="1:15">
      <c r="A39" s="70">
        <v>0.8</v>
      </c>
      <c r="B39">
        <f>SUMIFS('Unit Mix &amp; Rents'!$D$17:$D$76,'Unit Mix &amp; Rents'!$A$17:$A$76,$A39,'Unit Mix &amp; Rents'!$B$17:$B$76,B$32)</f>
        <v>0</v>
      </c>
      <c r="C39">
        <f>SUMIFS('Unit Mix &amp; Rents'!$D$17:$D$76,'Unit Mix &amp; Rents'!$A$17:$A$76,$A39,'Unit Mix &amp; Rents'!$B$17:$B$76,C$32)</f>
        <v>0</v>
      </c>
      <c r="D39">
        <f>SUMIFS('Unit Mix &amp; Rents'!$D$17:$D$76,'Unit Mix &amp; Rents'!$A$17:$A$76,$A39,'Unit Mix &amp; Rents'!$B$17:$B$76,D$32)</f>
        <v>0</v>
      </c>
      <c r="E39">
        <f>SUMIFS('Unit Mix &amp; Rents'!$D$17:$D$76,'Unit Mix &amp; Rents'!$A$17:$A$76,$A39,'Unit Mix &amp; Rents'!$B$17:$B$76,E$32)</f>
        <v>0</v>
      </c>
      <c r="F39">
        <f>SUMIFS('Unit Mix &amp; Rents'!$D$17:$D$76,'Unit Mix &amp; Rents'!$A$17:$A$76,$A39,'Unit Mix &amp; Rents'!$B$17:$B$76,F$32)</f>
        <v>0</v>
      </c>
      <c r="G39">
        <f>SUMIFS('Unit Mix &amp; Rents'!$D$17:$D$76,'Unit Mix &amp; Rents'!$A$17:$A$76,$A39,'Unit Mix &amp; Rents'!$B$17:$B$76,G$32)</f>
        <v>0</v>
      </c>
      <c r="H39">
        <f t="shared" si="0"/>
        <v>0</v>
      </c>
      <c r="I39" s="70"/>
      <c r="K39" s="16" t="s">
        <v>2731</v>
      </c>
      <c r="L39" s="16"/>
      <c r="M39" s="16"/>
      <c r="N39" s="16"/>
      <c r="O39" s="16"/>
    </row>
    <row r="40" spans="1:15">
      <c r="A40" t="s">
        <v>2732</v>
      </c>
      <c r="B40" s="1">
        <f>SUM(B33:B39)</f>
        <v>0</v>
      </c>
      <c r="C40" s="1">
        <f t="shared" ref="C40:H40" si="1">SUM(C33:C39)</f>
        <v>0</v>
      </c>
      <c r="D40" s="1">
        <f t="shared" si="1"/>
        <v>0</v>
      </c>
      <c r="E40" s="1">
        <f t="shared" si="1"/>
        <v>0</v>
      </c>
      <c r="F40" s="1">
        <f t="shared" si="1"/>
        <v>0</v>
      </c>
      <c r="G40" s="1">
        <f t="shared" si="1"/>
        <v>0</v>
      </c>
      <c r="H40" s="121">
        <f t="shared" si="1"/>
        <v>0</v>
      </c>
      <c r="K40" s="393" t="s">
        <v>2733</v>
      </c>
      <c r="L40" s="394">
        <f>IFERROR(SUMPRODUCT(A33:A39,H33:H39)/H40,0)</f>
        <v>0</v>
      </c>
      <c r="M40" s="16"/>
      <c r="N40" s="16"/>
      <c r="O40" s="16"/>
    </row>
    <row r="41" spans="1:15">
      <c r="K41" s="393" t="s">
        <v>2734</v>
      </c>
      <c r="L41" s="16" t="b">
        <f>L40&lt;=0.6</f>
        <v>1</v>
      </c>
      <c r="M41" s="16" t="str">
        <f>IF(L40&lt;=0.6,"Average Income midpoint is less than 60%","Average Income midpoint exceeds 60%")</f>
        <v>Average Income midpoint is less than 60%</v>
      </c>
      <c r="N41" s="16"/>
      <c r="O41" s="16"/>
    </row>
    <row r="42" spans="1:15">
      <c r="A42" t="s">
        <v>2735</v>
      </c>
      <c r="B42">
        <f>SUMIFS('Unit Mix &amp; Rents'!$D$17:$D$76,'Unit Mix &amp; Rents'!$A$17:$A$76,$A42,'Unit Mix &amp; Rents'!$B$17:$B$76,B$32)</f>
        <v>0</v>
      </c>
      <c r="C42">
        <f>SUMIFS('Unit Mix &amp; Rents'!$D$17:$D$76,'Unit Mix &amp; Rents'!$A$17:$A$76,$A42,'Unit Mix &amp; Rents'!$B$17:$B$76,C$32)</f>
        <v>0</v>
      </c>
      <c r="D42">
        <f>SUMIFS('Unit Mix &amp; Rents'!$D$17:$D$76,'Unit Mix &amp; Rents'!$A$17:$A$76,$A42,'Unit Mix &amp; Rents'!$B$17:$B$76,D$32)</f>
        <v>0</v>
      </c>
      <c r="E42">
        <f>SUMIFS('Unit Mix &amp; Rents'!$D$17:$D$76,'Unit Mix &amp; Rents'!$A$17:$A$76,$A42,'Unit Mix &amp; Rents'!$B$17:$B$76,E$32)</f>
        <v>0</v>
      </c>
      <c r="F42">
        <f>SUMIFS('Unit Mix &amp; Rents'!$D$17:$D$76,'Unit Mix &amp; Rents'!$A$17:$A$76,$A42,'Unit Mix &amp; Rents'!$B$17:$B$76,F$32)</f>
        <v>0</v>
      </c>
      <c r="G42">
        <f>SUMIFS('Unit Mix &amp; Rents'!$D$17:$D$76,'Unit Mix &amp; Rents'!$A$17:$A$76,$A42,'Unit Mix &amp; Rents'!$B$17:$B$76,G$32)</f>
        <v>0</v>
      </c>
      <c r="H42">
        <f>SUM(B42:G42)</f>
        <v>0</v>
      </c>
      <c r="K42" t="s">
        <v>2733</v>
      </c>
      <c r="L42" t="b">
        <f>AND(B5,M42,NOT(OR(N42,O42)))</f>
        <v>0</v>
      </c>
      <c r="M42" t="b">
        <f>Scoring!B5 = "Average Income"</f>
        <v>0</v>
      </c>
      <c r="N42" t="b">
        <f>IF(H44 = 0, TRUE,  SUM(H33:H36)/H44 &gt;= 0.2)</f>
        <v>1</v>
      </c>
      <c r="O42" t="b">
        <f>IF(H44 = 0, TRUE,  SUM(H33:H37)/H44 &gt;= 0.4)</f>
        <v>1</v>
      </c>
    </row>
    <row r="43" spans="1:15">
      <c r="A43" s="70">
        <v>1</v>
      </c>
      <c r="B43">
        <f>SUMIFS('Unit Mix &amp; Rents'!$D$17:$D$76,'Unit Mix &amp; Rents'!$A$17:$A$76,$A43,'Unit Mix &amp; Rents'!$B$17:$B$76,B$32)</f>
        <v>0</v>
      </c>
      <c r="C43">
        <f>SUMIFS('Unit Mix &amp; Rents'!$D$17:$D$76,'Unit Mix &amp; Rents'!$A$17:$A$76,$A43,'Unit Mix &amp; Rents'!$B$17:$B$76,C$32)</f>
        <v>0</v>
      </c>
      <c r="D43">
        <f>SUMIFS('Unit Mix &amp; Rents'!$D$17:$D$76,'Unit Mix &amp; Rents'!$A$17:$A$76,$A43,'Unit Mix &amp; Rents'!$B$17:$B$76,D$32)</f>
        <v>0</v>
      </c>
      <c r="E43">
        <f>SUMIFS('Unit Mix &amp; Rents'!$D$17:$D$76,'Unit Mix &amp; Rents'!$A$17:$A$76,$A43,'Unit Mix &amp; Rents'!$B$17:$B$76,E$32)</f>
        <v>0</v>
      </c>
      <c r="F43">
        <f>SUMIFS('Unit Mix &amp; Rents'!$D$17:$D$76,'Unit Mix &amp; Rents'!$A$17:$A$76,$A43,'Unit Mix &amp; Rents'!$B$17:$B$76,F$32)</f>
        <v>0</v>
      </c>
      <c r="G43">
        <f>SUMIFS('Unit Mix &amp; Rents'!$D$17:$D$76,'Unit Mix &amp; Rents'!$A$17:$A$76,$A43,'Unit Mix &amp; Rents'!$B$17:$B$76,G$32)</f>
        <v>0</v>
      </c>
      <c r="H43">
        <f>SUM(B43:G43)</f>
        <v>0</v>
      </c>
      <c r="I43" s="70"/>
      <c r="L43" t="str">
        <f>INDEX(Comments_Average_Income_table[],MATCH(L42,Comments_Average_Income_table[Average Income],0),2)</f>
        <v xml:space="preserve">  </v>
      </c>
    </row>
    <row r="44" spans="1:15">
      <c r="A44" t="s">
        <v>924</v>
      </c>
      <c r="B44">
        <f t="shared" ref="B44:G44" si="2">SUM(B40:B43)</f>
        <v>0</v>
      </c>
      <c r="C44">
        <f t="shared" si="2"/>
        <v>0</v>
      </c>
      <c r="D44">
        <f t="shared" si="2"/>
        <v>0</v>
      </c>
      <c r="E44">
        <f t="shared" si="2"/>
        <v>0</v>
      </c>
      <c r="F44">
        <f t="shared" si="2"/>
        <v>0</v>
      </c>
      <c r="G44">
        <f t="shared" si="2"/>
        <v>0</v>
      </c>
      <c r="H44">
        <f>SUM(B44:G44)</f>
        <v>0</v>
      </c>
      <c r="K44" t="s">
        <v>2736</v>
      </c>
      <c r="L44" s="304">
        <f>SUM(H38:H39)</f>
        <v>0</v>
      </c>
      <c r="M44" t="b">
        <f>Scoring!B5 = "Average Income"</f>
        <v>0</v>
      </c>
      <c r="O44" s="67"/>
    </row>
    <row r="45" spans="1:15">
      <c r="A45" t="s">
        <v>2108</v>
      </c>
      <c r="B45">
        <f>1*B44</f>
        <v>0</v>
      </c>
      <c r="C45">
        <f>1*C44</f>
        <v>0</v>
      </c>
      <c r="D45">
        <f>2*D44</f>
        <v>0</v>
      </c>
      <c r="E45">
        <f>3*E44</f>
        <v>0</v>
      </c>
      <c r="F45">
        <f>4*F44</f>
        <v>0</v>
      </c>
      <c r="G45">
        <f>5*G44</f>
        <v>0</v>
      </c>
      <c r="H45">
        <f>SUM(B45:G45)</f>
        <v>0</v>
      </c>
      <c r="O45" s="67"/>
    </row>
    <row r="46" spans="1:15">
      <c r="A46" t="s">
        <v>2737</v>
      </c>
      <c r="H46">
        <f>H40+H42</f>
        <v>0</v>
      </c>
      <c r="O46" s="67"/>
    </row>
    <row r="47" spans="1:15">
      <c r="A47" s="72" t="s">
        <v>1045</v>
      </c>
      <c r="B47" s="72" t="s">
        <v>2738</v>
      </c>
      <c r="C47" s="72" t="s">
        <v>2739</v>
      </c>
      <c r="D47" s="72" t="s">
        <v>2740</v>
      </c>
      <c r="E47" s="72" t="s">
        <v>2741</v>
      </c>
      <c r="F47" s="72" t="s">
        <v>2742</v>
      </c>
      <c r="G47" s="72" t="s">
        <v>2743</v>
      </c>
      <c r="H47" s="72" t="s">
        <v>2744</v>
      </c>
      <c r="O47" t="s">
        <v>1046</v>
      </c>
    </row>
    <row r="48" spans="1:15">
      <c r="A48" s="70">
        <v>0.2</v>
      </c>
      <c r="B48" s="77">
        <f>SUMPRODUCT('Unit Mix &amp; Rents'!$C$17:$C$76,'Unit Mix &amp; Rents'!$D$17:$D$76 * ('Unit Mix &amp; Rents'!$A$17:$A$76=$A48) * (LEFT('Unit Mix &amp; Rents'!$B$17:$B$76, 5) =B$47))</f>
        <v>0</v>
      </c>
      <c r="C48" s="77">
        <f>SUMPRODUCT('Unit Mix &amp; Rents'!$C$17:$C$76,'Unit Mix &amp; Rents'!$D$17:$D$76 * ('Unit Mix &amp; Rents'!$A$17:$A$76=$A48) * (LEFT('Unit Mix &amp; Rents'!$B$17:$B$76, 5) =C$47))</f>
        <v>0</v>
      </c>
      <c r="D48" s="77">
        <f>SUMPRODUCT('Unit Mix &amp; Rents'!$C$17:$C$76,'Unit Mix &amp; Rents'!$D$17:$D$76 * ('Unit Mix &amp; Rents'!$A$17:$A$76=$A48) * (LEFT('Unit Mix &amp; Rents'!$B$17:$B$76, 5) =D$47))</f>
        <v>0</v>
      </c>
      <c r="E48" s="77">
        <f>SUMPRODUCT('Unit Mix &amp; Rents'!$C$17:$C$76,'Unit Mix &amp; Rents'!$D$17:$D$76 * ('Unit Mix &amp; Rents'!$A$17:$A$76=$A48) * (LEFT('Unit Mix &amp; Rents'!$B$17:$B$76, 5) =E$47))</f>
        <v>0</v>
      </c>
      <c r="F48" s="77">
        <f>SUMPRODUCT('Unit Mix &amp; Rents'!$C$17:$C$76,'Unit Mix &amp; Rents'!$D$17:$D$76 * ('Unit Mix &amp; Rents'!$A$17:$A$76=$A48) * (LEFT('Unit Mix &amp; Rents'!$B$17:$B$76, 5) =F$47))</f>
        <v>0</v>
      </c>
      <c r="G48" s="77">
        <f>SUMPRODUCT('Unit Mix &amp; Rents'!$C$17:$C$76,'Unit Mix &amp; Rents'!$D$17:$D$76 * ('Unit Mix &amp; Rents'!$A$17:$A$76=$A48) * (LEFT('Unit Mix &amp; Rents'!$B$17:$B$76, 5) =G$47))</f>
        <v>0</v>
      </c>
      <c r="H48" s="77">
        <f>SUM(B48:G48)</f>
        <v>0</v>
      </c>
      <c r="K48" t="s">
        <v>2745</v>
      </c>
      <c r="N48">
        <f>H59</f>
        <v>0</v>
      </c>
      <c r="O48" s="8" t="e">
        <f>N48/N49</f>
        <v>#DIV/0!</v>
      </c>
    </row>
    <row r="49" spans="1:16">
      <c r="A49" s="70">
        <v>0.3</v>
      </c>
      <c r="B49" s="77">
        <f>SUMPRODUCT('Unit Mix &amp; Rents'!$C$17:$C$76,'Unit Mix &amp; Rents'!$D$17:$D$76 * ('Unit Mix &amp; Rents'!$A$17:$A$76=$A49) * (LEFT('Unit Mix &amp; Rents'!$B$17:$B$76, 5) =B$47))</f>
        <v>0</v>
      </c>
      <c r="C49" s="77">
        <f>SUMPRODUCT('Unit Mix &amp; Rents'!$C$17:$C$76,'Unit Mix &amp; Rents'!$D$17:$D$76 * ('Unit Mix &amp; Rents'!$A$17:$A$76=$A49) * (LEFT('Unit Mix &amp; Rents'!$B$17:$B$76, 5) =C$47))</f>
        <v>0</v>
      </c>
      <c r="D49" s="77">
        <f>SUMPRODUCT('Unit Mix &amp; Rents'!$C$17:$C$76,'Unit Mix &amp; Rents'!$D$17:$D$76 * ('Unit Mix &amp; Rents'!$A$17:$A$76=$A49) * (LEFT('Unit Mix &amp; Rents'!$B$17:$B$76, 5) =D$47))</f>
        <v>0</v>
      </c>
      <c r="E49" s="77">
        <f>SUMPRODUCT('Unit Mix &amp; Rents'!$C$17:$C$76,'Unit Mix &amp; Rents'!$D$17:$D$76 * ('Unit Mix &amp; Rents'!$A$17:$A$76=$A49) * (LEFT('Unit Mix &amp; Rents'!$B$17:$B$76, 5) =E$47))</f>
        <v>0</v>
      </c>
      <c r="F49" s="77">
        <f>SUMPRODUCT('Unit Mix &amp; Rents'!$C$17:$C$76,'Unit Mix &amp; Rents'!$D$17:$D$76 * ('Unit Mix &amp; Rents'!$A$17:$A$76=$A49) * (LEFT('Unit Mix &amp; Rents'!$B$17:$B$76, 5) =F$47))</f>
        <v>0</v>
      </c>
      <c r="G49" s="77">
        <f>SUMPRODUCT('Unit Mix &amp; Rents'!$C$17:$C$76,'Unit Mix &amp; Rents'!$D$17:$D$76 * ('Unit Mix &amp; Rents'!$A$17:$A$76=$A49) * (LEFT('Unit Mix &amp; Rents'!$B$17:$B$76, 5) =G$47))</f>
        <v>0</v>
      </c>
      <c r="H49" s="77">
        <f>SUM(B49:G49)</f>
        <v>0</v>
      </c>
      <c r="K49" t="s">
        <v>2746</v>
      </c>
      <c r="N49" s="304">
        <f>M54+H59</f>
        <v>0</v>
      </c>
      <c r="P49" t="s">
        <v>2747</v>
      </c>
    </row>
    <row r="50" spans="1:16">
      <c r="A50" s="70">
        <v>0.4</v>
      </c>
      <c r="B50" s="77">
        <f>SUMPRODUCT('Unit Mix &amp; Rents'!$C$17:$C$76,'Unit Mix &amp; Rents'!$D$17:$D$76 * ('Unit Mix &amp; Rents'!$A$17:$A$76=$A50) * (LEFT('Unit Mix &amp; Rents'!$B$17:$B$76, 5) =B$47))</f>
        <v>0</v>
      </c>
      <c r="C50" s="77">
        <f>SUMPRODUCT('Unit Mix &amp; Rents'!$C$17:$C$76,'Unit Mix &amp; Rents'!$D$17:$D$76 * ('Unit Mix &amp; Rents'!$A$17:$A$76=$A50) * (LEFT('Unit Mix &amp; Rents'!$B$17:$B$76, 5) =C$47))</f>
        <v>0</v>
      </c>
      <c r="D50" s="77">
        <f>SUMPRODUCT('Unit Mix &amp; Rents'!$C$17:$C$76,'Unit Mix &amp; Rents'!$D$17:$D$76 * ('Unit Mix &amp; Rents'!$A$17:$A$76=$A50) * (LEFT('Unit Mix &amp; Rents'!$B$17:$B$76, 5) =D$47))</f>
        <v>0</v>
      </c>
      <c r="E50" s="77">
        <f>SUMPRODUCT('Unit Mix &amp; Rents'!$C$17:$C$76,'Unit Mix &amp; Rents'!$D$17:$D$76 * ('Unit Mix &amp; Rents'!$A$17:$A$76=$A50) * (LEFT('Unit Mix &amp; Rents'!$B$17:$B$76, 5) =E$47))</f>
        <v>0</v>
      </c>
      <c r="F50" s="77">
        <f>SUMPRODUCT('Unit Mix &amp; Rents'!$C$17:$C$76,'Unit Mix &amp; Rents'!$D$17:$D$76 * ('Unit Mix &amp; Rents'!$A$17:$A$76=$A50) * (LEFT('Unit Mix &amp; Rents'!$B$17:$B$76, 5) =F$47))</f>
        <v>0</v>
      </c>
      <c r="G50" s="77">
        <f>SUMPRODUCT('Unit Mix &amp; Rents'!$C$17:$C$76,'Unit Mix &amp; Rents'!$D$17:$D$76 * ('Unit Mix &amp; Rents'!$A$17:$A$76=$A50) * (LEFT('Unit Mix &amp; Rents'!$B$17:$B$76, 5) =G$47))</f>
        <v>0</v>
      </c>
      <c r="H50" s="77">
        <f>SUM(B50:G50)</f>
        <v>0</v>
      </c>
    </row>
    <row r="51" spans="1:16">
      <c r="A51" s="70">
        <v>0.5</v>
      </c>
      <c r="B51" s="77">
        <f>SUMPRODUCT('Unit Mix &amp; Rents'!$C$17:$C$76,'Unit Mix &amp; Rents'!$D$17:$D$76 * ('Unit Mix &amp; Rents'!$A$17:$A$76=$A51) * (LEFT('Unit Mix &amp; Rents'!$B$17:$B$76, 5) =B$47))</f>
        <v>0</v>
      </c>
      <c r="C51" s="77">
        <f>SUMPRODUCT('Unit Mix &amp; Rents'!$C$17:$C$76,'Unit Mix &amp; Rents'!$D$17:$D$76 * ('Unit Mix &amp; Rents'!$A$17:$A$76=$A51) * (LEFT('Unit Mix &amp; Rents'!$B$17:$B$76, 5) =C$47))</f>
        <v>0</v>
      </c>
      <c r="D51" s="77">
        <f>SUMPRODUCT('Unit Mix &amp; Rents'!$C$17:$C$76,'Unit Mix &amp; Rents'!$D$17:$D$76 * ('Unit Mix &amp; Rents'!$A$17:$A$76=$A51) * (LEFT('Unit Mix &amp; Rents'!$B$17:$B$76, 5) =D$47))</f>
        <v>0</v>
      </c>
      <c r="E51" s="77">
        <f>SUMPRODUCT('Unit Mix &amp; Rents'!$C$17:$C$76,'Unit Mix &amp; Rents'!$D$17:$D$76 * ('Unit Mix &amp; Rents'!$A$17:$A$76=$A51) * (LEFT('Unit Mix &amp; Rents'!$B$17:$B$76, 5) =E$47))</f>
        <v>0</v>
      </c>
      <c r="F51" s="77">
        <f>SUMPRODUCT('Unit Mix &amp; Rents'!$C$17:$C$76,'Unit Mix &amp; Rents'!$D$17:$D$76 * ('Unit Mix &amp; Rents'!$A$17:$A$76=$A51) * (LEFT('Unit Mix &amp; Rents'!$B$17:$B$76, 5) =F$47))</f>
        <v>0</v>
      </c>
      <c r="G51" s="77">
        <f>SUMPRODUCT('Unit Mix &amp; Rents'!$C$17:$C$76,'Unit Mix &amp; Rents'!$D$17:$D$76 * ('Unit Mix &amp; Rents'!$A$17:$A$76=$A51) * (LEFT('Unit Mix &amp; Rents'!$B$17:$B$76, 5) =G$47))</f>
        <v>0</v>
      </c>
      <c r="H51" s="77">
        <f>SUM(B51:G51)</f>
        <v>0</v>
      </c>
      <c r="K51" s="1" t="s">
        <v>1044</v>
      </c>
      <c r="L51" s="74"/>
      <c r="M51" s="75" t="s">
        <v>1045</v>
      </c>
    </row>
    <row r="52" spans="1:16">
      <c r="A52" s="70">
        <v>0.6</v>
      </c>
      <c r="B52" s="77">
        <f>SUMPRODUCT('Unit Mix &amp; Rents'!$C$17:$C$76,'Unit Mix &amp; Rents'!$D$17:$D$76 * ('Unit Mix &amp; Rents'!$A$17:$A$76=$A52) * (LEFT('Unit Mix &amp; Rents'!$B$17:$B$76, 5) =B$47))</f>
        <v>0</v>
      </c>
      <c r="C52" s="77">
        <f>SUMPRODUCT('Unit Mix &amp; Rents'!$C$17:$C$76,'Unit Mix &amp; Rents'!$D$17:$D$76 * ('Unit Mix &amp; Rents'!$A$17:$A$76=$A52) * (LEFT('Unit Mix &amp; Rents'!$B$17:$B$76, 5) =C$47))</f>
        <v>0</v>
      </c>
      <c r="D52" s="77">
        <f>SUMPRODUCT('Unit Mix &amp; Rents'!$C$17:$C$76,'Unit Mix &amp; Rents'!$D$17:$D$76 * ('Unit Mix &amp; Rents'!$A$17:$A$76=$A52) * (LEFT('Unit Mix &amp; Rents'!$B$17:$B$76, 5) =D$47))</f>
        <v>0</v>
      </c>
      <c r="E52" s="77">
        <f>SUMPRODUCT('Unit Mix &amp; Rents'!$C$17:$C$76,'Unit Mix &amp; Rents'!$D$17:$D$76 * ('Unit Mix &amp; Rents'!$A$17:$A$76=$A52) * (LEFT('Unit Mix &amp; Rents'!$B$17:$B$76, 5) =E$47))</f>
        <v>0</v>
      </c>
      <c r="F52" s="77">
        <f>SUMPRODUCT('Unit Mix &amp; Rents'!$C$17:$C$76,'Unit Mix &amp; Rents'!$D$17:$D$76 * ('Unit Mix &amp; Rents'!$A$17:$A$76=$A52) * (LEFT('Unit Mix &amp; Rents'!$B$17:$B$76, 5) =F$47))</f>
        <v>0</v>
      </c>
      <c r="G52" s="77">
        <f>SUMPRODUCT('Unit Mix &amp; Rents'!$C$17:$C$76,'Unit Mix &amp; Rents'!$D$17:$D$76 * ('Unit Mix &amp; Rents'!$A$17:$A$76=$A52) * (LEFT('Unit Mix &amp; Rents'!$B$17:$B$76, 5) =G$47))</f>
        <v>0</v>
      </c>
      <c r="H52" s="77">
        <f>SUM(B52:G52)</f>
        <v>0</v>
      </c>
      <c r="K52" s="76" t="s">
        <v>1047</v>
      </c>
      <c r="M52" s="77">
        <f>Application!B62</f>
        <v>0</v>
      </c>
      <c r="O52" s="8" t="e">
        <f>M52/N49</f>
        <v>#DIV/0!</v>
      </c>
    </row>
    <row r="53" spans="1:16">
      <c r="A53" s="70">
        <v>0.7</v>
      </c>
      <c r="B53" s="77">
        <f>SUMPRODUCT('Unit Mix &amp; Rents'!$C$17:$C$76,'Unit Mix &amp; Rents'!$D$17:$D$76 * ('Unit Mix &amp; Rents'!$A$17:$A$76=$A53) * (LEFT('Unit Mix &amp; Rents'!$B$17:$B$76, 5) =B$47))</f>
        <v>0</v>
      </c>
      <c r="C53" s="77">
        <f>SUMPRODUCT('Unit Mix &amp; Rents'!$C$17:$C$76,'Unit Mix &amp; Rents'!$D$17:$D$76 * ('Unit Mix &amp; Rents'!$A$17:$A$76=$A53) * (LEFT('Unit Mix &amp; Rents'!$B$17:$B$76, 5) =C$47))</f>
        <v>0</v>
      </c>
      <c r="D53" s="77">
        <f>SUMPRODUCT('Unit Mix &amp; Rents'!$C$17:$C$76,'Unit Mix &amp; Rents'!$D$17:$D$76 * ('Unit Mix &amp; Rents'!$A$17:$A$76=$A53) * (LEFT('Unit Mix &amp; Rents'!$B$17:$B$76, 5) =D$47))</f>
        <v>0</v>
      </c>
      <c r="E53" s="77">
        <f>SUMPRODUCT('Unit Mix &amp; Rents'!$C$17:$C$76,'Unit Mix &amp; Rents'!$D$17:$D$76 * ('Unit Mix &amp; Rents'!$A$17:$A$76=$A53) * (LEFT('Unit Mix &amp; Rents'!$B$17:$B$76, 5) =E$47))</f>
        <v>0</v>
      </c>
      <c r="F53" s="77">
        <f>SUMPRODUCT('Unit Mix &amp; Rents'!$C$17:$C$76,'Unit Mix &amp; Rents'!$D$17:$D$76 * ('Unit Mix &amp; Rents'!$A$17:$A$76=$A53) * (LEFT('Unit Mix &amp; Rents'!$B$17:$B$76, 5) =F$47))</f>
        <v>0</v>
      </c>
      <c r="G53" s="77">
        <f>SUMPRODUCT('Unit Mix &amp; Rents'!$C$17:$C$76,'Unit Mix &amp; Rents'!$D$17:$D$76 * ('Unit Mix &amp; Rents'!$A$17:$A$76=$A53) * (LEFT('Unit Mix &amp; Rents'!$B$17:$B$76, 5) =G$47))</f>
        <v>0</v>
      </c>
      <c r="H53" s="77">
        <f t="shared" ref="H53:H54" si="3">SUM(B53:G53)</f>
        <v>0</v>
      </c>
      <c r="K53" s="78" t="s">
        <v>1048</v>
      </c>
      <c r="M53" s="77">
        <f>Application!B63</f>
        <v>0</v>
      </c>
      <c r="O53" s="8" t="e">
        <f>M53/N49</f>
        <v>#DIV/0!</v>
      </c>
    </row>
    <row r="54" spans="1:16">
      <c r="A54" s="70">
        <v>0.8</v>
      </c>
      <c r="B54" s="77">
        <f>SUMPRODUCT('Unit Mix &amp; Rents'!$C$17:$C$76,'Unit Mix &amp; Rents'!$D$17:$D$76 * ('Unit Mix &amp; Rents'!$A$17:$A$76=$A54) * (LEFT('Unit Mix &amp; Rents'!$B$17:$B$76, 5) =B$47))</f>
        <v>0</v>
      </c>
      <c r="C54" s="77">
        <f>SUMPRODUCT('Unit Mix &amp; Rents'!$C$17:$C$76,'Unit Mix &amp; Rents'!$D$17:$D$76 * ('Unit Mix &amp; Rents'!$A$17:$A$76=$A54) * (LEFT('Unit Mix &amp; Rents'!$B$17:$B$76, 5) =C$47))</f>
        <v>0</v>
      </c>
      <c r="D54" s="77">
        <f>SUMPRODUCT('Unit Mix &amp; Rents'!$C$17:$C$76,'Unit Mix &amp; Rents'!$D$17:$D$76 * ('Unit Mix &amp; Rents'!$A$17:$A$76=$A54) * (LEFT('Unit Mix &amp; Rents'!$B$17:$B$76, 5) =D$47))</f>
        <v>0</v>
      </c>
      <c r="E54" s="77">
        <f>SUMPRODUCT('Unit Mix &amp; Rents'!$C$17:$C$76,'Unit Mix &amp; Rents'!$D$17:$D$76 * ('Unit Mix &amp; Rents'!$A$17:$A$76=$A54) * (LEFT('Unit Mix &amp; Rents'!$B$17:$B$76, 5) =E$47))</f>
        <v>0</v>
      </c>
      <c r="F54" s="77">
        <f>SUMPRODUCT('Unit Mix &amp; Rents'!$C$17:$C$76,'Unit Mix &amp; Rents'!$D$17:$D$76 * ('Unit Mix &amp; Rents'!$A$17:$A$76=$A54) * (LEFT('Unit Mix &amp; Rents'!$B$17:$B$76, 5) =F$47))</f>
        <v>0</v>
      </c>
      <c r="G54" s="77">
        <f>SUMPRODUCT('Unit Mix &amp; Rents'!$C$17:$C$76,'Unit Mix &amp; Rents'!$D$17:$D$76 * ('Unit Mix &amp; Rents'!$A$17:$A$76=$A54) * (LEFT('Unit Mix &amp; Rents'!$B$17:$B$76, 5) =G$47))</f>
        <v>0</v>
      </c>
      <c r="H54" s="77">
        <f t="shared" si="3"/>
        <v>0</v>
      </c>
      <c r="K54" s="1" t="s">
        <v>2748</v>
      </c>
      <c r="L54" s="80"/>
      <c r="M54" s="80">
        <f>SUM(M52:M53)</f>
        <v>0</v>
      </c>
      <c r="O54" s="8" t="e">
        <f>M54/N49</f>
        <v>#DIV/0!</v>
      </c>
    </row>
    <row r="55" spans="1:16">
      <c r="A55" t="s">
        <v>2732</v>
      </c>
      <c r="B55" s="77">
        <f>SUM(B48:B54)</f>
        <v>0</v>
      </c>
      <c r="C55" s="77">
        <f t="shared" ref="C55:H55" si="4">SUM(C48:C54)</f>
        <v>0</v>
      </c>
      <c r="D55" s="77">
        <f t="shared" si="4"/>
        <v>0</v>
      </c>
      <c r="E55" s="77">
        <f t="shared" si="4"/>
        <v>0</v>
      </c>
      <c r="F55" s="77">
        <f t="shared" si="4"/>
        <v>0</v>
      </c>
      <c r="G55" s="77">
        <f t="shared" si="4"/>
        <v>0</v>
      </c>
      <c r="H55" s="77">
        <f t="shared" si="4"/>
        <v>0</v>
      </c>
      <c r="K55" s="1" t="s">
        <v>1050</v>
      </c>
      <c r="M55" s="304">
        <f>H59+M54</f>
        <v>0</v>
      </c>
    </row>
    <row r="57" spans="1:16">
      <c r="A57" t="s">
        <v>2735</v>
      </c>
      <c r="B57" s="77">
        <f>SUMPRODUCT('Unit Mix &amp; Rents'!$C$17:$C$76,'Unit Mix &amp; Rents'!$D$17:$D$76 * ('Unit Mix &amp; Rents'!$A$17:$A$76=$A57) * (LEFT('Unit Mix &amp; Rents'!$B$17:$B$76, 5) =B$47))</f>
        <v>0</v>
      </c>
      <c r="C57" s="77">
        <f>SUMPRODUCT('Unit Mix &amp; Rents'!$C$17:$C$76,'Unit Mix &amp; Rents'!$D$17:$D$76 * ('Unit Mix &amp; Rents'!$A$17:$A$76=$A57) * (LEFT('Unit Mix &amp; Rents'!$B$17:$B$76, 5) =C$47))</f>
        <v>0</v>
      </c>
      <c r="D57" s="77">
        <f>SUMPRODUCT('Unit Mix &amp; Rents'!$C$17:$C$76,'Unit Mix &amp; Rents'!$D$17:$D$76 * ('Unit Mix &amp; Rents'!$A$17:$A$76=$A57) * (LEFT('Unit Mix &amp; Rents'!$B$17:$B$76, 5) =D$47))</f>
        <v>0</v>
      </c>
      <c r="E57" s="77">
        <f>SUMPRODUCT('Unit Mix &amp; Rents'!$C$17:$C$76,'Unit Mix &amp; Rents'!$D$17:$D$76 * ('Unit Mix &amp; Rents'!$A$17:$A$76=$A57) * (LEFT('Unit Mix &amp; Rents'!$B$17:$B$76, 5) =E$47))</f>
        <v>0</v>
      </c>
      <c r="F57" s="77">
        <f>SUMPRODUCT('Unit Mix &amp; Rents'!$C$17:$C$76,'Unit Mix &amp; Rents'!$D$17:$D$76 * ('Unit Mix &amp; Rents'!$A$17:$A$76=$A57) * (LEFT('Unit Mix &amp; Rents'!$B$17:$B$76, 5) =F$47))</f>
        <v>0</v>
      </c>
      <c r="G57" s="77">
        <f>SUMPRODUCT('Unit Mix &amp; Rents'!$C$17:$C$76,'Unit Mix &amp; Rents'!$D$17:$D$76 * ('Unit Mix &amp; Rents'!$A$17:$A$76=$A57) * (LEFT('Unit Mix &amp; Rents'!$B$17:$B$76, 5) =G$47))</f>
        <v>0</v>
      </c>
      <c r="H57" s="77">
        <f>SUM(B57:G57)</f>
        <v>0</v>
      </c>
    </row>
    <row r="58" spans="1:16">
      <c r="A58" s="70">
        <v>1</v>
      </c>
      <c r="B58" s="77">
        <f>SUMPRODUCT('Unit Mix &amp; Rents'!$C$17:$C$76,'Unit Mix &amp; Rents'!$D$17:$D$76 * ('Unit Mix &amp; Rents'!$A$17:$A$76=$A58) * (LEFT('Unit Mix &amp; Rents'!$B$17:$B$76, 5) =B$47))</f>
        <v>0</v>
      </c>
      <c r="C58" s="77">
        <f>SUMPRODUCT('Unit Mix &amp; Rents'!$C$17:$C$76,'Unit Mix &amp; Rents'!$D$17:$D$76 * ('Unit Mix &amp; Rents'!$A$17:$A$76=$A58) * (LEFT('Unit Mix &amp; Rents'!$B$17:$B$76, 5) =C$47))</f>
        <v>0</v>
      </c>
      <c r="D58" s="77">
        <f>SUMPRODUCT('Unit Mix &amp; Rents'!$C$17:$C$76,'Unit Mix &amp; Rents'!$D$17:$D$76 * ('Unit Mix &amp; Rents'!$A$17:$A$76=$A58) * (LEFT('Unit Mix &amp; Rents'!$B$17:$B$76, 5) =D$47))</f>
        <v>0</v>
      </c>
      <c r="E58" s="77">
        <f>SUMPRODUCT('Unit Mix &amp; Rents'!$C$17:$C$76,'Unit Mix &amp; Rents'!$D$17:$D$76 * ('Unit Mix &amp; Rents'!$A$17:$A$76=$A58) * (LEFT('Unit Mix &amp; Rents'!$B$17:$B$76, 5) =E$47))</f>
        <v>0</v>
      </c>
      <c r="F58" s="77">
        <f>SUMPRODUCT('Unit Mix &amp; Rents'!$C$17:$C$76,'Unit Mix &amp; Rents'!$D$17:$D$76 * ('Unit Mix &amp; Rents'!$A$17:$A$76=$A58) * (LEFT('Unit Mix &amp; Rents'!$B$17:$B$76, 5) =F$47))</f>
        <v>0</v>
      </c>
      <c r="G58" s="77">
        <f>SUMPRODUCT('Unit Mix &amp; Rents'!$C$17:$C$76,'Unit Mix &amp; Rents'!$D$17:$D$76 * ('Unit Mix &amp; Rents'!$A$17:$A$76=$A58) * (LEFT('Unit Mix &amp; Rents'!$B$17:$B$76, 5) =G$47))</f>
        <v>0</v>
      </c>
      <c r="H58" s="77">
        <f>SUM(B58:G58)</f>
        <v>0</v>
      </c>
    </row>
    <row r="59" spans="1:16">
      <c r="A59" t="s">
        <v>1050</v>
      </c>
      <c r="B59" s="77">
        <f t="shared" ref="B59:G59" si="5">SUM(B55:B58)</f>
        <v>0</v>
      </c>
      <c r="C59" s="77">
        <f t="shared" si="5"/>
        <v>0</v>
      </c>
      <c r="D59" s="77">
        <f t="shared" si="5"/>
        <v>0</v>
      </c>
      <c r="E59" s="77">
        <f t="shared" si="5"/>
        <v>0</v>
      </c>
      <c r="F59" s="77">
        <f t="shared" si="5"/>
        <v>0</v>
      </c>
      <c r="G59" s="77">
        <f t="shared" si="5"/>
        <v>0</v>
      </c>
      <c r="H59" s="77">
        <f>SUM(B59:G59)</f>
        <v>0</v>
      </c>
    </row>
    <row r="60" spans="1:16">
      <c r="K60" s="81" t="s">
        <v>917</v>
      </c>
      <c r="L60" s="72" t="s">
        <v>918</v>
      </c>
      <c r="M60" s="72" t="s">
        <v>919</v>
      </c>
    </row>
    <row r="61" spans="1:16">
      <c r="A61" s="72" t="s">
        <v>2749</v>
      </c>
      <c r="B61" s="72" t="s">
        <v>2738</v>
      </c>
      <c r="C61" s="72" t="s">
        <v>2739</v>
      </c>
      <c r="D61" s="72" t="s">
        <v>2740</v>
      </c>
      <c r="E61" s="72" t="s">
        <v>2741</v>
      </c>
      <c r="F61" s="72" t="s">
        <v>2742</v>
      </c>
      <c r="G61" s="72" t="s">
        <v>2743</v>
      </c>
      <c r="H61" s="72" t="s">
        <v>2749</v>
      </c>
      <c r="I61" s="72" t="s">
        <v>2750</v>
      </c>
      <c r="K61" s="82" t="s">
        <v>920</v>
      </c>
      <c r="L61">
        <f>Application!B109</f>
        <v>0</v>
      </c>
      <c r="M61">
        <f>IFERROR(L61/L$69,0)</f>
        <v>0</v>
      </c>
    </row>
    <row r="62" spans="1:16">
      <c r="A62" s="70">
        <v>0.2</v>
      </c>
      <c r="B62" s="149">
        <f>12*SUMPRODUCT('Unit Mix &amp; Rents'!$E$17:$E$76,'Unit Mix &amp; Rents'!$D$17:$D$76 * ('Unit Mix &amp; Rents'!$A$17:$A$76=$A62) * (LEFT('Unit Mix &amp; Rents'!$B$17:$B$76, 5) =B$61))</f>
        <v>0</v>
      </c>
      <c r="C62" s="149">
        <f>12*SUMPRODUCT('Unit Mix &amp; Rents'!$E$17:$E$76,'Unit Mix &amp; Rents'!$D$17:$D$76 * ('Unit Mix &amp; Rents'!$A$17:$A$76=$A62) * (LEFT('Unit Mix &amp; Rents'!$B$17:$B$76, 5) =C$61))</f>
        <v>0</v>
      </c>
      <c r="D62" s="149">
        <f>12*SUMPRODUCT('Unit Mix &amp; Rents'!$E$17:$E$76,'Unit Mix &amp; Rents'!$D$17:$D$76 * ('Unit Mix &amp; Rents'!$A$17:$A$76=$A62) * (LEFT('Unit Mix &amp; Rents'!$B$17:$B$76, 5) =D$61))</f>
        <v>0</v>
      </c>
      <c r="E62" s="149">
        <f>12*SUMPRODUCT('Unit Mix &amp; Rents'!$E$17:$E$76,'Unit Mix &amp; Rents'!$D$17:$D$76 * ('Unit Mix &amp; Rents'!$A$17:$A$76=$A62) * (LEFT('Unit Mix &amp; Rents'!$B$17:$B$76, 5) =E$61))</f>
        <v>0</v>
      </c>
      <c r="F62" s="149">
        <f>12*SUMPRODUCT('Unit Mix &amp; Rents'!$E$17:$E$76,'Unit Mix &amp; Rents'!$D$17:$D$76 * ('Unit Mix &amp; Rents'!$A$17:$A$76=$A62) * (LEFT('Unit Mix &amp; Rents'!$B$17:$B$76, 5) =F$61))</f>
        <v>0</v>
      </c>
      <c r="G62" s="149">
        <f>12*SUMPRODUCT('Unit Mix &amp; Rents'!$E$17:$E$76,'Unit Mix &amp; Rents'!$D$17:$D$76 * ('Unit Mix &amp; Rents'!$A$17:$A$76=$A62) * (LEFT('Unit Mix &amp; Rents'!$B$17:$B$76, 5) =G$61))</f>
        <v>0</v>
      </c>
      <c r="H62" s="149">
        <f>SUM(B62:G62)</f>
        <v>0</v>
      </c>
      <c r="I62" s="342">
        <f>IF(H48=0,0,H62/12/H48)</f>
        <v>0</v>
      </c>
      <c r="K62" s="82"/>
    </row>
    <row r="63" spans="1:16">
      <c r="A63" s="70">
        <v>0.3</v>
      </c>
      <c r="B63" s="149">
        <f>12*SUMPRODUCT('Unit Mix &amp; Rents'!$E$17:$E$76,'Unit Mix &amp; Rents'!$D$17:$D$76 * ('Unit Mix &amp; Rents'!$A$17:$A$76=$A63) * (LEFT('Unit Mix &amp; Rents'!$B$17:$B$76, 5) =B$61))</f>
        <v>0</v>
      </c>
      <c r="C63" s="149">
        <f>12*SUMPRODUCT('Unit Mix &amp; Rents'!$E$17:$E$76,'Unit Mix &amp; Rents'!$D$17:$D$76 * ('Unit Mix &amp; Rents'!$A$17:$A$76=$A63) * (LEFT('Unit Mix &amp; Rents'!$B$17:$B$76, 5) =C$61))</f>
        <v>0</v>
      </c>
      <c r="D63" s="149">
        <f>12*SUMPRODUCT('Unit Mix &amp; Rents'!$E$17:$E$76,'Unit Mix &amp; Rents'!$D$17:$D$76 * ('Unit Mix &amp; Rents'!$A$17:$A$76=$A63) * (LEFT('Unit Mix &amp; Rents'!$B$17:$B$76, 5) =D$61))</f>
        <v>0</v>
      </c>
      <c r="E63" s="149">
        <f>12*SUMPRODUCT('Unit Mix &amp; Rents'!$E$17:$E$76,'Unit Mix &amp; Rents'!$D$17:$D$76 * ('Unit Mix &amp; Rents'!$A$17:$A$76=$A63) * (LEFT('Unit Mix &amp; Rents'!$B$17:$B$76, 5) =E$61))</f>
        <v>0</v>
      </c>
      <c r="F63" s="149">
        <f>12*SUMPRODUCT('Unit Mix &amp; Rents'!$E$17:$E$76,'Unit Mix &amp; Rents'!$D$17:$D$76 * ('Unit Mix &amp; Rents'!$A$17:$A$76=$A63) * (LEFT('Unit Mix &amp; Rents'!$B$17:$B$76, 5) =F$61))</f>
        <v>0</v>
      </c>
      <c r="G63" s="149">
        <f>12*SUMPRODUCT('Unit Mix &amp; Rents'!$E$17:$E$76,'Unit Mix &amp; Rents'!$D$17:$D$76 * ('Unit Mix &amp; Rents'!$A$17:$A$76=$A63) * (LEFT('Unit Mix &amp; Rents'!$B$17:$B$76, 5) =G$61))</f>
        <v>0</v>
      </c>
      <c r="H63" s="149">
        <f>SUM(B63:G63)</f>
        <v>0</v>
      </c>
      <c r="I63" s="342">
        <f>IF(H49=0,0,H63/12/H49)</f>
        <v>0</v>
      </c>
      <c r="K63" s="82" t="s">
        <v>2751</v>
      </c>
      <c r="L63">
        <f>Application!B110</f>
        <v>0</v>
      </c>
      <c r="M63">
        <f t="shared" ref="M63:M68" si="6">IFERROR(L63/L$69,0)</f>
        <v>0</v>
      </c>
    </row>
    <row r="64" spans="1:16">
      <c r="A64" s="70">
        <v>0.4</v>
      </c>
      <c r="B64" s="149">
        <f>12*SUMPRODUCT('Unit Mix &amp; Rents'!$E$17:$E$76,'Unit Mix &amp; Rents'!$D$17:$D$76 * ('Unit Mix &amp; Rents'!$A$17:$A$76=$A64) * (LEFT('Unit Mix &amp; Rents'!$B$17:$B$76, 5) =B$61))</f>
        <v>0</v>
      </c>
      <c r="C64" s="149">
        <f>12*SUMPRODUCT('Unit Mix &amp; Rents'!$E$17:$E$76,'Unit Mix &amp; Rents'!$D$17:$D$76 * ('Unit Mix &amp; Rents'!$A$17:$A$76=$A64) * (LEFT('Unit Mix &amp; Rents'!$B$17:$B$76, 5) =C$61))</f>
        <v>0</v>
      </c>
      <c r="D64" s="149">
        <f>12*SUMPRODUCT('Unit Mix &amp; Rents'!$E$17:$E$76,'Unit Mix &amp; Rents'!$D$17:$D$76 * ('Unit Mix &amp; Rents'!$A$17:$A$76=$A64) * (LEFT('Unit Mix &amp; Rents'!$B$17:$B$76, 5) =D$61))</f>
        <v>0</v>
      </c>
      <c r="E64" s="149">
        <f>12*SUMPRODUCT('Unit Mix &amp; Rents'!$E$17:$E$76,'Unit Mix &amp; Rents'!$D$17:$D$76 * ('Unit Mix &amp; Rents'!$A$17:$A$76=$A64) * (LEFT('Unit Mix &amp; Rents'!$B$17:$B$76, 5) =E$61))</f>
        <v>0</v>
      </c>
      <c r="F64" s="149">
        <f>12*SUMPRODUCT('Unit Mix &amp; Rents'!$E$17:$E$76,'Unit Mix &amp; Rents'!$D$17:$D$76 * ('Unit Mix &amp; Rents'!$A$17:$A$76=$A64) * (LEFT('Unit Mix &amp; Rents'!$B$17:$B$76, 5) =F$61))</f>
        <v>0</v>
      </c>
      <c r="G64" s="149">
        <f>12*SUMPRODUCT('Unit Mix &amp; Rents'!$E$17:$E$76,'Unit Mix &amp; Rents'!$D$17:$D$76 * ('Unit Mix &amp; Rents'!$A$17:$A$76=$A64) * (LEFT('Unit Mix &amp; Rents'!$B$17:$B$76, 5) =G$61))</f>
        <v>0</v>
      </c>
      <c r="H64" s="149">
        <f t="shared" ref="H64:H73" si="7">SUM(B64:G64)</f>
        <v>0</v>
      </c>
      <c r="I64" s="342">
        <f>IF(H50=0,0,H64/12/H50)</f>
        <v>0</v>
      </c>
      <c r="K64" s="82" t="s">
        <v>325</v>
      </c>
      <c r="L64">
        <f>Application!B111</f>
        <v>0</v>
      </c>
      <c r="M64">
        <f t="shared" si="6"/>
        <v>0</v>
      </c>
    </row>
    <row r="65" spans="1:23">
      <c r="A65" s="70">
        <v>0.5</v>
      </c>
      <c r="B65" s="149">
        <f>12*SUMPRODUCT('Unit Mix &amp; Rents'!$E$17:$E$76,'Unit Mix &amp; Rents'!$D$17:$D$76 * ('Unit Mix &amp; Rents'!$A$17:$A$76=$A65) * (LEFT('Unit Mix &amp; Rents'!$B$17:$B$76, 5) =B$61))</f>
        <v>0</v>
      </c>
      <c r="C65" s="149">
        <f>12*SUMPRODUCT('Unit Mix &amp; Rents'!$E$17:$E$76,'Unit Mix &amp; Rents'!$D$17:$D$76 * ('Unit Mix &amp; Rents'!$A$17:$A$76=$A65) * (LEFT('Unit Mix &amp; Rents'!$B$17:$B$76, 5) =C$61))</f>
        <v>0</v>
      </c>
      <c r="D65" s="149">
        <f>12*SUMPRODUCT('Unit Mix &amp; Rents'!$E$17:$E$76,'Unit Mix &amp; Rents'!$D$17:$D$76 * ('Unit Mix &amp; Rents'!$A$17:$A$76=$A65) * (LEFT('Unit Mix &amp; Rents'!$B$17:$B$76, 5) =D$61))</f>
        <v>0</v>
      </c>
      <c r="E65" s="149">
        <f>12*SUMPRODUCT('Unit Mix &amp; Rents'!$E$17:$E$76,'Unit Mix &amp; Rents'!$D$17:$D$76 * ('Unit Mix &amp; Rents'!$A$17:$A$76=$A65) * (LEFT('Unit Mix &amp; Rents'!$B$17:$B$76, 5) =E$61))</f>
        <v>0</v>
      </c>
      <c r="F65" s="149">
        <f>12*SUMPRODUCT('Unit Mix &amp; Rents'!$E$17:$E$76,'Unit Mix &amp; Rents'!$D$17:$D$76 * ('Unit Mix &amp; Rents'!$A$17:$A$76=$A65) * (LEFT('Unit Mix &amp; Rents'!$B$17:$B$76, 5) =F$61))</f>
        <v>0</v>
      </c>
      <c r="G65" s="149">
        <f>12*SUMPRODUCT('Unit Mix &amp; Rents'!$E$17:$E$76,'Unit Mix &amp; Rents'!$D$17:$D$76 * ('Unit Mix &amp; Rents'!$A$17:$A$76=$A65) * (LEFT('Unit Mix &amp; Rents'!$B$17:$B$76, 5) =G$61))</f>
        <v>0</v>
      </c>
      <c r="H65" s="149">
        <f t="shared" si="7"/>
        <v>0</v>
      </c>
      <c r="I65" s="342">
        <f>IF(H51=0,0,H65/12/H51)</f>
        <v>0</v>
      </c>
      <c r="K65" s="82" t="s">
        <v>922</v>
      </c>
      <c r="L65">
        <f>Application!B112</f>
        <v>0</v>
      </c>
      <c r="M65">
        <f t="shared" si="6"/>
        <v>0</v>
      </c>
    </row>
    <row r="66" spans="1:23">
      <c r="A66" s="70">
        <v>0.6</v>
      </c>
      <c r="B66" s="149">
        <f>12*SUMPRODUCT('Unit Mix &amp; Rents'!$E$17:$E$76,'Unit Mix &amp; Rents'!$D$17:$D$76 * ('Unit Mix &amp; Rents'!$A$17:$A$76=$A66) * (LEFT('Unit Mix &amp; Rents'!$B$17:$B$76, 5) =B$61))</f>
        <v>0</v>
      </c>
      <c r="C66" s="149">
        <f>12*SUMPRODUCT('Unit Mix &amp; Rents'!$E$17:$E$76,'Unit Mix &amp; Rents'!$D$17:$D$76 * ('Unit Mix &amp; Rents'!$A$17:$A$76=$A66) * (LEFT('Unit Mix &amp; Rents'!$B$17:$B$76, 5) =C$61))</f>
        <v>0</v>
      </c>
      <c r="D66" s="149">
        <f>12*SUMPRODUCT('Unit Mix &amp; Rents'!$E$17:$E$76,'Unit Mix &amp; Rents'!$D$17:$D$76 * ('Unit Mix &amp; Rents'!$A$17:$A$76=$A66) * (LEFT('Unit Mix &amp; Rents'!$B$17:$B$76, 5) =D$61))</f>
        <v>0</v>
      </c>
      <c r="E66" s="149">
        <f>12*SUMPRODUCT('Unit Mix &amp; Rents'!$E$17:$E$76,'Unit Mix &amp; Rents'!$D$17:$D$76 * ('Unit Mix &amp; Rents'!$A$17:$A$76=$A66) * (LEFT('Unit Mix &amp; Rents'!$B$17:$B$76, 5) =E$61))</f>
        <v>0</v>
      </c>
      <c r="F66" s="149">
        <f>12*SUMPRODUCT('Unit Mix &amp; Rents'!$E$17:$E$76,'Unit Mix &amp; Rents'!$D$17:$D$76 * ('Unit Mix &amp; Rents'!$A$17:$A$76=$A66) * (LEFT('Unit Mix &amp; Rents'!$B$17:$B$76, 5) =F$61))</f>
        <v>0</v>
      </c>
      <c r="G66" s="149">
        <f>12*SUMPRODUCT('Unit Mix &amp; Rents'!$E$17:$E$76,'Unit Mix &amp; Rents'!$D$17:$D$76 * ('Unit Mix &amp; Rents'!$A$17:$A$76=$A66) * (LEFT('Unit Mix &amp; Rents'!$B$17:$B$76, 5) =G$61))</f>
        <v>0</v>
      </c>
      <c r="H66" s="149">
        <f t="shared" si="7"/>
        <v>0</v>
      </c>
      <c r="I66" s="342">
        <f>IF(H52=0,0,H66/12/H52)</f>
        <v>0</v>
      </c>
      <c r="K66" s="82" t="s">
        <v>327</v>
      </c>
      <c r="L66">
        <f>Application!B113</f>
        <v>0</v>
      </c>
      <c r="M66">
        <f t="shared" si="6"/>
        <v>0</v>
      </c>
      <c r="N66" s="74"/>
      <c r="O66" s="74"/>
    </row>
    <row r="67" spans="1:23">
      <c r="A67" s="70">
        <v>0.7</v>
      </c>
      <c r="B67" s="149">
        <f>12*SUMPRODUCT('Unit Mix &amp; Rents'!$E$17:$E$76,'Unit Mix &amp; Rents'!$D$17:$D$76 * ('Unit Mix &amp; Rents'!$A$17:$A$76=$A67) * (LEFT('Unit Mix &amp; Rents'!$B$17:$B$76, 5) =B$61))</f>
        <v>0</v>
      </c>
      <c r="C67" s="149">
        <f>12*SUMPRODUCT('Unit Mix &amp; Rents'!$E$17:$E$76,'Unit Mix &amp; Rents'!$D$17:$D$76 * ('Unit Mix &amp; Rents'!$A$17:$A$76=$A67) * (LEFT('Unit Mix &amp; Rents'!$B$17:$B$76, 5) =C$61))</f>
        <v>0</v>
      </c>
      <c r="D67" s="149">
        <f>12*SUMPRODUCT('Unit Mix &amp; Rents'!$E$17:$E$76,'Unit Mix &amp; Rents'!$D$17:$D$76 * ('Unit Mix &amp; Rents'!$A$17:$A$76=$A67) * (LEFT('Unit Mix &amp; Rents'!$B$17:$B$76, 5) =D$61))</f>
        <v>0</v>
      </c>
      <c r="E67" s="149">
        <f>12*SUMPRODUCT('Unit Mix &amp; Rents'!$E$17:$E$76,'Unit Mix &amp; Rents'!$D$17:$D$76 * ('Unit Mix &amp; Rents'!$A$17:$A$76=$A67) * (LEFT('Unit Mix &amp; Rents'!$B$17:$B$76, 5) =E$61))</f>
        <v>0</v>
      </c>
      <c r="F67" s="149">
        <f>12*SUMPRODUCT('Unit Mix &amp; Rents'!$E$17:$E$76,'Unit Mix &amp; Rents'!$D$17:$D$76 * ('Unit Mix &amp; Rents'!$A$17:$A$76=$A67) * (LEFT('Unit Mix &amp; Rents'!$B$17:$B$76, 5) =F$61))</f>
        <v>0</v>
      </c>
      <c r="G67" s="149">
        <f>12*SUMPRODUCT('Unit Mix &amp; Rents'!$E$17:$E$76,'Unit Mix &amp; Rents'!$D$17:$D$76 * ('Unit Mix &amp; Rents'!$A$17:$A$76=$A67) * (LEFT('Unit Mix &amp; Rents'!$B$17:$B$76, 5) =G$61))</f>
        <v>0</v>
      </c>
      <c r="H67" s="149">
        <f t="shared" si="7"/>
        <v>0</v>
      </c>
      <c r="I67" s="342">
        <f t="shared" ref="I67:I69" si="8">IF(H53=0,0,H67/12/H53)</f>
        <v>0</v>
      </c>
      <c r="K67" s="82" t="s">
        <v>328</v>
      </c>
      <c r="L67">
        <f>Application!B114</f>
        <v>0</v>
      </c>
      <c r="M67">
        <f t="shared" si="6"/>
        <v>0</v>
      </c>
      <c r="N67" s="182"/>
      <c r="O67" s="182"/>
    </row>
    <row r="68" spans="1:23">
      <c r="A68" s="70">
        <v>0.8</v>
      </c>
      <c r="B68" s="149">
        <f>12*SUMPRODUCT('Unit Mix &amp; Rents'!$E$17:$E$76,'Unit Mix &amp; Rents'!$D$17:$D$76 * ('Unit Mix &amp; Rents'!$A$17:$A$76=$A68) * (LEFT('Unit Mix &amp; Rents'!$B$17:$B$76, 5) =B$61))</f>
        <v>0</v>
      </c>
      <c r="C68" s="149">
        <f>12*SUMPRODUCT('Unit Mix &amp; Rents'!$E$17:$E$76,'Unit Mix &amp; Rents'!$D$17:$D$76 * ('Unit Mix &amp; Rents'!$A$17:$A$76=$A68) * (LEFT('Unit Mix &amp; Rents'!$B$17:$B$76, 5) =C$61))</f>
        <v>0</v>
      </c>
      <c r="D68" s="149">
        <f>12*SUMPRODUCT('Unit Mix &amp; Rents'!$E$17:$E$76,'Unit Mix &amp; Rents'!$D$17:$D$76 * ('Unit Mix &amp; Rents'!$A$17:$A$76=$A68) * (LEFT('Unit Mix &amp; Rents'!$B$17:$B$76, 5) =D$61))</f>
        <v>0</v>
      </c>
      <c r="E68" s="149">
        <f>12*SUMPRODUCT('Unit Mix &amp; Rents'!$E$17:$E$76,'Unit Mix &amp; Rents'!$D$17:$D$76 * ('Unit Mix &amp; Rents'!$A$17:$A$76=$A68) * (LEFT('Unit Mix &amp; Rents'!$B$17:$B$76, 5) =E$61))</f>
        <v>0</v>
      </c>
      <c r="F68" s="149">
        <f>12*SUMPRODUCT('Unit Mix &amp; Rents'!$E$17:$E$76,'Unit Mix &amp; Rents'!$D$17:$D$76 * ('Unit Mix &amp; Rents'!$A$17:$A$76=$A68) * (LEFT('Unit Mix &amp; Rents'!$B$17:$B$76, 5) =F$61))</f>
        <v>0</v>
      </c>
      <c r="G68" s="149">
        <f>12*SUMPRODUCT('Unit Mix &amp; Rents'!$E$17:$E$76,'Unit Mix &amp; Rents'!$D$17:$D$76 * ('Unit Mix &amp; Rents'!$A$17:$A$76=$A68) * (LEFT('Unit Mix &amp; Rents'!$B$17:$B$76, 5) =G$61))</f>
        <v>0</v>
      </c>
      <c r="H68" s="149">
        <f t="shared" si="7"/>
        <v>0</v>
      </c>
      <c r="I68" s="342">
        <f t="shared" si="8"/>
        <v>0</v>
      </c>
      <c r="K68" s="82" t="s">
        <v>2752</v>
      </c>
      <c r="L68">
        <f>Application!B115</f>
        <v>0</v>
      </c>
      <c r="M68">
        <f t="shared" si="6"/>
        <v>0</v>
      </c>
      <c r="N68" s="182"/>
      <c r="O68" s="182"/>
    </row>
    <row r="69" spans="1:23">
      <c r="A69" t="s">
        <v>2732</v>
      </c>
      <c r="B69" s="149">
        <f>SUM(B62:B68)</f>
        <v>0</v>
      </c>
      <c r="C69" s="149">
        <f t="shared" ref="C69:H69" si="9">SUM(C62:C68)</f>
        <v>0</v>
      </c>
      <c r="D69" s="149">
        <f t="shared" si="9"/>
        <v>0</v>
      </c>
      <c r="E69" s="149">
        <f t="shared" si="9"/>
        <v>0</v>
      </c>
      <c r="F69" s="149">
        <f t="shared" si="9"/>
        <v>0</v>
      </c>
      <c r="G69" s="149">
        <f t="shared" si="9"/>
        <v>0</v>
      </c>
      <c r="H69" s="149">
        <f t="shared" si="9"/>
        <v>0</v>
      </c>
      <c r="I69" s="342">
        <f t="shared" si="8"/>
        <v>0</v>
      </c>
      <c r="K69" s="82" t="s">
        <v>924</v>
      </c>
      <c r="L69">
        <f>SUM(L61:L68)</f>
        <v>0</v>
      </c>
      <c r="M69">
        <f>SUM(M61:M68)</f>
        <v>0</v>
      </c>
      <c r="N69" s="83"/>
      <c r="O69" s="83"/>
    </row>
    <row r="70" spans="1:23">
      <c r="J70" s="84"/>
      <c r="K70" s="83"/>
      <c r="L70" s="83"/>
      <c r="M70" s="83"/>
      <c r="N70" s="83"/>
      <c r="O70" s="83"/>
    </row>
    <row r="71" spans="1:23">
      <c r="A71" t="s">
        <v>2735</v>
      </c>
      <c r="B71" s="149">
        <f>12*SUMPRODUCT('Unit Mix &amp; Rents'!$E$17:$E$76,'Unit Mix &amp; Rents'!$D$17:$D$76 * ('Unit Mix &amp; Rents'!$A$17:$A$76=$A71) * (LEFT('Unit Mix &amp; Rents'!$B$17:$B$76, 5) =B$61))</f>
        <v>0</v>
      </c>
      <c r="C71" s="149">
        <f>12*SUMPRODUCT('Unit Mix &amp; Rents'!$E$17:$E$76,'Unit Mix &amp; Rents'!$D$17:$D$76 * ('Unit Mix &amp; Rents'!$A$17:$A$76=$A71) * (LEFT('Unit Mix &amp; Rents'!$B$17:$B$76, 5) =C$61))</f>
        <v>0</v>
      </c>
      <c r="D71" s="149">
        <f>12*SUMPRODUCT('Unit Mix &amp; Rents'!$E$17:$E$76,'Unit Mix &amp; Rents'!$D$17:$D$76 * ('Unit Mix &amp; Rents'!$A$17:$A$76=$A71) * (LEFT('Unit Mix &amp; Rents'!$B$17:$B$76, 5) =D$61))</f>
        <v>0</v>
      </c>
      <c r="E71" s="149">
        <f>12*SUMPRODUCT('Unit Mix &amp; Rents'!$E$17:$E$76,'Unit Mix &amp; Rents'!$D$17:$D$76 * ('Unit Mix &amp; Rents'!$A$17:$A$76=$A71) * (LEFT('Unit Mix &amp; Rents'!$B$17:$B$76, 5) =E$61))</f>
        <v>0</v>
      </c>
      <c r="F71" s="149">
        <f>12*SUMPRODUCT('Unit Mix &amp; Rents'!$E$17:$E$76,'Unit Mix &amp; Rents'!$D$17:$D$76 * ('Unit Mix &amp; Rents'!$A$17:$A$76=$A71) * (LEFT('Unit Mix &amp; Rents'!$B$17:$B$76, 5) =F$61))</f>
        <v>0</v>
      </c>
      <c r="G71" s="149">
        <f>12*SUMPRODUCT('Unit Mix &amp; Rents'!$E$17:$E$76,'Unit Mix &amp; Rents'!$D$17:$D$76 * ('Unit Mix &amp; Rents'!$A$17:$A$76=$A71) * (LEFT('Unit Mix &amp; Rents'!$B$17:$B$76, 5) =G$61))</f>
        <v>0</v>
      </c>
      <c r="H71" s="149">
        <f t="shared" si="7"/>
        <v>0</v>
      </c>
      <c r="I71" s="149">
        <f>IF(H57=0,0,H71/12/H57)</f>
        <v>0</v>
      </c>
      <c r="K71" s="87" t="s">
        <v>918</v>
      </c>
      <c r="L71" s="72" t="s">
        <v>1045</v>
      </c>
      <c r="O71" s="83"/>
    </row>
    <row r="72" spans="1:23">
      <c r="A72" s="70">
        <v>1</v>
      </c>
      <c r="B72" s="149">
        <f>12*SUMPRODUCT('Unit Mix &amp; Rents'!$E$17:$E$76,'Unit Mix &amp; Rents'!$D$17:$D$76 * ('Unit Mix &amp; Rents'!$A$17:$A$76=$A72) * (LEFT('Unit Mix &amp; Rents'!$B$17:$B$76, 5) =B$61))</f>
        <v>0</v>
      </c>
      <c r="C72" s="149">
        <f>12*SUMPRODUCT('Unit Mix &amp; Rents'!$E$17:$E$76,'Unit Mix &amp; Rents'!$D$17:$D$76 * ('Unit Mix &amp; Rents'!$A$17:$A$76=$A72) * (LEFT('Unit Mix &amp; Rents'!$B$17:$B$76, 5) =C$61))</f>
        <v>0</v>
      </c>
      <c r="D72" s="149">
        <f>12*SUMPRODUCT('Unit Mix &amp; Rents'!$E$17:$E$76,'Unit Mix &amp; Rents'!$D$17:$D$76 * ('Unit Mix &amp; Rents'!$A$17:$A$76=$A72) * (LEFT('Unit Mix &amp; Rents'!$B$17:$B$76, 5) =D$61))</f>
        <v>0</v>
      </c>
      <c r="E72" s="149">
        <f>12*SUMPRODUCT('Unit Mix &amp; Rents'!$E$17:$E$76,'Unit Mix &amp; Rents'!$D$17:$D$76 * ('Unit Mix &amp; Rents'!$A$17:$A$76=$A72) * (LEFT('Unit Mix &amp; Rents'!$B$17:$B$76, 5) =E$61))</f>
        <v>0</v>
      </c>
      <c r="F72" s="149">
        <f>12*SUMPRODUCT('Unit Mix &amp; Rents'!$E$17:$E$76,'Unit Mix &amp; Rents'!$D$17:$D$76 * ('Unit Mix &amp; Rents'!$A$17:$A$76=$A72) * (LEFT('Unit Mix &amp; Rents'!$B$17:$B$76, 5) =F$61))</f>
        <v>0</v>
      </c>
      <c r="G72" s="149">
        <f>12*SUMPRODUCT('Unit Mix &amp; Rents'!$E$17:$E$76,'Unit Mix &amp; Rents'!$D$17:$D$76 * ('Unit Mix &amp; Rents'!$A$17:$A$76=$A72) * (LEFT('Unit Mix &amp; Rents'!$B$17:$B$76, 5) =G$61))</f>
        <v>0</v>
      </c>
      <c r="H72" s="149">
        <f t="shared" si="7"/>
        <v>0</v>
      </c>
      <c r="I72" s="149">
        <f>IF(H58=0,0,H72/12/H58)</f>
        <v>0</v>
      </c>
      <c r="J72" t="s">
        <v>2753</v>
      </c>
      <c r="K72" s="197">
        <f>IF(H44=0,0,TRUNC(H40/(H44-H42), 4))</f>
        <v>0</v>
      </c>
      <c r="L72" s="197">
        <f>IF(H59=0,0,TRUNC((H55/(H59-H57)), 4))</f>
        <v>0</v>
      </c>
      <c r="O72" s="83"/>
    </row>
    <row r="73" spans="1:23">
      <c r="A73" t="s">
        <v>2749</v>
      </c>
      <c r="B73" s="149">
        <f t="shared" ref="B73:G73" si="10">SUM(B69:B72)</f>
        <v>0</v>
      </c>
      <c r="C73" s="149">
        <f t="shared" si="10"/>
        <v>0</v>
      </c>
      <c r="D73" s="149">
        <f t="shared" si="10"/>
        <v>0</v>
      </c>
      <c r="E73" s="149">
        <f t="shared" si="10"/>
        <v>0</v>
      </c>
      <c r="F73" s="149">
        <f t="shared" si="10"/>
        <v>0</v>
      </c>
      <c r="G73" s="149">
        <f t="shared" si="10"/>
        <v>0</v>
      </c>
      <c r="H73" s="149">
        <f t="shared" si="7"/>
        <v>0</v>
      </c>
      <c r="I73" s="342">
        <f>IF(H59=0,0,H73/12/H59)</f>
        <v>0</v>
      </c>
      <c r="K73" s="197">
        <f>MIN(K72:L72)</f>
        <v>0</v>
      </c>
      <c r="L73" s="8" t="str">
        <f>IF(L72&lt;K72,L72,"")</f>
        <v/>
      </c>
      <c r="M73" s="372" t="s">
        <v>1052</v>
      </c>
      <c r="O73" s="83"/>
    </row>
    <row r="74" spans="1:23">
      <c r="J74" s="74"/>
      <c r="K74" s="74"/>
      <c r="L74" s="74"/>
      <c r="M74" s="74"/>
      <c r="N74" s="74"/>
      <c r="O74" s="74"/>
    </row>
    <row r="75" spans="1:23">
      <c r="A75" s="70"/>
      <c r="B75" s="70"/>
      <c r="C75" s="85"/>
      <c r="D75" s="85"/>
      <c r="E75" s="86"/>
      <c r="U75" s="83"/>
      <c r="V75" s="83"/>
      <c r="W75" s="83"/>
    </row>
    <row r="76" spans="1:23">
      <c r="A76" s="74" t="s">
        <v>2754</v>
      </c>
      <c r="B76" s="34" t="s">
        <v>1252</v>
      </c>
      <c r="C76" s="34" t="s">
        <v>1253</v>
      </c>
      <c r="D76" s="34" t="s">
        <v>1254</v>
      </c>
      <c r="E76" s="34" t="s">
        <v>1255</v>
      </c>
      <c r="F76" s="35" t="s">
        <v>1256</v>
      </c>
      <c r="G76" s="34" t="s">
        <v>2755</v>
      </c>
      <c r="H76" t="str">
        <f>CONCATENATE("* for ",Application!B31," county")</f>
        <v>* for  county</v>
      </c>
      <c r="J76" t="s">
        <v>2756</v>
      </c>
      <c r="U76" s="88"/>
      <c r="V76" s="88"/>
      <c r="W76" s="88"/>
    </row>
    <row r="77" spans="1:23">
      <c r="A77" s="89">
        <v>0.2</v>
      </c>
      <c r="B77" s="345">
        <f t="shared" ref="B77:E81" ca="1" si="11">INDIRECT(CONCATENATE($B$102, G$98, $E100))</f>
        <v>330</v>
      </c>
      <c r="C77" s="345">
        <f t="shared" ca="1" si="11"/>
        <v>353</v>
      </c>
      <c r="D77" s="345">
        <f t="shared" ca="1" si="11"/>
        <v>424</v>
      </c>
      <c r="E77" s="345">
        <f t="shared" ca="1" si="11"/>
        <v>490</v>
      </c>
      <c r="F77" s="345">
        <f t="shared" ref="F77:F83" ca="1" si="12">INDIRECT(CONCATENATE($B$102, K$98, $E100))</f>
        <v>546</v>
      </c>
      <c r="G77" s="345">
        <f ca="1">ROUND(AVERAGE(J77:K77)/12*0.3,0)</f>
        <v>603</v>
      </c>
      <c r="J77">
        <f t="shared" ref="J77:J81" ca="1" si="13">INDIRECT(CONCATENATE($B$113, G$109, $E111))</f>
        <v>23380</v>
      </c>
      <c r="K77">
        <f t="shared" ref="K77:K83" ca="1" si="14">INDIRECT(CONCATENATE($B$113, H$109, $E111))</f>
        <v>24880</v>
      </c>
      <c r="U77" s="88"/>
      <c r="V77" s="88"/>
      <c r="W77" s="88"/>
    </row>
    <row r="78" spans="1:23">
      <c r="A78" s="89">
        <v>0.3</v>
      </c>
      <c r="B78" s="345">
        <f t="shared" ca="1" si="11"/>
        <v>495</v>
      </c>
      <c r="C78" s="345">
        <f t="shared" ca="1" si="11"/>
        <v>530</v>
      </c>
      <c r="D78" s="345">
        <f t="shared" ca="1" si="11"/>
        <v>636</v>
      </c>
      <c r="E78" s="345">
        <f t="shared" ca="1" si="11"/>
        <v>735</v>
      </c>
      <c r="F78" s="345">
        <f t="shared" ca="1" si="12"/>
        <v>819</v>
      </c>
      <c r="G78" s="345">
        <f ca="1">ROUND(AVERAGE(J78:K78)/12*0.3,0)</f>
        <v>905</v>
      </c>
      <c r="J78">
        <f t="shared" ca="1" si="13"/>
        <v>35070</v>
      </c>
      <c r="K78">
        <f t="shared" ca="1" si="14"/>
        <v>37320</v>
      </c>
      <c r="U78" s="74"/>
      <c r="V78" s="74"/>
      <c r="W78" s="74"/>
    </row>
    <row r="79" spans="1:23">
      <c r="A79" s="89">
        <v>0.4</v>
      </c>
      <c r="B79" s="345">
        <f t="shared" ca="1" si="11"/>
        <v>660</v>
      </c>
      <c r="C79" s="345">
        <f t="shared" ca="1" si="11"/>
        <v>707</v>
      </c>
      <c r="D79" s="345">
        <f t="shared" ca="1" si="11"/>
        <v>848</v>
      </c>
      <c r="E79" s="345">
        <f t="shared" ca="1" si="11"/>
        <v>980</v>
      </c>
      <c r="F79" s="345">
        <f t="shared" ca="1" si="12"/>
        <v>1093</v>
      </c>
      <c r="G79" s="345">
        <f ca="1">ROUND(AVERAGE(J79:K79)/12*0.3,0)</f>
        <v>1207</v>
      </c>
      <c r="J79">
        <f t="shared" ca="1" si="13"/>
        <v>46760</v>
      </c>
      <c r="K79">
        <f t="shared" ca="1" si="14"/>
        <v>49760</v>
      </c>
      <c r="U79" s="74"/>
      <c r="V79" s="74"/>
      <c r="W79" s="74"/>
    </row>
    <row r="80" spans="1:23">
      <c r="A80" s="89">
        <v>0.5</v>
      </c>
      <c r="B80" s="345">
        <f t="shared" ca="1" si="11"/>
        <v>825</v>
      </c>
      <c r="C80" s="345">
        <f t="shared" ca="1" si="11"/>
        <v>883</v>
      </c>
      <c r="D80" s="345">
        <f t="shared" ca="1" si="11"/>
        <v>1060</v>
      </c>
      <c r="E80" s="345">
        <f t="shared" ca="1" si="11"/>
        <v>1225</v>
      </c>
      <c r="F80" s="345">
        <f t="shared" ca="1" si="12"/>
        <v>1366</v>
      </c>
      <c r="G80" s="345">
        <f ca="1">ROUND(AVERAGE(J80:K80)/12*0.3,0)</f>
        <v>1508</v>
      </c>
      <c r="J80">
        <f t="shared" ca="1" si="13"/>
        <v>58450</v>
      </c>
      <c r="K80">
        <f t="shared" ca="1" si="14"/>
        <v>62200</v>
      </c>
      <c r="U80" s="74"/>
      <c r="V80" s="74"/>
      <c r="W80" s="74"/>
    </row>
    <row r="81" spans="1:23">
      <c r="A81" s="89">
        <v>0.6</v>
      </c>
      <c r="B81" s="345">
        <f t="shared" ca="1" si="11"/>
        <v>990</v>
      </c>
      <c r="C81" s="345">
        <f t="shared" ca="1" si="11"/>
        <v>1060</v>
      </c>
      <c r="D81" s="345">
        <f t="shared" ca="1" si="11"/>
        <v>1272</v>
      </c>
      <c r="E81" s="345">
        <f t="shared" ca="1" si="11"/>
        <v>1470</v>
      </c>
      <c r="F81" s="345">
        <f t="shared" ca="1" si="12"/>
        <v>1639</v>
      </c>
      <c r="G81" s="345">
        <f ca="1">ROUND(AVERAGE(J81:K81)/12*0.3,0)</f>
        <v>1810</v>
      </c>
      <c r="J81">
        <f t="shared" ca="1" si="13"/>
        <v>70140</v>
      </c>
      <c r="K81">
        <f t="shared" ca="1" si="14"/>
        <v>74640</v>
      </c>
      <c r="U81" s="74"/>
      <c r="V81" s="74"/>
      <c r="W81" s="74"/>
    </row>
    <row r="82" spans="1:23">
      <c r="A82" s="89">
        <v>0.7</v>
      </c>
      <c r="B82" s="345">
        <f t="shared" ref="B82:B83" ca="1" si="15">INDIRECT(CONCATENATE($B$102, G$98, $E105))</f>
        <v>1155</v>
      </c>
      <c r="C82" s="345">
        <f t="shared" ref="C82:C83" ca="1" si="16">INDIRECT(CONCATENATE($B$102, H$98, $E105))</f>
        <v>1237</v>
      </c>
      <c r="D82" s="345">
        <f t="shared" ref="D82:D83" ca="1" si="17">INDIRECT(CONCATENATE($B$102, I$98, $E105))</f>
        <v>1484</v>
      </c>
      <c r="E82" s="345">
        <f t="shared" ref="E82:E83" ca="1" si="18">INDIRECT(CONCATENATE($B$102, J$98, $E105))</f>
        <v>1715</v>
      </c>
      <c r="F82" s="345">
        <f t="shared" ca="1" si="12"/>
        <v>1912</v>
      </c>
      <c r="G82" s="345">
        <f t="shared" ref="G82:G83" ca="1" si="19">ROUND(AVERAGE(J82:K82)/12*0.3,0)</f>
        <v>2111</v>
      </c>
      <c r="J82">
        <f t="shared" ref="J82:J83" ca="1" si="20">INDIRECT(CONCATENATE($B$113, G$109, $E116))</f>
        <v>81830</v>
      </c>
      <c r="K82">
        <f t="shared" ca="1" si="14"/>
        <v>87080</v>
      </c>
      <c r="U82" s="74"/>
      <c r="V82" s="74"/>
      <c r="W82" s="74"/>
    </row>
    <row r="83" spans="1:23">
      <c r="A83" s="89">
        <v>0.8</v>
      </c>
      <c r="B83" s="345">
        <f t="shared" ca="1" si="15"/>
        <v>1320</v>
      </c>
      <c r="C83" s="345">
        <f t="shared" ca="1" si="16"/>
        <v>1414</v>
      </c>
      <c r="D83" s="345">
        <f t="shared" ca="1" si="17"/>
        <v>1696</v>
      </c>
      <c r="E83" s="345">
        <f t="shared" ca="1" si="18"/>
        <v>1960</v>
      </c>
      <c r="F83" s="345">
        <f t="shared" ca="1" si="12"/>
        <v>2186</v>
      </c>
      <c r="G83" s="345">
        <f t="shared" ca="1" si="19"/>
        <v>2413</v>
      </c>
      <c r="J83">
        <f t="shared" ca="1" si="20"/>
        <v>93520</v>
      </c>
      <c r="K83">
        <f t="shared" ca="1" si="14"/>
        <v>99520</v>
      </c>
      <c r="U83" s="74"/>
      <c r="V83" s="74"/>
      <c r="W83" s="74"/>
    </row>
    <row r="84" spans="1:23">
      <c r="G84" s="74"/>
      <c r="U84" s="74"/>
      <c r="V84" s="74"/>
      <c r="W84" s="74"/>
    </row>
    <row r="85" spans="1:23">
      <c r="A85" s="74" t="s">
        <v>2757</v>
      </c>
      <c r="B85" s="74" t="s">
        <v>366</v>
      </c>
      <c r="C85" s="74" t="s">
        <v>367</v>
      </c>
      <c r="D85" s="74" t="s">
        <v>368</v>
      </c>
      <c r="E85" s="74" t="s">
        <v>369</v>
      </c>
      <c r="F85" s="74" t="s">
        <v>370</v>
      </c>
      <c r="G85" s="74" t="s">
        <v>371</v>
      </c>
      <c r="U85" s="74"/>
      <c r="V85" s="74"/>
      <c r="W85" s="74"/>
    </row>
    <row r="86" spans="1:23">
      <c r="A86" s="84" t="s">
        <v>2758</v>
      </c>
      <c r="B86" s="83">
        <f>'Unit Mix &amp; Rents'!B7</f>
        <v>0</v>
      </c>
      <c r="C86" s="83">
        <f>'Unit Mix &amp; Rents'!B8</f>
        <v>0</v>
      </c>
      <c r="D86" s="83">
        <f>'Unit Mix &amp; Rents'!B9</f>
        <v>0</v>
      </c>
      <c r="E86" s="83">
        <f>'Unit Mix &amp; Rents'!B10</f>
        <v>0</v>
      </c>
      <c r="F86" s="83">
        <f>'Unit Mix &amp; Rents'!B11</f>
        <v>0</v>
      </c>
      <c r="G86" s="83">
        <f>'Unit Mix &amp; Rents'!B12</f>
        <v>0</v>
      </c>
      <c r="U86" s="74"/>
      <c r="V86" s="74"/>
      <c r="W86" s="74"/>
    </row>
    <row r="87" spans="1:23">
      <c r="A87" s="74"/>
      <c r="B87" s="74"/>
      <c r="C87" s="74"/>
      <c r="D87" s="74"/>
      <c r="E87" s="74"/>
      <c r="F87" s="74"/>
      <c r="G87" s="74"/>
      <c r="U87" s="74"/>
      <c r="V87" s="74"/>
      <c r="W87" s="74"/>
    </row>
    <row r="88" spans="1:23">
      <c r="A88" s="74" t="s">
        <v>2759</v>
      </c>
      <c r="B88" s="74" t="s">
        <v>366</v>
      </c>
      <c r="C88" s="74" t="s">
        <v>367</v>
      </c>
      <c r="D88" s="74" t="s">
        <v>368</v>
      </c>
      <c r="E88" s="74" t="s">
        <v>369</v>
      </c>
      <c r="F88" s="74" t="s">
        <v>370</v>
      </c>
      <c r="G88" s="74" t="s">
        <v>371</v>
      </c>
      <c r="I88" s="182"/>
      <c r="U88" s="74"/>
      <c r="V88" s="74"/>
      <c r="W88" s="74"/>
    </row>
    <row r="89" spans="1:23">
      <c r="A89" s="84" t="s">
        <v>1033</v>
      </c>
      <c r="B89" s="83">
        <f ca="1">B77-B$86</f>
        <v>330</v>
      </c>
      <c r="C89" s="83">
        <f t="shared" ref="C89:G89" ca="1" si="21">C77-C$86</f>
        <v>353</v>
      </c>
      <c r="D89" s="83">
        <f t="shared" ca="1" si="21"/>
        <v>424</v>
      </c>
      <c r="E89" s="83">
        <f t="shared" ca="1" si="21"/>
        <v>490</v>
      </c>
      <c r="F89" s="83">
        <f t="shared" ca="1" si="21"/>
        <v>546</v>
      </c>
      <c r="G89" s="83">
        <f t="shared" ca="1" si="21"/>
        <v>603</v>
      </c>
      <c r="U89" s="74"/>
      <c r="V89" s="74"/>
      <c r="W89" s="74"/>
    </row>
    <row r="90" spans="1:23">
      <c r="A90" s="84" t="s">
        <v>1034</v>
      </c>
      <c r="B90" s="83">
        <f t="shared" ref="B90:G95" ca="1" si="22">B78-B$86</f>
        <v>495</v>
      </c>
      <c r="C90" s="83">
        <f t="shared" ca="1" si="22"/>
        <v>530</v>
      </c>
      <c r="D90" s="83">
        <f t="shared" ca="1" si="22"/>
        <v>636</v>
      </c>
      <c r="E90" s="83">
        <f t="shared" ca="1" si="22"/>
        <v>735</v>
      </c>
      <c r="F90" s="83">
        <f t="shared" ca="1" si="22"/>
        <v>819</v>
      </c>
      <c r="G90" s="83">
        <f t="shared" ca="1" si="22"/>
        <v>905</v>
      </c>
      <c r="U90" s="74"/>
      <c r="V90" s="74"/>
      <c r="W90" s="74"/>
    </row>
    <row r="91" spans="1:23">
      <c r="A91" s="84" t="s">
        <v>1035</v>
      </c>
      <c r="B91" s="83">
        <f t="shared" ca="1" si="22"/>
        <v>660</v>
      </c>
      <c r="C91" s="83">
        <f t="shared" ca="1" si="22"/>
        <v>707</v>
      </c>
      <c r="D91" s="83">
        <f t="shared" ca="1" si="22"/>
        <v>848</v>
      </c>
      <c r="E91" s="83">
        <f t="shared" ca="1" si="22"/>
        <v>980</v>
      </c>
      <c r="F91" s="83">
        <f t="shared" ca="1" si="22"/>
        <v>1093</v>
      </c>
      <c r="G91" s="83">
        <f t="shared" ca="1" si="22"/>
        <v>1207</v>
      </c>
      <c r="U91" s="74"/>
      <c r="V91" s="74"/>
      <c r="W91" s="74"/>
    </row>
    <row r="92" spans="1:23">
      <c r="A92" s="84" t="s">
        <v>1036</v>
      </c>
      <c r="B92" s="83">
        <f t="shared" ca="1" si="22"/>
        <v>825</v>
      </c>
      <c r="C92" s="83">
        <f t="shared" ca="1" si="22"/>
        <v>883</v>
      </c>
      <c r="D92" s="83">
        <f t="shared" ca="1" si="22"/>
        <v>1060</v>
      </c>
      <c r="E92" s="83">
        <f t="shared" ca="1" si="22"/>
        <v>1225</v>
      </c>
      <c r="F92" s="83">
        <f t="shared" ca="1" si="22"/>
        <v>1366</v>
      </c>
      <c r="G92" s="83">
        <f t="shared" ca="1" si="22"/>
        <v>1508</v>
      </c>
      <c r="U92" s="74"/>
      <c r="V92" s="74"/>
    </row>
    <row r="93" spans="1:23">
      <c r="A93" s="84" t="s">
        <v>2760</v>
      </c>
      <c r="B93" s="83">
        <f t="shared" ca="1" si="22"/>
        <v>990</v>
      </c>
      <c r="C93" s="83">
        <f t="shared" ca="1" si="22"/>
        <v>1060</v>
      </c>
      <c r="D93" s="83">
        <f t="shared" ca="1" si="22"/>
        <v>1272</v>
      </c>
      <c r="E93" s="83">
        <f t="shared" ca="1" si="22"/>
        <v>1470</v>
      </c>
      <c r="F93" s="83">
        <f t="shared" ca="1" si="22"/>
        <v>1639</v>
      </c>
      <c r="G93" s="83">
        <f t="shared" ca="1" si="22"/>
        <v>1810</v>
      </c>
      <c r="U93" s="74"/>
      <c r="V93" s="74"/>
    </row>
    <row r="94" spans="1:23">
      <c r="A94" s="164" t="s">
        <v>1038</v>
      </c>
      <c r="B94" s="83">
        <f t="shared" ca="1" si="22"/>
        <v>1155</v>
      </c>
      <c r="C94" s="83">
        <f t="shared" ca="1" si="22"/>
        <v>1237</v>
      </c>
      <c r="D94" s="83">
        <f t="shared" ca="1" si="22"/>
        <v>1484</v>
      </c>
      <c r="E94" s="83">
        <f t="shared" ca="1" si="22"/>
        <v>1715</v>
      </c>
      <c r="F94" s="83">
        <f t="shared" ca="1" si="22"/>
        <v>1912</v>
      </c>
      <c r="G94" s="83">
        <f t="shared" ca="1" si="22"/>
        <v>2111</v>
      </c>
      <c r="U94" s="182"/>
      <c r="V94" s="182"/>
    </row>
    <row r="95" spans="1:23">
      <c r="A95" s="164" t="s">
        <v>1039</v>
      </c>
      <c r="B95" s="83">
        <f t="shared" ca="1" si="22"/>
        <v>1320</v>
      </c>
      <c r="C95" s="83">
        <f t="shared" ca="1" si="22"/>
        <v>1414</v>
      </c>
      <c r="D95" s="83">
        <f t="shared" ca="1" si="22"/>
        <v>1696</v>
      </c>
      <c r="E95" s="83">
        <f t="shared" ca="1" si="22"/>
        <v>1960</v>
      </c>
      <c r="F95" s="83">
        <f t="shared" ca="1" si="22"/>
        <v>2186</v>
      </c>
      <c r="G95" s="83">
        <f t="shared" ca="1" si="22"/>
        <v>2413</v>
      </c>
      <c r="U95" s="182"/>
      <c r="V95" s="182"/>
    </row>
    <row r="96" spans="1:23">
      <c r="A96" s="84"/>
      <c r="B96" s="83"/>
      <c r="C96" s="83"/>
      <c r="D96" s="83"/>
      <c r="E96" s="83"/>
      <c r="F96" s="83"/>
      <c r="G96" s="83"/>
      <c r="L96" s="92"/>
      <c r="M96" s="92"/>
      <c r="N96" s="8"/>
      <c r="O96" s="182"/>
      <c r="P96" s="182"/>
      <c r="Q96" s="182"/>
      <c r="T96" s="182"/>
      <c r="U96" s="182"/>
      <c r="V96" s="182"/>
    </row>
    <row r="97" spans="1:22">
      <c r="A97" s="3" t="s">
        <v>2761</v>
      </c>
      <c r="B97" s="3"/>
      <c r="C97" s="3"/>
      <c r="D97" s="3"/>
      <c r="E97" s="3"/>
      <c r="F97" s="3"/>
      <c r="G97" s="3"/>
      <c r="H97" s="3"/>
      <c r="I97" s="3"/>
      <c r="J97" s="3"/>
      <c r="K97" s="3"/>
      <c r="L97" s="3"/>
      <c r="M97" s="92"/>
      <c r="N97" s="8"/>
      <c r="O97" s="182"/>
      <c r="P97" s="182"/>
      <c r="Q97" s="182"/>
      <c r="T97" s="182"/>
      <c r="U97" s="182"/>
      <c r="V97" s="182"/>
    </row>
    <row r="98" spans="1:22">
      <c r="A98" s="14"/>
      <c r="B98" t="str">
        <f t="array" ref="B98">T(TRIM('Rent &amp; Income Limits'!A9:A701))</f>
        <v/>
      </c>
      <c r="G98" t="str">
        <f>SUBSTITUTE(ADDRESS(ROW('Rent &amp; Income Limits'!C8), COLUMN('Rent &amp; Income Limits'!C8),4), ROW('Rent &amp; Income Limits'!C8), "")</f>
        <v>C</v>
      </c>
      <c r="H98" t="str">
        <f>SUBSTITUTE(ADDRESS(ROW('Rent &amp; Income Limits'!D8), COLUMN('Rent &amp; Income Limits'!D8),4), ROW('Rent &amp; Income Limits'!D8), "")</f>
        <v>D</v>
      </c>
      <c r="I98" t="str">
        <f>SUBSTITUTE(ADDRESS(ROW('Rent &amp; Income Limits'!E8), COLUMN('Rent &amp; Income Limits'!E8),4), ROW('Rent &amp; Income Limits'!E8), "")</f>
        <v>E</v>
      </c>
      <c r="J98" t="str">
        <f>SUBSTITUTE(ADDRESS(ROW('Rent &amp; Income Limits'!F8), COLUMN('Rent &amp; Income Limits'!F8),4), ROW('Rent &amp; Income Limits'!F8), "")</f>
        <v>F</v>
      </c>
      <c r="K98" t="str">
        <f>SUBSTITUTE(ADDRESS(ROW('Rent &amp; Income Limits'!G8), COLUMN('Rent &amp; Income Limits'!G8),4), ROW('Rent &amp; Income Limits'!G8), "")</f>
        <v>G</v>
      </c>
      <c r="M98" s="92"/>
      <c r="N98" s="8"/>
      <c r="O98" s="182"/>
      <c r="P98" s="182"/>
      <c r="Q98" s="182"/>
      <c r="T98" s="182"/>
      <c r="U98" s="182"/>
      <c r="V98" s="182"/>
    </row>
    <row r="99" spans="1:22">
      <c r="A99" t="s">
        <v>2762</v>
      </c>
      <c r="B99" t="e">
        <f t="array" ref="B99">MATCH($B$13, TRIM('Rent &amp; Income Limits'!A9:A709), 0) + ROW('Rent &amp; Income Limits'!A8)</f>
        <v>#N/A</v>
      </c>
      <c r="C99" t="s">
        <v>2763</v>
      </c>
      <c r="D99" t="s">
        <v>2764</v>
      </c>
      <c r="E99" t="s">
        <v>2765</v>
      </c>
      <c r="G99" t="s">
        <v>1252</v>
      </c>
      <c r="H99" t="s">
        <v>1253</v>
      </c>
      <c r="I99" t="s">
        <v>1254</v>
      </c>
      <c r="J99" t="s">
        <v>1255</v>
      </c>
      <c r="K99" t="s">
        <v>1256</v>
      </c>
      <c r="N99" s="8"/>
      <c r="O99" s="182"/>
      <c r="P99" s="182"/>
      <c r="Q99" s="182"/>
      <c r="T99" s="182"/>
      <c r="U99" s="182"/>
      <c r="V99" s="182"/>
    </row>
    <row r="100" spans="1:22">
      <c r="D100" s="92">
        <f ca="1">MATCH(F100, INDIRECT($B$104), 0)-3</f>
        <v>8</v>
      </c>
      <c r="E100" s="92">
        <f ca="1">$B$101 +D100</f>
        <v>712</v>
      </c>
      <c r="F100" s="70">
        <v>0.2</v>
      </c>
      <c r="N100" s="8"/>
      <c r="O100" s="182"/>
      <c r="P100" s="182"/>
      <c r="Q100" s="182"/>
      <c r="T100" s="182"/>
      <c r="U100" s="182"/>
      <c r="V100" s="182"/>
    </row>
    <row r="101" spans="1:22">
      <c r="A101" t="s">
        <v>2766</v>
      </c>
      <c r="B101">
        <f>IF(ISNA(B99), ROW('Rent &amp; Income Limits'!A704), Calculations!B99)</f>
        <v>704</v>
      </c>
      <c r="D101" s="92">
        <f ca="1">MATCH(F101, INDIRECT($B$104), 0)-3</f>
        <v>7</v>
      </c>
      <c r="E101" s="92">
        <f ca="1">$B$101 +D101</f>
        <v>711</v>
      </c>
      <c r="F101" s="8">
        <v>0.3</v>
      </c>
      <c r="N101" s="8"/>
      <c r="O101" s="182"/>
      <c r="P101" s="182"/>
      <c r="Q101" s="182"/>
      <c r="T101" s="182"/>
      <c r="U101" s="182"/>
      <c r="V101" s="182"/>
    </row>
    <row r="102" spans="1:22">
      <c r="A102" t="s">
        <v>2767</v>
      </c>
      <c r="B102" s="49" t="s">
        <v>2768</v>
      </c>
      <c r="D102" s="92">
        <f ca="1">MATCH(F102, INDIRECT($B$104), 0)-3</f>
        <v>6</v>
      </c>
      <c r="E102" s="92">
        <f ca="1">$B$101 +D102</f>
        <v>710</v>
      </c>
      <c r="F102" s="8">
        <v>0.4</v>
      </c>
      <c r="N102" s="8"/>
      <c r="O102" s="182"/>
      <c r="P102" s="182"/>
      <c r="Q102" s="182"/>
      <c r="T102" s="182"/>
      <c r="U102" s="182"/>
      <c r="V102" s="182"/>
    </row>
    <row r="103" spans="1:22">
      <c r="A103" t="s">
        <v>2769</v>
      </c>
      <c r="B103" t="s">
        <v>2770</v>
      </c>
      <c r="D103" s="92">
        <f ca="1">MATCH(F103, INDIRECT($B$104), 0)-3</f>
        <v>4</v>
      </c>
      <c r="E103" s="92">
        <f ca="1">$B$101 +D103</f>
        <v>708</v>
      </c>
      <c r="F103" s="8">
        <v>0.5</v>
      </c>
      <c r="N103" s="8"/>
      <c r="O103" s="182"/>
      <c r="P103" s="182"/>
      <c r="Q103" s="182"/>
      <c r="T103" s="182"/>
      <c r="U103" s="182"/>
      <c r="V103" s="182"/>
    </row>
    <row r="104" spans="1:22">
      <c r="A104" t="s">
        <v>2771</v>
      </c>
      <c r="B104" t="str">
        <f>CONCATENATE(B102, B103, B101 - 2, ":", B103, B101+ 8)</f>
        <v>'Rent &amp; Income Limits'!B702:B712</v>
      </c>
      <c r="D104" s="92">
        <f ca="1">MATCH(F104, INDIRECT($B$104), 0)-3</f>
        <v>2</v>
      </c>
      <c r="E104" s="92">
        <f ca="1">$B$101 +D104</f>
        <v>706</v>
      </c>
      <c r="F104" s="8">
        <v>0.6</v>
      </c>
      <c r="M104" s="92"/>
      <c r="N104" s="8"/>
      <c r="O104" s="182"/>
      <c r="P104" s="182"/>
      <c r="Q104" s="182"/>
      <c r="T104" s="182"/>
      <c r="U104" s="182"/>
      <c r="V104" s="182"/>
    </row>
    <row r="105" spans="1:22">
      <c r="D105" s="92">
        <f t="shared" ref="D105:D106" ca="1" si="23">MATCH(F105, INDIRECT($B$104), 0)-3</f>
        <v>1</v>
      </c>
      <c r="E105" s="92">
        <f t="shared" ref="E105:E106" ca="1" si="24">$B$101 +D105</f>
        <v>705</v>
      </c>
      <c r="F105" s="70">
        <v>0.7</v>
      </c>
      <c r="M105" s="92"/>
      <c r="N105" s="8"/>
      <c r="O105" s="182"/>
      <c r="P105" s="182"/>
      <c r="Q105" s="182"/>
      <c r="T105" s="182"/>
      <c r="U105" s="182"/>
      <c r="V105" s="182"/>
    </row>
    <row r="106" spans="1:22">
      <c r="D106" s="92">
        <f t="shared" ca="1" si="23"/>
        <v>0</v>
      </c>
      <c r="E106" s="92">
        <f t="shared" ca="1" si="24"/>
        <v>704</v>
      </c>
      <c r="F106" s="8">
        <v>0.8</v>
      </c>
      <c r="M106" s="92"/>
      <c r="N106" s="8"/>
      <c r="O106" s="182"/>
      <c r="P106" s="182"/>
      <c r="Q106" s="182"/>
      <c r="T106" s="182"/>
      <c r="U106" s="182"/>
      <c r="V106" s="182"/>
    </row>
    <row r="107" spans="1:22">
      <c r="M107" s="92"/>
      <c r="N107" s="8"/>
      <c r="O107" s="182"/>
      <c r="P107" s="182"/>
      <c r="Q107" s="182"/>
      <c r="T107" s="182"/>
      <c r="U107" s="182"/>
      <c r="V107" s="182"/>
    </row>
    <row r="108" spans="1:22">
      <c r="A108" s="3" t="s">
        <v>2761</v>
      </c>
      <c r="B108" s="3"/>
      <c r="C108" s="3"/>
      <c r="D108" s="3"/>
      <c r="E108" s="3"/>
      <c r="F108" s="3"/>
      <c r="G108" s="3"/>
      <c r="H108" s="3"/>
      <c r="I108" s="3"/>
      <c r="M108" s="92"/>
      <c r="N108" s="8"/>
      <c r="O108" s="182"/>
      <c r="P108" s="182"/>
      <c r="Q108" s="182"/>
      <c r="T108" s="182"/>
      <c r="U108" s="182"/>
      <c r="V108" s="182"/>
    </row>
    <row r="109" spans="1:22">
      <c r="A109" s="14"/>
      <c r="B109" t="str">
        <f t="array" ref="B109">T(TRIM('Rent &amp; Income Limits'!A17:A709))</f>
        <v/>
      </c>
      <c r="G109" t="s">
        <v>2772</v>
      </c>
      <c r="H109" t="s">
        <v>2773</v>
      </c>
      <c r="M109" s="92"/>
      <c r="N109" s="8"/>
      <c r="O109" s="182"/>
      <c r="P109" s="182"/>
      <c r="Q109" s="182"/>
      <c r="T109" s="182"/>
      <c r="U109" s="182"/>
      <c r="V109" s="182"/>
    </row>
    <row r="110" spans="1:22">
      <c r="A110" t="s">
        <v>2762</v>
      </c>
      <c r="B110" t="e">
        <f t="array" ref="B110">MATCH($B$13, TRIM('Rent &amp; Income Limits'!A9:A709), 0) + ROW('Rent &amp; Income Limits'!A8)</f>
        <v>#N/A</v>
      </c>
      <c r="C110" t="s">
        <v>2763</v>
      </c>
      <c r="D110" t="s">
        <v>2764</v>
      </c>
      <c r="E110" t="s">
        <v>2765</v>
      </c>
      <c r="G110" t="s">
        <v>1263</v>
      </c>
      <c r="H110" t="s">
        <v>1264</v>
      </c>
      <c r="M110" s="92"/>
      <c r="N110" s="8"/>
      <c r="O110" s="182"/>
      <c r="P110" s="182"/>
      <c r="Q110" s="182"/>
      <c r="T110" s="182"/>
      <c r="U110" s="182"/>
      <c r="V110" s="182"/>
    </row>
    <row r="111" spans="1:22">
      <c r="D111" s="92">
        <f ca="1">MATCH(F111, INDIRECT($B$104), 0)-3</f>
        <v>8</v>
      </c>
      <c r="E111" s="92">
        <f ca="1">$B$101 +D111</f>
        <v>712</v>
      </c>
      <c r="F111" s="8">
        <v>0.2</v>
      </c>
      <c r="M111" s="92"/>
      <c r="N111" s="8"/>
      <c r="O111" s="182"/>
      <c r="P111" s="182"/>
      <c r="Q111" s="182"/>
      <c r="T111" s="182"/>
      <c r="U111" s="182"/>
      <c r="V111" s="182"/>
    </row>
    <row r="112" spans="1:22">
      <c r="A112" t="s">
        <v>2766</v>
      </c>
      <c r="B112">
        <f>IF(ISNA(B110), ROW('Rent &amp; Income Limits'!A704), Calculations!B110)</f>
        <v>704</v>
      </c>
      <c r="D112" s="92">
        <f ca="1">MATCH(F112, INDIRECT($B$104), 0)-3</f>
        <v>7</v>
      </c>
      <c r="E112" s="92">
        <f ca="1">$B$101 +D112</f>
        <v>711</v>
      </c>
      <c r="F112" s="8">
        <v>0.3</v>
      </c>
      <c r="M112" s="92"/>
      <c r="N112" s="8"/>
      <c r="O112" s="182"/>
      <c r="P112" s="182"/>
      <c r="Q112" s="182"/>
      <c r="T112" s="182"/>
      <c r="U112" s="182"/>
      <c r="V112" s="182"/>
    </row>
    <row r="113" spans="1:22">
      <c r="A113" t="s">
        <v>2767</v>
      </c>
      <c r="B113" s="49" t="s">
        <v>2768</v>
      </c>
      <c r="D113" s="92">
        <f ca="1">MATCH(F113, INDIRECT($B$104), 0)-3</f>
        <v>6</v>
      </c>
      <c r="E113" s="92">
        <f ca="1">$B$101 +D113</f>
        <v>710</v>
      </c>
      <c r="F113" s="8">
        <v>0.4</v>
      </c>
      <c r="M113" s="92"/>
      <c r="N113" s="8"/>
      <c r="O113" s="182"/>
      <c r="P113" s="182"/>
      <c r="Q113" s="182"/>
      <c r="T113" s="182"/>
      <c r="U113" s="182"/>
      <c r="V113" s="182"/>
    </row>
    <row r="114" spans="1:22">
      <c r="A114" t="s">
        <v>2769</v>
      </c>
      <c r="B114" t="s">
        <v>2770</v>
      </c>
      <c r="D114" s="92">
        <f ca="1">MATCH(F114, INDIRECT($B$104), 0)-3</f>
        <v>4</v>
      </c>
      <c r="E114" s="92">
        <f ca="1">$B$101 +D114</f>
        <v>708</v>
      </c>
      <c r="F114" s="8">
        <v>0.5</v>
      </c>
      <c r="G114" s="74"/>
      <c r="H114" s="74"/>
      <c r="I114" s="74"/>
      <c r="M114" s="92"/>
      <c r="N114" s="8"/>
      <c r="O114" s="182"/>
      <c r="P114" s="182"/>
      <c r="Q114" s="182"/>
      <c r="T114" s="182"/>
      <c r="U114" s="182"/>
      <c r="V114" s="182"/>
    </row>
    <row r="115" spans="1:22">
      <c r="A115" t="s">
        <v>2771</v>
      </c>
      <c r="B115" t="str">
        <f>CONCATENATE(B113, B114, B112 - 2, ":", B114, B112+ 8)</f>
        <v>'Rent &amp; Income Limits'!B702:B712</v>
      </c>
      <c r="D115" s="92">
        <f ca="1">MATCH(F115, INDIRECT($B$104), 0)-3</f>
        <v>2</v>
      </c>
      <c r="E115" s="92">
        <f ca="1">$B$101 +D115</f>
        <v>706</v>
      </c>
      <c r="F115" s="8">
        <v>0.6</v>
      </c>
      <c r="G115" s="74"/>
      <c r="H115" s="74"/>
      <c r="I115" s="74"/>
      <c r="M115" s="92"/>
      <c r="N115" s="8"/>
      <c r="O115" s="182"/>
      <c r="P115" s="182"/>
      <c r="Q115" s="182"/>
      <c r="T115" s="182"/>
      <c r="U115" s="182"/>
      <c r="V115" s="182"/>
    </row>
    <row r="116" spans="1:22">
      <c r="D116" s="92">
        <f t="shared" ref="D116:D117" ca="1" si="25">MATCH(F116, INDIRECT($B$104), 0)-3</f>
        <v>1</v>
      </c>
      <c r="E116" s="92">
        <f t="shared" ref="E116:E117" ca="1" si="26">$B$101 +D116</f>
        <v>705</v>
      </c>
      <c r="F116" s="8">
        <v>0.7</v>
      </c>
      <c r="G116" s="182"/>
      <c r="H116" s="182"/>
      <c r="I116" s="182"/>
      <c r="M116" s="92"/>
      <c r="N116" s="8"/>
      <c r="O116" s="182"/>
      <c r="P116" s="182"/>
      <c r="Q116" s="182"/>
      <c r="T116" s="182"/>
      <c r="U116" s="182"/>
      <c r="V116" s="182"/>
    </row>
    <row r="117" spans="1:22">
      <c r="D117" s="92">
        <f t="shared" ca="1" si="25"/>
        <v>0</v>
      </c>
      <c r="E117" s="92">
        <f t="shared" ca="1" si="26"/>
        <v>704</v>
      </c>
      <c r="F117" s="8">
        <v>0.8</v>
      </c>
      <c r="G117" s="182"/>
      <c r="H117" s="182"/>
      <c r="I117" s="182"/>
      <c r="M117" s="92"/>
      <c r="N117" s="8"/>
      <c r="O117" s="182"/>
      <c r="P117" s="182"/>
      <c r="Q117" s="182"/>
      <c r="T117" s="182"/>
      <c r="U117" s="182"/>
      <c r="V117" s="182"/>
    </row>
    <row r="118" spans="1:22">
      <c r="G118" s="14"/>
    </row>
    <row r="119" spans="1:22">
      <c r="A119" s="99" t="s">
        <v>2774</v>
      </c>
      <c r="B119" s="99"/>
      <c r="C119" s="99"/>
      <c r="D119" s="99"/>
      <c r="E119" s="99"/>
      <c r="F119" s="99"/>
      <c r="G119" s="99"/>
      <c r="H119" s="71"/>
      <c r="I119" s="71"/>
      <c r="J119" s="71"/>
      <c r="K119" s="71"/>
      <c r="L119" s="71"/>
      <c r="M119" s="71"/>
    </row>
    <row r="120" spans="1:22">
      <c r="A120" s="205" t="s">
        <v>589</v>
      </c>
    </row>
    <row r="121" spans="1:22">
      <c r="A121" s="19" t="str">
        <f>Financing!A7</f>
        <v>Residential Loans (amortizing)</v>
      </c>
      <c r="B121" s="19" t="s">
        <v>385</v>
      </c>
      <c r="C121" s="19" t="s">
        <v>386</v>
      </c>
      <c r="D121" s="19" t="s">
        <v>388</v>
      </c>
      <c r="E121" s="19" t="s">
        <v>2775</v>
      </c>
    </row>
    <row r="122" spans="1:22">
      <c r="A122">
        <f>Financing!A9</f>
        <v>0</v>
      </c>
      <c r="B122" s="66">
        <f>Financing!B9</f>
        <v>0</v>
      </c>
      <c r="C122" s="204">
        <f>Financing!C9</f>
        <v>0</v>
      </c>
      <c r="D122">
        <f>Financing!E9</f>
        <v>0</v>
      </c>
      <c r="E122" s="66">
        <f>IF(D122=0,0,-PMT(C122/12,D122*12,B122)*12)</f>
        <v>0</v>
      </c>
    </row>
    <row r="123" spans="1:22">
      <c r="A123">
        <f>Financing!A10</f>
        <v>0</v>
      </c>
      <c r="B123" s="66">
        <f>Financing!B10</f>
        <v>0</v>
      </c>
      <c r="C123" s="204">
        <f>Financing!C10</f>
        <v>0</v>
      </c>
      <c r="D123">
        <f>Financing!E10</f>
        <v>0</v>
      </c>
      <c r="E123" s="66">
        <f>IF(D123=0,0,-PMT(C123/12,D123*12,B123)*12)</f>
        <v>0</v>
      </c>
      <c r="G123" s="67" t="s">
        <v>380</v>
      </c>
      <c r="H123" s="66">
        <f xml:space="preserve"> Financing!B3</f>
        <v>0</v>
      </c>
    </row>
    <row r="124" spans="1:22">
      <c r="A124">
        <f>Financing!A11</f>
        <v>0</v>
      </c>
      <c r="B124" s="66">
        <f>Financing!B11</f>
        <v>0</v>
      </c>
      <c r="C124" s="204">
        <f>Financing!C11</f>
        <v>0</v>
      </c>
      <c r="D124">
        <f>Financing!E11</f>
        <v>0</v>
      </c>
      <c r="E124" s="66">
        <f>IF(D124=0,0,-PMT(C124/12,D124*12,B124)*12)</f>
        <v>0</v>
      </c>
      <c r="G124" s="67" t="s">
        <v>381</v>
      </c>
      <c r="H124" s="197">
        <f xml:space="preserve"> Financing!B4</f>
        <v>0</v>
      </c>
    </row>
    <row r="125" spans="1:22">
      <c r="B125" s="199">
        <f>SUM(B122:B124)</f>
        <v>0</v>
      </c>
      <c r="E125" s="199">
        <f>SUM(E122:E124)</f>
        <v>0</v>
      </c>
      <c r="G125" s="67" t="s">
        <v>2776</v>
      </c>
      <c r="H125" s="66">
        <f>(H123/2) * H124/12</f>
        <v>0</v>
      </c>
    </row>
    <row r="126" spans="1:22">
      <c r="G126" s="67" t="s">
        <v>2777</v>
      </c>
      <c r="H126" s="509">
        <f>Application!B140</f>
        <v>0</v>
      </c>
    </row>
    <row r="127" spans="1:22">
      <c r="A127" s="19" t="str">
        <f>Financing!A14</f>
        <v>Residential Loans (cash flow only)</v>
      </c>
      <c r="B127" s="19" t="s">
        <v>385</v>
      </c>
      <c r="H127" s="65"/>
      <c r="I127" s="202"/>
      <c r="J127" s="100"/>
      <c r="K127" s="100"/>
      <c r="L127" s="100"/>
    </row>
    <row r="128" spans="1:22">
      <c r="A128">
        <f>Financing!A16</f>
        <v>0</v>
      </c>
      <c r="B128" s="66">
        <f>Financing!B16</f>
        <v>0</v>
      </c>
      <c r="E128" s="65"/>
      <c r="G128" s="124" t="s">
        <v>979</v>
      </c>
      <c r="H128" s="106">
        <f>H125*H126</f>
        <v>0</v>
      </c>
      <c r="I128" s="202"/>
      <c r="J128" s="22" t="s">
        <v>2778</v>
      </c>
      <c r="L128" s="100"/>
    </row>
    <row r="129" spans="1:12">
      <c r="A129">
        <f>Financing!A17</f>
        <v>0</v>
      </c>
      <c r="B129" s="66">
        <f>Financing!B17</f>
        <v>0</v>
      </c>
      <c r="E129" s="65"/>
      <c r="G129" s="124" t="s">
        <v>2779</v>
      </c>
      <c r="H129" s="497">
        <f>SUM('Development Budget'!C48:D48)</f>
        <v>0</v>
      </c>
      <c r="I129" s="202"/>
      <c r="J129" s="426" t="b">
        <f>H129&lt;H128</f>
        <v>0</v>
      </c>
      <c r="K129" t="str">
        <f>INDEX(Comments_Construction_Interest_table[],MATCH(J129,Comments_Construction_Interest_table[Construction Interest],0),2)</f>
        <v>Construction interest actual exceeds construction interest test</v>
      </c>
      <c r="L129" s="100"/>
    </row>
    <row r="130" spans="1:12">
      <c r="A130">
        <f>Financing!A18</f>
        <v>0</v>
      </c>
      <c r="B130" s="66">
        <f>Financing!B18</f>
        <v>0</v>
      </c>
      <c r="E130" s="65"/>
    </row>
    <row r="131" spans="1:12">
      <c r="A131">
        <f>Financing!A19</f>
        <v>0</v>
      </c>
      <c r="B131" s="66">
        <f>Financing!B19</f>
        <v>0</v>
      </c>
      <c r="E131" s="65"/>
    </row>
    <row r="132" spans="1:12">
      <c r="A132">
        <f>Financing!A20</f>
        <v>0</v>
      </c>
      <c r="B132" s="66">
        <f>Financing!B20</f>
        <v>0</v>
      </c>
      <c r="E132" s="65"/>
    </row>
    <row r="133" spans="1:12">
      <c r="A133">
        <f>Financing!A21</f>
        <v>0</v>
      </c>
      <c r="B133" s="66">
        <f>Financing!B21</f>
        <v>0</v>
      </c>
      <c r="E133" s="65"/>
    </row>
    <row r="134" spans="1:12">
      <c r="B134" s="199">
        <f>SUM(B128:B133)</f>
        <v>0</v>
      </c>
      <c r="E134" s="203"/>
    </row>
    <row r="136" spans="1:12">
      <c r="A136" s="19" t="s">
        <v>2780</v>
      </c>
      <c r="B136" s="19" t="s">
        <v>962</v>
      </c>
      <c r="C136" s="19" t="s">
        <v>963</v>
      </c>
    </row>
    <row r="137" spans="1:12">
      <c r="A137" t="s">
        <v>965</v>
      </c>
      <c r="B137" s="66">
        <f>B125+B134</f>
        <v>0</v>
      </c>
      <c r="C137" s="66">
        <f>E125</f>
        <v>0</v>
      </c>
    </row>
    <row r="138" spans="1:12">
      <c r="A138" t="s">
        <v>966</v>
      </c>
      <c r="B138" s="66">
        <f>SUM(Financing!B26:B33)</f>
        <v>0</v>
      </c>
      <c r="C138" s="66"/>
      <c r="K138" s="101"/>
      <c r="L138" s="102"/>
    </row>
    <row r="139" spans="1:12">
      <c r="A139" t="s">
        <v>397</v>
      </c>
      <c r="B139" s="66">
        <f>Financing!B38</f>
        <v>0</v>
      </c>
      <c r="C139" s="66"/>
      <c r="K139" s="103"/>
      <c r="L139" s="88"/>
    </row>
    <row r="140" spans="1:12">
      <c r="A140" t="s">
        <v>398</v>
      </c>
      <c r="B140" s="66">
        <f>Financing!B39</f>
        <v>0</v>
      </c>
      <c r="C140" s="66"/>
    </row>
    <row r="141" spans="1:12" ht="15.75" thickBot="1">
      <c r="A141" t="s">
        <v>399</v>
      </c>
      <c r="B141" s="66">
        <f>Financing!B40</f>
        <v>0</v>
      </c>
      <c r="C141" s="66"/>
    </row>
    <row r="142" spans="1:12" ht="15.75" thickTop="1">
      <c r="A142" t="s">
        <v>1345</v>
      </c>
      <c r="B142" s="198">
        <f>SUM(B137:B141)</f>
        <v>0</v>
      </c>
      <c r="C142" s="66"/>
    </row>
    <row r="144" spans="1:12">
      <c r="A144" s="22" t="s">
        <v>590</v>
      </c>
    </row>
    <row r="145" spans="1:5">
      <c r="A145" s="19" t="str">
        <f>Financing!A44</f>
        <v>Commercial Loans (amortizing)</v>
      </c>
      <c r="B145" s="19" t="s">
        <v>385</v>
      </c>
      <c r="C145" s="19" t="s">
        <v>386</v>
      </c>
      <c r="D145" s="19" t="s">
        <v>388</v>
      </c>
      <c r="E145" s="19" t="s">
        <v>2775</v>
      </c>
    </row>
    <row r="146" spans="1:5">
      <c r="A146">
        <f>Financing!A46</f>
        <v>0</v>
      </c>
      <c r="B146" s="66">
        <f>Financing!B46</f>
        <v>0</v>
      </c>
      <c r="C146" s="204">
        <f>Financing!C46</f>
        <v>0</v>
      </c>
      <c r="D146">
        <f>Financing!E46</f>
        <v>0</v>
      </c>
      <c r="E146" s="66">
        <f>IF(D146=0,0,-PMT(C146/12,D146*12,B146)*12)</f>
        <v>0</v>
      </c>
    </row>
    <row r="147" spans="1:5">
      <c r="A147">
        <f>Financing!A47</f>
        <v>0</v>
      </c>
      <c r="B147" s="66">
        <f>Financing!B47</f>
        <v>0</v>
      </c>
      <c r="C147" s="204">
        <f>Financing!C47</f>
        <v>0</v>
      </c>
      <c r="D147">
        <f>Financing!E47</f>
        <v>0</v>
      </c>
      <c r="E147" s="66">
        <f>IF(D147=0,0,-PMT(C147/12,D147*12,B147)*12)</f>
        <v>0</v>
      </c>
    </row>
    <row r="148" spans="1:5">
      <c r="A148">
        <f>Financing!A48</f>
        <v>0</v>
      </c>
      <c r="B148" s="66">
        <f>Financing!B48</f>
        <v>0</v>
      </c>
      <c r="C148" s="204">
        <f>Financing!C48</f>
        <v>0</v>
      </c>
      <c r="D148">
        <f>Financing!E48</f>
        <v>0</v>
      </c>
      <c r="E148" s="66">
        <f>IF(D148=0,0,-PMT(C148/12,D148*12,B148)*12)</f>
        <v>0</v>
      </c>
    </row>
    <row r="149" spans="1:5">
      <c r="B149" s="199">
        <f>SUM(B146:B148)</f>
        <v>0</v>
      </c>
    </row>
    <row r="151" spans="1:5">
      <c r="A151" s="19" t="str">
        <f>Financing!A51</f>
        <v>Commercial Loans (cash flow only)</v>
      </c>
      <c r="B151" s="19" t="s">
        <v>385</v>
      </c>
    </row>
    <row r="152" spans="1:5">
      <c r="A152">
        <f>Financing!A53</f>
        <v>0</v>
      </c>
      <c r="B152" s="66">
        <f>Financing!B53</f>
        <v>0</v>
      </c>
    </row>
    <row r="153" spans="1:5">
      <c r="A153">
        <f>Financing!A54</f>
        <v>0</v>
      </c>
      <c r="B153" s="66">
        <f>Financing!B54</f>
        <v>0</v>
      </c>
    </row>
    <row r="154" spans="1:5">
      <c r="A154">
        <f>Financing!A55</f>
        <v>0</v>
      </c>
      <c r="B154" s="66">
        <f>Financing!B55</f>
        <v>0</v>
      </c>
    </row>
    <row r="155" spans="1:5">
      <c r="A155">
        <f>Financing!A56</f>
        <v>0</v>
      </c>
      <c r="B155" s="66">
        <f>Financing!B56</f>
        <v>0</v>
      </c>
    </row>
    <row r="156" spans="1:5">
      <c r="A156">
        <f>Financing!A57</f>
        <v>0</v>
      </c>
      <c r="B156" s="66">
        <f>Financing!B57</f>
        <v>0</v>
      </c>
    </row>
    <row r="157" spans="1:5">
      <c r="A157">
        <f>Financing!A58</f>
        <v>0</v>
      </c>
      <c r="B157" s="66">
        <f>Financing!B58</f>
        <v>0</v>
      </c>
    </row>
    <row r="158" spans="1:5">
      <c r="B158" s="199">
        <f>SUM(B152:B157)</f>
        <v>0</v>
      </c>
    </row>
    <row r="159" spans="1:5">
      <c r="B159" s="199"/>
    </row>
    <row r="160" spans="1:5">
      <c r="A160" t="s">
        <v>404</v>
      </c>
      <c r="B160" s="66">
        <f>SUM(Financing!B63:B70)</f>
        <v>0</v>
      </c>
    </row>
    <row r="161" spans="1:16">
      <c r="A161" t="str">
        <f>Financing!A75</f>
        <v>Deferred Developer Fee</v>
      </c>
      <c r="B161" s="66">
        <f>Financing!B75</f>
        <v>0</v>
      </c>
    </row>
    <row r="162" spans="1:16" ht="15.75" thickBot="1">
      <c r="A162" t="str">
        <f>Financing!A76</f>
        <v>Other Owner Equity</v>
      </c>
      <c r="B162" s="66">
        <f>Financing!B76</f>
        <v>0</v>
      </c>
    </row>
    <row r="163" spans="1:16" ht="15.75" thickTop="1">
      <c r="A163" t="s">
        <v>2781</v>
      </c>
      <c r="B163" s="198">
        <f>B149+B158+SUM(B160:B162)</f>
        <v>0</v>
      </c>
    </row>
    <row r="165" spans="1:16">
      <c r="A165" s="74"/>
      <c r="B165" s="74"/>
      <c r="C165" s="74"/>
      <c r="D165" s="74"/>
      <c r="E165" s="74"/>
      <c r="F165" s="74"/>
      <c r="G165" s="74"/>
    </row>
    <row r="166" spans="1:16">
      <c r="A166" s="99" t="s">
        <v>2782</v>
      </c>
      <c r="B166" s="99"/>
      <c r="C166" s="99"/>
      <c r="D166" s="99"/>
      <c r="E166" s="99"/>
      <c r="F166" s="99"/>
      <c r="G166" s="99"/>
      <c r="H166" s="71"/>
      <c r="I166" s="71"/>
      <c r="J166" s="71"/>
      <c r="K166" s="71"/>
      <c r="L166" s="71"/>
      <c r="M166" s="71"/>
    </row>
    <row r="167" spans="1:16">
      <c r="A167" s="74"/>
      <c r="B167" s="74"/>
      <c r="C167" s="74"/>
      <c r="D167" s="74"/>
      <c r="E167" s="74"/>
      <c r="F167" s="74"/>
      <c r="G167" s="74"/>
      <c r="J167" s="1" t="s">
        <v>49</v>
      </c>
    </row>
    <row r="168" spans="1:16" ht="45">
      <c r="A168" s="93" t="s">
        <v>411</v>
      </c>
      <c r="B168" s="93" t="str">
        <f>'Development Budget'!B3</f>
        <v>Amount</v>
      </c>
      <c r="C168" s="93" t="str">
        <f>'Development Budget'!C3</f>
        <v>4% LIHTC Basis Calculation</v>
      </c>
      <c r="D168" s="93" t="str">
        <f>'Development Budget'!D3</f>
        <v>9% LIHTC Basis Calculation</v>
      </c>
      <c r="E168" s="93" t="str">
        <f>'Development Budget'!E3</f>
        <v>Amount Last Provided to CHFA*</v>
      </c>
      <c r="F168" s="93" t="str">
        <f>'Budget Output'!F5</f>
        <v>% of Change from Last Provided</v>
      </c>
      <c r="G168" s="803" t="s">
        <v>2783</v>
      </c>
      <c r="H168" s="93" t="str">
        <f>'Development Budget'!F3</f>
        <v>10% Carryover Actual Incurred Costs</v>
      </c>
      <c r="I168" s="93" t="s">
        <v>2784</v>
      </c>
      <c r="K168" s="93" t="str">
        <f>'Commercial Budget'!A3</f>
        <v>Land &amp; Buildings</v>
      </c>
      <c r="L168" s="93" t="str">
        <f>'Commercial Budget'!B3</f>
        <v>Amount</v>
      </c>
      <c r="M168" s="93" t="str">
        <f>'Commercial Budget'!C3</f>
        <v>Amount Last Provided to CHFA*</v>
      </c>
      <c r="N168" s="93" t="s">
        <v>2785</v>
      </c>
    </row>
    <row r="169" spans="1:16">
      <c r="A169" t="str">
        <f>'Development Budget'!A4</f>
        <v>Land</v>
      </c>
      <c r="B169" s="66">
        <f>'Development Budget'!B4</f>
        <v>0</v>
      </c>
      <c r="C169" s="66"/>
      <c r="D169" s="66">
        <f>'Development Budget'!D4</f>
        <v>0</v>
      </c>
      <c r="E169" s="66">
        <f>'Development Budget'!E4</f>
        <v>0</v>
      </c>
      <c r="F169" s="790">
        <f>IF(OR(E169=0,B169=0),0,G169/B169)</f>
        <v>0</v>
      </c>
      <c r="G169" s="66">
        <f>B169-E169</f>
        <v>0</v>
      </c>
      <c r="H169" s="66" t="str">
        <f>IF(B$3,'Development Budget'!F4,"")</f>
        <v/>
      </c>
      <c r="I169" s="197" t="str">
        <f>IF(B$3,H169/$B$288,"")</f>
        <v/>
      </c>
      <c r="K169" t="str">
        <f>'Commercial Budget'!A4</f>
        <v>Land</v>
      </c>
      <c r="L169" s="66">
        <f>'Commercial Budget'!B4</f>
        <v>0</v>
      </c>
      <c r="M169" s="66">
        <f>'Commercial Budget'!C4</f>
        <v>0</v>
      </c>
      <c r="N169" s="66">
        <f>IF($B$2,"",M169-L169)</f>
        <v>0</v>
      </c>
    </row>
    <row r="170" spans="1:16">
      <c r="A170" t="str">
        <f>'Development Budget'!A5</f>
        <v>Existing Structures</v>
      </c>
      <c r="B170" s="66">
        <f>'Development Budget'!B5</f>
        <v>0</v>
      </c>
      <c r="C170" s="66">
        <f>'Development Budget'!C5</f>
        <v>0</v>
      </c>
      <c r="D170" s="66"/>
      <c r="E170" s="66">
        <f>'Development Budget'!E5</f>
        <v>0</v>
      </c>
      <c r="F170" s="790">
        <f t="shared" ref="F170:F175" si="27">IF(OR(E170=0,B170=0),0,G170/B170)</f>
        <v>0</v>
      </c>
      <c r="G170" s="66">
        <f t="shared" ref="G170:G172" si="28">B170-E170</f>
        <v>0</v>
      </c>
      <c r="H170" s="66" t="str">
        <f>IF(B$3,'Development Budget'!F5,"")</f>
        <v/>
      </c>
      <c r="I170" s="197" t="str">
        <f>IF(B$3,H170/$B$288,"")</f>
        <v/>
      </c>
      <c r="K170" t="str">
        <f>'Commercial Budget'!A5</f>
        <v>Existing Structures</v>
      </c>
      <c r="L170" s="66">
        <f>'Commercial Budget'!B5</f>
        <v>0</v>
      </c>
      <c r="M170" s="66">
        <f>'Commercial Budget'!C5</f>
        <v>0</v>
      </c>
      <c r="N170" s="66">
        <f>IF($B$2,"",M170-L170)</f>
        <v>0</v>
      </c>
    </row>
    <row r="171" spans="1:16">
      <c r="A171" t="str">
        <f>'Development Budget'!A6</f>
        <v>Demolition</v>
      </c>
      <c r="B171" s="66">
        <f>'Development Budget'!B6</f>
        <v>0</v>
      </c>
      <c r="C171" s="66"/>
      <c r="D171" s="66"/>
      <c r="E171" s="66">
        <f>'Development Budget'!E6</f>
        <v>0</v>
      </c>
      <c r="F171" s="790">
        <f t="shared" si="27"/>
        <v>0</v>
      </c>
      <c r="G171" s="66">
        <f t="shared" si="28"/>
        <v>0</v>
      </c>
      <c r="H171" s="66" t="str">
        <f>IF(B$3,'Development Budget'!F6,"")</f>
        <v/>
      </c>
      <c r="I171" s="197" t="str">
        <f>IF(B$3,H171/$B$288,"")</f>
        <v/>
      </c>
      <c r="K171" t="str">
        <f>'Commercial Budget'!A6</f>
        <v>Demolition</v>
      </c>
      <c r="L171" s="66">
        <f>'Commercial Budget'!B6</f>
        <v>0</v>
      </c>
      <c r="M171" s="66">
        <f>'Commercial Budget'!C6</f>
        <v>0</v>
      </c>
      <c r="N171" s="66">
        <f>IF($B$2,"",M171-L171)</f>
        <v>0</v>
      </c>
    </row>
    <row r="172" spans="1:16">
      <c r="A172" s="1"/>
      <c r="B172" s="199">
        <f>SUM(B169:B171)</f>
        <v>0</v>
      </c>
      <c r="C172" s="199">
        <f>SUM(C169:C171)</f>
        <v>0</v>
      </c>
      <c r="D172" s="199"/>
      <c r="E172" s="66">
        <f>'Development Budget'!E7</f>
        <v>0</v>
      </c>
      <c r="F172" s="790"/>
      <c r="G172" s="199">
        <f t="shared" si="28"/>
        <v>0</v>
      </c>
      <c r="H172" s="199" t="str">
        <f>IF(B$3,'Development Budget'!F7,"")</f>
        <v/>
      </c>
      <c r="I172" s="197" t="str">
        <f>IF(B$3,H172/$B$288,"")</f>
        <v/>
      </c>
      <c r="L172" s="199">
        <f>'Commercial Budget'!B7</f>
        <v>0</v>
      </c>
      <c r="M172" s="199">
        <f>'Commercial Budget'!C7</f>
        <v>0</v>
      </c>
      <c r="N172" s="66">
        <f>IF($B$2,"",M172-L172)</f>
        <v>0</v>
      </c>
    </row>
    <row r="173" spans="1:16">
      <c r="A173" s="19" t="s">
        <v>421</v>
      </c>
      <c r="B173" s="19"/>
      <c r="C173" s="19"/>
      <c r="D173" s="19"/>
      <c r="E173" s="19"/>
      <c r="F173" s="19"/>
      <c r="G173" s="19"/>
      <c r="H173" s="19"/>
      <c r="I173" s="19"/>
      <c r="K173" s="19" t="str">
        <f>'Commercial Budget'!A8</f>
        <v>Site Work</v>
      </c>
      <c r="L173" s="19"/>
      <c r="M173" s="19"/>
      <c r="N173" s="19"/>
    </row>
    <row r="174" spans="1:16">
      <c r="A174" t="str">
        <f>'Development Budget'!A9</f>
        <v>On Site Work</v>
      </c>
      <c r="B174" s="66">
        <f>'Development Budget'!B9</f>
        <v>0</v>
      </c>
      <c r="C174" s="66">
        <f>'Development Budget'!C9</f>
        <v>0</v>
      </c>
      <c r="D174" s="66">
        <f>'Development Budget'!D9</f>
        <v>0</v>
      </c>
      <c r="E174" s="66">
        <f>'Development Budget'!E9</f>
        <v>0</v>
      </c>
      <c r="F174" s="790">
        <f t="shared" si="27"/>
        <v>0</v>
      </c>
      <c r="G174" s="66">
        <f>B174-E174</f>
        <v>0</v>
      </c>
      <c r="H174" s="66" t="str">
        <f>IF(B$3,'Development Budget'!F9,"")</f>
        <v/>
      </c>
      <c r="I174" s="197" t="str">
        <f>IF(B$3,H174/$B$288,"")</f>
        <v/>
      </c>
      <c r="K174" t="str">
        <f>'Commercial Budget'!A9</f>
        <v>On Site Work</v>
      </c>
      <c r="L174" s="66">
        <f>'Commercial Budget'!B9</f>
        <v>0</v>
      </c>
      <c r="M174" s="66">
        <f>'Commercial Budget'!C9</f>
        <v>0</v>
      </c>
      <c r="N174" s="66">
        <f>IF($B$2,"",M174-L174)</f>
        <v>0</v>
      </c>
    </row>
    <row r="175" spans="1:16">
      <c r="A175" t="str">
        <f>'Development Budget'!A10</f>
        <v>Off Site Work</v>
      </c>
      <c r="B175" s="66">
        <f>'Development Budget'!B10</f>
        <v>0</v>
      </c>
      <c r="C175" s="66">
        <f>'Development Budget'!C10</f>
        <v>0</v>
      </c>
      <c r="D175" s="66">
        <f>'Development Budget'!D10</f>
        <v>0</v>
      </c>
      <c r="E175" s="66">
        <f>'Development Budget'!E10</f>
        <v>0</v>
      </c>
      <c r="F175" s="790">
        <f t="shared" si="27"/>
        <v>0</v>
      </c>
      <c r="G175" s="66">
        <f t="shared" ref="G175:G176" si="29">B175-E175</f>
        <v>0</v>
      </c>
      <c r="H175" s="66" t="str">
        <f>IF(B$3,'Development Budget'!F10,"")</f>
        <v/>
      </c>
      <c r="I175" s="197" t="str">
        <f>IF(B$3,H175/$B$288,"")</f>
        <v/>
      </c>
      <c r="K175" t="str">
        <f>'Commercial Budget'!A10</f>
        <v>Off Site Work</v>
      </c>
      <c r="L175" s="66">
        <f>'Commercial Budget'!B10</f>
        <v>0</v>
      </c>
      <c r="M175" s="66">
        <f>'Commercial Budget'!C10</f>
        <v>0</v>
      </c>
      <c r="N175" s="66">
        <f>IF($B$2,"",M175-L175)</f>
        <v>0</v>
      </c>
    </row>
    <row r="176" spans="1:16">
      <c r="A176" s="1"/>
      <c r="B176" s="199">
        <f>SUM(B174:B175)</f>
        <v>0</v>
      </c>
      <c r="C176" s="199">
        <f>SUM(C174:C175)</f>
        <v>0</v>
      </c>
      <c r="D176" s="199">
        <f>SUM(D174:D175)</f>
        <v>0</v>
      </c>
      <c r="E176" s="66">
        <f>'Development Budget'!E11</f>
        <v>0</v>
      </c>
      <c r="F176" s="790"/>
      <c r="G176" s="199">
        <f t="shared" si="29"/>
        <v>0</v>
      </c>
      <c r="H176" s="199" t="str">
        <f>IF(B$3,'Development Budget'!F11,"")</f>
        <v/>
      </c>
      <c r="I176" s="197" t="str">
        <f>IF(B$3,H176/$B$288,"")</f>
        <v/>
      </c>
      <c r="L176" s="199">
        <f>'Commercial Budget'!B11</f>
        <v>0</v>
      </c>
      <c r="M176" s="199">
        <f>'Commercial Budget'!C11</f>
        <v>0</v>
      </c>
      <c r="N176" s="66">
        <f>IF($B$2,"",M176-L176)</f>
        <v>0</v>
      </c>
      <c r="O176" s="520"/>
      <c r="P176" s="88"/>
    </row>
    <row r="177" spans="1:16">
      <c r="A177" s="19" t="s">
        <v>424</v>
      </c>
      <c r="B177" s="19"/>
      <c r="C177" s="19"/>
      <c r="D177" s="19"/>
      <c r="E177" s="19"/>
      <c r="F177" s="19"/>
      <c r="G177" s="19"/>
      <c r="H177" s="19"/>
      <c r="I177" s="19"/>
      <c r="K177" s="19" t="str">
        <f>'Commercial Budget'!A12</f>
        <v>Rehab. &amp; New Construction</v>
      </c>
      <c r="L177" s="19"/>
      <c r="M177" s="19"/>
      <c r="N177" s="19"/>
      <c r="O177" s="520"/>
      <c r="P177" s="88"/>
    </row>
    <row r="178" spans="1:16">
      <c r="A178" t="str">
        <f>'Development Budget'!A13</f>
        <v>New Structures</v>
      </c>
      <c r="B178" s="66">
        <f>'Development Budget'!B13</f>
        <v>0</v>
      </c>
      <c r="C178" s="66">
        <f>'Development Budget'!C13</f>
        <v>0</v>
      </c>
      <c r="D178" s="66">
        <f>'Development Budget'!D13</f>
        <v>0</v>
      </c>
      <c r="E178" s="66">
        <f>'Development Budget'!E13</f>
        <v>0</v>
      </c>
      <c r="F178" s="790">
        <f t="shared" ref="F178:F240" si="30">IF(OR(E178=0,B178=0),0,G178/B178)</f>
        <v>0</v>
      </c>
      <c r="G178" s="66">
        <f>B178-E178</f>
        <v>0</v>
      </c>
      <c r="H178" s="66" t="str">
        <f>IF(B$3,'Development Budget'!F13,"")</f>
        <v/>
      </c>
      <c r="I178" s="197" t="str">
        <f t="shared" ref="I178:I192" si="31">IF(B$3,H178/$B$288,"")</f>
        <v/>
      </c>
      <c r="K178" t="str">
        <f>'Commercial Budget'!A13</f>
        <v>New Structures</v>
      </c>
      <c r="L178" s="66">
        <f>'Commercial Budget'!B13</f>
        <v>0</v>
      </c>
      <c r="M178" s="66">
        <f>'Commercial Budget'!C13</f>
        <v>0</v>
      </c>
      <c r="N178" s="66">
        <f t="shared" ref="N178:N189" si="32">IF($B$2,"",M178-L178)</f>
        <v>0</v>
      </c>
      <c r="O178" s="520"/>
      <c r="P178" s="88"/>
    </row>
    <row r="179" spans="1:16">
      <c r="A179" t="str">
        <f>'Development Budget'!A14</f>
        <v>Rehabilitation</v>
      </c>
      <c r="B179" s="66">
        <f>'Development Budget'!B14</f>
        <v>0</v>
      </c>
      <c r="C179" s="66">
        <f>'Development Budget'!C14</f>
        <v>0</v>
      </c>
      <c r="D179" s="66">
        <f>'Development Budget'!D14</f>
        <v>0</v>
      </c>
      <c r="E179" s="66">
        <f>'Development Budget'!E14</f>
        <v>0</v>
      </c>
      <c r="F179" s="790">
        <f t="shared" si="30"/>
        <v>0</v>
      </c>
      <c r="G179" s="66">
        <f t="shared" ref="G179:G192" si="33">B179-E179</f>
        <v>0</v>
      </c>
      <c r="H179" s="66" t="str">
        <f>IF(B$3,'Development Budget'!F14,"")</f>
        <v/>
      </c>
      <c r="I179" s="197" t="str">
        <f t="shared" si="31"/>
        <v/>
      </c>
      <c r="K179" t="str">
        <f>'Commercial Budget'!A14</f>
        <v>Rehabilitation</v>
      </c>
      <c r="L179" s="66">
        <f>'Commercial Budget'!B14</f>
        <v>0</v>
      </c>
      <c r="M179" s="66">
        <f>'Commercial Budget'!C14</f>
        <v>0</v>
      </c>
      <c r="N179" s="66">
        <f t="shared" si="32"/>
        <v>0</v>
      </c>
      <c r="O179" s="520"/>
      <c r="P179" s="88"/>
    </row>
    <row r="180" spans="1:16">
      <c r="A180" t="str">
        <f>'Development Budget'!A15</f>
        <v>Accessory Structures (CSF, storage, garage(s))</v>
      </c>
      <c r="B180" s="66">
        <f>'Development Budget'!B15</f>
        <v>0</v>
      </c>
      <c r="C180" s="66">
        <f>'Development Budget'!C15</f>
        <v>0</v>
      </c>
      <c r="D180" s="66">
        <f>'Development Budget'!D15</f>
        <v>0</v>
      </c>
      <c r="E180" s="66">
        <f>'Development Budget'!E15</f>
        <v>0</v>
      </c>
      <c r="F180" s="790">
        <f t="shared" si="30"/>
        <v>0</v>
      </c>
      <c r="G180" s="66">
        <f t="shared" si="33"/>
        <v>0</v>
      </c>
      <c r="H180" s="66" t="str">
        <f>IF(B$3,'Development Budget'!F15,"")</f>
        <v/>
      </c>
      <c r="I180" s="197" t="str">
        <f t="shared" si="31"/>
        <v/>
      </c>
      <c r="K180" t="str">
        <f>'Commercial Budget'!A15</f>
        <v>Accessory Structures</v>
      </c>
      <c r="L180" s="66">
        <f>'Commercial Budget'!B15</f>
        <v>0</v>
      </c>
      <c r="M180" s="66">
        <f>'Commercial Budget'!C15</f>
        <v>0</v>
      </c>
      <c r="N180" s="66">
        <f t="shared" si="32"/>
        <v>0</v>
      </c>
      <c r="O180" s="520"/>
      <c r="P180" s="88"/>
    </row>
    <row r="181" spans="1:16">
      <c r="A181" t="str">
        <f>'Development Budget'!A16</f>
        <v>Green Systems (Solar, Geothermal, Other, etc.)</v>
      </c>
      <c r="B181" s="66">
        <f>'Development Budget'!B16</f>
        <v>0</v>
      </c>
      <c r="C181" s="66">
        <f>'Development Budget'!C16</f>
        <v>0</v>
      </c>
      <c r="D181" s="66">
        <f>'Development Budget'!D16</f>
        <v>0</v>
      </c>
      <c r="E181" s="66">
        <f>'Development Budget'!E16</f>
        <v>0</v>
      </c>
      <c r="F181" s="790">
        <f t="shared" si="30"/>
        <v>0</v>
      </c>
      <c r="G181" s="66">
        <f t="shared" si="33"/>
        <v>0</v>
      </c>
      <c r="H181" s="66" t="str">
        <f>IF(B$3,'Development Budget'!F16,"")</f>
        <v/>
      </c>
      <c r="I181" s="197" t="str">
        <f t="shared" si="31"/>
        <v/>
      </c>
      <c r="K181" t="str">
        <f>'Commercial Budget'!A16</f>
        <v>General Requirements</v>
      </c>
      <c r="L181" s="66">
        <f>'Commercial Budget'!B16</f>
        <v>0</v>
      </c>
      <c r="M181" s="66">
        <f>'Commercial Budget'!C16</f>
        <v>0</v>
      </c>
      <c r="N181" s="66">
        <f t="shared" si="32"/>
        <v>0</v>
      </c>
      <c r="O181" s="520"/>
      <c r="P181" s="88"/>
    </row>
    <row r="182" spans="1:16">
      <c r="A182" t="str">
        <f>'Development Budget'!A17</f>
        <v>General Requirements</v>
      </c>
      <c r="B182" s="66">
        <f>'Development Budget'!B17</f>
        <v>0</v>
      </c>
      <c r="C182" s="66">
        <f>'Development Budget'!C17</f>
        <v>0</v>
      </c>
      <c r="D182" s="66">
        <f>'Development Budget'!D17</f>
        <v>0</v>
      </c>
      <c r="E182" s="66">
        <f>'Development Budget'!E17</f>
        <v>0</v>
      </c>
      <c r="F182" s="790">
        <f t="shared" si="30"/>
        <v>0</v>
      </c>
      <c r="G182" s="66">
        <f t="shared" si="33"/>
        <v>0</v>
      </c>
      <c r="H182" s="66" t="str">
        <f>IF(B$3,'Development Budget'!F17,"")</f>
        <v/>
      </c>
      <c r="I182" s="197" t="str">
        <f t="shared" si="31"/>
        <v/>
      </c>
      <c r="K182" t="str">
        <f>'Commercial Budget'!A17</f>
        <v>Contractor Overhead</v>
      </c>
      <c r="L182" s="66">
        <f>'Commercial Budget'!B17</f>
        <v>0</v>
      </c>
      <c r="M182" s="66">
        <f>'Commercial Budget'!C17</f>
        <v>0</v>
      </c>
      <c r="N182" s="66">
        <f t="shared" si="32"/>
        <v>0</v>
      </c>
      <c r="O182" s="520"/>
      <c r="P182" s="88"/>
    </row>
    <row r="183" spans="1:16">
      <c r="A183" t="str">
        <f>'Development Budget'!A18</f>
        <v>Contractor Overhead</v>
      </c>
      <c r="B183" s="66">
        <f>'Development Budget'!B18</f>
        <v>0</v>
      </c>
      <c r="C183" s="66">
        <f>'Development Budget'!C18</f>
        <v>0</v>
      </c>
      <c r="D183" s="66">
        <f>'Development Budget'!D18</f>
        <v>0</v>
      </c>
      <c r="E183" s="66">
        <f>'Development Budget'!E18</f>
        <v>0</v>
      </c>
      <c r="F183" s="790">
        <f t="shared" si="30"/>
        <v>0</v>
      </c>
      <c r="G183" s="66">
        <f t="shared" si="33"/>
        <v>0</v>
      </c>
      <c r="H183" s="66" t="str">
        <f>IF(B$3,'Development Budget'!F18,"")</f>
        <v/>
      </c>
      <c r="I183" s="197" t="str">
        <f t="shared" si="31"/>
        <v/>
      </c>
      <c r="K183" t="str">
        <f>'Commercial Budget'!A18</f>
        <v>Contractor Profit</v>
      </c>
      <c r="L183" s="66">
        <f>'Commercial Budget'!B18</f>
        <v>0</v>
      </c>
      <c r="M183" s="66">
        <f>'Commercial Budget'!C18</f>
        <v>0</v>
      </c>
      <c r="N183" s="66">
        <f t="shared" si="32"/>
        <v>0</v>
      </c>
      <c r="O183" s="520"/>
      <c r="P183" s="88"/>
    </row>
    <row r="184" spans="1:16">
      <c r="A184" t="str">
        <f>'Development Budget'!A19</f>
        <v>Contractor Profit</v>
      </c>
      <c r="B184" s="66">
        <f>'Development Budget'!B19</f>
        <v>0</v>
      </c>
      <c r="C184" s="66">
        <f>'Development Budget'!C19</f>
        <v>0</v>
      </c>
      <c r="D184" s="66">
        <f>'Development Budget'!D19</f>
        <v>0</v>
      </c>
      <c r="E184" s="66">
        <f>'Development Budget'!E19</f>
        <v>0</v>
      </c>
      <c r="F184" s="790">
        <f t="shared" si="30"/>
        <v>0</v>
      </c>
      <c r="G184" s="66">
        <f t="shared" si="33"/>
        <v>0</v>
      </c>
      <c r="H184" s="66" t="str">
        <f>IF(B$3,'Development Budget'!F19,"")</f>
        <v/>
      </c>
      <c r="I184" s="197" t="str">
        <f t="shared" si="31"/>
        <v/>
      </c>
      <c r="K184" t="str">
        <f>'Commercial Budget'!A19</f>
        <v>Construction Contingency</v>
      </c>
      <c r="L184" s="66">
        <f>'Commercial Budget'!B19</f>
        <v>0</v>
      </c>
      <c r="M184" s="66">
        <f>'Commercial Budget'!C19</f>
        <v>0</v>
      </c>
      <c r="N184" s="66">
        <f t="shared" si="32"/>
        <v>0</v>
      </c>
      <c r="O184" s="520"/>
      <c r="P184" s="88"/>
    </row>
    <row r="185" spans="1:16">
      <c r="A185" t="str">
        <f>'Development Budget'!A20</f>
        <v>Contractor Construction Contingency</v>
      </c>
      <c r="B185" s="66">
        <f>'Development Budget'!B20</f>
        <v>0</v>
      </c>
      <c r="C185" s="66">
        <f>'Development Budget'!C20</f>
        <v>0</v>
      </c>
      <c r="D185" s="66">
        <f>'Development Budget'!D20</f>
        <v>0</v>
      </c>
      <c r="E185" s="66">
        <f>'Development Budget'!E20</f>
        <v>0</v>
      </c>
      <c r="F185" s="790">
        <f t="shared" si="30"/>
        <v>0</v>
      </c>
      <c r="G185" s="66">
        <f t="shared" si="33"/>
        <v>0</v>
      </c>
      <c r="H185" s="66" t="str">
        <f>IF(B$3,'Development Budget'!F20,"")</f>
        <v/>
      </c>
      <c r="I185" s="197" t="str">
        <f t="shared" si="31"/>
        <v/>
      </c>
      <c r="K185" t="str">
        <f>'Commercial Budget'!A20</f>
        <v>Building Permits</v>
      </c>
      <c r="L185" s="66">
        <f>'Commercial Budget'!B20</f>
        <v>0</v>
      </c>
      <c r="M185" s="66">
        <f>'Commercial Budget'!C20</f>
        <v>0</v>
      </c>
      <c r="N185" s="66">
        <f t="shared" si="32"/>
        <v>0</v>
      </c>
      <c r="O185" s="520"/>
      <c r="P185" s="88"/>
    </row>
    <row r="186" spans="1:16">
      <c r="A186" t="str">
        <f>'Development Budget'!A21</f>
        <v>Owner Hard Cost Contingency</v>
      </c>
      <c r="B186" s="66">
        <f>'Development Budget'!B21</f>
        <v>0</v>
      </c>
      <c r="C186" s="66">
        <f>'Development Budget'!C21</f>
        <v>0</v>
      </c>
      <c r="D186" s="66">
        <f>'Development Budget'!D21</f>
        <v>0</v>
      </c>
      <c r="E186" s="66">
        <f>'Development Budget'!E21</f>
        <v>0</v>
      </c>
      <c r="F186" s="790">
        <f t="shared" si="30"/>
        <v>0</v>
      </c>
      <c r="G186" s="66">
        <f t="shared" si="33"/>
        <v>0</v>
      </c>
      <c r="H186" s="66" t="str">
        <f>IF(B$3,'Development Budget'!F21,"")</f>
        <v/>
      </c>
      <c r="I186" s="197" t="str">
        <f t="shared" si="31"/>
        <v/>
      </c>
      <c r="K186" t="str">
        <f>'Commercial Budget'!A21</f>
        <v>Other (Specify)</v>
      </c>
      <c r="L186" s="66">
        <f>'Commercial Budget'!B21</f>
        <v>0</v>
      </c>
      <c r="M186" s="66">
        <f>'Commercial Budget'!C21</f>
        <v>0</v>
      </c>
      <c r="N186" s="66">
        <f t="shared" si="32"/>
        <v>0</v>
      </c>
      <c r="O186" s="520"/>
      <c r="P186" s="88"/>
    </row>
    <row r="187" spans="1:16">
      <c r="A187" t="str">
        <f>'Development Budget'!A22</f>
        <v>Furniture, Fixtures, &amp; Equipment</v>
      </c>
      <c r="B187" s="66">
        <f>'Development Budget'!B22</f>
        <v>0</v>
      </c>
      <c r="C187" s="66">
        <f>'Development Budget'!C22</f>
        <v>0</v>
      </c>
      <c r="D187" s="66">
        <f>'Development Budget'!D22</f>
        <v>0</v>
      </c>
      <c r="E187" s="66">
        <f>'Development Budget'!E22</f>
        <v>0</v>
      </c>
      <c r="F187" s="790">
        <f t="shared" si="30"/>
        <v>0</v>
      </c>
      <c r="G187" s="66">
        <f t="shared" si="33"/>
        <v>0</v>
      </c>
      <c r="H187" s="66" t="str">
        <f>IF(B$3,'Development Budget'!F22,"")</f>
        <v/>
      </c>
      <c r="I187" s="197" t="str">
        <f t="shared" si="31"/>
        <v/>
      </c>
      <c r="K187" t="str">
        <f>'Commercial Budget'!A22</f>
        <v>Other (Specify)</v>
      </c>
      <c r="L187" s="66">
        <f>'Commercial Budget'!B22</f>
        <v>0</v>
      </c>
      <c r="M187" s="66">
        <f>'Commercial Budget'!C22</f>
        <v>0</v>
      </c>
      <c r="N187" s="66">
        <f t="shared" si="32"/>
        <v>0</v>
      </c>
      <c r="O187" s="520"/>
      <c r="P187" s="88"/>
    </row>
    <row r="188" spans="1:16">
      <c r="A188" t="str">
        <f>'Development Budget'!A23</f>
        <v>Building Permits</v>
      </c>
      <c r="B188" s="66">
        <f>'Development Budget'!B23</f>
        <v>0</v>
      </c>
      <c r="C188" s="66">
        <f>'Development Budget'!C23</f>
        <v>0</v>
      </c>
      <c r="D188" s="66">
        <f>'Development Budget'!D23</f>
        <v>0</v>
      </c>
      <c r="E188" s="66">
        <f>'Development Budget'!E23</f>
        <v>0</v>
      </c>
      <c r="F188" s="790">
        <f t="shared" si="30"/>
        <v>0</v>
      </c>
      <c r="G188" s="66">
        <f t="shared" si="33"/>
        <v>0</v>
      </c>
      <c r="H188" s="66" t="str">
        <f>IF(B$3,'Development Budget'!F23,"")</f>
        <v/>
      </c>
      <c r="I188" s="197" t="str">
        <f t="shared" si="31"/>
        <v/>
      </c>
      <c r="K188" t="str">
        <f>'Commercial Budget'!A23</f>
        <v>Other (Specify)</v>
      </c>
      <c r="L188" s="66">
        <f>'Commercial Budget'!B23</f>
        <v>0</v>
      </c>
      <c r="M188" s="66">
        <f>'Commercial Budget'!C23</f>
        <v>0</v>
      </c>
      <c r="N188" s="66">
        <f t="shared" si="32"/>
        <v>0</v>
      </c>
      <c r="O188" s="520"/>
      <c r="P188" s="88"/>
    </row>
    <row r="189" spans="1:16">
      <c r="A189" t="str">
        <f>'Development Budget'!A24</f>
        <v>Other (Specify)</v>
      </c>
      <c r="B189" s="66">
        <f>'Development Budget'!B24</f>
        <v>0</v>
      </c>
      <c r="C189" s="66">
        <f>'Development Budget'!C24</f>
        <v>0</v>
      </c>
      <c r="D189" s="66">
        <f>'Development Budget'!D24</f>
        <v>0</v>
      </c>
      <c r="E189" s="66">
        <f>'Development Budget'!E24</f>
        <v>0</v>
      </c>
      <c r="F189" s="790">
        <f t="shared" si="30"/>
        <v>0</v>
      </c>
      <c r="G189" s="66">
        <f t="shared" si="33"/>
        <v>0</v>
      </c>
      <c r="H189" s="66" t="str">
        <f>IF(B$3,'Development Budget'!F24,"")</f>
        <v/>
      </c>
      <c r="I189" s="197" t="str">
        <f t="shared" si="31"/>
        <v/>
      </c>
      <c r="L189" s="199">
        <f>'Commercial Budget'!B24</f>
        <v>0</v>
      </c>
      <c r="M189" s="199">
        <f>'Commercial Budget'!C24</f>
        <v>0</v>
      </c>
      <c r="N189" s="66">
        <f t="shared" si="32"/>
        <v>0</v>
      </c>
      <c r="O189" s="520"/>
      <c r="P189" s="88"/>
    </row>
    <row r="190" spans="1:16">
      <c r="A190" t="str">
        <f>'Development Budget'!A25</f>
        <v>Other (Specify)</v>
      </c>
      <c r="B190" s="66">
        <f>'Development Budget'!B25</f>
        <v>0</v>
      </c>
      <c r="C190" s="66">
        <f>'Development Budget'!C25</f>
        <v>0</v>
      </c>
      <c r="D190" s="66">
        <f>'Development Budget'!D25</f>
        <v>0</v>
      </c>
      <c r="E190" s="66">
        <f>'Development Budget'!E25</f>
        <v>0</v>
      </c>
      <c r="F190" s="790">
        <f t="shared" si="30"/>
        <v>0</v>
      </c>
      <c r="G190" s="66">
        <f t="shared" si="33"/>
        <v>0</v>
      </c>
      <c r="H190" s="66" t="str">
        <f>IF(B$3,'Development Budget'!F25,"")</f>
        <v/>
      </c>
      <c r="I190" s="197" t="str">
        <f t="shared" si="31"/>
        <v/>
      </c>
      <c r="K190" s="19" t="str">
        <f>'Commercial Budget'!A25</f>
        <v>Professional Fees</v>
      </c>
      <c r="L190" s="19"/>
      <c r="M190" s="19"/>
      <c r="N190" s="19"/>
      <c r="O190" s="520"/>
      <c r="P190" s="88"/>
    </row>
    <row r="191" spans="1:16">
      <c r="A191" t="str">
        <f>'Development Budget'!A26</f>
        <v>Other (Specify)</v>
      </c>
      <c r="B191" s="66">
        <f>'Development Budget'!B26</f>
        <v>0</v>
      </c>
      <c r="C191" s="66">
        <f>'Development Budget'!C26</f>
        <v>0</v>
      </c>
      <c r="D191" s="66">
        <f>'Development Budget'!D26</f>
        <v>0</v>
      </c>
      <c r="E191" s="66">
        <f>'Development Budget'!E26</f>
        <v>0</v>
      </c>
      <c r="F191" s="790">
        <f t="shared" si="30"/>
        <v>0</v>
      </c>
      <c r="G191" s="66">
        <f t="shared" si="33"/>
        <v>0</v>
      </c>
      <c r="H191" s="66" t="str">
        <f>IF(B$3,'Development Budget'!F26,"")</f>
        <v/>
      </c>
      <c r="I191" s="197" t="str">
        <f t="shared" si="31"/>
        <v/>
      </c>
      <c r="K191" t="str">
        <f>'Commercial Budget'!A26</f>
        <v>Architect, Design</v>
      </c>
      <c r="L191" s="66">
        <f>'Commercial Budget'!B26</f>
        <v>0</v>
      </c>
      <c r="M191" s="66">
        <f>'Commercial Budget'!C26</f>
        <v>0</v>
      </c>
      <c r="N191" s="66">
        <f t="shared" ref="N191:N199" si="34">IF($B$2,"",M191-L191)</f>
        <v>0</v>
      </c>
      <c r="O191" s="520"/>
      <c r="P191" s="88"/>
    </row>
    <row r="192" spans="1:16">
      <c r="A192" s="1"/>
      <c r="B192" s="199">
        <f>SUM(B178:B191)</f>
        <v>0</v>
      </c>
      <c r="C192" s="199">
        <f>SUM(C178:C191)</f>
        <v>0</v>
      </c>
      <c r="D192" s="199">
        <f>SUM(D178:D191)</f>
        <v>0</v>
      </c>
      <c r="E192" s="199">
        <f>SUM(E178:E191)</f>
        <v>0</v>
      </c>
      <c r="F192" s="790"/>
      <c r="G192" s="199">
        <f t="shared" si="33"/>
        <v>0</v>
      </c>
      <c r="H192" s="199" t="str">
        <f>IF(B$3,'Development Budget'!F27,"")</f>
        <v/>
      </c>
      <c r="I192" s="197" t="str">
        <f t="shared" si="31"/>
        <v/>
      </c>
      <c r="K192" t="str">
        <f>'Commercial Budget'!A27</f>
        <v>Architect, Supervision</v>
      </c>
      <c r="L192" s="66">
        <f>'Commercial Budget'!B27</f>
        <v>0</v>
      </c>
      <c r="M192" s="66">
        <f>'Commercial Budget'!C27</f>
        <v>0</v>
      </c>
      <c r="N192" s="66">
        <f t="shared" si="34"/>
        <v>0</v>
      </c>
      <c r="O192" s="520"/>
      <c r="P192" s="88"/>
    </row>
    <row r="193" spans="1:16">
      <c r="A193" s="19" t="s">
        <v>436</v>
      </c>
      <c r="B193" s="19"/>
      <c r="C193" s="19"/>
      <c r="D193" s="19"/>
      <c r="E193" s="19"/>
      <c r="F193" s="19"/>
      <c r="G193" s="19"/>
      <c r="H193" s="19"/>
      <c r="I193" s="19"/>
      <c r="K193" t="str">
        <f>'Commercial Budget'!A28</f>
        <v>Attorney, Real Estate</v>
      </c>
      <c r="L193" s="66">
        <f>'Commercial Budget'!B28</f>
        <v>0</v>
      </c>
      <c r="M193" s="66">
        <f>'Commercial Budget'!C28</f>
        <v>0</v>
      </c>
      <c r="N193" s="66">
        <f t="shared" si="34"/>
        <v>0</v>
      </c>
      <c r="O193" s="520"/>
      <c r="P193" s="88"/>
    </row>
    <row r="194" spans="1:16">
      <c r="A194" t="str">
        <f>'Development Budget'!A29</f>
        <v>Architect, Design</v>
      </c>
      <c r="B194" s="66">
        <f>'Development Budget'!B29</f>
        <v>0</v>
      </c>
      <c r="C194" s="66">
        <f>'Development Budget'!C29</f>
        <v>0</v>
      </c>
      <c r="D194" s="66">
        <f>'Development Budget'!D29</f>
        <v>0</v>
      </c>
      <c r="E194" s="66">
        <f>'Development Budget'!E29</f>
        <v>0</v>
      </c>
      <c r="F194" s="790">
        <f t="shared" si="30"/>
        <v>0</v>
      </c>
      <c r="G194" s="66">
        <f>B194-E194</f>
        <v>0</v>
      </c>
      <c r="H194" s="66" t="str">
        <f>IF(B$3,'Development Budget'!F29,"")</f>
        <v/>
      </c>
      <c r="I194" s="197" t="str">
        <f t="shared" ref="I194:I225" si="35">IF(B$3,H194/$B$288,"")</f>
        <v/>
      </c>
      <c r="K194" t="str">
        <f>'Commercial Budget'!A29</f>
        <v>Consultant/agent</v>
      </c>
      <c r="L194" s="66">
        <f>'Commercial Budget'!B29</f>
        <v>0</v>
      </c>
      <c r="M194" s="66">
        <f>'Commercial Budget'!C29</f>
        <v>0</v>
      </c>
      <c r="N194" s="66">
        <f t="shared" si="34"/>
        <v>0</v>
      </c>
      <c r="O194" s="520"/>
      <c r="P194" s="88"/>
    </row>
    <row r="195" spans="1:16">
      <c r="A195" t="str">
        <f>'Development Budget'!A30</f>
        <v>Architect Construction Management/Admin</v>
      </c>
      <c r="B195" s="66">
        <f>'Development Budget'!B30</f>
        <v>0</v>
      </c>
      <c r="C195" s="66">
        <f>'Development Budget'!C30</f>
        <v>0</v>
      </c>
      <c r="D195" s="66">
        <f>'Development Budget'!D30</f>
        <v>0</v>
      </c>
      <c r="E195" s="66">
        <f>'Development Budget'!E30</f>
        <v>0</v>
      </c>
      <c r="F195" s="790">
        <f t="shared" si="30"/>
        <v>0</v>
      </c>
      <c r="G195" s="66">
        <f t="shared" ref="G195:G208" si="36">B195-E195</f>
        <v>0</v>
      </c>
      <c r="H195" s="66" t="str">
        <f>IF(B$3,'Development Budget'!F30,"")</f>
        <v/>
      </c>
      <c r="I195" s="197" t="str">
        <f t="shared" si="35"/>
        <v/>
      </c>
      <c r="K195" t="str">
        <f>'Commercial Budget'!A30</f>
        <v>Engineer/Surveyor</v>
      </c>
      <c r="L195" s="66">
        <f>'Commercial Budget'!B30</f>
        <v>0</v>
      </c>
      <c r="M195" s="66">
        <f>'Commercial Budget'!C30</f>
        <v>0</v>
      </c>
      <c r="N195" s="66">
        <f t="shared" si="34"/>
        <v>0</v>
      </c>
      <c r="O195" s="520"/>
      <c r="P195" s="88"/>
    </row>
    <row r="196" spans="1:16">
      <c r="A196" t="str">
        <f>'Development Budget'!A31</f>
        <v>Landscape Design</v>
      </c>
      <c r="B196" s="66">
        <f>'Development Budget'!B31</f>
        <v>0</v>
      </c>
      <c r="C196" s="66">
        <f>'Development Budget'!C31</f>
        <v>0</v>
      </c>
      <c r="D196" s="66">
        <f>'Development Budget'!D31</f>
        <v>0</v>
      </c>
      <c r="E196" s="66">
        <f>'Development Budget'!E31</f>
        <v>0</v>
      </c>
      <c r="F196" s="790">
        <f t="shared" si="30"/>
        <v>0</v>
      </c>
      <c r="G196" s="66">
        <f t="shared" si="36"/>
        <v>0</v>
      </c>
      <c r="H196" s="66" t="str">
        <f>IF(B$3,'Development Budget'!F31,"")</f>
        <v/>
      </c>
      <c r="I196" s="197" t="str">
        <f t="shared" si="35"/>
        <v/>
      </c>
      <c r="K196" t="str">
        <f>'Commercial Budget'!A31</f>
        <v>Other (Specify)</v>
      </c>
      <c r="L196" s="66">
        <f>'Commercial Budget'!B31</f>
        <v>0</v>
      </c>
      <c r="M196" s="66">
        <f>'Commercial Budget'!C31</f>
        <v>0</v>
      </c>
      <c r="N196" s="66">
        <f t="shared" si="34"/>
        <v>0</v>
      </c>
      <c r="O196" s="520"/>
      <c r="P196" s="88"/>
    </row>
    <row r="197" spans="1:16">
      <c r="A197" t="str">
        <f>'Development Budget'!A32</f>
        <v>Structural Engineering</v>
      </c>
      <c r="B197" s="66">
        <f>'Development Budget'!B32</f>
        <v>0</v>
      </c>
      <c r="C197" s="66">
        <f>'Development Budget'!C32</f>
        <v>0</v>
      </c>
      <c r="D197" s="66">
        <f>'Development Budget'!D32</f>
        <v>0</v>
      </c>
      <c r="E197" s="66">
        <f>'Development Budget'!E32</f>
        <v>0</v>
      </c>
      <c r="F197" s="790">
        <f t="shared" si="30"/>
        <v>0</v>
      </c>
      <c r="G197" s="66">
        <f t="shared" si="36"/>
        <v>0</v>
      </c>
      <c r="H197" s="66" t="str">
        <f>IF(B$3,'Development Budget'!F32,"")</f>
        <v/>
      </c>
      <c r="I197" s="197" t="str">
        <f t="shared" si="35"/>
        <v/>
      </c>
      <c r="K197" t="str">
        <f>'Commercial Budget'!A32</f>
        <v>Other (Specify)</v>
      </c>
      <c r="L197" s="66">
        <f>'Commercial Budget'!B32</f>
        <v>0</v>
      </c>
      <c r="M197" s="66">
        <f>'Commercial Budget'!C32</f>
        <v>0</v>
      </c>
      <c r="N197" s="66">
        <f t="shared" si="34"/>
        <v>0</v>
      </c>
      <c r="O197" s="520"/>
      <c r="P197" s="88"/>
    </row>
    <row r="198" spans="1:16">
      <c r="A198" t="str">
        <f>'Development Budget'!A33</f>
        <v>Civil Engineering</v>
      </c>
      <c r="B198" s="66">
        <f>'Development Budget'!B33</f>
        <v>0</v>
      </c>
      <c r="C198" s="66">
        <f>'Development Budget'!C33</f>
        <v>0</v>
      </c>
      <c r="D198" s="66">
        <f>'Development Budget'!D33</f>
        <v>0</v>
      </c>
      <c r="E198" s="66">
        <f>'Development Budget'!E33</f>
        <v>0</v>
      </c>
      <c r="F198" s="790">
        <f t="shared" si="30"/>
        <v>0</v>
      </c>
      <c r="G198" s="66">
        <f t="shared" si="36"/>
        <v>0</v>
      </c>
      <c r="H198" s="66" t="str">
        <f>IF(B$3,'Development Budget'!F33,"")</f>
        <v/>
      </c>
      <c r="I198" s="197" t="str">
        <f t="shared" si="35"/>
        <v/>
      </c>
      <c r="K198" t="str">
        <f>'Commercial Budget'!A33</f>
        <v>Other-Accounting</v>
      </c>
      <c r="L198" s="66">
        <f>'Commercial Budget'!B33</f>
        <v>0</v>
      </c>
      <c r="M198" s="66">
        <f>'Commercial Budget'!C33</f>
        <v>0</v>
      </c>
      <c r="N198" s="66">
        <f t="shared" si="34"/>
        <v>0</v>
      </c>
      <c r="O198" s="520"/>
      <c r="P198" s="88"/>
    </row>
    <row r="199" spans="1:16">
      <c r="A199" t="str">
        <f>'Development Budget'!A34</f>
        <v>Other Engineering</v>
      </c>
      <c r="B199" s="66">
        <f>'Development Budget'!B34</f>
        <v>0</v>
      </c>
      <c r="C199" s="66">
        <f>'Development Budget'!C34</f>
        <v>0</v>
      </c>
      <c r="D199" s="66">
        <f>'Development Budget'!D34</f>
        <v>0</v>
      </c>
      <c r="E199" s="66">
        <f>'Development Budget'!E34</f>
        <v>0</v>
      </c>
      <c r="F199" s="790">
        <f t="shared" si="30"/>
        <v>0</v>
      </c>
      <c r="G199" s="66">
        <f t="shared" si="36"/>
        <v>0</v>
      </c>
      <c r="H199" s="66" t="str">
        <f>IF(B$3,'Development Budget'!F34,"")</f>
        <v/>
      </c>
      <c r="I199" s="197" t="str">
        <f t="shared" si="35"/>
        <v/>
      </c>
      <c r="L199" s="199">
        <f>'Commercial Budget'!B34</f>
        <v>0</v>
      </c>
      <c r="M199" s="199">
        <f>'Commercial Budget'!C34</f>
        <v>0</v>
      </c>
      <c r="N199" s="66">
        <f t="shared" si="34"/>
        <v>0</v>
      </c>
      <c r="O199" s="520"/>
      <c r="P199" s="88"/>
    </row>
    <row r="200" spans="1:16">
      <c r="A200" t="str">
        <f>'Development Budget'!A35</f>
        <v>Surveyor</v>
      </c>
      <c r="B200" s="66">
        <f>'Development Budget'!B35</f>
        <v>0</v>
      </c>
      <c r="C200" s="66">
        <f>'Development Budget'!C35</f>
        <v>0</v>
      </c>
      <c r="D200" s="66">
        <f>'Development Budget'!D35</f>
        <v>0</v>
      </c>
      <c r="E200" s="66">
        <f>'Development Budget'!E35</f>
        <v>0</v>
      </c>
      <c r="F200" s="790">
        <f t="shared" si="30"/>
        <v>0</v>
      </c>
      <c r="G200" s="66">
        <f t="shared" si="36"/>
        <v>0</v>
      </c>
      <c r="H200" s="66" t="str">
        <f>IF(B$3,'Development Budget'!F35,"")</f>
        <v/>
      </c>
      <c r="I200" s="197" t="str">
        <f t="shared" si="35"/>
        <v/>
      </c>
      <c r="K200" s="19" t="str">
        <f>'Commercial Budget'!A35</f>
        <v>Construction Interim Costs</v>
      </c>
      <c r="L200" s="19"/>
      <c r="M200" s="19"/>
      <c r="N200" s="19"/>
      <c r="O200" s="520"/>
      <c r="P200" s="88"/>
    </row>
    <row r="201" spans="1:16">
      <c r="A201" t="str">
        <f>'Development Budget'!A36</f>
        <v>Attorney, Real Estate</v>
      </c>
      <c r="B201" s="66">
        <f>'Development Budget'!B36</f>
        <v>0</v>
      </c>
      <c r="C201" s="66">
        <f>'Development Budget'!C36</f>
        <v>0</v>
      </c>
      <c r="D201" s="66">
        <f>'Development Budget'!D36</f>
        <v>0</v>
      </c>
      <c r="E201" s="66">
        <f>'Development Budget'!E36</f>
        <v>0</v>
      </c>
      <c r="F201" s="790">
        <f t="shared" si="30"/>
        <v>0</v>
      </c>
      <c r="G201" s="66">
        <f t="shared" si="36"/>
        <v>0</v>
      </c>
      <c r="H201" s="66" t="str">
        <f>IF(B$3,'Development Budget'!F36,"")</f>
        <v/>
      </c>
      <c r="I201" s="197" t="str">
        <f t="shared" si="35"/>
        <v/>
      </c>
      <c r="K201" t="str">
        <f>'Commercial Budget'!A36</f>
        <v>Hazard &amp; Liability Insurance</v>
      </c>
      <c r="L201" s="66">
        <f>'Commercial Budget'!B36</f>
        <v>0</v>
      </c>
      <c r="M201" s="66">
        <f>'Commercial Budget'!C36</f>
        <v>0</v>
      </c>
      <c r="N201" s="66">
        <f t="shared" ref="N201:N216" si="37">IF($B$2,"",M201-L201)</f>
        <v>0</v>
      </c>
      <c r="O201" s="520"/>
      <c r="P201" s="88"/>
    </row>
    <row r="202" spans="1:16">
      <c r="A202" t="str">
        <f>'Development Budget'!A37</f>
        <v>Green Consultant</v>
      </c>
      <c r="B202" s="66">
        <f>'Development Budget'!B37</f>
        <v>0</v>
      </c>
      <c r="C202" s="66">
        <f>'Development Budget'!C37</f>
        <v>0</v>
      </c>
      <c r="D202" s="66">
        <f>'Development Budget'!D37</f>
        <v>0</v>
      </c>
      <c r="E202" s="66">
        <f>'Development Budget'!E37</f>
        <v>0</v>
      </c>
      <c r="F202" s="790">
        <f t="shared" si="30"/>
        <v>0</v>
      </c>
      <c r="G202" s="66">
        <f t="shared" si="36"/>
        <v>0</v>
      </c>
      <c r="H202" s="66" t="str">
        <f>IF(B$3,'Development Budget'!F37,"")</f>
        <v/>
      </c>
      <c r="I202" s="197" t="str">
        <f t="shared" si="35"/>
        <v/>
      </c>
      <c r="K202" t="str">
        <f>'Commercial Budget'!A37</f>
        <v>Builder's Risk Insurance</v>
      </c>
      <c r="L202" s="66">
        <f>'Commercial Budget'!B37</f>
        <v>0</v>
      </c>
      <c r="M202" s="66">
        <f>'Commercial Budget'!C37</f>
        <v>0</v>
      </c>
      <c r="N202" s="66">
        <f t="shared" si="37"/>
        <v>0</v>
      </c>
      <c r="O202" s="520"/>
      <c r="P202" s="88"/>
    </row>
    <row r="203" spans="1:16">
      <c r="A203" t="str">
        <f>'Development Budget'!A38</f>
        <v>Green Charrette</v>
      </c>
      <c r="B203" s="66">
        <f>'Development Budget'!B38</f>
        <v>0</v>
      </c>
      <c r="C203" s="66">
        <f>'Development Budget'!C38</f>
        <v>0</v>
      </c>
      <c r="D203" s="66">
        <f>'Development Budget'!D38</f>
        <v>0</v>
      </c>
      <c r="E203" s="66">
        <f>'Development Budget'!E38</f>
        <v>0</v>
      </c>
      <c r="F203" s="790">
        <f t="shared" si="30"/>
        <v>0</v>
      </c>
      <c r="G203" s="66">
        <f t="shared" si="36"/>
        <v>0</v>
      </c>
      <c r="H203" s="66" t="str">
        <f>IF(B$3,'Development Budget'!F38,"")</f>
        <v/>
      </c>
      <c r="I203" s="197" t="str">
        <f t="shared" si="35"/>
        <v/>
      </c>
      <c r="K203" t="str">
        <f>'Commercial Budget'!A38</f>
        <v>Perform. &amp; Pymt Bonds</v>
      </c>
      <c r="L203" s="66">
        <f>'Commercial Budget'!B38</f>
        <v>0</v>
      </c>
      <c r="M203" s="66">
        <f>'Commercial Budget'!C38</f>
        <v>0</v>
      </c>
      <c r="N203" s="66">
        <f t="shared" si="37"/>
        <v>0</v>
      </c>
      <c r="O203" s="520"/>
      <c r="P203" s="88"/>
    </row>
    <row r="204" spans="1:16">
      <c r="A204" t="str">
        <f>'Development Budget'!A39</f>
        <v>Construction Accounting</v>
      </c>
      <c r="B204" s="66">
        <f>'Development Budget'!B39</f>
        <v>0</v>
      </c>
      <c r="C204" s="66">
        <f>'Development Budget'!C39</f>
        <v>0</v>
      </c>
      <c r="D204" s="66">
        <f>'Development Budget'!D39</f>
        <v>0</v>
      </c>
      <c r="E204" s="66">
        <f>'Development Budget'!E39</f>
        <v>0</v>
      </c>
      <c r="F204" s="790">
        <f t="shared" si="30"/>
        <v>0</v>
      </c>
      <c r="G204" s="66">
        <f t="shared" si="36"/>
        <v>0</v>
      </c>
      <c r="H204" s="66" t="str">
        <f>IF(B$3,'Development Budget'!F39,"")</f>
        <v/>
      </c>
      <c r="I204" s="197" t="str">
        <f t="shared" si="35"/>
        <v/>
      </c>
      <c r="K204" t="str">
        <f>'Commercial Budget'!A39</f>
        <v>Credit Report</v>
      </c>
      <c r="L204" s="66">
        <f>'Commercial Budget'!B39</f>
        <v>0</v>
      </c>
      <c r="M204" s="66">
        <f>'Commercial Budget'!C39</f>
        <v>0</v>
      </c>
      <c r="N204" s="66">
        <f t="shared" si="37"/>
        <v>0</v>
      </c>
      <c r="O204" s="520"/>
      <c r="P204" s="88"/>
    </row>
    <row r="205" spans="1:16">
      <c r="A205" t="str">
        <f>'Development Budget'!A40</f>
        <v>Other (Specify)</v>
      </c>
      <c r="B205" s="66">
        <f>'Development Budget'!B40</f>
        <v>0</v>
      </c>
      <c r="C205" s="66">
        <f>'Development Budget'!C40</f>
        <v>0</v>
      </c>
      <c r="D205" s="66">
        <f>'Development Budget'!D40</f>
        <v>0</v>
      </c>
      <c r="E205" s="66">
        <f>'Development Budget'!E40</f>
        <v>0</v>
      </c>
      <c r="F205" s="790">
        <f t="shared" si="30"/>
        <v>0</v>
      </c>
      <c r="G205" s="66">
        <f t="shared" si="36"/>
        <v>0</v>
      </c>
      <c r="H205" s="66" t="str">
        <f>IF(B$3,'Development Budget'!F40,"")</f>
        <v/>
      </c>
      <c r="I205" s="197" t="str">
        <f t="shared" si="35"/>
        <v/>
      </c>
      <c r="K205" t="str">
        <f>'Commercial Budget'!A40</f>
        <v>Construction Interest</v>
      </c>
      <c r="L205" s="66">
        <f>'Commercial Budget'!B40</f>
        <v>0</v>
      </c>
      <c r="M205" s="66">
        <f>'Commercial Budget'!C40</f>
        <v>0</v>
      </c>
      <c r="N205" s="66">
        <f t="shared" si="37"/>
        <v>0</v>
      </c>
      <c r="O205" s="520"/>
      <c r="P205" s="88"/>
    </row>
    <row r="206" spans="1:16">
      <c r="A206" t="str">
        <f>'Development Budget'!A41</f>
        <v>Other (Specify)</v>
      </c>
      <c r="B206" s="66">
        <f>'Development Budget'!B41</f>
        <v>0</v>
      </c>
      <c r="C206" s="66">
        <f>'Development Budget'!C41</f>
        <v>0</v>
      </c>
      <c r="D206" s="66">
        <f>'Development Budget'!D41</f>
        <v>0</v>
      </c>
      <c r="E206" s="66">
        <f>'Development Budget'!E41</f>
        <v>0</v>
      </c>
      <c r="F206" s="790">
        <f t="shared" si="30"/>
        <v>0</v>
      </c>
      <c r="G206" s="66">
        <f t="shared" si="36"/>
        <v>0</v>
      </c>
      <c r="H206" s="66" t="str">
        <f>IF(B$3,'Development Budget'!F41,"")</f>
        <v/>
      </c>
      <c r="I206" s="197" t="str">
        <f t="shared" si="35"/>
        <v/>
      </c>
      <c r="K206" t="str">
        <f>'Commercial Budget'!A41</f>
        <v>Constr. Origination Fees</v>
      </c>
      <c r="L206" s="66">
        <f>'Commercial Budget'!B41</f>
        <v>0</v>
      </c>
      <c r="M206" s="66">
        <f>'Commercial Budget'!C41</f>
        <v>0</v>
      </c>
      <c r="N206" s="66">
        <f t="shared" si="37"/>
        <v>0</v>
      </c>
      <c r="O206" s="520"/>
      <c r="P206" s="88"/>
    </row>
    <row r="207" spans="1:16">
      <c r="A207" t="str">
        <f>'Development Budget'!A42</f>
        <v>Other (Specify)</v>
      </c>
      <c r="B207" s="66">
        <f>'Development Budget'!B42</f>
        <v>0</v>
      </c>
      <c r="C207" s="66">
        <f>'Development Budget'!C42</f>
        <v>0</v>
      </c>
      <c r="D207" s="66">
        <f>'Development Budget'!D42</f>
        <v>0</v>
      </c>
      <c r="E207" s="66">
        <f>'Development Budget'!E42</f>
        <v>0</v>
      </c>
      <c r="F207" s="790">
        <f t="shared" si="30"/>
        <v>0</v>
      </c>
      <c r="G207" s="66">
        <f t="shared" si="36"/>
        <v>0</v>
      </c>
      <c r="H207" s="66" t="str">
        <f>IF(B$3,'Development Budget'!F42,"")</f>
        <v/>
      </c>
      <c r="I207" s="197" t="str">
        <f t="shared" si="35"/>
        <v/>
      </c>
      <c r="K207" t="str">
        <f>'Commercial Budget'!A42</f>
        <v>Tap Fees (Water/Sewer)</v>
      </c>
      <c r="L207" s="66">
        <f>'Commercial Budget'!B42</f>
        <v>0</v>
      </c>
      <c r="M207" s="66">
        <f>'Commercial Budget'!C42</f>
        <v>0</v>
      </c>
      <c r="N207" s="66">
        <f t="shared" si="37"/>
        <v>0</v>
      </c>
      <c r="O207" s="520"/>
      <c r="P207" s="88"/>
    </row>
    <row r="208" spans="1:16">
      <c r="A208" s="1"/>
      <c r="B208" s="199">
        <f>SUM(B194:B207)</f>
        <v>0</v>
      </c>
      <c r="C208" s="199">
        <f>SUM(C194:C207)</f>
        <v>0</v>
      </c>
      <c r="D208" s="199">
        <f>SUM(D194:D207)</f>
        <v>0</v>
      </c>
      <c r="E208" s="199">
        <f>SUM(E194:E207)</f>
        <v>0</v>
      </c>
      <c r="F208" s="790"/>
      <c r="G208" s="199">
        <f t="shared" si="36"/>
        <v>0</v>
      </c>
      <c r="H208" s="199" t="str">
        <f>IF(B$3,'Development Budget'!F43,"")</f>
        <v/>
      </c>
      <c r="I208" s="197" t="str">
        <f t="shared" si="35"/>
        <v/>
      </c>
      <c r="K208" t="str">
        <f>'Commercial Budget'!A43</f>
        <v>Bond Cost of Issuance</v>
      </c>
      <c r="L208" s="66">
        <f>'Commercial Budget'!B43</f>
        <v>0</v>
      </c>
      <c r="M208" s="66">
        <f>'Commercial Budget'!C43</f>
        <v>0</v>
      </c>
      <c r="N208" s="66">
        <f t="shared" si="37"/>
        <v>0</v>
      </c>
      <c r="O208" s="520"/>
      <c r="P208" s="88"/>
    </row>
    <row r="209" spans="1:16">
      <c r="A209" s="19" t="s">
        <v>447</v>
      </c>
      <c r="B209" s="19"/>
      <c r="C209" s="19"/>
      <c r="D209" s="19"/>
      <c r="E209" s="19"/>
      <c r="F209" s="19"/>
      <c r="G209" s="19"/>
      <c r="H209" s="19"/>
      <c r="I209" s="19" t="str">
        <f t="shared" si="35"/>
        <v/>
      </c>
      <c r="K209" t="str">
        <f>'Commercial Budget'!A44</f>
        <v>Impact Fees</v>
      </c>
      <c r="L209" s="66">
        <f>'Commercial Budget'!B44</f>
        <v>0</v>
      </c>
      <c r="M209" s="66">
        <f>'Commercial Budget'!C44</f>
        <v>0</v>
      </c>
      <c r="N209" s="66">
        <f t="shared" si="37"/>
        <v>0</v>
      </c>
      <c r="O209" s="520"/>
      <c r="P209" s="88"/>
    </row>
    <row r="210" spans="1:16">
      <c r="A210" t="str">
        <f>'Development Budget'!A45</f>
        <v>Hazard &amp; Liability Insurance</v>
      </c>
      <c r="B210" s="66">
        <f>'Development Budget'!B45</f>
        <v>0</v>
      </c>
      <c r="C210" s="66">
        <f>'Development Budget'!C45</f>
        <v>0</v>
      </c>
      <c r="D210" s="66">
        <f>'Development Budget'!D45</f>
        <v>0</v>
      </c>
      <c r="E210" s="66">
        <f>'Development Budget'!E45</f>
        <v>0</v>
      </c>
      <c r="F210" s="790">
        <f t="shared" si="30"/>
        <v>0</v>
      </c>
      <c r="G210" s="66">
        <f>B210-E210</f>
        <v>0</v>
      </c>
      <c r="H210" s="66" t="str">
        <f>IF(B$3,'Development Budget'!F45,"")</f>
        <v/>
      </c>
      <c r="I210" s="197" t="str">
        <f t="shared" si="35"/>
        <v/>
      </c>
      <c r="K210" t="str">
        <f>'Commercial Budget'!A45</f>
        <v>Title &amp; Recording</v>
      </c>
      <c r="L210" s="66">
        <f>'Commercial Budget'!B45</f>
        <v>0</v>
      </c>
      <c r="M210" s="66">
        <f>'Commercial Budget'!C45</f>
        <v>0</v>
      </c>
      <c r="N210" s="66">
        <f t="shared" si="37"/>
        <v>0</v>
      </c>
      <c r="O210" s="520"/>
      <c r="P210" s="88"/>
    </row>
    <row r="211" spans="1:16">
      <c r="A211" t="str">
        <f>'Development Budget'!A46</f>
        <v>Builder's Risk Insurance</v>
      </c>
      <c r="B211" s="66">
        <f>'Development Budget'!B46</f>
        <v>0</v>
      </c>
      <c r="C211" s="66">
        <f>'Development Budget'!C46</f>
        <v>0</v>
      </c>
      <c r="D211" s="66">
        <f>'Development Budget'!D46</f>
        <v>0</v>
      </c>
      <c r="E211" s="66">
        <f>'Development Budget'!E46</f>
        <v>0</v>
      </c>
      <c r="F211" s="790">
        <f t="shared" si="30"/>
        <v>0</v>
      </c>
      <c r="G211" s="66">
        <f t="shared" ref="G211:G227" si="38">B211-E211</f>
        <v>0</v>
      </c>
      <c r="H211" s="66" t="str">
        <f>IF(B$3,'Development Budget'!F46,"")</f>
        <v/>
      </c>
      <c r="I211" s="197" t="str">
        <f t="shared" si="35"/>
        <v/>
      </c>
      <c r="K211" t="str">
        <f>'Commercial Budget'!A46</f>
        <v>Legal Fees</v>
      </c>
      <c r="L211" s="66">
        <f>'Commercial Budget'!B46</f>
        <v>0</v>
      </c>
      <c r="M211" s="66">
        <f>'Commercial Budget'!C46</f>
        <v>0</v>
      </c>
      <c r="N211" s="66">
        <f t="shared" si="37"/>
        <v>0</v>
      </c>
      <c r="O211" s="520"/>
      <c r="P211" s="88"/>
    </row>
    <row r="212" spans="1:16">
      <c r="A212" t="str">
        <f>'Development Budget'!A47</f>
        <v>Perform. &amp; Pymt Bonds</v>
      </c>
      <c r="B212" s="66">
        <f>'Development Budget'!B47</f>
        <v>0</v>
      </c>
      <c r="C212" s="66">
        <f>'Development Budget'!C47</f>
        <v>0</v>
      </c>
      <c r="D212" s="66">
        <f>'Development Budget'!D47</f>
        <v>0</v>
      </c>
      <c r="E212" s="66">
        <f>'Development Budget'!E47</f>
        <v>0</v>
      </c>
      <c r="F212" s="790">
        <f t="shared" si="30"/>
        <v>0</v>
      </c>
      <c r="G212" s="66">
        <f t="shared" si="38"/>
        <v>0</v>
      </c>
      <c r="H212" s="66" t="str">
        <f>IF(B$3,'Development Budget'!F47,"")</f>
        <v/>
      </c>
      <c r="I212" s="197" t="str">
        <f t="shared" si="35"/>
        <v/>
      </c>
      <c r="K212" t="str">
        <f>'Commercial Budget'!A47</f>
        <v>Prop. Taxes during const</v>
      </c>
      <c r="L212" s="66">
        <f>'Commercial Budget'!B47</f>
        <v>0</v>
      </c>
      <c r="M212" s="66">
        <f>'Commercial Budget'!C47</f>
        <v>0</v>
      </c>
      <c r="N212" s="66">
        <f t="shared" si="37"/>
        <v>0</v>
      </c>
      <c r="O212" s="520"/>
      <c r="P212" s="88"/>
    </row>
    <row r="213" spans="1:16">
      <c r="A213" t="str">
        <f>'Development Budget'!A48</f>
        <v>Construction Interest</v>
      </c>
      <c r="B213" s="66">
        <f>'Development Budget'!B48</f>
        <v>0</v>
      </c>
      <c r="C213" s="66">
        <f>'Development Budget'!C48</f>
        <v>0</v>
      </c>
      <c r="D213" s="66">
        <f>'Development Budget'!D48</f>
        <v>0</v>
      </c>
      <c r="E213" s="66">
        <f>'Development Budget'!E48</f>
        <v>0</v>
      </c>
      <c r="F213" s="790">
        <f t="shared" si="30"/>
        <v>0</v>
      </c>
      <c r="G213" s="66">
        <f t="shared" si="38"/>
        <v>0</v>
      </c>
      <c r="H213" s="66" t="str">
        <f>IF(B$3,'Development Budget'!F48,"")</f>
        <v/>
      </c>
      <c r="I213" s="197" t="str">
        <f t="shared" si="35"/>
        <v/>
      </c>
      <c r="K213" t="str">
        <f>'Commercial Budget'!A48</f>
        <v>Other (Specify)</v>
      </c>
      <c r="L213" s="66">
        <f>'Commercial Budget'!B48</f>
        <v>0</v>
      </c>
      <c r="M213" s="66">
        <f>'Commercial Budget'!C48</f>
        <v>0</v>
      </c>
      <c r="N213" s="66">
        <f t="shared" si="37"/>
        <v>0</v>
      </c>
      <c r="O213" s="520"/>
      <c r="P213" s="88"/>
    </row>
    <row r="214" spans="1:16">
      <c r="A214" t="str">
        <f>'Development Budget'!A49</f>
        <v>Constr. Origination Fees</v>
      </c>
      <c r="B214" s="66">
        <f>'Development Budget'!B49</f>
        <v>0</v>
      </c>
      <c r="C214" s="66">
        <f>'Development Budget'!C49</f>
        <v>0</v>
      </c>
      <c r="D214" s="66">
        <f>'Development Budget'!D49</f>
        <v>0</v>
      </c>
      <c r="E214" s="66">
        <f>'Development Budget'!E49</f>
        <v>0</v>
      </c>
      <c r="F214" s="790">
        <f t="shared" si="30"/>
        <v>0</v>
      </c>
      <c r="G214" s="66">
        <f t="shared" si="38"/>
        <v>0</v>
      </c>
      <c r="H214" s="66" t="str">
        <f>IF(B$3,'Development Budget'!F49,"")</f>
        <v/>
      </c>
      <c r="I214" s="197" t="str">
        <f t="shared" si="35"/>
        <v/>
      </c>
      <c r="K214" t="str">
        <f>'Commercial Budget'!A49</f>
        <v>Other (Specify)</v>
      </c>
      <c r="L214" s="66">
        <f>'Commercial Budget'!B49</f>
        <v>0</v>
      </c>
      <c r="M214" s="66">
        <f>'Commercial Budget'!C49</f>
        <v>0</v>
      </c>
      <c r="N214" s="66">
        <f t="shared" si="37"/>
        <v>0</v>
      </c>
      <c r="O214" s="520"/>
      <c r="P214" s="88"/>
    </row>
    <row r="215" spans="1:16">
      <c r="A215" t="str">
        <f>'Development Budget'!A50</f>
        <v>Tap Fees (Water/Sewer)</v>
      </c>
      <c r="B215" s="66">
        <f>'Development Budget'!B50</f>
        <v>0</v>
      </c>
      <c r="C215" s="66">
        <f>'Development Budget'!C50</f>
        <v>0</v>
      </c>
      <c r="D215" s="66">
        <f>'Development Budget'!D50</f>
        <v>0</v>
      </c>
      <c r="E215" s="66">
        <f>'Development Budget'!E50</f>
        <v>0</v>
      </c>
      <c r="F215" s="790">
        <f t="shared" si="30"/>
        <v>0</v>
      </c>
      <c r="G215" s="66">
        <f t="shared" si="38"/>
        <v>0</v>
      </c>
      <c r="H215" s="66" t="str">
        <f>IF(B$3,'Development Budget'!F50,"")</f>
        <v/>
      </c>
      <c r="I215" s="197" t="str">
        <f t="shared" si="35"/>
        <v/>
      </c>
      <c r="K215" t="str">
        <f>'Commercial Budget'!A50</f>
        <v>Other (Specify)</v>
      </c>
      <c r="L215" s="66">
        <f>'Commercial Budget'!B50</f>
        <v>0</v>
      </c>
      <c r="M215" s="66">
        <f>'Commercial Budget'!C50</f>
        <v>0</v>
      </c>
      <c r="N215" s="66">
        <f t="shared" si="37"/>
        <v>0</v>
      </c>
      <c r="O215" s="520"/>
      <c r="P215" s="88"/>
    </row>
    <row r="216" spans="1:16">
      <c r="A216" t="str">
        <f>'Development Budget'!A51</f>
        <v>Impact fees</v>
      </c>
      <c r="B216" s="66">
        <f>'Development Budget'!B51</f>
        <v>0</v>
      </c>
      <c r="C216" s="66">
        <f>'Development Budget'!C51</f>
        <v>0</v>
      </c>
      <c r="D216" s="66">
        <f>'Development Budget'!D51</f>
        <v>0</v>
      </c>
      <c r="E216" s="66">
        <f>'Development Budget'!E51</f>
        <v>0</v>
      </c>
      <c r="F216" s="790">
        <f t="shared" si="30"/>
        <v>0</v>
      </c>
      <c r="G216" s="66">
        <f t="shared" si="38"/>
        <v>0</v>
      </c>
      <c r="H216" s="66" t="str">
        <f>IF(B$3,'Development Budget'!F51,"")</f>
        <v/>
      </c>
      <c r="I216" s="197" t="str">
        <f t="shared" si="35"/>
        <v/>
      </c>
      <c r="L216" s="199">
        <f>'Commercial Budget'!B51</f>
        <v>0</v>
      </c>
      <c r="M216" s="199">
        <f>'Commercial Budget'!C51</f>
        <v>0</v>
      </c>
      <c r="N216" s="66">
        <f t="shared" si="37"/>
        <v>0</v>
      </c>
      <c r="O216" s="520"/>
      <c r="P216" s="88"/>
    </row>
    <row r="217" spans="1:16">
      <c r="A217" t="str">
        <f>'Development Budget'!A52</f>
        <v>Materials Testing</v>
      </c>
      <c r="B217" s="66">
        <f>'Development Budget'!B52</f>
        <v>0</v>
      </c>
      <c r="C217" s="66">
        <f>'Development Budget'!C52</f>
        <v>0</v>
      </c>
      <c r="D217" s="66">
        <f>'Development Budget'!D52</f>
        <v>0</v>
      </c>
      <c r="E217" s="66">
        <f>'Development Budget'!E52</f>
        <v>0</v>
      </c>
      <c r="F217" s="790">
        <f t="shared" si="30"/>
        <v>0</v>
      </c>
      <c r="G217" s="66">
        <f t="shared" si="38"/>
        <v>0</v>
      </c>
      <c r="H217" s="66" t="str">
        <f>IF(B$3,'Development Budget'!F52,"")</f>
        <v/>
      </c>
      <c r="I217" s="197" t="str">
        <f t="shared" si="35"/>
        <v/>
      </c>
      <c r="K217" s="19" t="str">
        <f>'Commercial Budget'!A52</f>
        <v>Permanent Financing</v>
      </c>
      <c r="L217" s="19"/>
      <c r="M217" s="19"/>
      <c r="N217" s="19"/>
      <c r="O217" s="520"/>
      <c r="P217" s="88"/>
    </row>
    <row r="218" spans="1:16">
      <c r="A218" t="str">
        <f>'Development Budget'!A53</f>
        <v>Power and Telecom Provider fees</v>
      </c>
      <c r="B218" s="66">
        <f>'Development Budget'!B53</f>
        <v>0</v>
      </c>
      <c r="C218" s="66">
        <f>'Development Budget'!C53</f>
        <v>0</v>
      </c>
      <c r="D218" s="66">
        <f>'Development Budget'!D53</f>
        <v>0</v>
      </c>
      <c r="E218" s="66">
        <f>'Development Budget'!E53</f>
        <v>0</v>
      </c>
      <c r="F218" s="790">
        <f t="shared" si="30"/>
        <v>0</v>
      </c>
      <c r="G218" s="66">
        <f t="shared" si="38"/>
        <v>0</v>
      </c>
      <c r="H218" s="66" t="str">
        <f>IF(B$3,'Development Budget'!F53,"")</f>
        <v/>
      </c>
      <c r="I218" s="197" t="str">
        <f t="shared" si="35"/>
        <v/>
      </c>
      <c r="K218" t="str">
        <f>'Commercial Budget'!A53</f>
        <v>Bond Premium</v>
      </c>
      <c r="L218" s="66">
        <f>'Commercial Budget'!B53</f>
        <v>0</v>
      </c>
      <c r="M218" s="66">
        <f>'Commercial Budget'!C53</f>
        <v>0</v>
      </c>
      <c r="N218" s="66">
        <f t="shared" ref="N218:N229" si="39">IF($B$2,"",M218-L218)</f>
        <v>0</v>
      </c>
      <c r="O218" s="520"/>
      <c r="P218" s="88"/>
    </row>
    <row r="219" spans="1:16">
      <c r="A219" t="str">
        <f>'Development Budget'!A54</f>
        <v>3rd Party/Bank Inspections/Admin</v>
      </c>
      <c r="B219" s="66">
        <f>'Development Budget'!B54</f>
        <v>0</v>
      </c>
      <c r="C219" s="66">
        <f>'Development Budget'!C54</f>
        <v>0</v>
      </c>
      <c r="D219" s="66">
        <f>'Development Budget'!D54</f>
        <v>0</v>
      </c>
      <c r="E219" s="66">
        <f>'Development Budget'!E54</f>
        <v>0</v>
      </c>
      <c r="F219" s="790">
        <f t="shared" si="30"/>
        <v>0</v>
      </c>
      <c r="G219" s="66">
        <f t="shared" si="38"/>
        <v>0</v>
      </c>
      <c r="H219" s="66" t="str">
        <f>IF(B$3,'Development Budget'!F54,"")</f>
        <v/>
      </c>
      <c r="I219" s="197" t="str">
        <f t="shared" si="35"/>
        <v/>
      </c>
      <c r="K219" t="str">
        <f>'Commercial Budget'!A54</f>
        <v>Bond Issue 30-day lag reserve</v>
      </c>
      <c r="L219" s="66">
        <f>'Commercial Budget'!B54</f>
        <v>0</v>
      </c>
      <c r="M219" s="66">
        <f>'Commercial Budget'!C54</f>
        <v>0</v>
      </c>
      <c r="N219" s="66">
        <f t="shared" si="39"/>
        <v>0</v>
      </c>
      <c r="O219" s="520"/>
      <c r="P219" s="88"/>
    </row>
    <row r="220" spans="1:16">
      <c r="A220" t="str">
        <f>'Development Budget'!A55</f>
        <v>Title &amp; Recording</v>
      </c>
      <c r="B220" s="66">
        <f>'Development Budget'!B55</f>
        <v>0</v>
      </c>
      <c r="C220" s="66">
        <f>'Development Budget'!C55</f>
        <v>0</v>
      </c>
      <c r="D220" s="66">
        <f>'Development Budget'!D55</f>
        <v>0</v>
      </c>
      <c r="E220" s="66">
        <f>'Development Budget'!E55</f>
        <v>0</v>
      </c>
      <c r="F220" s="790">
        <f t="shared" si="30"/>
        <v>0</v>
      </c>
      <c r="G220" s="66">
        <f t="shared" si="38"/>
        <v>0</v>
      </c>
      <c r="H220" s="66" t="str">
        <f>IF(B$3,'Development Budget'!F55,"")</f>
        <v/>
      </c>
      <c r="I220" s="197" t="str">
        <f t="shared" si="35"/>
        <v/>
      </c>
      <c r="K220" t="str">
        <f>'Commercial Budget'!A55</f>
        <v>Discount Points</v>
      </c>
      <c r="L220" s="66">
        <f>'Commercial Budget'!B55</f>
        <v>0</v>
      </c>
      <c r="M220" s="66">
        <f>'Commercial Budget'!C55</f>
        <v>0</v>
      </c>
      <c r="N220" s="66">
        <f t="shared" si="39"/>
        <v>0</v>
      </c>
      <c r="O220" s="520"/>
      <c r="P220" s="88"/>
    </row>
    <row r="221" spans="1:16">
      <c r="A221" t="str">
        <f>'Development Budget'!A56</f>
        <v>Construction Lender Legal Fees</v>
      </c>
      <c r="B221" s="66">
        <f>'Development Budget'!B56</f>
        <v>0</v>
      </c>
      <c r="C221" s="66">
        <f>'Development Budget'!C56</f>
        <v>0</v>
      </c>
      <c r="D221" s="66">
        <f>'Development Budget'!D56</f>
        <v>0</v>
      </c>
      <c r="E221" s="66">
        <f>'Development Budget'!E56</f>
        <v>0</v>
      </c>
      <c r="F221" s="790">
        <f t="shared" si="30"/>
        <v>0</v>
      </c>
      <c r="G221" s="66">
        <f t="shared" si="38"/>
        <v>0</v>
      </c>
      <c r="H221" s="66" t="str">
        <f>IF(B$3,'Development Budget'!F56,"")</f>
        <v/>
      </c>
      <c r="I221" s="197" t="str">
        <f t="shared" si="35"/>
        <v/>
      </c>
      <c r="K221" t="str">
        <f>'Commercial Budget'!A56</f>
        <v>Perm Loan Origination</v>
      </c>
      <c r="L221" s="66">
        <f>'Commercial Budget'!B56</f>
        <v>0</v>
      </c>
      <c r="M221" s="66">
        <f>'Commercial Budget'!C56</f>
        <v>0</v>
      </c>
      <c r="N221" s="66">
        <f t="shared" si="39"/>
        <v>0</v>
      </c>
      <c r="O221" s="520"/>
      <c r="P221" s="88"/>
    </row>
    <row r="222" spans="1:16">
      <c r="A222" t="str">
        <f>'Development Budget'!A57</f>
        <v>Prop. Taxes During Construction</v>
      </c>
      <c r="B222" s="66">
        <f>'Development Budget'!B57</f>
        <v>0</v>
      </c>
      <c r="C222" s="66">
        <f>'Development Budget'!C57</f>
        <v>0</v>
      </c>
      <c r="D222" s="66">
        <f>'Development Budget'!D57</f>
        <v>0</v>
      </c>
      <c r="E222" s="66">
        <f>'Development Budget'!E57</f>
        <v>0</v>
      </c>
      <c r="F222" s="790">
        <f t="shared" si="30"/>
        <v>0</v>
      </c>
      <c r="G222" s="66">
        <f t="shared" si="38"/>
        <v>0</v>
      </c>
      <c r="H222" s="66" t="str">
        <f>IF(B$3,'Development Budget'!F57,"")</f>
        <v/>
      </c>
      <c r="I222" s="197" t="str">
        <f t="shared" si="35"/>
        <v/>
      </c>
      <c r="K222" t="str">
        <f>'Commercial Budget'!A57</f>
        <v>Credit Enhancement</v>
      </c>
      <c r="L222" s="66">
        <f>'Commercial Budget'!B57</f>
        <v>0</v>
      </c>
      <c r="M222" s="66">
        <f>'Commercial Budget'!C57</f>
        <v>0</v>
      </c>
      <c r="N222" s="66">
        <f t="shared" si="39"/>
        <v>0</v>
      </c>
      <c r="O222" s="520"/>
      <c r="P222" s="88"/>
    </row>
    <row r="223" spans="1:16">
      <c r="A223" t="str">
        <f>'Development Budget'!A58</f>
        <v>Bridge Loan</v>
      </c>
      <c r="B223" s="66">
        <f>'Development Budget'!B58</f>
        <v>0</v>
      </c>
      <c r="C223" s="66">
        <f>'Development Budget'!C58</f>
        <v>0</v>
      </c>
      <c r="D223" s="66">
        <f>'Development Budget'!D58</f>
        <v>0</v>
      </c>
      <c r="E223" s="66">
        <f>'Development Budget'!E58</f>
        <v>0</v>
      </c>
      <c r="F223" s="790">
        <f t="shared" si="30"/>
        <v>0</v>
      </c>
      <c r="G223" s="66">
        <f t="shared" si="38"/>
        <v>0</v>
      </c>
      <c r="H223" s="66" t="str">
        <f>IF(B$3,'Development Budget'!F58,"")</f>
        <v/>
      </c>
      <c r="I223" s="197" t="str">
        <f t="shared" si="35"/>
        <v/>
      </c>
      <c r="K223" t="str">
        <f>'Commercial Budget'!A58</f>
        <v>Title &amp; Recording</v>
      </c>
      <c r="L223" s="66">
        <f>'Commercial Budget'!B58</f>
        <v>0</v>
      </c>
      <c r="M223" s="66">
        <f>'Commercial Budget'!C58</f>
        <v>0</v>
      </c>
      <c r="N223" s="66">
        <f t="shared" si="39"/>
        <v>0</v>
      </c>
      <c r="O223" s="520"/>
      <c r="P223" s="88"/>
    </row>
    <row r="224" spans="1:16">
      <c r="A224" t="str">
        <f>'Development Budget'!A60</f>
        <v>Other (Specify)</v>
      </c>
      <c r="B224" s="66">
        <f>'Development Budget'!B60</f>
        <v>0</v>
      </c>
      <c r="C224" s="66">
        <f>'Development Budget'!C60</f>
        <v>0</v>
      </c>
      <c r="D224" s="66">
        <f>'Development Budget'!D60</f>
        <v>0</v>
      </c>
      <c r="E224" s="66">
        <f>'Development Budget'!E60</f>
        <v>0</v>
      </c>
      <c r="F224" s="790">
        <f t="shared" si="30"/>
        <v>0</v>
      </c>
      <c r="G224" s="66">
        <f t="shared" si="38"/>
        <v>0</v>
      </c>
      <c r="H224" s="66" t="str">
        <f>IF(B$3,'Development Budget'!F60,"")</f>
        <v/>
      </c>
      <c r="I224" s="197" t="str">
        <f t="shared" si="35"/>
        <v/>
      </c>
      <c r="K224" t="str">
        <f>'Commercial Budget'!A59</f>
        <v>Legal Fees</v>
      </c>
      <c r="L224" s="66">
        <f>'Commercial Budget'!B59</f>
        <v>0</v>
      </c>
      <c r="M224" s="66">
        <f>'Commercial Budget'!C59</f>
        <v>0</v>
      </c>
      <c r="N224" s="66">
        <f t="shared" si="39"/>
        <v>0</v>
      </c>
      <c r="O224" s="520"/>
      <c r="P224" s="88"/>
    </row>
    <row r="225" spans="1:16">
      <c r="A225" t="str">
        <f>'Development Budget'!A61</f>
        <v>Other (Specify)</v>
      </c>
      <c r="B225" s="66">
        <f>'Development Budget'!B61</f>
        <v>0</v>
      </c>
      <c r="C225" s="66">
        <f>'Development Budget'!C61</f>
        <v>0</v>
      </c>
      <c r="D225" s="66">
        <f>'Development Budget'!D61</f>
        <v>0</v>
      </c>
      <c r="E225" s="66">
        <f>'Development Budget'!E61</f>
        <v>0</v>
      </c>
      <c r="F225" s="790">
        <f t="shared" si="30"/>
        <v>0</v>
      </c>
      <c r="G225" s="66">
        <f t="shared" si="38"/>
        <v>0</v>
      </c>
      <c r="H225" s="66" t="str">
        <f>IF(B$3,'Development Budget'!F61,"")</f>
        <v/>
      </c>
      <c r="I225" s="197" t="str">
        <f t="shared" si="35"/>
        <v/>
      </c>
      <c r="K225" t="str">
        <f>'Commercial Budget'!A60</f>
        <v>Prepaid MIP</v>
      </c>
      <c r="L225" s="66">
        <f>'Commercial Budget'!B60</f>
        <v>0</v>
      </c>
      <c r="M225" s="66">
        <f>'Commercial Budget'!C60</f>
        <v>0</v>
      </c>
      <c r="N225" s="66">
        <f t="shared" si="39"/>
        <v>0</v>
      </c>
      <c r="O225" s="520"/>
      <c r="P225" s="88"/>
    </row>
    <row r="226" spans="1:16">
      <c r="A226" t="str">
        <f>'Development Budget'!A62</f>
        <v>Other (Specify)</v>
      </c>
      <c r="B226" s="66">
        <f>'Development Budget'!B62</f>
        <v>0</v>
      </c>
      <c r="C226" s="66">
        <f>'Development Budget'!C62</f>
        <v>0</v>
      </c>
      <c r="D226" s="66">
        <f>'Development Budget'!D62</f>
        <v>0</v>
      </c>
      <c r="E226" s="66">
        <f>'Development Budget'!E62</f>
        <v>0</v>
      </c>
      <c r="F226" s="790">
        <f t="shared" si="30"/>
        <v>0</v>
      </c>
      <c r="G226" s="66">
        <f t="shared" si="38"/>
        <v>0</v>
      </c>
      <c r="H226" s="66" t="str">
        <f>IF(B$3,'Development Budget'!F62,"")</f>
        <v/>
      </c>
      <c r="I226" s="197" t="str">
        <f t="shared" ref="I226:I257" si="40">IF(B$3,H226/$B$288,"")</f>
        <v/>
      </c>
      <c r="K226" t="str">
        <f>'Commercial Budget'!A61</f>
        <v>Other (Specify)</v>
      </c>
      <c r="L226" s="66">
        <f>'Commercial Budget'!B61</f>
        <v>0</v>
      </c>
      <c r="M226" s="66">
        <f>'Commercial Budget'!C61</f>
        <v>0</v>
      </c>
      <c r="N226" s="66">
        <f t="shared" si="39"/>
        <v>0</v>
      </c>
      <c r="O226" s="520"/>
      <c r="P226" s="88"/>
    </row>
    <row r="227" spans="1:16">
      <c r="A227" s="1"/>
      <c r="B227" s="199">
        <f>SUM(B210:B226)</f>
        <v>0</v>
      </c>
      <c r="C227" s="199">
        <f>SUM(C210:C226)</f>
        <v>0</v>
      </c>
      <c r="D227" s="199">
        <f>SUM(D210:D226)</f>
        <v>0</v>
      </c>
      <c r="E227" s="199">
        <f>SUM(E210:E226)</f>
        <v>0</v>
      </c>
      <c r="F227" s="790"/>
      <c r="G227" s="199">
        <f t="shared" si="38"/>
        <v>0</v>
      </c>
      <c r="H227" s="199" t="str">
        <f>IF(B$3,'Development Budget'!F63,"")</f>
        <v/>
      </c>
      <c r="I227" s="197" t="str">
        <f t="shared" si="40"/>
        <v/>
      </c>
      <c r="K227" t="str">
        <f>'Commercial Budget'!A62</f>
        <v>Other (Specify)</v>
      </c>
      <c r="L227" s="66">
        <f>'Commercial Budget'!B62</f>
        <v>0</v>
      </c>
      <c r="M227" s="66">
        <f>'Commercial Budget'!C62</f>
        <v>0</v>
      </c>
      <c r="N227" s="66">
        <f t="shared" si="39"/>
        <v>0</v>
      </c>
      <c r="O227" s="520"/>
      <c r="P227" s="88"/>
    </row>
    <row r="228" spans="1:16">
      <c r="A228" s="19" t="s">
        <v>463</v>
      </c>
      <c r="B228" s="19"/>
      <c r="C228" s="19"/>
      <c r="D228" s="19"/>
      <c r="E228" s="19"/>
      <c r="F228" s="19"/>
      <c r="G228" s="19"/>
      <c r="H228" s="19"/>
      <c r="I228" s="19" t="str">
        <f t="shared" si="40"/>
        <v/>
      </c>
      <c r="K228" t="str">
        <f>'Commercial Budget'!A63</f>
        <v>Other (Specify)</v>
      </c>
      <c r="L228" s="66">
        <f>'Commercial Budget'!B63</f>
        <v>0</v>
      </c>
      <c r="M228" s="66">
        <f>'Commercial Budget'!C63</f>
        <v>0</v>
      </c>
      <c r="N228" s="66">
        <f t="shared" si="39"/>
        <v>0</v>
      </c>
      <c r="O228" s="520"/>
      <c r="P228" s="88"/>
    </row>
    <row r="229" spans="1:16">
      <c r="A229" t="str">
        <f>'Development Budget'!A65</f>
        <v>Bond Premium</v>
      </c>
      <c r="B229" s="66">
        <f>'Development Budget'!B65</f>
        <v>0</v>
      </c>
      <c r="E229" s="66">
        <f>'Development Budget'!E65</f>
        <v>0</v>
      </c>
      <c r="F229" s="790">
        <f t="shared" si="30"/>
        <v>0</v>
      </c>
      <c r="G229" s="66">
        <f>B229-E229</f>
        <v>0</v>
      </c>
      <c r="H229" s="66" t="str">
        <f>IF(B$3,'Development Budget'!F65,"")</f>
        <v/>
      </c>
      <c r="I229" s="197" t="str">
        <f t="shared" si="40"/>
        <v/>
      </c>
      <c r="L229" s="199">
        <f>'Commercial Budget'!B64</f>
        <v>0</v>
      </c>
      <c r="M229" s="199">
        <f>'Commercial Budget'!C64</f>
        <v>0</v>
      </c>
      <c r="N229" s="66">
        <f t="shared" si="39"/>
        <v>0</v>
      </c>
      <c r="O229" s="520"/>
      <c r="P229" s="88"/>
    </row>
    <row r="230" spans="1:16">
      <c r="A230" t="str">
        <f>'Development Budget'!A66</f>
        <v>Bond Issue 30-day lag reserve</v>
      </c>
      <c r="B230" s="66">
        <f>'Development Budget'!B66</f>
        <v>0</v>
      </c>
      <c r="E230" s="66">
        <f>'Development Budget'!E66</f>
        <v>0</v>
      </c>
      <c r="F230" s="790">
        <f t="shared" si="30"/>
        <v>0</v>
      </c>
      <c r="G230" s="66">
        <f t="shared" ref="G230:G243" si="41">B230-E230</f>
        <v>0</v>
      </c>
      <c r="H230" s="66" t="str">
        <f>IF(B$3,'Development Budget'!F66,"")</f>
        <v/>
      </c>
      <c r="I230" s="197" t="str">
        <f t="shared" si="40"/>
        <v/>
      </c>
      <c r="J230" s="74"/>
      <c r="K230" s="19" t="str">
        <f>'Commercial Budget'!A65</f>
        <v>Soft Costs</v>
      </c>
      <c r="L230" s="19"/>
      <c r="M230" s="19"/>
      <c r="N230" s="19"/>
      <c r="O230" s="520"/>
      <c r="P230" s="88"/>
    </row>
    <row r="231" spans="1:16">
      <c r="A231" t="str">
        <f>'Development Budget'!A67</f>
        <v>Bond Cost of Issuance</v>
      </c>
      <c r="B231" s="66">
        <f>'Development Budget'!B67</f>
        <v>0</v>
      </c>
      <c r="E231" s="66">
        <f>'Development Budget'!E67</f>
        <v>0</v>
      </c>
      <c r="F231" s="790">
        <f t="shared" si="30"/>
        <v>0</v>
      </c>
      <c r="G231" s="66">
        <f t="shared" si="41"/>
        <v>0</v>
      </c>
      <c r="H231" s="66" t="str">
        <f>IF(B$3,'Development Budget'!F67,"")</f>
        <v/>
      </c>
      <c r="I231" s="197" t="str">
        <f t="shared" si="40"/>
        <v/>
      </c>
      <c r="J231" s="105"/>
      <c r="K231" t="str">
        <f>'Commercial Budget'!A66</f>
        <v>Feasibility Study</v>
      </c>
      <c r="L231" s="66">
        <f>'Commercial Budget'!B66</f>
        <v>0</v>
      </c>
      <c r="M231" s="66">
        <f>'Commercial Budget'!C66</f>
        <v>0</v>
      </c>
      <c r="N231" s="66">
        <f t="shared" ref="N231:N241" si="42">IF($B$2,"",M231-L231)</f>
        <v>0</v>
      </c>
      <c r="O231" s="520"/>
      <c r="P231" s="88"/>
    </row>
    <row r="232" spans="1:16">
      <c r="A232" t="str">
        <f>'Development Budget'!A68</f>
        <v>Discount Points</v>
      </c>
      <c r="B232" s="66">
        <f>'Development Budget'!B68</f>
        <v>0</v>
      </c>
      <c r="E232" s="66">
        <f>'Development Budget'!E68</f>
        <v>0</v>
      </c>
      <c r="F232" s="790">
        <f t="shared" si="30"/>
        <v>0</v>
      </c>
      <c r="G232" s="66">
        <f t="shared" si="41"/>
        <v>0</v>
      </c>
      <c r="H232" s="66" t="str">
        <f>IF(B$3,'Development Budget'!F68,"")</f>
        <v/>
      </c>
      <c r="I232" s="197" t="str">
        <f t="shared" si="40"/>
        <v/>
      </c>
      <c r="J232" s="105"/>
      <c r="K232" t="str">
        <f>'Commercial Budget'!A67</f>
        <v>Market Study</v>
      </c>
      <c r="L232" s="66">
        <f>'Commercial Budget'!B67</f>
        <v>0</v>
      </c>
      <c r="M232" s="66">
        <f>'Commercial Budget'!C67</f>
        <v>0</v>
      </c>
      <c r="N232" s="66">
        <f t="shared" si="42"/>
        <v>0</v>
      </c>
      <c r="O232" s="520"/>
      <c r="P232" s="88"/>
    </row>
    <row r="233" spans="1:16">
      <c r="A233" t="str">
        <f>'Development Budget'!A69</f>
        <v>Perm Loan Origination</v>
      </c>
      <c r="B233" s="66">
        <f>'Development Budget'!B69</f>
        <v>0</v>
      </c>
      <c r="E233" s="66">
        <f>'Development Budget'!E69</f>
        <v>0</v>
      </c>
      <c r="F233" s="790">
        <f t="shared" si="30"/>
        <v>0</v>
      </c>
      <c r="G233" s="66">
        <f t="shared" si="41"/>
        <v>0</v>
      </c>
      <c r="H233" s="66" t="str">
        <f>IF(B$3,'Development Budget'!F69,"")</f>
        <v/>
      </c>
      <c r="I233" s="197" t="str">
        <f t="shared" si="40"/>
        <v/>
      </c>
      <c r="J233" s="105"/>
      <c r="K233" t="str">
        <f>'Commercial Budget'!A68</f>
        <v>Environmental Study</v>
      </c>
      <c r="L233" s="66">
        <f>'Commercial Budget'!B68</f>
        <v>0</v>
      </c>
      <c r="M233" s="66">
        <f>'Commercial Budget'!C68</f>
        <v>0</v>
      </c>
      <c r="N233" s="66">
        <f t="shared" si="42"/>
        <v>0</v>
      </c>
      <c r="O233" s="520"/>
      <c r="P233" s="88"/>
    </row>
    <row r="234" spans="1:16">
      <c r="A234" t="str">
        <f>'Development Budget'!A70</f>
        <v>Credit Enhancement</v>
      </c>
      <c r="B234" s="66">
        <f>'Development Budget'!B70</f>
        <v>0</v>
      </c>
      <c r="E234" s="66">
        <f>'Development Budget'!E70</f>
        <v>0</v>
      </c>
      <c r="F234" s="790">
        <f t="shared" si="30"/>
        <v>0</v>
      </c>
      <c r="G234" s="66">
        <f t="shared" si="41"/>
        <v>0</v>
      </c>
      <c r="H234" s="66" t="str">
        <f>IF(B$3,'Development Budget'!F70,"")</f>
        <v/>
      </c>
      <c r="I234" s="197" t="str">
        <f t="shared" si="40"/>
        <v/>
      </c>
      <c r="J234" s="88"/>
      <c r="K234" t="str">
        <f>'Commercial Budget'!A69</f>
        <v>Tax Credit Fees</v>
      </c>
      <c r="L234" s="66">
        <f>'Commercial Budget'!B69</f>
        <v>0</v>
      </c>
      <c r="M234" s="66">
        <f>'Commercial Budget'!C69</f>
        <v>0</v>
      </c>
      <c r="N234" s="66">
        <f t="shared" si="42"/>
        <v>0</v>
      </c>
      <c r="O234" s="520"/>
      <c r="P234" s="88"/>
    </row>
    <row r="235" spans="1:16">
      <c r="A235" t="str">
        <f>'Development Budget'!A71</f>
        <v>Title &amp; Recording</v>
      </c>
      <c r="B235" s="66">
        <f>'Development Budget'!B71</f>
        <v>0</v>
      </c>
      <c r="E235" s="66">
        <f>'Development Budget'!E71</f>
        <v>0</v>
      </c>
      <c r="F235" s="790">
        <f t="shared" si="30"/>
        <v>0</v>
      </c>
      <c r="G235" s="66">
        <f t="shared" si="41"/>
        <v>0</v>
      </c>
      <c r="H235" s="66" t="str">
        <f>IF(B$3,'Development Budget'!F71,"")</f>
        <v/>
      </c>
      <c r="I235" s="197" t="str">
        <f t="shared" si="40"/>
        <v/>
      </c>
      <c r="J235" s="88"/>
      <c r="K235" t="str">
        <f>'Commercial Budget'!A70</f>
        <v>Compliance Fees</v>
      </c>
      <c r="L235" s="66">
        <f>'Commercial Budget'!B70</f>
        <v>0</v>
      </c>
      <c r="M235" s="66">
        <f>'Commercial Budget'!C70</f>
        <v>0</v>
      </c>
      <c r="N235" s="66">
        <f t="shared" si="42"/>
        <v>0</v>
      </c>
      <c r="O235" s="520"/>
      <c r="P235" s="88"/>
    </row>
    <row r="236" spans="1:16">
      <c r="A236" t="str">
        <f>'Development Budget'!A72</f>
        <v>Legal Fees</v>
      </c>
      <c r="B236" s="66">
        <f>'Development Budget'!B72</f>
        <v>0</v>
      </c>
      <c r="E236" s="66">
        <f>'Development Budget'!E72</f>
        <v>0</v>
      </c>
      <c r="F236" s="790">
        <f t="shared" si="30"/>
        <v>0</v>
      </c>
      <c r="G236" s="66">
        <f t="shared" si="41"/>
        <v>0</v>
      </c>
      <c r="H236" s="66" t="str">
        <f>IF(B$3,'Development Budget'!F72,"")</f>
        <v/>
      </c>
      <c r="I236" s="197" t="str">
        <f t="shared" si="40"/>
        <v/>
      </c>
      <c r="J236" s="88"/>
      <c r="K236" t="str">
        <f>'Commercial Budget'!A71</f>
        <v>Appraisal</v>
      </c>
      <c r="L236" s="66">
        <f>'Commercial Budget'!B71</f>
        <v>0</v>
      </c>
      <c r="M236" s="66">
        <f>'Commercial Budget'!C71</f>
        <v>0</v>
      </c>
      <c r="N236" s="66">
        <f t="shared" si="42"/>
        <v>0</v>
      </c>
      <c r="O236" s="520"/>
      <c r="P236" s="88"/>
    </row>
    <row r="237" spans="1:16">
      <c r="A237" t="str">
        <f>'Development Budget'!A73</f>
        <v>Prepaid MIP</v>
      </c>
      <c r="B237" s="66">
        <f>'Development Budget'!B73</f>
        <v>0</v>
      </c>
      <c r="E237" s="66">
        <f>'Development Budget'!E73</f>
        <v>0</v>
      </c>
      <c r="F237" s="790">
        <f t="shared" si="30"/>
        <v>0</v>
      </c>
      <c r="G237" s="66">
        <f t="shared" si="41"/>
        <v>0</v>
      </c>
      <c r="H237" s="66" t="str">
        <f>IF(B$3,'Development Budget'!F73,"")</f>
        <v/>
      </c>
      <c r="I237" s="197" t="str">
        <f t="shared" si="40"/>
        <v/>
      </c>
      <c r="J237" s="88"/>
      <c r="K237" t="str">
        <f>'Commercial Budget'!A72</f>
        <v>Cost Certification</v>
      </c>
      <c r="L237" s="66">
        <f>'Commercial Budget'!B72</f>
        <v>0</v>
      </c>
      <c r="M237" s="66">
        <f>'Commercial Budget'!C72</f>
        <v>0</v>
      </c>
      <c r="N237" s="66">
        <f t="shared" si="42"/>
        <v>0</v>
      </c>
      <c r="O237" s="520"/>
      <c r="P237" s="88"/>
    </row>
    <row r="238" spans="1:16">
      <c r="A238" t="str">
        <f>'Development Budget'!A74</f>
        <v>Forward Rate Lock</v>
      </c>
      <c r="B238" s="66">
        <f>'Development Budget'!B74</f>
        <v>0</v>
      </c>
      <c r="E238" s="66">
        <f>'Development Budget'!E74</f>
        <v>0</v>
      </c>
      <c r="F238" s="790">
        <f t="shared" si="30"/>
        <v>0</v>
      </c>
      <c r="G238" s="66">
        <f t="shared" si="41"/>
        <v>0</v>
      </c>
      <c r="H238" s="66" t="str">
        <f>IF(B$3,'Development Budget'!F74,"")</f>
        <v/>
      </c>
      <c r="I238" s="197" t="str">
        <f t="shared" si="40"/>
        <v/>
      </c>
      <c r="K238" t="str">
        <f>'Commercial Budget'!A73</f>
        <v>Other (Specify)</v>
      </c>
      <c r="L238" s="66">
        <f>'Commercial Budget'!B73</f>
        <v>0</v>
      </c>
      <c r="M238" s="66">
        <f>'Commercial Budget'!C73</f>
        <v>0</v>
      </c>
      <c r="N238" s="66">
        <f t="shared" si="42"/>
        <v>0</v>
      </c>
      <c r="O238" s="520"/>
      <c r="P238" s="88"/>
    </row>
    <row r="239" spans="1:16">
      <c r="A239" t="str">
        <f>'Development Budget'!A75</f>
        <v>Conversion Fee</v>
      </c>
      <c r="B239" s="66">
        <f>'Development Budget'!B75</f>
        <v>0</v>
      </c>
      <c r="E239" s="66">
        <f>'Development Budget'!E75</f>
        <v>0</v>
      </c>
      <c r="F239" s="790">
        <f t="shared" si="30"/>
        <v>0</v>
      </c>
      <c r="G239" s="66">
        <f t="shared" si="41"/>
        <v>0</v>
      </c>
      <c r="H239" s="66" t="str">
        <f>IF(B$3,'Development Budget'!F75,"")</f>
        <v/>
      </c>
      <c r="I239" s="197" t="str">
        <f t="shared" si="40"/>
        <v/>
      </c>
      <c r="K239" t="str">
        <f>'Commercial Budget'!A74</f>
        <v>Other (Specify)</v>
      </c>
      <c r="L239" s="66">
        <f>'Commercial Budget'!B74</f>
        <v>0</v>
      </c>
      <c r="M239" s="66">
        <f>'Commercial Budget'!C74</f>
        <v>0</v>
      </c>
      <c r="N239" s="66">
        <f t="shared" si="42"/>
        <v>0</v>
      </c>
      <c r="O239" s="520"/>
      <c r="P239" s="88"/>
    </row>
    <row r="240" spans="1:16">
      <c r="A240" t="str">
        <f>'Development Budget'!A76</f>
        <v>Other (Specify)</v>
      </c>
      <c r="B240" s="66">
        <f>'Development Budget'!B76</f>
        <v>0</v>
      </c>
      <c r="E240" s="66">
        <f>'Development Budget'!E76</f>
        <v>0</v>
      </c>
      <c r="F240" s="790">
        <f t="shared" si="30"/>
        <v>0</v>
      </c>
      <c r="G240" s="66">
        <f t="shared" si="41"/>
        <v>0</v>
      </c>
      <c r="H240" s="66" t="str">
        <f>IF(B$3,'Development Budget'!F76,"")</f>
        <v/>
      </c>
      <c r="I240" s="197" t="str">
        <f t="shared" si="40"/>
        <v/>
      </c>
      <c r="K240" t="str">
        <f>'Commercial Budget'!A75</f>
        <v>Other (Specify)</v>
      </c>
      <c r="L240" s="66">
        <f>'Commercial Budget'!B75</f>
        <v>0</v>
      </c>
      <c r="M240" s="66">
        <f>'Commercial Budget'!C75</f>
        <v>0</v>
      </c>
      <c r="N240" s="66">
        <f t="shared" si="42"/>
        <v>0</v>
      </c>
      <c r="O240" s="520"/>
      <c r="P240" s="88"/>
    </row>
    <row r="241" spans="1:16">
      <c r="A241" t="str">
        <f>'Development Budget'!A77</f>
        <v>Other (Specify)</v>
      </c>
      <c r="B241" s="66">
        <f>'Development Budget'!B77</f>
        <v>0</v>
      </c>
      <c r="E241" s="66">
        <f>'Development Budget'!E77</f>
        <v>0</v>
      </c>
      <c r="F241" s="790">
        <f t="shared" ref="F241:F286" si="43">IF(OR(E241=0,B241=0),0,G241/B241)</f>
        <v>0</v>
      </c>
      <c r="G241" s="66">
        <f t="shared" si="41"/>
        <v>0</v>
      </c>
      <c r="H241" s="66" t="str">
        <f>IF(B$3,'Development Budget'!F77,"")</f>
        <v/>
      </c>
      <c r="I241" s="197" t="str">
        <f t="shared" si="40"/>
        <v/>
      </c>
      <c r="L241" s="199">
        <f>'Commercial Budget'!B76</f>
        <v>0</v>
      </c>
      <c r="M241" s="199">
        <f>'Commercial Budget'!C76</f>
        <v>0</v>
      </c>
      <c r="N241" s="66">
        <f t="shared" si="42"/>
        <v>0</v>
      </c>
      <c r="O241" s="520"/>
      <c r="P241" s="88"/>
    </row>
    <row r="242" spans="1:16">
      <c r="A242" t="str">
        <f>'Development Budget'!A78</f>
        <v>Other (Specify)</v>
      </c>
      <c r="B242" s="66">
        <f>'Development Budget'!B78</f>
        <v>0</v>
      </c>
      <c r="E242" s="66">
        <f>'Development Budget'!E78</f>
        <v>0</v>
      </c>
      <c r="F242" s="790">
        <f t="shared" si="43"/>
        <v>0</v>
      </c>
      <c r="G242" s="66">
        <f t="shared" si="41"/>
        <v>0</v>
      </c>
      <c r="H242" s="66" t="str">
        <f>IF(B$3,'Development Budget'!F78,"")</f>
        <v/>
      </c>
      <c r="I242" s="197" t="str">
        <f t="shared" si="40"/>
        <v/>
      </c>
      <c r="K242" s="19" t="str">
        <f>'Commercial Budget'!A77</f>
        <v>Syndication Costs</v>
      </c>
      <c r="L242" s="19"/>
      <c r="M242" s="19"/>
      <c r="N242" s="19"/>
      <c r="O242" s="520"/>
      <c r="P242" s="88"/>
    </row>
    <row r="243" spans="1:16">
      <c r="A243" s="1"/>
      <c r="B243" s="199">
        <f>SUM(B229:B242)</f>
        <v>0</v>
      </c>
      <c r="C243" s="199"/>
      <c r="D243" s="199"/>
      <c r="E243" s="199">
        <f>SUM(E229:E242)</f>
        <v>0</v>
      </c>
      <c r="F243" s="790"/>
      <c r="G243" s="199">
        <f t="shared" si="41"/>
        <v>0</v>
      </c>
      <c r="H243" s="199" t="str">
        <f>IF(B$3,'Development Budget'!F79,"")</f>
        <v/>
      </c>
      <c r="I243" s="197" t="str">
        <f t="shared" si="40"/>
        <v/>
      </c>
      <c r="K243" t="str">
        <f>'Commercial Budget'!A78</f>
        <v>Organization Costs</v>
      </c>
      <c r="L243" s="66">
        <f>'Commercial Budget'!B78</f>
        <v>0</v>
      </c>
      <c r="M243" s="66">
        <f>'Commercial Budget'!C78</f>
        <v>0</v>
      </c>
      <c r="N243" s="66">
        <f t="shared" ref="N243:N249" si="44">IF($B$2,"",M243-L243)</f>
        <v>0</v>
      </c>
      <c r="O243" s="520"/>
      <c r="P243" s="88"/>
    </row>
    <row r="244" spans="1:16">
      <c r="A244" s="19" t="s">
        <v>474</v>
      </c>
      <c r="B244" s="19"/>
      <c r="C244" s="19"/>
      <c r="D244" s="19"/>
      <c r="E244" s="19"/>
      <c r="F244" s="19"/>
      <c r="G244" s="19"/>
      <c r="H244" s="19"/>
      <c r="I244" s="19" t="str">
        <f t="shared" si="40"/>
        <v/>
      </c>
      <c r="K244" t="str">
        <f>'Commercial Budget'!A79</f>
        <v>Bridge Loan</v>
      </c>
      <c r="L244" s="66">
        <f>'Commercial Budget'!B79</f>
        <v>0</v>
      </c>
      <c r="M244" s="66">
        <f>'Commercial Budget'!C79</f>
        <v>0</v>
      </c>
      <c r="N244" s="66">
        <f t="shared" si="44"/>
        <v>0</v>
      </c>
      <c r="O244" s="520"/>
      <c r="P244" s="88"/>
    </row>
    <row r="245" spans="1:16">
      <c r="A245" t="str">
        <f>'Development Budget'!A81</f>
        <v>Marketing/Leasing Costs</v>
      </c>
      <c r="B245" s="66">
        <f>'Development Budget'!B81</f>
        <v>0</v>
      </c>
      <c r="C245" s="66"/>
      <c r="D245" s="66"/>
      <c r="E245" s="66">
        <f>'Development Budget'!E81</f>
        <v>0</v>
      </c>
      <c r="F245" s="790">
        <f t="shared" si="43"/>
        <v>0</v>
      </c>
      <c r="G245" s="66">
        <f>B245-E245</f>
        <v>0</v>
      </c>
      <c r="H245" s="66" t="str">
        <f>IF(B$3,'Development Budget'!F81,"")</f>
        <v/>
      </c>
      <c r="I245" s="197" t="str">
        <f t="shared" si="40"/>
        <v/>
      </c>
      <c r="K245" t="str">
        <f>'Commercial Budget'!A80</f>
        <v>Tax Opinion</v>
      </c>
      <c r="L245" s="66">
        <f>'Commercial Budget'!B80</f>
        <v>0</v>
      </c>
      <c r="M245" s="66">
        <f>'Commercial Budget'!C80</f>
        <v>0</v>
      </c>
      <c r="N245" s="66">
        <f t="shared" si="44"/>
        <v>0</v>
      </c>
      <c r="O245" s="520"/>
      <c r="P245" s="88"/>
    </row>
    <row r="246" spans="1:16">
      <c r="A246" t="str">
        <f>'Development Budget'!A82</f>
        <v>Cost Estimating/Capital Needs Assessment</v>
      </c>
      <c r="B246" s="66">
        <f>'Development Budget'!B82</f>
        <v>0</v>
      </c>
      <c r="C246" s="66">
        <f>'Development Budget'!C82</f>
        <v>0</v>
      </c>
      <c r="D246" s="66">
        <f>'Development Budget'!D82</f>
        <v>0</v>
      </c>
      <c r="E246" s="66">
        <f>'Development Budget'!E82</f>
        <v>0</v>
      </c>
      <c r="F246" s="790">
        <f t="shared" si="43"/>
        <v>0</v>
      </c>
      <c r="G246" s="66">
        <f t="shared" ref="G246:G262" si="45">B246-E246</f>
        <v>0</v>
      </c>
      <c r="H246" s="66" t="str">
        <f>IF(B$3,'Development Budget'!F82,"")</f>
        <v/>
      </c>
      <c r="I246" s="197" t="str">
        <f t="shared" si="40"/>
        <v/>
      </c>
      <c r="K246" t="str">
        <f>'Commercial Budget'!A81</f>
        <v>Other (Specify)</v>
      </c>
      <c r="L246" s="66">
        <f>'Commercial Budget'!B81</f>
        <v>0</v>
      </c>
      <c r="M246" s="66">
        <f>'Commercial Budget'!C81</f>
        <v>0</v>
      </c>
      <c r="N246" s="66">
        <f t="shared" si="44"/>
        <v>0</v>
      </c>
      <c r="O246" s="520"/>
      <c r="P246" s="88"/>
    </row>
    <row r="247" spans="1:16">
      <c r="A247" t="str">
        <f>'Development Budget'!A83</f>
        <v>Geotechnical/Soils Study</v>
      </c>
      <c r="B247" s="66">
        <f>'Development Budget'!B83</f>
        <v>0</v>
      </c>
      <c r="C247" s="66">
        <f>'Development Budget'!C83</f>
        <v>0</v>
      </c>
      <c r="D247" s="66">
        <f>'Development Budget'!D83</f>
        <v>0</v>
      </c>
      <c r="E247" s="66">
        <f>'Development Budget'!E83</f>
        <v>0</v>
      </c>
      <c r="F247" s="790">
        <f t="shared" si="43"/>
        <v>0</v>
      </c>
      <c r="G247" s="66">
        <f t="shared" si="45"/>
        <v>0</v>
      </c>
      <c r="H247" s="66" t="str">
        <f>IF(B$3,'Development Budget'!F83,"")</f>
        <v/>
      </c>
      <c r="I247" s="197" t="str">
        <f t="shared" si="40"/>
        <v/>
      </c>
      <c r="K247" t="str">
        <f>'Commercial Budget'!A82</f>
        <v>Other (Specify)</v>
      </c>
      <c r="L247" s="66">
        <f>'Commercial Budget'!B82</f>
        <v>0</v>
      </c>
      <c r="M247" s="66">
        <f>'Commercial Budget'!C82</f>
        <v>0</v>
      </c>
      <c r="N247" s="66">
        <f t="shared" si="44"/>
        <v>0</v>
      </c>
      <c r="O247" s="520"/>
      <c r="P247" s="88"/>
    </row>
    <row r="248" spans="1:16">
      <c r="A248" t="str">
        <f>'Development Budget'!A84</f>
        <v>Appraisal</v>
      </c>
      <c r="B248" s="66">
        <f>'Development Budget'!B84</f>
        <v>0</v>
      </c>
      <c r="C248" s="66">
        <f>'Development Budget'!C84</f>
        <v>0</v>
      </c>
      <c r="D248" s="66">
        <f>'Development Budget'!D84</f>
        <v>0</v>
      </c>
      <c r="E248" s="66">
        <f>'Development Budget'!E84</f>
        <v>0</v>
      </c>
      <c r="F248" s="790">
        <f t="shared" si="43"/>
        <v>0</v>
      </c>
      <c r="G248" s="66">
        <f t="shared" si="45"/>
        <v>0</v>
      </c>
      <c r="H248" s="66" t="str">
        <f>IF(B$3,'Development Budget'!F84,"")</f>
        <v/>
      </c>
      <c r="I248" s="197" t="str">
        <f t="shared" si="40"/>
        <v/>
      </c>
      <c r="K248" t="str">
        <f>'Commercial Budget'!A83</f>
        <v>Other - Accounting</v>
      </c>
      <c r="L248" s="66">
        <f>'Commercial Budget'!B83</f>
        <v>0</v>
      </c>
      <c r="M248" s="66">
        <f>'Commercial Budget'!C83</f>
        <v>0</v>
      </c>
      <c r="N248" s="66">
        <f t="shared" si="44"/>
        <v>0</v>
      </c>
      <c r="O248" s="520"/>
      <c r="P248" s="88"/>
    </row>
    <row r="249" spans="1:16">
      <c r="A249" t="str">
        <f>'Development Budget'!A85</f>
        <v>Market Study</v>
      </c>
      <c r="B249" s="66">
        <f>'Development Budget'!B85</f>
        <v>0</v>
      </c>
      <c r="C249" s="66">
        <f>'Development Budget'!C85</f>
        <v>0</v>
      </c>
      <c r="D249" s="66">
        <f>'Development Budget'!D85</f>
        <v>0</v>
      </c>
      <c r="E249" s="66">
        <f>'Development Budget'!E85</f>
        <v>0</v>
      </c>
      <c r="F249" s="790">
        <f t="shared" si="43"/>
        <v>0</v>
      </c>
      <c r="G249" s="66">
        <f t="shared" si="45"/>
        <v>0</v>
      </c>
      <c r="H249" s="66" t="str">
        <f>IF(B$3,'Development Budget'!F85,"")</f>
        <v/>
      </c>
      <c r="I249" s="197" t="str">
        <f t="shared" si="40"/>
        <v/>
      </c>
      <c r="L249" s="199">
        <f>'Commercial Budget'!B84</f>
        <v>0</v>
      </c>
      <c r="M249" s="199">
        <f>'Commercial Budget'!C84</f>
        <v>0</v>
      </c>
      <c r="N249" s="66">
        <f t="shared" si="44"/>
        <v>0</v>
      </c>
      <c r="O249" s="520"/>
      <c r="P249" s="88"/>
    </row>
    <row r="250" spans="1:16">
      <c r="A250" t="str">
        <f>'Development Budget'!A86</f>
        <v>Environmental Study (Phase 1, Phase 2, Lead, Asbestos, etc.)</v>
      </c>
      <c r="B250" s="66">
        <f>'Development Budget'!B86</f>
        <v>0</v>
      </c>
      <c r="C250" s="66">
        <f>'Development Budget'!C86</f>
        <v>0</v>
      </c>
      <c r="D250" s="66">
        <f>'Development Budget'!D86</f>
        <v>0</v>
      </c>
      <c r="E250" s="66">
        <f>'Development Budget'!E86</f>
        <v>0</v>
      </c>
      <c r="F250" s="790">
        <f t="shared" si="43"/>
        <v>0</v>
      </c>
      <c r="G250" s="66">
        <f t="shared" si="45"/>
        <v>0</v>
      </c>
      <c r="H250" s="66" t="str">
        <f>IF(B$3,'Development Budget'!F86,"")</f>
        <v/>
      </c>
      <c r="I250" s="197" t="str">
        <f t="shared" si="40"/>
        <v/>
      </c>
      <c r="K250" s="19" t="str">
        <f>'Commercial Budget'!A85</f>
        <v>Developer Fees</v>
      </c>
      <c r="L250" s="19"/>
      <c r="M250" s="19"/>
      <c r="N250" s="19"/>
      <c r="O250" s="520"/>
      <c r="P250" s="88"/>
    </row>
    <row r="251" spans="1:16">
      <c r="A251" t="str">
        <f>'Development Budget'!A87</f>
        <v>Other Studies (traffic, wetlands, etc.)</v>
      </c>
      <c r="B251" s="66">
        <f>'Development Budget'!B87</f>
        <v>0</v>
      </c>
      <c r="C251" s="66">
        <f>'Development Budget'!C87</f>
        <v>0</v>
      </c>
      <c r="D251" s="66">
        <f>'Development Budget'!D87</f>
        <v>0</v>
      </c>
      <c r="E251" s="66">
        <f>'Development Budget'!E87</f>
        <v>0</v>
      </c>
      <c r="F251" s="790">
        <f t="shared" si="43"/>
        <v>0</v>
      </c>
      <c r="G251" s="66">
        <f t="shared" si="45"/>
        <v>0</v>
      </c>
      <c r="H251" s="66" t="str">
        <f>IF(B$3,'Development Budget'!F87,"")</f>
        <v/>
      </c>
      <c r="I251" s="197" t="str">
        <f t="shared" si="40"/>
        <v/>
      </c>
      <c r="K251" t="str">
        <f>'Commercial Budget'!A86</f>
        <v>Developer Fee</v>
      </c>
      <c r="L251" s="66">
        <f>'Commercial Budget'!B86</f>
        <v>0</v>
      </c>
      <c r="M251" s="66">
        <f>'Commercial Budget'!C86</f>
        <v>0</v>
      </c>
      <c r="N251" s="66">
        <f>IF($B$2,"",M251-L251)</f>
        <v>0</v>
      </c>
      <c r="O251" s="520"/>
      <c r="P251" s="88"/>
    </row>
    <row r="252" spans="1:16">
      <c r="A252" t="str">
        <f>'Development Budget'!A88</f>
        <v>Tax Credit Fees</v>
      </c>
      <c r="B252" s="66">
        <f>'Development Budget'!B88</f>
        <v>0</v>
      </c>
      <c r="C252" s="66"/>
      <c r="D252" s="66"/>
      <c r="E252" s="66">
        <f>'Development Budget'!E88</f>
        <v>0</v>
      </c>
      <c r="F252" s="790">
        <f t="shared" si="43"/>
        <v>0</v>
      </c>
      <c r="G252" s="66">
        <f t="shared" si="45"/>
        <v>0</v>
      </c>
      <c r="H252" s="66" t="str">
        <f>IF(B$3,'Development Budget'!F88,"")</f>
        <v/>
      </c>
      <c r="I252" s="197" t="str">
        <f t="shared" si="40"/>
        <v/>
      </c>
      <c r="K252" t="str">
        <f>'Commercial Budget'!A87</f>
        <v>Developer Overhead</v>
      </c>
      <c r="L252" s="66">
        <f>'Commercial Budget'!B87</f>
        <v>0</v>
      </c>
      <c r="M252" s="66">
        <f>'Commercial Budget'!C87</f>
        <v>0</v>
      </c>
      <c r="N252" s="66">
        <f>IF($B$2,"",M252-L252)</f>
        <v>0</v>
      </c>
      <c r="O252" s="520"/>
      <c r="P252" s="88"/>
    </row>
    <row r="253" spans="1:16">
      <c r="A253" t="str">
        <f>'Development Budget'!A89</f>
        <v>Compliance Fees</v>
      </c>
      <c r="B253" s="66">
        <f>'Development Budget'!B89</f>
        <v>0</v>
      </c>
      <c r="C253" s="66"/>
      <c r="D253" s="66"/>
      <c r="E253" s="66">
        <f>'Development Budget'!E89</f>
        <v>0</v>
      </c>
      <c r="F253" s="790">
        <f t="shared" si="43"/>
        <v>0</v>
      </c>
      <c r="G253" s="66">
        <f t="shared" si="45"/>
        <v>0</v>
      </c>
      <c r="H253" s="66" t="str">
        <f>IF(B$3,'Development Budget'!F89,"")</f>
        <v/>
      </c>
      <c r="I253" s="197" t="str">
        <f t="shared" si="40"/>
        <v/>
      </c>
      <c r="K253" t="str">
        <f>'Commercial Budget'!A88</f>
        <v>Developer Profit</v>
      </c>
      <c r="L253" s="66">
        <f>'Commercial Budget'!B88</f>
        <v>0</v>
      </c>
      <c r="M253" s="66">
        <f>'Commercial Budget'!C88</f>
        <v>0</v>
      </c>
      <c r="N253" s="66">
        <f>IF($B$2,"",M253-L253)</f>
        <v>0</v>
      </c>
      <c r="O253" s="520"/>
      <c r="P253" s="88"/>
    </row>
    <row r="254" spans="1:16">
      <c r="A254" t="str">
        <f>'Development Budget'!A90</f>
        <v>Cost Certification</v>
      </c>
      <c r="B254" s="66">
        <f>'Development Budget'!B90</f>
        <v>0</v>
      </c>
      <c r="C254" s="66">
        <f>'Development Budget'!C90</f>
        <v>0</v>
      </c>
      <c r="D254" s="66">
        <f>'Development Budget'!D90</f>
        <v>0</v>
      </c>
      <c r="E254" s="66">
        <f>'Development Budget'!E90</f>
        <v>0</v>
      </c>
      <c r="F254" s="790">
        <f t="shared" si="43"/>
        <v>0</v>
      </c>
      <c r="G254" s="66">
        <f t="shared" si="45"/>
        <v>0</v>
      </c>
      <c r="H254" s="66" t="str">
        <f>IF(B$3,'Development Budget'!F90,"")</f>
        <v/>
      </c>
      <c r="I254" s="197" t="str">
        <f t="shared" si="40"/>
        <v/>
      </c>
      <c r="K254" t="str">
        <f>'Commercial Budget'!A89</f>
        <v>Other (Specify)</v>
      </c>
      <c r="L254" s="66">
        <f>'Commercial Budget'!B89</f>
        <v>0</v>
      </c>
      <c r="M254" s="66">
        <f>'Commercial Budget'!C89</f>
        <v>0</v>
      </c>
      <c r="N254" s="66">
        <f>IF($B$2,"",M254-L254)</f>
        <v>0</v>
      </c>
      <c r="O254" s="520"/>
      <c r="P254" s="88"/>
    </row>
    <row r="255" spans="1:16">
      <c r="A255" t="str">
        <f>'Development Budget'!A91</f>
        <v>Green Certification Fees (LEED Certification, etc.)</v>
      </c>
      <c r="B255" s="66">
        <f>'Development Budget'!B91</f>
        <v>0</v>
      </c>
      <c r="C255" s="66">
        <f>'Development Budget'!C91</f>
        <v>0</v>
      </c>
      <c r="D255" s="66">
        <f>'Development Budget'!D91</f>
        <v>0</v>
      </c>
      <c r="E255" s="66">
        <f>'Development Budget'!E91</f>
        <v>0</v>
      </c>
      <c r="F255" s="790">
        <f t="shared" si="43"/>
        <v>0</v>
      </c>
      <c r="G255" s="66">
        <f t="shared" si="45"/>
        <v>0</v>
      </c>
      <c r="H255" s="66" t="str">
        <f>IF(B$3,'Development Budget'!F91,"")</f>
        <v/>
      </c>
      <c r="I255" s="197" t="str">
        <f t="shared" si="40"/>
        <v/>
      </c>
      <c r="L255" s="199">
        <f>'Commercial Budget'!B90</f>
        <v>0</v>
      </c>
      <c r="M255" s="199">
        <f>'Commercial Budget'!C90</f>
        <v>0</v>
      </c>
      <c r="N255" s="66">
        <f>IF($B$2,"",M255-L255)</f>
        <v>0</v>
      </c>
      <c r="O255" s="520"/>
      <c r="P255" s="88"/>
    </row>
    <row r="256" spans="1:16">
      <c r="A256" t="str">
        <f>'Development Budget'!A92</f>
        <v>Relocation - Temporary</v>
      </c>
      <c r="B256" s="66">
        <f>'Development Budget'!B92</f>
        <v>0</v>
      </c>
      <c r="C256" s="66">
        <f>'Development Budget'!C92</f>
        <v>0</v>
      </c>
      <c r="D256" s="66">
        <f>'Development Budget'!D92</f>
        <v>0</v>
      </c>
      <c r="E256" s="66">
        <f>'Development Budget'!E92</f>
        <v>0</v>
      </c>
      <c r="F256" s="790">
        <f t="shared" si="43"/>
        <v>0</v>
      </c>
      <c r="G256" s="66">
        <f t="shared" si="45"/>
        <v>0</v>
      </c>
      <c r="H256" s="66" t="str">
        <f>IF(B$3,'Development Budget'!F92,"")</f>
        <v/>
      </c>
      <c r="I256" s="197" t="str">
        <f t="shared" si="40"/>
        <v/>
      </c>
      <c r="K256" s="19" t="str">
        <f>'Commercial Budget'!A91</f>
        <v>Project Reserves</v>
      </c>
      <c r="L256" s="19"/>
      <c r="M256" s="19"/>
      <c r="N256" s="19"/>
      <c r="O256" s="520"/>
      <c r="P256" s="88"/>
    </row>
    <row r="257" spans="1:16">
      <c r="A257" t="str">
        <f>'Development Budget'!A93</f>
        <v>Relocation - Permanent</v>
      </c>
      <c r="B257" s="66">
        <f>'Development Budget'!B93</f>
        <v>0</v>
      </c>
      <c r="C257" s="66">
        <f>'Development Budget'!C93</f>
        <v>0</v>
      </c>
      <c r="D257" s="66">
        <f>'Development Budget'!D93</f>
        <v>0</v>
      </c>
      <c r="E257" s="66">
        <f>'Development Budget'!E93</f>
        <v>0</v>
      </c>
      <c r="F257" s="790">
        <f t="shared" si="43"/>
        <v>0</v>
      </c>
      <c r="G257" s="66">
        <f t="shared" si="45"/>
        <v>0</v>
      </c>
      <c r="H257" s="66" t="str">
        <f>IF(B$3,'Development Budget'!F93,"")</f>
        <v/>
      </c>
      <c r="I257" s="197" t="str">
        <f t="shared" si="40"/>
        <v/>
      </c>
      <c r="K257" t="str">
        <f>'Commercial Budget'!A92</f>
        <v>Rent-up Reserves</v>
      </c>
      <c r="L257" s="66">
        <f>'Commercial Budget'!B92</f>
        <v>0</v>
      </c>
      <c r="M257" s="66">
        <f>'Commercial Budget'!C92</f>
        <v>0</v>
      </c>
      <c r="N257" s="66">
        <f t="shared" ref="N257:N263" si="46">IF($B$2,"",M257-L257)</f>
        <v>0</v>
      </c>
      <c r="O257" s="520"/>
      <c r="P257" s="88"/>
    </row>
    <row r="258" spans="1:16">
      <c r="A258" t="str">
        <f>'Development Budget'!A94</f>
        <v>Soft Cost Contingency</v>
      </c>
      <c r="B258" s="66">
        <f>'Development Budget'!B94</f>
        <v>0</v>
      </c>
      <c r="C258" s="66">
        <f>'Development Budget'!C94</f>
        <v>0</v>
      </c>
      <c r="D258" s="66">
        <f>'Development Budget'!D94</f>
        <v>0</v>
      </c>
      <c r="E258" s="66">
        <f>'Development Budget'!E94</f>
        <v>0</v>
      </c>
      <c r="F258" s="790">
        <f t="shared" si="43"/>
        <v>0</v>
      </c>
      <c r="G258" s="66">
        <f t="shared" si="45"/>
        <v>0</v>
      </c>
      <c r="H258" s="66" t="str">
        <f>IF(B$3,'Development Budget'!F94,"")</f>
        <v/>
      </c>
      <c r="I258" s="197" t="str">
        <f t="shared" ref="I258:I274" si="47">IF(B$3,H258/$B$288,"")</f>
        <v/>
      </c>
      <c r="K258" t="str">
        <f>'Commercial Budget'!A93</f>
        <v>Operating Reserves</v>
      </c>
      <c r="L258" s="66">
        <f>'Commercial Budget'!B93</f>
        <v>0</v>
      </c>
      <c r="M258" s="66">
        <f>'Commercial Budget'!C93</f>
        <v>0</v>
      </c>
      <c r="N258" s="66">
        <f t="shared" si="46"/>
        <v>0</v>
      </c>
      <c r="O258" s="520"/>
      <c r="P258" s="88"/>
    </row>
    <row r="259" spans="1:16">
      <c r="A259" t="str">
        <f>'Development Budget'!A95</f>
        <v>Other (Specify)</v>
      </c>
      <c r="B259" s="66">
        <f>'Development Budget'!B95</f>
        <v>0</v>
      </c>
      <c r="C259" s="66">
        <f>'Development Budget'!C95</f>
        <v>0</v>
      </c>
      <c r="D259" s="66">
        <f>'Development Budget'!D95</f>
        <v>0</v>
      </c>
      <c r="E259" s="66">
        <f>'Development Budget'!E95</f>
        <v>0</v>
      </c>
      <c r="F259" s="790">
        <f t="shared" si="43"/>
        <v>0</v>
      </c>
      <c r="G259" s="66">
        <f t="shared" si="45"/>
        <v>0</v>
      </c>
      <c r="H259" s="66" t="str">
        <f>IF(B$3,'Development Budget'!F95,"")</f>
        <v/>
      </c>
      <c r="I259" s="197" t="str">
        <f t="shared" si="47"/>
        <v/>
      </c>
      <c r="K259" t="str">
        <f>'Commercial Budget'!A94</f>
        <v>Replacement Reserves</v>
      </c>
      <c r="L259" s="66">
        <f>'Commercial Budget'!B94</f>
        <v>0</v>
      </c>
      <c r="M259" s="66">
        <f>'Commercial Budget'!C94</f>
        <v>0</v>
      </c>
      <c r="N259" s="66">
        <f t="shared" si="46"/>
        <v>0</v>
      </c>
      <c r="O259" s="520"/>
      <c r="P259" s="88"/>
    </row>
    <row r="260" spans="1:16">
      <c r="A260" t="str">
        <f>'Development Budget'!A96</f>
        <v>Other (Specify)</v>
      </c>
      <c r="B260" s="66">
        <f>'Development Budget'!B96</f>
        <v>0</v>
      </c>
      <c r="C260" s="66">
        <f>'Development Budget'!C96</f>
        <v>0</v>
      </c>
      <c r="D260" s="66">
        <f>'Development Budget'!D96</f>
        <v>0</v>
      </c>
      <c r="E260" s="66">
        <f>'Development Budget'!E96</f>
        <v>0</v>
      </c>
      <c r="F260" s="790">
        <f t="shared" si="43"/>
        <v>0</v>
      </c>
      <c r="G260" s="66">
        <f t="shared" si="45"/>
        <v>0</v>
      </c>
      <c r="H260" s="66" t="str">
        <f>IF(B$3,'Development Budget'!F96,"")</f>
        <v/>
      </c>
      <c r="I260" s="197" t="str">
        <f t="shared" si="47"/>
        <v/>
      </c>
      <c r="K260" t="str">
        <f>'Commercial Budget'!A95</f>
        <v>Escrows</v>
      </c>
      <c r="L260" s="66">
        <f>'Commercial Budget'!B95</f>
        <v>0</v>
      </c>
      <c r="M260" s="66">
        <f>'Commercial Budget'!C95</f>
        <v>0</v>
      </c>
      <c r="N260" s="66">
        <f t="shared" si="46"/>
        <v>0</v>
      </c>
      <c r="O260" s="520"/>
      <c r="P260" s="88"/>
    </row>
    <row r="261" spans="1:16">
      <c r="A261" t="str">
        <f>'Development Budget'!A97</f>
        <v>Other (Specify)</v>
      </c>
      <c r="B261" s="66">
        <f>'Development Budget'!B97</f>
        <v>0</v>
      </c>
      <c r="C261" s="66">
        <f>'Development Budget'!C97</f>
        <v>0</v>
      </c>
      <c r="D261" s="66">
        <f>'Development Budget'!D97</f>
        <v>0</v>
      </c>
      <c r="E261" s="66">
        <f>'Development Budget'!E97</f>
        <v>0</v>
      </c>
      <c r="F261" s="790">
        <f t="shared" si="43"/>
        <v>0</v>
      </c>
      <c r="G261" s="66">
        <f t="shared" si="45"/>
        <v>0</v>
      </c>
      <c r="H261" s="66" t="str">
        <f>IF(B$3,'Development Budget'!F97,"")</f>
        <v/>
      </c>
      <c r="I261" s="197" t="str">
        <f t="shared" si="47"/>
        <v/>
      </c>
      <c r="K261" t="str">
        <f>'Commercial Budget'!A96</f>
        <v>Other (Specify)</v>
      </c>
      <c r="L261" s="66">
        <f>'Commercial Budget'!B96</f>
        <v>0</v>
      </c>
      <c r="M261" s="66">
        <f>'Commercial Budget'!C96</f>
        <v>0</v>
      </c>
      <c r="N261" s="66">
        <f t="shared" si="46"/>
        <v>0</v>
      </c>
      <c r="O261" s="520"/>
      <c r="P261" s="88"/>
    </row>
    <row r="262" spans="1:16" ht="15.75" thickBot="1">
      <c r="A262" s="1"/>
      <c r="B262" s="199">
        <f>SUM(B245:B261)</f>
        <v>0</v>
      </c>
      <c r="C262" s="199">
        <f>SUM(C245:C261)</f>
        <v>0</v>
      </c>
      <c r="D262" s="199">
        <f>SUM(D245:D261)</f>
        <v>0</v>
      </c>
      <c r="E262" s="199">
        <f>SUM(E245:E261)</f>
        <v>0</v>
      </c>
      <c r="F262" s="790"/>
      <c r="G262" s="199">
        <f t="shared" si="45"/>
        <v>0</v>
      </c>
      <c r="H262" s="199" t="str">
        <f>IF(B$3,'Development Budget'!F98,"")</f>
        <v/>
      </c>
      <c r="I262" s="197" t="str">
        <f t="shared" si="47"/>
        <v/>
      </c>
      <c r="L262" s="199">
        <f>'Commercial Budget'!B97</f>
        <v>0</v>
      </c>
      <c r="M262" s="199">
        <f>'Commercial Budget'!C97</f>
        <v>0</v>
      </c>
      <c r="N262" s="66">
        <f t="shared" si="46"/>
        <v>0</v>
      </c>
      <c r="O262" s="520"/>
      <c r="P262" s="88"/>
    </row>
    <row r="263" spans="1:16" ht="15.75" thickTop="1">
      <c r="A263" s="19" t="s">
        <v>490</v>
      </c>
      <c r="B263" s="19"/>
      <c r="C263" s="19"/>
      <c r="D263" s="19"/>
      <c r="E263" s="19"/>
      <c r="F263" s="19"/>
      <c r="G263" s="19"/>
      <c r="H263" s="19"/>
      <c r="I263" s="19" t="str">
        <f t="shared" si="47"/>
        <v/>
      </c>
      <c r="K263" s="68" t="str">
        <f>'Commercial Budget'!A98</f>
        <v>Total</v>
      </c>
      <c r="L263" s="198">
        <f>'Commercial Budget'!B98</f>
        <v>0</v>
      </c>
      <c r="M263" s="198">
        <f>'Commercial Budget'!C98</f>
        <v>0</v>
      </c>
      <c r="N263" s="66">
        <f t="shared" si="46"/>
        <v>0</v>
      </c>
      <c r="O263" s="520"/>
      <c r="P263" s="88"/>
    </row>
    <row r="264" spans="1:16">
      <c r="A264" t="str">
        <f>'Development Budget'!A100</f>
        <v>Organization Costs</v>
      </c>
      <c r="B264" s="66">
        <f>'Development Budget'!B100</f>
        <v>0</v>
      </c>
      <c r="C264" s="66"/>
      <c r="D264" s="66"/>
      <c r="E264" s="66">
        <f>'Development Budget'!E100</f>
        <v>0</v>
      </c>
      <c r="F264" s="790">
        <f t="shared" si="43"/>
        <v>0</v>
      </c>
      <c r="G264" s="66">
        <f>B264-E264</f>
        <v>0</v>
      </c>
      <c r="H264" s="66" t="str">
        <f>IF(B$3,'Development Budget'!F100,"")</f>
        <v/>
      </c>
      <c r="I264" s="197" t="str">
        <f t="shared" si="47"/>
        <v/>
      </c>
      <c r="O264" s="520"/>
      <c r="P264" s="88"/>
    </row>
    <row r="265" spans="1:16">
      <c r="A265" t="str">
        <f>'Development Budget'!A101</f>
        <v>Tax Opinion</v>
      </c>
      <c r="B265" s="66">
        <f>'Development Budget'!B101</f>
        <v>0</v>
      </c>
      <c r="C265" s="66"/>
      <c r="D265" s="66"/>
      <c r="E265" s="66">
        <f>'Development Budget'!E101</f>
        <v>0</v>
      </c>
      <c r="F265" s="790">
        <f t="shared" si="43"/>
        <v>0</v>
      </c>
      <c r="G265" s="66">
        <f t="shared" ref="G265:G270" si="48">B265-E265</f>
        <v>0</v>
      </c>
      <c r="H265" s="66" t="str">
        <f>IF(B$3,'Development Budget'!F101,"")</f>
        <v/>
      </c>
      <c r="I265" s="197" t="str">
        <f t="shared" si="47"/>
        <v/>
      </c>
      <c r="O265" s="520"/>
      <c r="P265" s="88"/>
    </row>
    <row r="266" spans="1:16">
      <c r="A266" t="str">
        <f>'Development Budget'!A102</f>
        <v>Syndication Legal Fees</v>
      </c>
      <c r="B266" s="66">
        <f>'Development Budget'!B102</f>
        <v>0</v>
      </c>
      <c r="C266" s="66"/>
      <c r="D266" s="66"/>
      <c r="E266" s="66">
        <f>'Development Budget'!E102</f>
        <v>0</v>
      </c>
      <c r="F266" s="790">
        <f t="shared" si="43"/>
        <v>0</v>
      </c>
      <c r="G266" s="66">
        <f t="shared" si="48"/>
        <v>0</v>
      </c>
      <c r="H266" s="66" t="str">
        <f>IF(B$3,'Development Budget'!F102,"")</f>
        <v/>
      </c>
      <c r="I266" s="197" t="str">
        <f t="shared" si="47"/>
        <v/>
      </c>
      <c r="O266" s="520"/>
      <c r="P266" s="88"/>
    </row>
    <row r="267" spans="1:16">
      <c r="A267" t="str">
        <f>'Development Budget'!A103</f>
        <v>Other (Specify)</v>
      </c>
      <c r="B267" s="66">
        <f>'Development Budget'!B103</f>
        <v>0</v>
      </c>
      <c r="C267" s="66"/>
      <c r="D267" s="66"/>
      <c r="E267" s="66">
        <f>'Development Budget'!E103</f>
        <v>0</v>
      </c>
      <c r="F267" s="790">
        <f t="shared" si="43"/>
        <v>0</v>
      </c>
      <c r="G267" s="66">
        <f t="shared" si="48"/>
        <v>0</v>
      </c>
      <c r="H267" s="66" t="str">
        <f>IF(B$3,'Development Budget'!F103,"")</f>
        <v/>
      </c>
      <c r="I267" s="197" t="str">
        <f t="shared" si="47"/>
        <v/>
      </c>
      <c r="O267" s="520"/>
      <c r="P267" s="88"/>
    </row>
    <row r="268" spans="1:16">
      <c r="A268" t="str">
        <f>'Development Budget'!A104</f>
        <v>Other (Specify)</v>
      </c>
      <c r="B268" s="66">
        <f>'Development Budget'!B104</f>
        <v>0</v>
      </c>
      <c r="C268" s="66"/>
      <c r="D268" s="66"/>
      <c r="E268" s="66">
        <f>'Development Budget'!E104</f>
        <v>0</v>
      </c>
      <c r="F268" s="790">
        <f t="shared" si="43"/>
        <v>0</v>
      </c>
      <c r="G268" s="66">
        <f t="shared" si="48"/>
        <v>0</v>
      </c>
      <c r="H268" s="66" t="str">
        <f>IF(B$3,'Development Budget'!F104,"")</f>
        <v/>
      </c>
      <c r="I268" s="197" t="str">
        <f t="shared" si="47"/>
        <v/>
      </c>
      <c r="O268" s="520"/>
      <c r="P268" s="88"/>
    </row>
    <row r="269" spans="1:16">
      <c r="A269" t="str">
        <f>'Development Budget'!A105</f>
        <v>Other (Specify)</v>
      </c>
      <c r="B269" s="66">
        <f>'Development Budget'!B105</f>
        <v>0</v>
      </c>
      <c r="C269" s="66"/>
      <c r="D269" s="66"/>
      <c r="E269" s="66">
        <f>'Development Budget'!E105</f>
        <v>0</v>
      </c>
      <c r="F269" s="790">
        <f t="shared" si="43"/>
        <v>0</v>
      </c>
      <c r="G269" s="66">
        <f t="shared" si="48"/>
        <v>0</v>
      </c>
      <c r="H269" s="66" t="str">
        <f>IF(B$3,'Development Budget'!F105,"")</f>
        <v/>
      </c>
      <c r="I269" s="197" t="str">
        <f t="shared" si="47"/>
        <v/>
      </c>
      <c r="O269" s="520"/>
      <c r="P269" s="88"/>
    </row>
    <row r="270" spans="1:16">
      <c r="A270" s="1"/>
      <c r="B270" s="199">
        <f>SUM(B264:B269)</f>
        <v>0</v>
      </c>
      <c r="C270" s="199"/>
      <c r="D270" s="199"/>
      <c r="E270" s="199">
        <f>SUM(E264:E269)</f>
        <v>0</v>
      </c>
      <c r="F270" s="790"/>
      <c r="G270" s="199">
        <f t="shared" si="48"/>
        <v>0</v>
      </c>
      <c r="H270" s="199" t="str">
        <f>IF(B$3,'Development Budget'!F106,"")</f>
        <v/>
      </c>
      <c r="I270" s="197" t="str">
        <f t="shared" si="47"/>
        <v/>
      </c>
      <c r="O270" s="520"/>
      <c r="P270" s="88"/>
    </row>
    <row r="271" spans="1:16">
      <c r="A271" s="19" t="s">
        <v>494</v>
      </c>
      <c r="B271" s="19"/>
      <c r="C271" s="19"/>
      <c r="D271" s="19"/>
      <c r="E271" s="19"/>
      <c r="F271" s="19"/>
      <c r="G271" s="19"/>
      <c r="H271" s="19"/>
      <c r="I271" s="19" t="str">
        <f t="shared" si="47"/>
        <v/>
      </c>
      <c r="O271" s="520"/>
      <c r="P271" s="88"/>
    </row>
    <row r="272" spans="1:16">
      <c r="A272" t="str">
        <f>'Development Budget'!A108</f>
        <v>Developer Fee</v>
      </c>
      <c r="B272" s="66">
        <f>'Development Budget'!B108</f>
        <v>0</v>
      </c>
      <c r="C272" s="66">
        <f>'Development Budget'!C108</f>
        <v>0</v>
      </c>
      <c r="D272" s="66">
        <f>'Development Budget'!D108</f>
        <v>0</v>
      </c>
      <c r="E272" s="66">
        <f>'Development Budget'!E108</f>
        <v>0</v>
      </c>
      <c r="F272" s="790">
        <f t="shared" si="43"/>
        <v>0</v>
      </c>
      <c r="G272" s="66">
        <f>B272-E272</f>
        <v>0</v>
      </c>
      <c r="H272" s="66" t="str">
        <f>IF(B$3,'Development Budget'!F108,"")</f>
        <v/>
      </c>
      <c r="I272" s="197" t="str">
        <f t="shared" si="47"/>
        <v/>
      </c>
      <c r="O272" s="520"/>
      <c r="P272" s="88"/>
    </row>
    <row r="273" spans="1:16">
      <c r="A273" t="str">
        <f>'Development Budget'!A109</f>
        <v>Developer Overhead</v>
      </c>
      <c r="B273" s="66">
        <f>'Development Budget'!B109</f>
        <v>0</v>
      </c>
      <c r="C273" s="66">
        <f>'Development Budget'!C109</f>
        <v>0</v>
      </c>
      <c r="D273" s="66">
        <f>'Development Budget'!D109</f>
        <v>0</v>
      </c>
      <c r="E273" s="66">
        <f>'Development Budget'!E109</f>
        <v>0</v>
      </c>
      <c r="F273" s="790">
        <f t="shared" si="43"/>
        <v>0</v>
      </c>
      <c r="G273" s="66">
        <f t="shared" ref="G273:G279" si="49">B273-E273</f>
        <v>0</v>
      </c>
      <c r="H273" s="66" t="str">
        <f>IF(B$3,'Development Budget'!F109,"")</f>
        <v/>
      </c>
      <c r="I273" s="197" t="str">
        <f t="shared" si="47"/>
        <v/>
      </c>
      <c r="O273" s="520"/>
      <c r="P273" s="88"/>
    </row>
    <row r="274" spans="1:16">
      <c r="A274" t="str">
        <f>'Development Budget'!A110</f>
        <v>Developer Profit</v>
      </c>
      <c r="B274" s="66">
        <f>'Development Budget'!B110</f>
        <v>0</v>
      </c>
      <c r="C274" s="66">
        <f>'Development Budget'!C110</f>
        <v>0</v>
      </c>
      <c r="D274" s="66">
        <f>'Development Budget'!D110</f>
        <v>0</v>
      </c>
      <c r="E274" s="66">
        <f>'Development Budget'!E110</f>
        <v>0</v>
      </c>
      <c r="F274" s="790">
        <f t="shared" si="43"/>
        <v>0</v>
      </c>
      <c r="G274" s="66">
        <f t="shared" si="49"/>
        <v>0</v>
      </c>
      <c r="H274" s="66" t="str">
        <f>IF(B$3,'Development Budget'!F110,"")</f>
        <v/>
      </c>
      <c r="I274" s="197" t="str">
        <f t="shared" si="47"/>
        <v/>
      </c>
      <c r="O274" s="520"/>
      <c r="P274" s="88"/>
    </row>
    <row r="275" spans="1:16">
      <c r="A275" t="s">
        <v>498</v>
      </c>
      <c r="B275" s="66">
        <f>'Development Budget'!B111</f>
        <v>0</v>
      </c>
      <c r="C275" s="66">
        <f>'Development Budget'!C111</f>
        <v>0</v>
      </c>
      <c r="D275" s="66">
        <f>'Development Budget'!D111</f>
        <v>0</v>
      </c>
      <c r="E275" s="66">
        <f>'Development Budget'!E111</f>
        <v>0</v>
      </c>
      <c r="F275" s="790">
        <f t="shared" si="43"/>
        <v>0</v>
      </c>
      <c r="G275" s="66">
        <f t="shared" si="49"/>
        <v>0</v>
      </c>
      <c r="H275" s="66" t="str">
        <f>IF(B$3,'Development Budget'!F111,"")</f>
        <v/>
      </c>
      <c r="I275" s="197"/>
      <c r="O275" s="520"/>
      <c r="P275" s="88"/>
    </row>
    <row r="276" spans="1:16">
      <c r="A276" t="str">
        <f>'Development Budget'!A112</f>
        <v>Third Party Development Management/Owner's Rep</v>
      </c>
      <c r="B276" s="66">
        <f>'Development Budget'!B112</f>
        <v>0</v>
      </c>
      <c r="C276" s="66">
        <f>'Development Budget'!C112</f>
        <v>0</v>
      </c>
      <c r="D276" s="66">
        <f>'Development Budget'!D112</f>
        <v>0</v>
      </c>
      <c r="E276" s="66">
        <f>'Development Budget'!E112</f>
        <v>0</v>
      </c>
      <c r="F276" s="790">
        <f t="shared" si="43"/>
        <v>0</v>
      </c>
      <c r="G276" s="66">
        <f t="shared" si="49"/>
        <v>0</v>
      </c>
      <c r="H276" s="66" t="str">
        <f>IF(B$3,'Development Budget'!F112,"")</f>
        <v/>
      </c>
      <c r="I276" s="197" t="str">
        <f t="shared" ref="I276:I283" si="50">IF(B$3,H276/$B$288,"")</f>
        <v/>
      </c>
      <c r="K276" s="66"/>
      <c r="O276" s="520"/>
      <c r="P276" s="88"/>
    </row>
    <row r="277" spans="1:16">
      <c r="A277" t="str">
        <f>'Development Budget'!A113</f>
        <v>Financial/Tax Credit Consultant, Application Preparation, etc.</v>
      </c>
      <c r="B277" s="66">
        <f>'Development Budget'!B113</f>
        <v>0</v>
      </c>
      <c r="C277" s="66">
        <f>'Development Budget'!C113</f>
        <v>0</v>
      </c>
      <c r="D277" s="66">
        <f>'Development Budget'!D113</f>
        <v>0</v>
      </c>
      <c r="E277" s="66">
        <f>'Development Budget'!E113</f>
        <v>0</v>
      </c>
      <c r="F277" s="790">
        <f t="shared" si="43"/>
        <v>0</v>
      </c>
      <c r="G277" s="66">
        <f t="shared" si="49"/>
        <v>0</v>
      </c>
      <c r="H277" s="66" t="str">
        <f>IF(B$3,'Development Budget'!F113,"")</f>
        <v/>
      </c>
      <c r="I277" s="197" t="str">
        <f t="shared" si="50"/>
        <v/>
      </c>
      <c r="K277" s="197"/>
      <c r="O277" s="520"/>
      <c r="P277" s="88"/>
    </row>
    <row r="278" spans="1:16">
      <c r="A278" t="str">
        <f>'Development Budget'!A114</f>
        <v>Other Consultant Fees</v>
      </c>
      <c r="B278" s="66">
        <f>'Development Budget'!B114</f>
        <v>0</v>
      </c>
      <c r="C278" s="66">
        <f>'Development Budget'!C114</f>
        <v>0</v>
      </c>
      <c r="D278" s="66">
        <f>'Development Budget'!D114</f>
        <v>0</v>
      </c>
      <c r="E278" s="66">
        <f>'Development Budget'!E114</f>
        <v>0</v>
      </c>
      <c r="F278" s="790">
        <f t="shared" si="43"/>
        <v>0</v>
      </c>
      <c r="G278" s="66">
        <f t="shared" si="49"/>
        <v>0</v>
      </c>
      <c r="H278" s="66" t="str">
        <f>IF(B$3,'Development Budget'!F114,"")</f>
        <v/>
      </c>
      <c r="I278" s="197" t="str">
        <f t="shared" si="50"/>
        <v/>
      </c>
      <c r="O278" s="520"/>
      <c r="P278" s="88"/>
    </row>
    <row r="279" spans="1:16">
      <c r="A279" s="1"/>
      <c r="B279" s="199">
        <f>SUM(B272:B278)</f>
        <v>0</v>
      </c>
      <c r="C279" s="199">
        <f>SUM(C272:C278)</f>
        <v>0</v>
      </c>
      <c r="D279" s="199">
        <f>SUM(D272:D278)</f>
        <v>0</v>
      </c>
      <c r="E279" s="199">
        <f>SUM(E272:E278)</f>
        <v>0</v>
      </c>
      <c r="F279" s="790"/>
      <c r="G279" s="199">
        <f t="shared" si="49"/>
        <v>0</v>
      </c>
      <c r="H279" s="199" t="str">
        <f>IF(B$3,'Development Budget'!F115,"")</f>
        <v/>
      </c>
      <c r="I279" s="197" t="str">
        <f t="shared" si="50"/>
        <v/>
      </c>
      <c r="O279" s="520"/>
      <c r="P279" s="88"/>
    </row>
    <row r="280" spans="1:16">
      <c r="A280" s="19" t="s">
        <v>502</v>
      </c>
      <c r="B280" s="19"/>
      <c r="C280" s="19"/>
      <c r="D280" s="19"/>
      <c r="E280" s="19"/>
      <c r="F280" s="19"/>
      <c r="G280" s="19"/>
      <c r="H280" s="19"/>
      <c r="I280" s="19" t="str">
        <f t="shared" si="50"/>
        <v/>
      </c>
      <c r="O280" s="520"/>
      <c r="P280" s="88"/>
    </row>
    <row r="281" spans="1:16">
      <c r="A281" t="str">
        <f>'Development Budget'!A117</f>
        <v>Rent-up Reserves</v>
      </c>
      <c r="B281" s="66">
        <f>'Development Budget'!B117</f>
        <v>0</v>
      </c>
      <c r="C281" s="66"/>
      <c r="D281" s="66"/>
      <c r="E281" s="66">
        <f>'Development Budget'!E117</f>
        <v>0</v>
      </c>
      <c r="F281" s="790">
        <f t="shared" si="43"/>
        <v>0</v>
      </c>
      <c r="G281" s="66">
        <f>B281-E281</f>
        <v>0</v>
      </c>
      <c r="H281" s="66" t="str">
        <f>IF(B$3,'Development Budget'!F117,"")</f>
        <v/>
      </c>
      <c r="I281" s="197" t="str">
        <f t="shared" si="50"/>
        <v/>
      </c>
      <c r="O281" s="520"/>
      <c r="P281" s="88"/>
    </row>
    <row r="282" spans="1:16">
      <c r="A282" t="str">
        <f>'Development Budget'!A118</f>
        <v>Operating Reserves</v>
      </c>
      <c r="B282" s="66">
        <f>'Development Budget'!B118</f>
        <v>0</v>
      </c>
      <c r="C282" s="66"/>
      <c r="D282" s="66"/>
      <c r="E282" s="66">
        <f>'Development Budget'!E118</f>
        <v>0</v>
      </c>
      <c r="F282" s="790">
        <f t="shared" si="43"/>
        <v>0</v>
      </c>
      <c r="G282" s="66">
        <f t="shared" ref="G282:G288" si="51">B282-E282</f>
        <v>0</v>
      </c>
      <c r="H282" s="66" t="str">
        <f>IF(B$3,'Development Budget'!F118,"")</f>
        <v/>
      </c>
      <c r="I282" s="197" t="str">
        <f t="shared" si="50"/>
        <v/>
      </c>
      <c r="O282" s="520"/>
      <c r="P282" s="88"/>
    </row>
    <row r="283" spans="1:16">
      <c r="A283" t="str">
        <f>'Development Budget'!A119</f>
        <v>Replacement Reserves</v>
      </c>
      <c r="B283" s="66">
        <f>'Development Budget'!B119</f>
        <v>0</v>
      </c>
      <c r="C283" s="66"/>
      <c r="D283" s="66"/>
      <c r="E283" s="66">
        <f>'Development Budget'!E119</f>
        <v>0</v>
      </c>
      <c r="F283" s="790">
        <f t="shared" si="43"/>
        <v>0</v>
      </c>
      <c r="G283" s="66">
        <f t="shared" si="51"/>
        <v>0</v>
      </c>
      <c r="H283" s="66" t="str">
        <f>IF(B$3,'Development Budget'!F119,"")</f>
        <v/>
      </c>
      <c r="I283" s="197" t="str">
        <f t="shared" si="50"/>
        <v/>
      </c>
      <c r="O283" s="520"/>
      <c r="P283" s="88"/>
    </row>
    <row r="284" spans="1:16">
      <c r="A284" t="str">
        <f>'Development Budget'!A120</f>
        <v>Debt Service Reserves</v>
      </c>
      <c r="B284" s="66">
        <f>'Development Budget'!B120</f>
        <v>0</v>
      </c>
      <c r="C284" s="66"/>
      <c r="D284" s="66"/>
      <c r="E284" s="66">
        <f>'Development Budget'!E120</f>
        <v>0</v>
      </c>
      <c r="F284" s="790">
        <f t="shared" si="43"/>
        <v>0</v>
      </c>
      <c r="G284" s="66">
        <f t="shared" si="51"/>
        <v>0</v>
      </c>
      <c r="H284" s="66" t="str">
        <f>IF(B$3,'Development Budget'!F120,"")</f>
        <v/>
      </c>
      <c r="I284" s="197"/>
      <c r="K284" t="s">
        <v>2786</v>
      </c>
      <c r="O284" s="520"/>
      <c r="P284" s="88"/>
    </row>
    <row r="285" spans="1:16">
      <c r="A285" t="str">
        <f>'Development Budget'!A121</f>
        <v>Other (Specify)</v>
      </c>
      <c r="B285" s="66">
        <f>'Development Budget'!B121</f>
        <v>0</v>
      </c>
      <c r="C285" s="66"/>
      <c r="D285" s="66"/>
      <c r="E285" s="66">
        <f>'Development Budget'!E121</f>
        <v>0</v>
      </c>
      <c r="F285" s="790">
        <f t="shared" si="43"/>
        <v>0</v>
      </c>
      <c r="G285" s="66">
        <f t="shared" si="51"/>
        <v>0</v>
      </c>
      <c r="H285" s="66" t="str">
        <f>IF(B$3,'Development Budget'!F121,"")</f>
        <v/>
      </c>
      <c r="I285" s="197" t="str">
        <f>IF(B$3,H285/$B$288,"")</f>
        <v/>
      </c>
      <c r="K285" s="66">
        <f>SUM(D288+B169+B170)</f>
        <v>0</v>
      </c>
      <c r="L285" s="18"/>
      <c r="O285" s="520"/>
      <c r="P285" s="88"/>
    </row>
    <row r="286" spans="1:16">
      <c r="A286" t="str">
        <f>'Development Budget'!A122</f>
        <v>Other (Specify)</v>
      </c>
      <c r="B286" s="66">
        <f>'Development Budget'!B122</f>
        <v>0</v>
      </c>
      <c r="C286" s="66"/>
      <c r="D286" s="66"/>
      <c r="E286" s="66">
        <f>'Development Budget'!E122</f>
        <v>0</v>
      </c>
      <c r="F286" s="790">
        <f t="shared" si="43"/>
        <v>0</v>
      </c>
      <c r="G286" s="66">
        <f t="shared" si="51"/>
        <v>0</v>
      </c>
      <c r="H286" s="66" t="str">
        <f>IF(B$3,'Development Budget'!F122,"")</f>
        <v/>
      </c>
      <c r="I286" s="197" t="str">
        <f>IF(B$3,H286/$B$288,"")</f>
        <v/>
      </c>
    </row>
    <row r="287" spans="1:16" ht="15.75" thickBot="1">
      <c r="B287" s="199">
        <f>SUM(B281:B286)</f>
        <v>0</v>
      </c>
      <c r="C287" s="199"/>
      <c r="D287" s="199"/>
      <c r="E287" s="66">
        <f>'Development Budget'!E123</f>
        <v>0</v>
      </c>
      <c r="F287" s="791"/>
      <c r="G287" s="66">
        <f t="shared" si="51"/>
        <v>0</v>
      </c>
      <c r="H287" s="199" t="str">
        <f>IF(B$3,'Development Budget'!F123,"")</f>
        <v/>
      </c>
      <c r="I287" s="390" t="str">
        <f>IF(B$3,H287/$B$288,"")</f>
        <v/>
      </c>
    </row>
    <row r="288" spans="1:16" ht="15.75" thickTop="1">
      <c r="A288" s="68" t="s">
        <v>391</v>
      </c>
      <c r="B288" s="198">
        <f>SUM(B169:B171,B174:B175,B178:B191,B194:B207,B210:B226,B229:B242,B245:B261,B264:B269,B272:B278,B281:B286)</f>
        <v>0</v>
      </c>
      <c r="C288" s="198">
        <f>SUM(C169:C170,C174:C175,C178:C191,C194:C207,C210:C226,C246:C251,C254:C261,C272:C278)</f>
        <v>0</v>
      </c>
      <c r="D288" s="198">
        <f>SUM(D169,D174:D175,D178:D191,D194:D207,D210:D226,D246:D251,D254:D261,D272:D278)</f>
        <v>0</v>
      </c>
      <c r="E288" s="198">
        <f>SUM(E169:E171,E174:E175,E178:E191,E194:E207,E210:E226,E229:E242,E245:E261,E264:E269,E272:E278,E281:E286)</f>
        <v>0</v>
      </c>
      <c r="F288" s="198"/>
      <c r="G288" s="198">
        <f t="shared" si="51"/>
        <v>0</v>
      </c>
      <c r="H288" s="198">
        <f>SUM(H169:H171,H174,H178:H191,H194:H207,H210:H226,H246:H261,H272:H278)</f>
        <v>0</v>
      </c>
      <c r="I288" s="391" t="str">
        <f>IF(B$3,H288/$K$285,"")</f>
        <v/>
      </c>
    </row>
    <row r="289" spans="1:17">
      <c r="B289" s="66"/>
      <c r="C289" s="66"/>
      <c r="D289" s="66"/>
      <c r="E289" s="66"/>
      <c r="F289" s="66"/>
      <c r="G289" s="208"/>
    </row>
    <row r="290" spans="1:17">
      <c r="G290" s="14"/>
    </row>
    <row r="292" spans="1:17">
      <c r="E292" s="1"/>
    </row>
    <row r="293" spans="1:17">
      <c r="A293" s="99" t="s">
        <v>66</v>
      </c>
      <c r="B293" s="99"/>
      <c r="C293" s="99"/>
      <c r="D293" s="99"/>
      <c r="E293" s="99"/>
      <c r="F293" s="99"/>
      <c r="G293" s="99"/>
      <c r="H293" s="99"/>
      <c r="I293" s="99"/>
      <c r="J293" s="99"/>
      <c r="K293" s="99"/>
      <c r="L293" s="99"/>
      <c r="M293" s="99"/>
    </row>
    <row r="294" spans="1:17">
      <c r="A294" t="s">
        <v>2787</v>
      </c>
      <c r="B294" s="1">
        <f>IF($B$6, Admin!$B$10, Admin!$B$11)</f>
        <v>80</v>
      </c>
      <c r="E294" s="1"/>
      <c r="G294" s="18" t="str">
        <f>IF($H$40=0, "UNITS MISSING", "")</f>
        <v>UNITS MISSING</v>
      </c>
    </row>
    <row r="295" spans="1:17">
      <c r="B295" s="1" t="s">
        <v>874</v>
      </c>
      <c r="C295" s="1" t="s">
        <v>2788</v>
      </c>
      <c r="D295" t="s">
        <v>579</v>
      </c>
      <c r="E295" t="s">
        <v>1352</v>
      </c>
      <c r="F295" t="s">
        <v>873</v>
      </c>
      <c r="G295" t="s">
        <v>2789</v>
      </c>
      <c r="H295" t="s">
        <v>2790</v>
      </c>
      <c r="K295" s="1"/>
    </row>
    <row r="296" spans="1:17">
      <c r="A296" t="s">
        <v>2791</v>
      </c>
      <c r="B296" s="1">
        <f>IF(H296, ROUND(G296 * F296, 0), 0)</f>
        <v>0</v>
      </c>
      <c r="C296" t="str">
        <f>IF(Scoring!B5="","",Scoring!B5)</f>
        <v/>
      </c>
      <c r="D296" s="8">
        <f>A37</f>
        <v>0.6</v>
      </c>
      <c r="E296">
        <f>H37+H38+H39</f>
        <v>0</v>
      </c>
      <c r="F296">
        <f>INDEX(Income_Level_Table[Scoring Weight], MATCH(D296, Income_Level_Table[Income Level], 0))</f>
        <v>50</v>
      </c>
      <c r="G296">
        <f>IF($H$40 = 0, 0, E296/$H$40)</f>
        <v>0</v>
      </c>
      <c r="H296" t="b">
        <f>IF(ISNA(MATCH(Calculations!$C$296, Scoring_Threshold_Table[Scoring Threshold], 0)), FALSE, INDEX(Scoring_Threshold_Table[Score 60%], MATCH(Calculations!$C$296, Scoring_Threshold_Table[Scoring Threshold], 0)))</f>
        <v>0</v>
      </c>
      <c r="I296" s="98" t="s">
        <v>2792</v>
      </c>
      <c r="K296" s="878" t="s">
        <v>2793</v>
      </c>
      <c r="L296" s="879"/>
      <c r="M296" s="879"/>
      <c r="N296" s="879"/>
      <c r="O296" s="879"/>
    </row>
    <row r="297" spans="1:17">
      <c r="B297" s="1">
        <f>ROUND(G297 * F297, 0)</f>
        <v>0</v>
      </c>
      <c r="D297" s="8">
        <f>A36</f>
        <v>0.5</v>
      </c>
      <c r="E297">
        <f>H36</f>
        <v>0</v>
      </c>
      <c r="F297">
        <f>INDEX(Income_Level_Table[Scoring Weight], MATCH(D297, Income_Level_Table[Income Level], 0))</f>
        <v>72.5</v>
      </c>
      <c r="G297">
        <f>IF($H$40 = 0, 0, E297/$H$40)</f>
        <v>0</v>
      </c>
      <c r="H297" t="b">
        <v>1</v>
      </c>
      <c r="K297" s="862" t="s">
        <v>2794</v>
      </c>
      <c r="L297" s="366"/>
      <c r="M297" s="366"/>
      <c r="N297" s="366"/>
      <c r="O297" s="366"/>
      <c r="P297" s="366"/>
      <c r="Q297" s="366"/>
    </row>
    <row r="298" spans="1:17">
      <c r="B298" s="1">
        <f>ROUND(G298 * F298, 0)</f>
        <v>0</v>
      </c>
      <c r="D298" s="8">
        <f>A35</f>
        <v>0.4</v>
      </c>
      <c r="E298">
        <f>H35+H34+H33</f>
        <v>0</v>
      </c>
      <c r="F298">
        <f>INDEX(Income_Level_Table[Scoring Weight], MATCH(D298, Income_Level_Table[Income Level], 0))</f>
        <v>92.5</v>
      </c>
      <c r="G298">
        <f>IF($H$40 = 0, 0, E298/$H$40)</f>
        <v>0</v>
      </c>
      <c r="H298" t="b">
        <v>1</v>
      </c>
      <c r="I298" s="98" t="s">
        <v>2795</v>
      </c>
      <c r="K298" s="1"/>
    </row>
    <row r="299" spans="1:17">
      <c r="A299" t="s">
        <v>2796</v>
      </c>
      <c r="B299" s="95">
        <f>IF($B$14 = -1, 0, INDEX(Admin!A107:F170, $B$14, COLUMN(Admin!C106)))</f>
        <v>0</v>
      </c>
      <c r="K299" s="1"/>
    </row>
    <row r="300" spans="1:17">
      <c r="A300" t="s">
        <v>2797</v>
      </c>
      <c r="B300" s="1">
        <f>IF(ISNA(D300), 0, INDEX(Very_Very_Low_Income_Targeting_Table[Score], D300))</f>
        <v>0</v>
      </c>
      <c r="C300">
        <f>Scoring!B8</f>
        <v>0</v>
      </c>
      <c r="D300" t="e">
        <f>MATCH(C300, Very_Very_Low_Income_Targeting_Table[Very, Very Low-Income Targeting], 0)</f>
        <v>#N/A</v>
      </c>
      <c r="E300">
        <f>H34</f>
        <v>0</v>
      </c>
      <c r="G300">
        <f>IF($H$40 = 0, 0, E300/$H$40)</f>
        <v>0</v>
      </c>
      <c r="K300" s="1"/>
    </row>
    <row r="301" spans="1:17">
      <c r="A301" t="s">
        <v>531</v>
      </c>
      <c r="B301" s="1">
        <f>IF(ISNA(D301), 0, INDEX(Extended_Low_Income_Use_Table[Score], D301))</f>
        <v>0</v>
      </c>
      <c r="C301" t="str">
        <f>IF(Scoring!B11="","",Scoring!B11)</f>
        <v/>
      </c>
      <c r="D301" t="e">
        <f>MATCH(C301, Extended_Low_Income_Use_Table[Extended Low-Income Use], 0)</f>
        <v>#N/A</v>
      </c>
      <c r="K301" s="1"/>
    </row>
    <row r="302" spans="1:17">
      <c r="A302" t="s">
        <v>2165</v>
      </c>
      <c r="B302" s="1">
        <f>IF(C302 = "Yes", Admin!B30, 0)</f>
        <v>0</v>
      </c>
      <c r="C302">
        <f>Scoring!B14</f>
        <v>0</v>
      </c>
      <c r="K302" s="1"/>
    </row>
    <row r="303" spans="1:17">
      <c r="A303" t="s">
        <v>2153</v>
      </c>
      <c r="B303" s="1">
        <f>IF($B$14 = -1, 0, INDEX(Admin!A107:F170, $B$14, COLUMN(Admin!D106)))</f>
        <v>0</v>
      </c>
      <c r="D303" t="s">
        <v>2798</v>
      </c>
      <c r="K303" s="1"/>
    </row>
    <row r="304" spans="1:17">
      <c r="A304" t="s">
        <v>2799</v>
      </c>
      <c r="B304" s="1">
        <f>IF(ISNA(MATCH(Application!$B$29, City_Table[City], 0)), 0, INDEX(City_Table[Score], MATCH(Application!$B$29, City_Table[City], 0)))</f>
        <v>0</v>
      </c>
      <c r="C304" s="18" t="str">
        <f>IF(ISNA(MATCH(Application!$B$29, City_Table[City], 0)), "CITY MISSING", "")</f>
        <v>CITY MISSING</v>
      </c>
      <c r="K304" s="1"/>
    </row>
    <row r="305" spans="1:16">
      <c r="A305" t="s">
        <v>2800</v>
      </c>
      <c r="B305" s="1">
        <f>IF($B$14 = -1, 0, INDEX(Admin!A107:F170, $B$14, COLUMN(Admin!E106)))</f>
        <v>0</v>
      </c>
      <c r="C305" s="18" t="str">
        <f>IF($B$14 = -1, "COUNTY MISSING", "")</f>
        <v>COUNTY MISSING</v>
      </c>
      <c r="K305" s="1"/>
    </row>
    <row r="306" spans="1:16">
      <c r="A306" t="s">
        <v>2156</v>
      </c>
      <c r="B306" s="1">
        <f>IF(B304=0, B305, B304)</f>
        <v>0</v>
      </c>
      <c r="C306" s="18"/>
      <c r="D306" t="s">
        <v>882</v>
      </c>
      <c r="K306" s="1"/>
    </row>
    <row r="307" spans="1:16">
      <c r="A307" t="s">
        <v>883</v>
      </c>
      <c r="B307" s="1">
        <f>IF(ISNA(D307), 0, INDEX(Scoring_Development_Location_Table[Score], D307))</f>
        <v>0</v>
      </c>
      <c r="C307">
        <f>Scoring!B20</f>
        <v>0</v>
      </c>
      <c r="D307" t="e">
        <f>MATCH(C307, Scoring_Development_Location_Table[Scoring Development Location], 0)</f>
        <v>#N/A</v>
      </c>
      <c r="E307" t="str">
        <f>IFERROR(INDEX(Scoring_Development_Location_Table[],D307, 3),"")</f>
        <v/>
      </c>
      <c r="K307" s="1"/>
    </row>
    <row r="308" spans="1:16">
      <c r="A308" t="s">
        <v>2174</v>
      </c>
      <c r="B308" s="1">
        <f>IF(C308 = "Yes", Admin!B31, 0)</f>
        <v>0</v>
      </c>
      <c r="C308">
        <f>Scoring!B23</f>
        <v>0</v>
      </c>
      <c r="K308" s="1"/>
    </row>
    <row r="309" spans="1:16">
      <c r="A309" t="s">
        <v>2177</v>
      </c>
      <c r="B309" s="1">
        <f>IF(C309 = "Yes", Admin!B32, 0)</f>
        <v>0</v>
      </c>
      <c r="C309">
        <f>Scoring!B24</f>
        <v>0</v>
      </c>
      <c r="K309" s="1"/>
    </row>
    <row r="310" spans="1:16">
      <c r="A310" t="s">
        <v>2180</v>
      </c>
      <c r="B310" s="1">
        <f>IF(C310 = "Yes", Admin!B33, 0)</f>
        <v>0</v>
      </c>
      <c r="C310">
        <f>Scoring!B25</f>
        <v>0</v>
      </c>
      <c r="E310" s="1"/>
    </row>
    <row r="311" spans="1:16">
      <c r="A311" t="s">
        <v>2183</v>
      </c>
      <c r="B311" s="1">
        <f>IF(C311 = "Yes", Admin!B34, 0)</f>
        <v>0</v>
      </c>
      <c r="C311">
        <f>Scoring!B26</f>
        <v>0</v>
      </c>
      <c r="E311" s="1"/>
    </row>
    <row r="312" spans="1:16">
      <c r="A312" t="s">
        <v>2186</v>
      </c>
      <c r="B312" s="1">
        <f>IF(C312 = "Yes", Admin!B35, 0)</f>
        <v>0</v>
      </c>
      <c r="C312">
        <f>Scoring!B27</f>
        <v>0</v>
      </c>
      <c r="E312" s="1"/>
    </row>
    <row r="313" spans="1:16">
      <c r="A313" t="s">
        <v>2801</v>
      </c>
      <c r="B313" s="1">
        <f>IF(C313 = "Yes", Admin!B36, 0)</f>
        <v>0</v>
      </c>
      <c r="C313">
        <f>Scoring!B28</f>
        <v>0</v>
      </c>
      <c r="E313" s="1"/>
    </row>
    <row r="314" spans="1:16">
      <c r="A314" t="s">
        <v>550</v>
      </c>
      <c r="B314" s="1">
        <f>IF(C314 = "Yes", Admin!B37, 0)</f>
        <v>0</v>
      </c>
      <c r="C314">
        <f>Scoring!B31</f>
        <v>0</v>
      </c>
      <c r="E314" s="1"/>
    </row>
    <row r="315" spans="1:16">
      <c r="A315" t="s">
        <v>2802</v>
      </c>
      <c r="B315" s="1">
        <f>IF(C315 = "N/A",0, Admin!B38)</f>
        <v>15</v>
      </c>
      <c r="C315">
        <f>Scoring!B34</f>
        <v>0</v>
      </c>
      <c r="F315" s="1"/>
    </row>
    <row r="316" spans="1:16" ht="15.75" thickBot="1">
      <c r="A316" t="s">
        <v>554</v>
      </c>
      <c r="B316" s="1">
        <f>IF(C316 = "Yes", Admin!B39, 0)</f>
        <v>0</v>
      </c>
      <c r="C316">
        <f>Scoring!B37</f>
        <v>0</v>
      </c>
      <c r="E316" s="1"/>
    </row>
    <row r="317" spans="1:16" ht="15.75" thickTop="1">
      <c r="A317" s="68" t="s">
        <v>953</v>
      </c>
      <c r="B317" s="201">
        <f>SUM(B296:B303,B306:B316)</f>
        <v>15</v>
      </c>
      <c r="D317" t="b">
        <f>B317&gt;=B294</f>
        <v>0</v>
      </c>
      <c r="E317" t="str">
        <f>INDEX(Comments_Minimum_Score_table[],MATCH(D317,Comments_Minimum_Score_table[Minimum Score],0),2)</f>
        <v>The minimum score requirement has NOT been met</v>
      </c>
    </row>
    <row r="318" spans="1:16">
      <c r="E318" s="1"/>
    </row>
    <row r="319" spans="1:16">
      <c r="E319" s="1"/>
    </row>
    <row r="320" spans="1:16">
      <c r="A320" s="194" t="s">
        <v>1334</v>
      </c>
      <c r="B320" s="99"/>
      <c r="C320" s="99"/>
      <c r="D320" s="99"/>
      <c r="E320" s="99"/>
      <c r="F320" s="99"/>
      <c r="G320" s="99"/>
      <c r="H320" s="99"/>
      <c r="I320" s="99"/>
      <c r="J320" s="99"/>
      <c r="K320" s="99"/>
      <c r="L320" s="99"/>
      <c r="M320" s="99"/>
      <c r="N320" s="99"/>
      <c r="O320" s="99"/>
      <c r="P320" s="99"/>
    </row>
    <row r="321" spans="1:8">
      <c r="A321" s="22" t="s">
        <v>2803</v>
      </c>
      <c r="E321" s="1"/>
    </row>
    <row r="322" spans="1:8">
      <c r="B322" t="s">
        <v>2804</v>
      </c>
      <c r="C322" t="s">
        <v>2805</v>
      </c>
      <c r="E322" s="1"/>
    </row>
    <row r="323" spans="1:8">
      <c r="A323" t="s">
        <v>2806</v>
      </c>
      <c r="B323" t="b">
        <f>Application!B109&gt;0</f>
        <v>0</v>
      </c>
      <c r="C323">
        <f>IF(B323, Admin!B50, 0)</f>
        <v>0</v>
      </c>
      <c r="E323" s="1"/>
    </row>
    <row r="324" spans="1:8">
      <c r="A324" t="s">
        <v>2807</v>
      </c>
      <c r="B324" t="b">
        <f>Application!B92 = "Yes"</f>
        <v>0</v>
      </c>
      <c r="C324">
        <f>IF(B324, Admin!B51, 0)</f>
        <v>0</v>
      </c>
      <c r="E324" s="1"/>
    </row>
    <row r="325" spans="1:8">
      <c r="A325" t="s">
        <v>2808</v>
      </c>
      <c r="C325">
        <f>Admin!B52</f>
        <v>4500</v>
      </c>
      <c r="E325" s="1"/>
    </row>
    <row r="326" spans="1:8">
      <c r="A326" t="s">
        <v>525</v>
      </c>
      <c r="C326" s="1">
        <f>MAX(C323:C325)</f>
        <v>4500</v>
      </c>
      <c r="D326" t="s">
        <v>2809</v>
      </c>
      <c r="E326" s="1"/>
    </row>
    <row r="327" spans="1:8">
      <c r="C327" s="1"/>
      <c r="E327" s="1"/>
    </row>
    <row r="328" spans="1:8">
      <c r="A328" s="22" t="s">
        <v>2803</v>
      </c>
      <c r="E328" s="1"/>
    </row>
    <row r="329" spans="1:8">
      <c r="B329" t="s">
        <v>2804</v>
      </c>
      <c r="C329" t="s">
        <v>2805</v>
      </c>
      <c r="E329" s="1"/>
    </row>
    <row r="330" spans="1:8">
      <c r="A330" t="s">
        <v>2810</v>
      </c>
      <c r="B330" t="b">
        <f>OR(Application!B109 &gt; 0, Application!B113 &gt; 0)</f>
        <v>0</v>
      </c>
      <c r="E330" s="1"/>
    </row>
    <row r="331" spans="1:8">
      <c r="A331" t="s">
        <v>525</v>
      </c>
      <c r="C331" s="1">
        <f>IF(B330, Admin!B53, Admin!B54)</f>
        <v>300</v>
      </c>
      <c r="H331" s="49"/>
    </row>
    <row r="332" spans="1:8">
      <c r="H332" s="49"/>
    </row>
    <row r="333" spans="1:8">
      <c r="A333" s="22" t="s">
        <v>2811</v>
      </c>
    </row>
    <row r="334" spans="1:8">
      <c r="A334" t="s">
        <v>1001</v>
      </c>
      <c r="B334" s="66">
        <f>B346</f>
        <v>0</v>
      </c>
    </row>
    <row r="335" spans="1:8">
      <c r="A335" t="s">
        <v>1345</v>
      </c>
      <c r="B335" s="66">
        <f>$E$125</f>
        <v>0</v>
      </c>
    </row>
    <row r="336" spans="1:8" ht="15.75" thickBot="1">
      <c r="A336" t="s">
        <v>2812</v>
      </c>
      <c r="B336" s="200">
        <f>Admin!B55</f>
        <v>0.33329999999999999</v>
      </c>
    </row>
    <row r="337" spans="1:16" ht="15.75" thickTop="1">
      <c r="A337" t="s">
        <v>525</v>
      </c>
      <c r="B337" s="198">
        <f>(B334+B335)*B336</f>
        <v>0</v>
      </c>
      <c r="C337" s="307"/>
    </row>
    <row r="338" spans="1:16">
      <c r="C338" s="1"/>
      <c r="E338" s="1"/>
    </row>
    <row r="339" spans="1:16">
      <c r="A339" s="22" t="s">
        <v>2813</v>
      </c>
      <c r="E339" s="1"/>
    </row>
    <row r="340" spans="1:16">
      <c r="A340" t="s">
        <v>924</v>
      </c>
      <c r="B340">
        <f>$H$44</f>
        <v>0</v>
      </c>
      <c r="E340" s="1"/>
    </row>
    <row r="341" spans="1:16">
      <c r="A341" t="s">
        <v>626</v>
      </c>
      <c r="B341" s="66">
        <f>'Proforma, Income &amp; Expense'!$B$76</f>
        <v>0</v>
      </c>
      <c r="E341" s="1"/>
    </row>
    <row r="342" spans="1:16">
      <c r="B342" s="66"/>
      <c r="E342" s="1"/>
    </row>
    <row r="343" spans="1:16">
      <c r="A343" s="22" t="s">
        <v>2814</v>
      </c>
      <c r="E343" s="1"/>
    </row>
    <row r="344" spans="1:16">
      <c r="B344" t="s">
        <v>997</v>
      </c>
      <c r="C344" t="s">
        <v>998</v>
      </c>
      <c r="D344" t="s">
        <v>999</v>
      </c>
      <c r="E344" s="1"/>
    </row>
    <row r="345" spans="1:16">
      <c r="A345" t="s">
        <v>2815</v>
      </c>
      <c r="B345" s="66">
        <f>SUM('Proforma, Income &amp; Expense'!E22:E34,'Proforma, Income &amp; Expense'!E37:E48,'Proforma, Income &amp; Expense'!E51:E62,'Proforma, Income &amp; Expense'!E65:E71)</f>
        <v>0</v>
      </c>
      <c r="C345" s="66"/>
      <c r="D345" s="66"/>
      <c r="F345" s="22" t="s">
        <v>2778</v>
      </c>
    </row>
    <row r="346" spans="1:16">
      <c r="A346" t="s">
        <v>1001</v>
      </c>
      <c r="B346" s="66">
        <f>SUM('Proforma, Income &amp; Expense'!B22:B34,'Proforma, Income &amp; Expense'!B37:B48,'Proforma, Income &amp; Expense'!B51:B62,'Proforma, Income &amp; Expense'!B65:B71)</f>
        <v>0</v>
      </c>
      <c r="C346" s="66">
        <f>IF(B340=0, 0, B346/B340)</f>
        <v>0</v>
      </c>
      <c r="D346" s="66">
        <f>C326</f>
        <v>4500</v>
      </c>
      <c r="F346" t="b">
        <f>C346&gt;=D346</f>
        <v>0</v>
      </c>
      <c r="G346" t="str">
        <f>IF(C346=0,"",INDEX(Comments_Min_PUPA_table[],MATCH(F346,Comments_Min_PUPA_table[Minimum PUPA],0),2))</f>
        <v/>
      </c>
    </row>
    <row r="347" spans="1:16">
      <c r="A347" t="s">
        <v>505</v>
      </c>
      <c r="B347" s="66">
        <f>B341*H$44</f>
        <v>0</v>
      </c>
      <c r="C347" s="66">
        <f>B341</f>
        <v>0</v>
      </c>
      <c r="D347" s="66">
        <f>C331</f>
        <v>300</v>
      </c>
      <c r="F347" t="b">
        <f>C347&gt;=D347</f>
        <v>0</v>
      </c>
      <c r="G347" t="str">
        <f>IF(C347=0,"",INDEX(Comments_Min_Replacement_Reserves_table[],MATCH(F347,Comments_Min_Replacement_Reserves_table[Minimum Replacement Reserves],0),2))</f>
        <v/>
      </c>
    </row>
    <row r="348" spans="1:16">
      <c r="B348" s="66"/>
      <c r="C348" s="66"/>
      <c r="D348" s="66"/>
    </row>
    <row r="349" spans="1:16">
      <c r="A349" t="s">
        <v>1002</v>
      </c>
      <c r="B349" s="66">
        <f>'Development Budget'!B118</f>
        <v>0</v>
      </c>
      <c r="C349" s="66"/>
      <c r="D349" s="66">
        <f>B337</f>
        <v>0</v>
      </c>
      <c r="F349" t="b">
        <f>B349 &gt;= D349</f>
        <v>1</v>
      </c>
      <c r="G349" s="123" t="str">
        <f>INDEX(Comments_Min_Oper_Reserves_table[],MATCH(F349,Comments_Min_Oper_Reserves_table[Minimum Operating Reserves],0),2)</f>
        <v>The minimum development operating reserves requirement has been met</v>
      </c>
    </row>
    <row r="350" spans="1:16">
      <c r="E350" s="1"/>
    </row>
    <row r="351" spans="1:16">
      <c r="E351" s="1"/>
    </row>
    <row r="352" spans="1:16">
      <c r="A352" s="194" t="s">
        <v>558</v>
      </c>
      <c r="B352" s="99"/>
      <c r="C352" s="99"/>
      <c r="D352" s="99"/>
      <c r="E352" s="99"/>
      <c r="F352" s="99"/>
      <c r="G352" s="99"/>
      <c r="H352" s="99"/>
      <c r="I352" s="99"/>
      <c r="J352" s="99"/>
      <c r="K352" s="99"/>
      <c r="L352" s="99"/>
      <c r="M352" s="99"/>
      <c r="N352" s="99"/>
      <c r="O352" s="99"/>
      <c r="P352" s="99"/>
    </row>
    <row r="353" spans="1:6">
      <c r="A353" t="s">
        <v>2816</v>
      </c>
      <c r="B353" s="67">
        <f>Application!B92</f>
        <v>0</v>
      </c>
      <c r="E353" s="1"/>
    </row>
    <row r="354" spans="1:6">
      <c r="A354" t="s">
        <v>2817</v>
      </c>
      <c r="B354" s="197">
        <f>IF(B353="Yes", Admin!B44, Admin!B43)</f>
        <v>7.0000000000000007E-2</v>
      </c>
      <c r="C354" t="str">
        <f>CONCATENATE("* Calculating at a ",INDEX(Admin!A43:B44,MATCH(B354,Admin!B43:B44,0),1)," of ",TEXT(B354,"0.0%"))</f>
        <v>* Calculating at a Standard Vacancy Allowance of 7.0%</v>
      </c>
      <c r="E354" s="1"/>
    </row>
    <row r="355" spans="1:6">
      <c r="E355" s="301" t="s">
        <v>2818</v>
      </c>
    </row>
    <row r="356" spans="1:6">
      <c r="A356" t="s">
        <v>2359</v>
      </c>
      <c r="B356" s="66">
        <f>SUM('Proforma, Income &amp; Expense'!B12:B15) * 12</f>
        <v>0</v>
      </c>
      <c r="E356" s="184" t="s">
        <v>992</v>
      </c>
      <c r="F356" s="83">
        <f>'Proforma, Income &amp; Expense'!B18</f>
        <v>0</v>
      </c>
    </row>
    <row r="357" spans="1:6" ht="15.75" thickBot="1">
      <c r="A357" t="s">
        <v>2362</v>
      </c>
      <c r="B357" s="66">
        <f>H73</f>
        <v>0</v>
      </c>
      <c r="E357" s="184" t="s">
        <v>993</v>
      </c>
      <c r="F357" s="83">
        <f>$B$345</f>
        <v>0</v>
      </c>
    </row>
    <row r="358" spans="1:6" ht="15.75" thickTop="1">
      <c r="A358" t="s">
        <v>988</v>
      </c>
      <c r="B358" s="450">
        <f>SUM(B356:B357)</f>
        <v>0</v>
      </c>
      <c r="E358" s="67" t="s">
        <v>2819</v>
      </c>
      <c r="F358" s="83">
        <f>IF(F356&gt;0,Admin!B47*F356,0)</f>
        <v>0</v>
      </c>
    </row>
    <row r="359" spans="1:6" ht="15.75" thickBot="1">
      <c r="A359" t="s">
        <v>989</v>
      </c>
      <c r="B359" s="66">
        <f>-(B358*$B$354)</f>
        <v>0</v>
      </c>
      <c r="E359" s="121" t="s">
        <v>995</v>
      </c>
      <c r="F359" s="83">
        <f>F356-F357-F358</f>
        <v>0</v>
      </c>
    </row>
    <row r="360" spans="1:6" ht="15.75" thickTop="1">
      <c r="A360" t="s">
        <v>990</v>
      </c>
      <c r="B360" s="198">
        <f>B358+B359</f>
        <v>0</v>
      </c>
      <c r="E360" s="1" t="s">
        <v>2820</v>
      </c>
      <c r="F360" s="66">
        <f>F359+B360</f>
        <v>0</v>
      </c>
    </row>
    <row r="361" spans="1:6">
      <c r="E361" s="1"/>
    </row>
    <row r="362" spans="1:6">
      <c r="A362" t="s">
        <v>505</v>
      </c>
      <c r="B362" s="66">
        <f>B341</f>
        <v>0</v>
      </c>
    </row>
    <row r="363" spans="1:6" ht="15.75" thickBot="1">
      <c r="A363" s="67" t="s">
        <v>2821</v>
      </c>
      <c r="B363">
        <f>$H$44</f>
        <v>0</v>
      </c>
      <c r="C363" t="s">
        <v>2822</v>
      </c>
    </row>
    <row r="364" spans="1:6" ht="15.75" thickTop="1">
      <c r="B364" s="450">
        <f>B362*B363</f>
        <v>0</v>
      </c>
    </row>
    <row r="365" spans="1:6" ht="15.75" thickBot="1">
      <c r="A365" t="s">
        <v>2823</v>
      </c>
      <c r="B365" s="66">
        <f>$B$346</f>
        <v>0</v>
      </c>
    </row>
    <row r="366" spans="1:6" ht="15.75" thickTop="1">
      <c r="A366" t="s">
        <v>2824</v>
      </c>
      <c r="B366" s="198">
        <f>B364+B365</f>
        <v>0</v>
      </c>
    </row>
    <row r="368" spans="1:6">
      <c r="A368" t="s">
        <v>2825</v>
      </c>
      <c r="B368">
        <f>Admin!$B$45</f>
        <v>1.02</v>
      </c>
    </row>
    <row r="369" spans="1:16">
      <c r="A369" t="s">
        <v>2826</v>
      </c>
      <c r="B369">
        <f>Admin!$B$46</f>
        <v>1.03</v>
      </c>
    </row>
    <row r="370" spans="1:16">
      <c r="A370" t="s">
        <v>2827</v>
      </c>
      <c r="B370" t="b">
        <f>Financing!B5="Yes"</f>
        <v>0</v>
      </c>
    </row>
    <row r="371" spans="1:16">
      <c r="E371" s="1"/>
    </row>
    <row r="372" spans="1:16">
      <c r="B372" s="1" t="s">
        <v>559</v>
      </c>
      <c r="C372" s="1" t="s">
        <v>1005</v>
      </c>
      <c r="D372" s="1" t="s">
        <v>561</v>
      </c>
      <c r="E372" s="1" t="s">
        <v>562</v>
      </c>
      <c r="F372" s="1" t="s">
        <v>563</v>
      </c>
      <c r="G372" s="1" t="s">
        <v>564</v>
      </c>
      <c r="H372" s="1" t="s">
        <v>565</v>
      </c>
      <c r="I372" s="1" t="s">
        <v>566</v>
      </c>
      <c r="J372" s="1" t="s">
        <v>567</v>
      </c>
      <c r="K372" s="1" t="s">
        <v>568</v>
      </c>
      <c r="L372" s="1" t="s">
        <v>569</v>
      </c>
      <c r="M372" s="1" t="s">
        <v>570</v>
      </c>
      <c r="N372" s="1" t="s">
        <v>571</v>
      </c>
      <c r="O372" s="1" t="s">
        <v>572</v>
      </c>
      <c r="P372" s="1" t="s">
        <v>573</v>
      </c>
    </row>
    <row r="373" spans="1:16">
      <c r="A373" t="s">
        <v>1175</v>
      </c>
      <c r="B373" s="199">
        <f>B360</f>
        <v>0</v>
      </c>
      <c r="C373" s="66">
        <f t="shared" ref="C373:P373" si="52">B373*$B$368</f>
        <v>0</v>
      </c>
      <c r="D373" s="66">
        <f t="shared" si="52"/>
        <v>0</v>
      </c>
      <c r="E373" s="66">
        <f t="shared" si="52"/>
        <v>0</v>
      </c>
      <c r="F373" s="66">
        <f t="shared" si="52"/>
        <v>0</v>
      </c>
      <c r="G373" s="66">
        <f t="shared" si="52"/>
        <v>0</v>
      </c>
      <c r="H373" s="66">
        <f t="shared" si="52"/>
        <v>0</v>
      </c>
      <c r="I373" s="66">
        <f t="shared" si="52"/>
        <v>0</v>
      </c>
      <c r="J373" s="66">
        <f t="shared" si="52"/>
        <v>0</v>
      </c>
      <c r="K373" s="66">
        <f>J373*$B$368</f>
        <v>0</v>
      </c>
      <c r="L373" s="66">
        <f t="shared" si="52"/>
        <v>0</v>
      </c>
      <c r="M373" s="66">
        <f t="shared" si="52"/>
        <v>0</v>
      </c>
      <c r="N373" s="66">
        <f>M373*$B$368</f>
        <v>0</v>
      </c>
      <c r="O373" s="66">
        <f t="shared" si="52"/>
        <v>0</v>
      </c>
      <c r="P373" s="66">
        <f t="shared" si="52"/>
        <v>0</v>
      </c>
    </row>
    <row r="374" spans="1:16">
      <c r="A374" t="s">
        <v>2824</v>
      </c>
      <c r="B374" s="199">
        <f>B366</f>
        <v>0</v>
      </c>
      <c r="C374" s="66">
        <f t="shared" ref="C374:P374" si="53">B374*$B$369</f>
        <v>0</v>
      </c>
      <c r="D374" s="66">
        <f t="shared" si="53"/>
        <v>0</v>
      </c>
      <c r="E374" s="66">
        <f t="shared" si="53"/>
        <v>0</v>
      </c>
      <c r="F374" s="66">
        <f t="shared" si="53"/>
        <v>0</v>
      </c>
      <c r="G374" s="66">
        <f t="shared" si="53"/>
        <v>0</v>
      </c>
      <c r="H374" s="66">
        <f t="shared" si="53"/>
        <v>0</v>
      </c>
      <c r="I374" s="66">
        <f t="shared" si="53"/>
        <v>0</v>
      </c>
      <c r="J374" s="66">
        <f t="shared" si="53"/>
        <v>0</v>
      </c>
      <c r="K374" s="66">
        <f>J374*$B$369</f>
        <v>0</v>
      </c>
      <c r="L374" s="66">
        <f t="shared" si="53"/>
        <v>0</v>
      </c>
      <c r="M374" s="66">
        <f t="shared" si="53"/>
        <v>0</v>
      </c>
      <c r="N374" s="66">
        <f>M374*$B$369</f>
        <v>0</v>
      </c>
      <c r="O374" s="66">
        <f t="shared" si="53"/>
        <v>0</v>
      </c>
      <c r="P374" s="66">
        <f t="shared" si="53"/>
        <v>0</v>
      </c>
    </row>
    <row r="375" spans="1:16">
      <c r="A375" t="s">
        <v>1335</v>
      </c>
      <c r="B375" s="66">
        <f t="shared" ref="B375:P375" si="54">B373-B374</f>
        <v>0</v>
      </c>
      <c r="C375" s="66">
        <f t="shared" si="54"/>
        <v>0</v>
      </c>
      <c r="D375" s="66">
        <f t="shared" si="54"/>
        <v>0</v>
      </c>
      <c r="E375" s="66">
        <f t="shared" si="54"/>
        <v>0</v>
      </c>
      <c r="F375" s="66">
        <f t="shared" si="54"/>
        <v>0</v>
      </c>
      <c r="G375" s="66">
        <f t="shared" si="54"/>
        <v>0</v>
      </c>
      <c r="H375" s="66">
        <f t="shared" si="54"/>
        <v>0</v>
      </c>
      <c r="I375" s="66">
        <f t="shared" si="54"/>
        <v>0</v>
      </c>
      <c r="J375" s="66">
        <f t="shared" si="54"/>
        <v>0</v>
      </c>
      <c r="K375" s="66">
        <f t="shared" si="54"/>
        <v>0</v>
      </c>
      <c r="L375" s="66">
        <f t="shared" si="54"/>
        <v>0</v>
      </c>
      <c r="M375" s="66">
        <f t="shared" si="54"/>
        <v>0</v>
      </c>
      <c r="N375" s="66">
        <f t="shared" si="54"/>
        <v>0</v>
      </c>
      <c r="O375" s="66">
        <f t="shared" si="54"/>
        <v>0</v>
      </c>
      <c r="P375" s="66">
        <f t="shared" si="54"/>
        <v>0</v>
      </c>
    </row>
    <row r="376" spans="1:16">
      <c r="A376" t="s">
        <v>2828</v>
      </c>
      <c r="B376" s="66">
        <f>-ABS(E122)</f>
        <v>0</v>
      </c>
      <c r="C376" s="66">
        <f t="shared" ref="C376:P378" si="55">$B376</f>
        <v>0</v>
      </c>
      <c r="D376" s="66">
        <f t="shared" si="55"/>
        <v>0</v>
      </c>
      <c r="E376" s="66">
        <f t="shared" si="55"/>
        <v>0</v>
      </c>
      <c r="F376" s="66">
        <f t="shared" si="55"/>
        <v>0</v>
      </c>
      <c r="G376" s="66">
        <f t="shared" si="55"/>
        <v>0</v>
      </c>
      <c r="H376" s="66">
        <f t="shared" si="55"/>
        <v>0</v>
      </c>
      <c r="I376" s="66">
        <f t="shared" si="55"/>
        <v>0</v>
      </c>
      <c r="J376" s="66">
        <f t="shared" si="55"/>
        <v>0</v>
      </c>
      <c r="K376" s="66">
        <f t="shared" ref="K376:M378" si="56">$B376</f>
        <v>0</v>
      </c>
      <c r="L376" s="66">
        <f t="shared" si="56"/>
        <v>0</v>
      </c>
      <c r="M376" s="66">
        <f t="shared" si="56"/>
        <v>0</v>
      </c>
      <c r="N376" s="66">
        <f t="shared" si="55"/>
        <v>0</v>
      </c>
      <c r="O376" s="66">
        <f t="shared" si="55"/>
        <v>0</v>
      </c>
      <c r="P376" s="66">
        <f t="shared" si="55"/>
        <v>0</v>
      </c>
    </row>
    <row r="377" spans="1:16">
      <c r="A377" t="s">
        <v>2829</v>
      </c>
      <c r="B377" s="66">
        <f>-ABS(E123)</f>
        <v>0</v>
      </c>
      <c r="C377" s="66">
        <f t="shared" si="55"/>
        <v>0</v>
      </c>
      <c r="D377" s="66">
        <f t="shared" si="55"/>
        <v>0</v>
      </c>
      <c r="E377" s="66">
        <f t="shared" si="55"/>
        <v>0</v>
      </c>
      <c r="F377" s="66">
        <f t="shared" si="55"/>
        <v>0</v>
      </c>
      <c r="G377" s="66">
        <f t="shared" si="55"/>
        <v>0</v>
      </c>
      <c r="H377" s="66">
        <f t="shared" si="55"/>
        <v>0</v>
      </c>
      <c r="I377" s="66">
        <f t="shared" si="55"/>
        <v>0</v>
      </c>
      <c r="J377" s="66">
        <f t="shared" si="55"/>
        <v>0</v>
      </c>
      <c r="K377" s="66">
        <f t="shared" si="56"/>
        <v>0</v>
      </c>
      <c r="L377" s="66">
        <f t="shared" si="56"/>
        <v>0</v>
      </c>
      <c r="M377" s="66">
        <f t="shared" si="56"/>
        <v>0</v>
      </c>
      <c r="N377" s="66">
        <f t="shared" si="55"/>
        <v>0</v>
      </c>
      <c r="O377" s="66">
        <f t="shared" si="55"/>
        <v>0</v>
      </c>
      <c r="P377" s="66">
        <f t="shared" si="55"/>
        <v>0</v>
      </c>
    </row>
    <row r="378" spans="1:16">
      <c r="A378" t="s">
        <v>2830</v>
      </c>
      <c r="B378" s="66">
        <f>-ABS(E124)</f>
        <v>0</v>
      </c>
      <c r="C378" s="66">
        <f t="shared" si="55"/>
        <v>0</v>
      </c>
      <c r="D378" s="66">
        <f t="shared" si="55"/>
        <v>0</v>
      </c>
      <c r="E378" s="66">
        <f t="shared" si="55"/>
        <v>0</v>
      </c>
      <c r="F378" s="66">
        <f t="shared" si="55"/>
        <v>0</v>
      </c>
      <c r="G378" s="66">
        <f t="shared" si="55"/>
        <v>0</v>
      </c>
      <c r="H378" s="66">
        <f t="shared" si="55"/>
        <v>0</v>
      </c>
      <c r="I378" s="66">
        <f t="shared" si="55"/>
        <v>0</v>
      </c>
      <c r="J378" s="66">
        <f t="shared" si="55"/>
        <v>0</v>
      </c>
      <c r="K378" s="66">
        <f t="shared" si="56"/>
        <v>0</v>
      </c>
      <c r="L378" s="66">
        <f t="shared" si="56"/>
        <v>0</v>
      </c>
      <c r="M378" s="66">
        <f t="shared" si="56"/>
        <v>0</v>
      </c>
      <c r="N378" s="66">
        <f t="shared" si="55"/>
        <v>0</v>
      </c>
      <c r="O378" s="66">
        <f t="shared" si="55"/>
        <v>0</v>
      </c>
      <c r="P378" s="66">
        <f t="shared" si="55"/>
        <v>0</v>
      </c>
    </row>
    <row r="379" spans="1:16">
      <c r="A379" t="s">
        <v>2831</v>
      </c>
      <c r="B379" s="66">
        <f t="shared" ref="B379:P379" si="57">B375+B376+B377+B378</f>
        <v>0</v>
      </c>
      <c r="C379" s="66">
        <f t="shared" si="57"/>
        <v>0</v>
      </c>
      <c r="D379" s="66">
        <f t="shared" si="57"/>
        <v>0</v>
      </c>
      <c r="E379" s="66">
        <f t="shared" si="57"/>
        <v>0</v>
      </c>
      <c r="F379" s="66">
        <f t="shared" si="57"/>
        <v>0</v>
      </c>
      <c r="G379" s="66">
        <f t="shared" si="57"/>
        <v>0</v>
      </c>
      <c r="H379" s="66">
        <f t="shared" si="57"/>
        <v>0</v>
      </c>
      <c r="I379" s="66">
        <f t="shared" si="57"/>
        <v>0</v>
      </c>
      <c r="J379" s="66">
        <f t="shared" si="57"/>
        <v>0</v>
      </c>
      <c r="K379" s="66">
        <f t="shared" si="57"/>
        <v>0</v>
      </c>
      <c r="L379" s="66">
        <f t="shared" si="57"/>
        <v>0</v>
      </c>
      <c r="M379" s="66">
        <f t="shared" si="57"/>
        <v>0</v>
      </c>
      <c r="N379" s="66">
        <f t="shared" si="57"/>
        <v>0</v>
      </c>
      <c r="O379" s="66">
        <f t="shared" si="57"/>
        <v>0</v>
      </c>
      <c r="P379" s="66">
        <f t="shared" si="57"/>
        <v>0</v>
      </c>
    </row>
    <row r="380" spans="1:16">
      <c r="A380" t="s">
        <v>1244</v>
      </c>
      <c r="B380" s="200" t="str">
        <f>IF($B$370,0,IF(SUM(B376:B378) = 0, "Loans Missing",  B375/ABS(B376+B377+B378)))</f>
        <v>Loans Missing</v>
      </c>
      <c r="C380" s="200" t="str">
        <f t="shared" ref="C380:P380" si="58">IF($B$370,0,IF(SUM(C376:C378) = 0, "Loans Missing",  C375/ABS(C376+C377+C378)))</f>
        <v>Loans Missing</v>
      </c>
      <c r="D380" s="200" t="str">
        <f t="shared" si="58"/>
        <v>Loans Missing</v>
      </c>
      <c r="E380" s="200" t="str">
        <f t="shared" si="58"/>
        <v>Loans Missing</v>
      </c>
      <c r="F380" s="200" t="str">
        <f t="shared" si="58"/>
        <v>Loans Missing</v>
      </c>
      <c r="G380" s="200" t="str">
        <f t="shared" si="58"/>
        <v>Loans Missing</v>
      </c>
      <c r="H380" s="200" t="str">
        <f t="shared" si="58"/>
        <v>Loans Missing</v>
      </c>
      <c r="I380" s="200" t="str">
        <f t="shared" si="58"/>
        <v>Loans Missing</v>
      </c>
      <c r="J380" s="200" t="str">
        <f t="shared" si="58"/>
        <v>Loans Missing</v>
      </c>
      <c r="K380" s="200" t="str">
        <f t="shared" si="58"/>
        <v>Loans Missing</v>
      </c>
      <c r="L380" s="200" t="str">
        <f t="shared" si="58"/>
        <v>Loans Missing</v>
      </c>
      <c r="M380" s="200" t="str">
        <f t="shared" si="58"/>
        <v>Loans Missing</v>
      </c>
      <c r="N380" s="200" t="str">
        <f t="shared" si="58"/>
        <v>Loans Missing</v>
      </c>
      <c r="O380" s="200" t="str">
        <f t="shared" si="58"/>
        <v>Loans Missing</v>
      </c>
      <c r="P380" s="200" t="str">
        <f t="shared" si="58"/>
        <v>Loans Missing</v>
      </c>
    </row>
    <row r="381" spans="1:16">
      <c r="B381" s="195"/>
      <c r="C381" s="195"/>
      <c r="D381" s="195"/>
      <c r="E381" s="195"/>
      <c r="F381" s="195"/>
      <c r="G381" s="195"/>
      <c r="H381" s="195"/>
      <c r="I381" s="195"/>
      <c r="J381" s="195"/>
      <c r="K381" s="195"/>
      <c r="L381" s="195"/>
      <c r="M381" s="195"/>
      <c r="N381" s="195"/>
      <c r="O381" s="195"/>
      <c r="P381" s="195"/>
    </row>
    <row r="382" spans="1:16">
      <c r="A382" t="s">
        <v>2832</v>
      </c>
      <c r="B382" s="66">
        <f t="shared" ref="B382:P382" si="59">B379</f>
        <v>0</v>
      </c>
      <c r="C382" s="66">
        <f t="shared" si="59"/>
        <v>0</v>
      </c>
      <c r="D382" s="66">
        <f t="shared" si="59"/>
        <v>0</v>
      </c>
      <c r="E382" s="66">
        <f t="shared" si="59"/>
        <v>0</v>
      </c>
      <c r="F382" s="66">
        <f t="shared" si="59"/>
        <v>0</v>
      </c>
      <c r="G382" s="66">
        <f t="shared" si="59"/>
        <v>0</v>
      </c>
      <c r="H382" s="66">
        <f t="shared" si="59"/>
        <v>0</v>
      </c>
      <c r="I382" s="66">
        <f t="shared" si="59"/>
        <v>0</v>
      </c>
      <c r="J382" s="66">
        <f t="shared" si="59"/>
        <v>0</v>
      </c>
      <c r="K382" s="66">
        <f t="shared" si="59"/>
        <v>0</v>
      </c>
      <c r="L382" s="66">
        <f t="shared" si="59"/>
        <v>0</v>
      </c>
      <c r="M382" s="66">
        <f t="shared" si="59"/>
        <v>0</v>
      </c>
      <c r="N382" s="66">
        <f t="shared" si="59"/>
        <v>0</v>
      </c>
      <c r="O382" s="66">
        <f t="shared" si="59"/>
        <v>0</v>
      </c>
      <c r="P382" s="66">
        <f t="shared" si="59"/>
        <v>0</v>
      </c>
    </row>
    <row r="383" spans="1:16">
      <c r="A383" t="str">
        <f>'Proforma, Income &amp; Expense'!A4</f>
        <v>Partnership/Asset Mgt. Fees</v>
      </c>
      <c r="B383" s="66">
        <f>-ABS('Proforma, Income &amp; Expense'!B4)</f>
        <v>0</v>
      </c>
      <c r="C383" s="66">
        <f>-ABS('Proforma, Income &amp; Expense'!C4)</f>
        <v>0</v>
      </c>
      <c r="D383" s="66">
        <f>-ABS('Proforma, Income &amp; Expense'!D4)</f>
        <v>0</v>
      </c>
      <c r="E383" s="66">
        <f>-ABS('Proforma, Income &amp; Expense'!E4)</f>
        <v>0</v>
      </c>
      <c r="F383" s="66">
        <f>-ABS('Proforma, Income &amp; Expense'!F4)</f>
        <v>0</v>
      </c>
      <c r="G383" s="66">
        <f>-ABS('Proforma, Income &amp; Expense'!G4)</f>
        <v>0</v>
      </c>
      <c r="H383" s="66">
        <f>-ABS('Proforma, Income &amp; Expense'!H4)</f>
        <v>0</v>
      </c>
      <c r="I383" s="66">
        <f>-ABS('Proforma, Income &amp; Expense'!I4)</f>
        <v>0</v>
      </c>
      <c r="J383" s="66">
        <f>-ABS('Proforma, Income &amp; Expense'!J4)</f>
        <v>0</v>
      </c>
      <c r="K383" s="66">
        <f>-ABS('Proforma, Income &amp; Expense'!K4)</f>
        <v>0</v>
      </c>
      <c r="L383" s="66">
        <f>-ABS('Proforma, Income &amp; Expense'!L4)</f>
        <v>0</v>
      </c>
      <c r="M383" s="66">
        <f>-ABS('Proforma, Income &amp; Expense'!M4)</f>
        <v>0</v>
      </c>
      <c r="N383" s="66">
        <f>-ABS('Proforma, Income &amp; Expense'!N4)</f>
        <v>0</v>
      </c>
      <c r="O383" s="66">
        <f>-ABS('Proforma, Income &amp; Expense'!O4)</f>
        <v>0</v>
      </c>
      <c r="P383" s="66">
        <f>-ABS('Proforma, Income &amp; Expense'!P4)</f>
        <v>0</v>
      </c>
    </row>
    <row r="384" spans="1:16" ht="15" customHeight="1">
      <c r="A384" t="str">
        <f>'Proforma, Income &amp; Expense'!A5</f>
        <v>Bond Fees (if applicable)</v>
      </c>
      <c r="B384" s="66">
        <f>-ABS('Proforma, Income &amp; Expense'!B5)</f>
        <v>0</v>
      </c>
      <c r="C384" s="66">
        <f>-ABS('Proforma, Income &amp; Expense'!C5)</f>
        <v>0</v>
      </c>
      <c r="D384" s="66">
        <f>-ABS('Proforma, Income &amp; Expense'!D5)</f>
        <v>0</v>
      </c>
      <c r="E384" s="66">
        <f>-ABS('Proforma, Income &amp; Expense'!E5)</f>
        <v>0</v>
      </c>
      <c r="F384" s="66">
        <f>-ABS('Proforma, Income &amp; Expense'!F5)</f>
        <v>0</v>
      </c>
      <c r="G384" s="66">
        <f>-ABS('Proforma, Income &amp; Expense'!G5)</f>
        <v>0</v>
      </c>
      <c r="H384" s="66">
        <f>-ABS('Proforma, Income &amp; Expense'!H5)</f>
        <v>0</v>
      </c>
      <c r="I384" s="66">
        <f>-ABS('Proforma, Income &amp; Expense'!I5)</f>
        <v>0</v>
      </c>
      <c r="J384" s="66">
        <f>-ABS('Proforma, Income &amp; Expense'!J5)</f>
        <v>0</v>
      </c>
      <c r="K384" s="66">
        <f>-ABS('Proforma, Income &amp; Expense'!K5)</f>
        <v>0</v>
      </c>
      <c r="L384" s="66">
        <f>-ABS('Proforma, Income &amp; Expense'!L5)</f>
        <v>0</v>
      </c>
      <c r="M384" s="66">
        <f>-ABS('Proforma, Income &amp; Expense'!M5)</f>
        <v>0</v>
      </c>
      <c r="N384" s="66">
        <f>-ABS('Proforma, Income &amp; Expense'!N5)</f>
        <v>0</v>
      </c>
      <c r="O384" s="66">
        <f>-ABS('Proforma, Income &amp; Expense'!O5)</f>
        <v>0</v>
      </c>
      <c r="P384" s="66">
        <f>-ABS('Proforma, Income &amp; Expense'!P5)</f>
        <v>0</v>
      </c>
    </row>
    <row r="385" spans="1:32">
      <c r="A385" t="str">
        <f>'Proforma, Income &amp; Expense'!A6</f>
        <v>Deferred Developer Fee Repayment*</v>
      </c>
      <c r="B385" s="66">
        <f>-ABS('Proforma, Income &amp; Expense'!B6)</f>
        <v>0</v>
      </c>
      <c r="C385" s="66">
        <f>-ABS('Proforma, Income &amp; Expense'!C6)</f>
        <v>0</v>
      </c>
      <c r="D385" s="66">
        <f>-ABS('Proforma, Income &amp; Expense'!D6)</f>
        <v>0</v>
      </c>
      <c r="E385" s="66">
        <f>-ABS('Proforma, Income &amp; Expense'!E6)</f>
        <v>0</v>
      </c>
      <c r="F385" s="66">
        <f>-ABS('Proforma, Income &amp; Expense'!F6)</f>
        <v>0</v>
      </c>
      <c r="G385" s="66">
        <f>-ABS('Proforma, Income &amp; Expense'!G6)</f>
        <v>0</v>
      </c>
      <c r="H385" s="66">
        <f>-ABS('Proforma, Income &amp; Expense'!H6)</f>
        <v>0</v>
      </c>
      <c r="I385" s="66">
        <f>-ABS('Proforma, Income &amp; Expense'!I6)</f>
        <v>0</v>
      </c>
      <c r="J385" s="66">
        <f>-ABS('Proforma, Income &amp; Expense'!J6)</f>
        <v>0</v>
      </c>
      <c r="K385" s="66">
        <f>-ABS('Proforma, Income &amp; Expense'!K6)</f>
        <v>0</v>
      </c>
      <c r="L385" s="66">
        <f>-ABS('Proforma, Income &amp; Expense'!L6)</f>
        <v>0</v>
      </c>
      <c r="M385" s="66">
        <f>-ABS('Proforma, Income &amp; Expense'!M6)</f>
        <v>0</v>
      </c>
      <c r="N385" s="66">
        <f>-ABS('Proforma, Income &amp; Expense'!N6)</f>
        <v>0</v>
      </c>
      <c r="O385" s="66">
        <f>-ABS('Proforma, Income &amp; Expense'!O6)</f>
        <v>0</v>
      </c>
      <c r="P385" s="66">
        <f>-ABS('Proforma, Income &amp; Expense'!P6)</f>
        <v>0</v>
      </c>
    </row>
    <row r="386" spans="1:32">
      <c r="A386" t="str">
        <f>'Proforma, Income &amp; Expense'!A7</f>
        <v>Other (Specify)</v>
      </c>
      <c r="B386" s="66">
        <f>-ABS('Proforma, Income &amp; Expense'!B7)</f>
        <v>0</v>
      </c>
      <c r="C386" s="66">
        <f>-ABS('Proforma, Income &amp; Expense'!C7)</f>
        <v>0</v>
      </c>
      <c r="D386" s="66">
        <f>-ABS('Proforma, Income &amp; Expense'!D7)</f>
        <v>0</v>
      </c>
      <c r="E386" s="66">
        <f>-ABS('Proforma, Income &amp; Expense'!E7)</f>
        <v>0</v>
      </c>
      <c r="F386" s="66">
        <f>-ABS('Proforma, Income &amp; Expense'!F7)</f>
        <v>0</v>
      </c>
      <c r="G386" s="66">
        <f>-ABS('Proforma, Income &amp; Expense'!G7)</f>
        <v>0</v>
      </c>
      <c r="H386" s="66">
        <f>-ABS('Proforma, Income &amp; Expense'!H7)</f>
        <v>0</v>
      </c>
      <c r="I386" s="66">
        <f>-ABS('Proforma, Income &amp; Expense'!I7)</f>
        <v>0</v>
      </c>
      <c r="J386" s="66">
        <f>-ABS('Proforma, Income &amp; Expense'!J7)</f>
        <v>0</v>
      </c>
      <c r="K386" s="66">
        <f>-ABS('Proforma, Income &amp; Expense'!K7)</f>
        <v>0</v>
      </c>
      <c r="L386" s="66">
        <f>-ABS('Proforma, Income &amp; Expense'!L7)</f>
        <v>0</v>
      </c>
      <c r="M386" s="66">
        <f>-ABS('Proforma, Income &amp; Expense'!M7)</f>
        <v>0</v>
      </c>
      <c r="N386" s="66">
        <f>-ABS('Proforma, Income &amp; Expense'!N7)</f>
        <v>0</v>
      </c>
      <c r="O386" s="66">
        <f>-ABS('Proforma, Income &amp; Expense'!O7)</f>
        <v>0</v>
      </c>
      <c r="P386" s="66">
        <f>-ABS('Proforma, Income &amp; Expense'!P7)</f>
        <v>0</v>
      </c>
    </row>
    <row r="387" spans="1:32">
      <c r="A387" t="str">
        <f>'Proforma, Income &amp; Expense'!A8</f>
        <v>Cash Flow Paid for Services</v>
      </c>
      <c r="B387" s="66">
        <f>-ABS('Proforma, Income &amp; Expense'!B8)</f>
        <v>0</v>
      </c>
      <c r="C387" s="66">
        <f>-ABS('Proforma, Income &amp; Expense'!C8)</f>
        <v>0</v>
      </c>
      <c r="D387" s="66">
        <f>-ABS('Proforma, Income &amp; Expense'!D8)</f>
        <v>0</v>
      </c>
      <c r="E387" s="66">
        <f>-ABS('Proforma, Income &amp; Expense'!E8)</f>
        <v>0</v>
      </c>
      <c r="F387" s="66">
        <f>-ABS('Proforma, Income &amp; Expense'!F8)</f>
        <v>0</v>
      </c>
      <c r="G387" s="66">
        <f>-ABS('Proforma, Income &amp; Expense'!G8)</f>
        <v>0</v>
      </c>
      <c r="H387" s="66">
        <f>-ABS('Proforma, Income &amp; Expense'!H8)</f>
        <v>0</v>
      </c>
      <c r="I387" s="66">
        <f>-ABS('Proforma, Income &amp; Expense'!I8)</f>
        <v>0</v>
      </c>
      <c r="J387" s="66">
        <f>-ABS('Proforma, Income &amp; Expense'!J8)</f>
        <v>0</v>
      </c>
      <c r="K387" s="66">
        <f>-ABS('Proforma, Income &amp; Expense'!K8)</f>
        <v>0</v>
      </c>
      <c r="L387" s="66">
        <f>-ABS('Proforma, Income &amp; Expense'!L8)</f>
        <v>0</v>
      </c>
      <c r="M387" s="66">
        <f>-ABS('Proforma, Income &amp; Expense'!M8)</f>
        <v>0</v>
      </c>
      <c r="N387" s="66">
        <f>-ABS('Proforma, Income &amp; Expense'!N8)</f>
        <v>0</v>
      </c>
      <c r="O387" s="66">
        <f>-ABS('Proforma, Income &amp; Expense'!O8)</f>
        <v>0</v>
      </c>
      <c r="P387" s="66">
        <f>-ABS('Proforma, Income &amp; Expense'!P8)</f>
        <v>0</v>
      </c>
      <c r="Q387" s="16" t="s">
        <v>2833</v>
      </c>
      <c r="R387" s="16"/>
      <c r="S387" s="16"/>
      <c r="T387" s="16"/>
      <c r="U387" s="16"/>
    </row>
    <row r="388" spans="1:32">
      <c r="A388" t="s">
        <v>2834</v>
      </c>
      <c r="B388" s="66">
        <f>SUM(B382:B387)</f>
        <v>0</v>
      </c>
      <c r="C388" s="66">
        <f t="shared" ref="C388:P388" si="60">SUM(C382:C387)</f>
        <v>0</v>
      </c>
      <c r="D388" s="66">
        <f t="shared" si="60"/>
        <v>0</v>
      </c>
      <c r="E388" s="66">
        <f t="shared" si="60"/>
        <v>0</v>
      </c>
      <c r="F388" s="66">
        <f t="shared" si="60"/>
        <v>0</v>
      </c>
      <c r="G388" s="66">
        <f t="shared" si="60"/>
        <v>0</v>
      </c>
      <c r="H388" s="66">
        <f t="shared" si="60"/>
        <v>0</v>
      </c>
      <c r="I388" s="66">
        <f t="shared" si="60"/>
        <v>0</v>
      </c>
      <c r="J388" s="66">
        <f t="shared" si="60"/>
        <v>0</v>
      </c>
      <c r="K388" s="66">
        <f t="shared" si="60"/>
        <v>0</v>
      </c>
      <c r="L388" s="66">
        <f t="shared" si="60"/>
        <v>0</v>
      </c>
      <c r="M388" s="66">
        <f t="shared" si="60"/>
        <v>0</v>
      </c>
      <c r="N388" s="66">
        <f t="shared" si="60"/>
        <v>0</v>
      </c>
      <c r="O388" s="66">
        <f t="shared" si="60"/>
        <v>0</v>
      </c>
      <c r="P388" s="66">
        <f t="shared" si="60"/>
        <v>0</v>
      </c>
    </row>
    <row r="389" spans="1:32">
      <c r="B389" s="66"/>
      <c r="C389" s="66"/>
      <c r="D389" s="66"/>
      <c r="E389" s="66"/>
      <c r="F389" s="66"/>
      <c r="G389" s="66"/>
      <c r="H389" s="66"/>
      <c r="I389" s="66"/>
      <c r="J389" s="66"/>
      <c r="K389" s="66"/>
      <c r="L389" s="66"/>
      <c r="M389" s="66"/>
      <c r="N389" s="66"/>
      <c r="O389" s="66"/>
      <c r="P389" s="66"/>
      <c r="Q389">
        <f>MATCH(0,R393:AF393,0)</f>
        <v>1</v>
      </c>
    </row>
    <row r="390" spans="1:32">
      <c r="A390" t="s">
        <v>397</v>
      </c>
      <c r="B390" s="66">
        <f>B139</f>
        <v>0</v>
      </c>
      <c r="C390" s="67" t="s">
        <v>2835</v>
      </c>
      <c r="D390" s="129" t="str">
        <f>IF(ISNA(Q389) = TRUE, "After Year 15", CONCATENATE("IN YEAR ",Q389))</f>
        <v>IN YEAR 1</v>
      </c>
      <c r="E390" s="1"/>
      <c r="G390" t="str">
        <f>IF(B388:K388&lt;=0,"Cash Flow After Above Obligations Must Be Positive"," ")</f>
        <v>Cash Flow After Above Obligations Must Be Positive</v>
      </c>
      <c r="Q390" t="s">
        <v>2836</v>
      </c>
      <c r="R390" t="s">
        <v>559</v>
      </c>
      <c r="S390" t="s">
        <v>560</v>
      </c>
      <c r="T390" t="s">
        <v>561</v>
      </c>
      <c r="U390" t="s">
        <v>562</v>
      </c>
      <c r="V390" t="s">
        <v>563</v>
      </c>
      <c r="W390" t="s">
        <v>564</v>
      </c>
      <c r="X390" t="s">
        <v>565</v>
      </c>
      <c r="Y390" t="s">
        <v>566</v>
      </c>
      <c r="Z390" t="s">
        <v>567</v>
      </c>
      <c r="AA390" t="s">
        <v>568</v>
      </c>
      <c r="AB390" t="s">
        <v>569</v>
      </c>
      <c r="AC390" t="s">
        <v>570</v>
      </c>
      <c r="AD390" t="s">
        <v>571</v>
      </c>
      <c r="AE390" t="s">
        <v>572</v>
      </c>
      <c r="AF390" t="s">
        <v>573</v>
      </c>
    </row>
    <row r="391" spans="1:32">
      <c r="A391" t="s">
        <v>1006</v>
      </c>
      <c r="B391" s="66">
        <f>SUM(B382:K382)</f>
        <v>0</v>
      </c>
      <c r="F391" t="b">
        <f>B391&gt;=B139</f>
        <v>1</v>
      </c>
      <c r="G391" t="str">
        <f>INDEX(Comments_10_Year_Test_table[],MATCH(F391,Comments_10_Year_Test_table[10 Year Cash Flow],0),2)</f>
        <v>The 10 Year cash flow available after obligations payable test has been met</v>
      </c>
      <c r="Q391" t="s">
        <v>2837</v>
      </c>
      <c r="R391" s="66">
        <f>B139</f>
        <v>0</v>
      </c>
      <c r="S391" s="66">
        <f t="shared" ref="S391:AF391" si="61">R393</f>
        <v>0</v>
      </c>
      <c r="T391" s="66">
        <f t="shared" si="61"/>
        <v>0</v>
      </c>
      <c r="U391" s="66">
        <f t="shared" si="61"/>
        <v>0</v>
      </c>
      <c r="V391" s="66">
        <f t="shared" si="61"/>
        <v>0</v>
      </c>
      <c r="W391" s="66">
        <f t="shared" si="61"/>
        <v>0</v>
      </c>
      <c r="X391" s="66">
        <f t="shared" si="61"/>
        <v>0</v>
      </c>
      <c r="Y391" s="66">
        <f t="shared" si="61"/>
        <v>0</v>
      </c>
      <c r="Z391" s="66">
        <f t="shared" si="61"/>
        <v>0</v>
      </c>
      <c r="AA391" s="66">
        <f t="shared" si="61"/>
        <v>0</v>
      </c>
      <c r="AB391" s="66">
        <f t="shared" si="61"/>
        <v>0</v>
      </c>
      <c r="AC391" s="66">
        <f t="shared" si="61"/>
        <v>0</v>
      </c>
      <c r="AD391" s="66">
        <f t="shared" si="61"/>
        <v>0</v>
      </c>
      <c r="AE391" s="66">
        <f t="shared" si="61"/>
        <v>0</v>
      </c>
      <c r="AF391" s="66">
        <f t="shared" si="61"/>
        <v>0</v>
      </c>
    </row>
    <row r="392" spans="1:32">
      <c r="A392" t="s">
        <v>1007</v>
      </c>
      <c r="B392" s="66">
        <f>SUM(B382:P382)</f>
        <v>0</v>
      </c>
      <c r="F392" t="b">
        <f>B392&gt;=B139</f>
        <v>1</v>
      </c>
      <c r="G392" t="str">
        <f>INDEX(Comments_15_Year_Test_Table[],MATCH(F392,Comments_15_Year_Test_Table[15 Year Cash Flow],0),2)</f>
        <v>The 15 Year cash flow available after obligations payable test has been met</v>
      </c>
      <c r="Q392" t="s">
        <v>2838</v>
      </c>
      <c r="R392" s="149">
        <f>IF((R391&lt;(B382)),R391,ABS(B385))</f>
        <v>0</v>
      </c>
      <c r="S392" s="149">
        <f t="shared" ref="S392:AF392" si="62">IF((S391&lt;(C382)),S391,ABS(C385))</f>
        <v>0</v>
      </c>
      <c r="T392" s="149">
        <f t="shared" si="62"/>
        <v>0</v>
      </c>
      <c r="U392" s="149">
        <f t="shared" si="62"/>
        <v>0</v>
      </c>
      <c r="V392" s="149">
        <f t="shared" si="62"/>
        <v>0</v>
      </c>
      <c r="W392" s="149">
        <f t="shared" si="62"/>
        <v>0</v>
      </c>
      <c r="X392" s="149">
        <f t="shared" si="62"/>
        <v>0</v>
      </c>
      <c r="Y392" s="149">
        <f t="shared" si="62"/>
        <v>0</v>
      </c>
      <c r="Z392" s="149">
        <f t="shared" si="62"/>
        <v>0</v>
      </c>
      <c r="AA392" s="149">
        <f>IF((AA391&lt;(K382)),AA391,ABS(K385))</f>
        <v>0</v>
      </c>
      <c r="AB392" s="149">
        <f>IF((AB391&lt;(L382)),AB391,ABS(L385))</f>
        <v>0</v>
      </c>
      <c r="AC392" s="149">
        <f>IF((AC391&lt;(M382)),AC391,ABS(M385))</f>
        <v>0</v>
      </c>
      <c r="AD392" s="149">
        <f t="shared" si="62"/>
        <v>0</v>
      </c>
      <c r="AE392" s="149">
        <f t="shared" si="62"/>
        <v>0</v>
      </c>
      <c r="AF392" s="149">
        <f t="shared" si="62"/>
        <v>0</v>
      </c>
    </row>
    <row r="393" spans="1:32">
      <c r="D393" s="67" t="s">
        <v>2839</v>
      </c>
      <c r="E393" s="12">
        <f>Admin!B9</f>
        <v>1.1499999999999999</v>
      </c>
      <c r="F393" t="e">
        <f>ROUNDDOWN(B380,4)&gt;=ROUNDDOWN(Admin!B9,4)</f>
        <v>#VALUE!</v>
      </c>
      <c r="G393" t="e">
        <f>INDEX(Comments_Min_DCR_table[],MATCH(F393,Comments_Min_DCR_table[Min DCR],0),2)</f>
        <v>#VALUE!</v>
      </c>
      <c r="Q393" t="s">
        <v>2840</v>
      </c>
      <c r="R393" s="66">
        <f>IF(R391-R392&lt;0,0,R391-R392)</f>
        <v>0</v>
      </c>
      <c r="S393" s="66">
        <f t="shared" ref="S393:AF393" si="63">IF(S391-S392&lt;0,0,S391-S392)</f>
        <v>0</v>
      </c>
      <c r="T393" s="66">
        <f t="shared" si="63"/>
        <v>0</v>
      </c>
      <c r="U393" s="66">
        <f t="shared" si="63"/>
        <v>0</v>
      </c>
      <c r="V393" s="66">
        <f t="shared" si="63"/>
        <v>0</v>
      </c>
      <c r="W393" s="66">
        <f t="shared" si="63"/>
        <v>0</v>
      </c>
      <c r="X393" s="66">
        <f t="shared" si="63"/>
        <v>0</v>
      </c>
      <c r="Y393" s="66">
        <f t="shared" si="63"/>
        <v>0</v>
      </c>
      <c r="Z393" s="66">
        <f t="shared" si="63"/>
        <v>0</v>
      </c>
      <c r="AA393" s="66">
        <f t="shared" si="63"/>
        <v>0</v>
      </c>
      <c r="AB393" s="66">
        <f t="shared" si="63"/>
        <v>0</v>
      </c>
      <c r="AC393" s="66">
        <f t="shared" si="63"/>
        <v>0</v>
      </c>
      <c r="AD393" s="66">
        <f t="shared" si="63"/>
        <v>0</v>
      </c>
      <c r="AE393" s="66">
        <f t="shared" si="63"/>
        <v>0</v>
      </c>
      <c r="AF393" s="66">
        <f t="shared" si="63"/>
        <v>0</v>
      </c>
    </row>
    <row r="394" spans="1:32">
      <c r="E394" s="1"/>
    </row>
    <row r="395" spans="1:32">
      <c r="A395" s="194" t="s">
        <v>2841</v>
      </c>
      <c r="B395" s="99"/>
      <c r="C395" s="99"/>
      <c r="D395" s="99"/>
      <c r="E395" s="99"/>
      <c r="F395" s="99"/>
      <c r="G395" s="99"/>
      <c r="H395" s="99"/>
      <c r="I395" s="99"/>
      <c r="J395" s="99"/>
      <c r="K395" s="99"/>
      <c r="L395" s="99"/>
      <c r="M395" s="99"/>
      <c r="N395" s="99"/>
      <c r="O395" s="99"/>
      <c r="P395" s="99"/>
    </row>
    <row r="396" spans="1:32">
      <c r="D396" s="49"/>
      <c r="E396" s="1"/>
    </row>
    <row r="397" spans="1:32">
      <c r="A397" s="22" t="s">
        <v>2842</v>
      </c>
      <c r="D397" t="s">
        <v>2843</v>
      </c>
    </row>
    <row r="398" spans="1:32">
      <c r="A398" t="s">
        <v>2844</v>
      </c>
      <c r="B398" t="e">
        <f>INDEX(Developer_Additional_Question_Table[[Dev Fee Max Allowed Percent 1]:[Dev Fee Max Allowed Percent 3]],  MATCH(C398, Developer_Additional_Question_Table[Developer Additional Question], 0),  D398)</f>
        <v>#N/A</v>
      </c>
      <c r="C398">
        <f>Application!B9</f>
        <v>0</v>
      </c>
      <c r="D398" s="49">
        <f t="array" ref="D398">MATCH(1, ($H$44 &lt;= Admin!C60:C62) * ($H$44&gt;=Admin!B60:B62), 0)</f>
        <v>1</v>
      </c>
    </row>
    <row r="399" spans="1:32">
      <c r="A399" t="s">
        <v>2845</v>
      </c>
      <c r="B399" s="66">
        <f>B183</f>
        <v>0</v>
      </c>
      <c r="E399" s="1"/>
    </row>
    <row r="400" spans="1:32">
      <c r="A400" t="s">
        <v>2846</v>
      </c>
      <c r="B400" s="66">
        <f>B184</f>
        <v>0</v>
      </c>
      <c r="E400" s="1"/>
    </row>
    <row r="401" spans="1:5">
      <c r="A401" t="s">
        <v>1011</v>
      </c>
      <c r="B401" s="66">
        <f>SUM(B399:B400)</f>
        <v>0</v>
      </c>
      <c r="E401" s="1"/>
    </row>
    <row r="402" spans="1:5">
      <c r="A402" t="s">
        <v>2847</v>
      </c>
      <c r="B402" s="66"/>
      <c r="E402" s="1"/>
    </row>
    <row r="403" spans="1:5">
      <c r="A403" s="209" t="s">
        <v>1014</v>
      </c>
      <c r="B403" s="66">
        <f>B178+B179+B181</f>
        <v>0</v>
      </c>
      <c r="E403" s="1"/>
    </row>
    <row r="404" spans="1:5">
      <c r="A404" s="209" t="s">
        <v>1015</v>
      </c>
      <c r="B404" s="66">
        <f>B174</f>
        <v>0</v>
      </c>
      <c r="E404" s="1"/>
    </row>
    <row r="405" spans="1:5">
      <c r="A405" s="209" t="s">
        <v>1016</v>
      </c>
      <c r="B405" s="66">
        <f>B185</f>
        <v>0</v>
      </c>
      <c r="E405" s="1"/>
    </row>
    <row r="406" spans="1:5" ht="15.75" thickBot="1">
      <c r="A406" s="209" t="s">
        <v>510</v>
      </c>
      <c r="B406" s="66">
        <f>B180</f>
        <v>0</v>
      </c>
      <c r="E406" s="1"/>
    </row>
    <row r="407" spans="1:5" ht="15.75" thickTop="1">
      <c r="A407" s="73" t="s">
        <v>2848</v>
      </c>
      <c r="B407" s="450">
        <f>SUM(B403:B406)</f>
        <v>0</v>
      </c>
      <c r="E407" s="1"/>
    </row>
    <row r="408" spans="1:5">
      <c r="A408" t="s">
        <v>2849</v>
      </c>
      <c r="B408" s="66" t="e">
        <f>B407*B398</f>
        <v>#N/A</v>
      </c>
      <c r="D408" s="67" t="s">
        <v>2850</v>
      </c>
      <c r="E408" s="308">
        <f>IF(B407=0,0,B401/B407)</f>
        <v>0</v>
      </c>
    </row>
    <row r="409" spans="1:5">
      <c r="A409" s="73" t="s">
        <v>1019</v>
      </c>
      <c r="B409" s="66" t="e">
        <f>IF(B401 &gt; B408, B401-B408, 0)</f>
        <v>#N/A</v>
      </c>
      <c r="E409" s="1"/>
    </row>
    <row r="410" spans="1:5">
      <c r="E410" s="1"/>
    </row>
    <row r="411" spans="1:5">
      <c r="A411" s="22" t="s">
        <v>2851</v>
      </c>
      <c r="E411" s="1"/>
    </row>
    <row r="412" spans="1:5">
      <c r="A412" t="s">
        <v>2844</v>
      </c>
      <c r="B412">
        <f t="array" ref="B412">INDEX(Dev_Fee_Aggregate_Max_Allowed_Table[%], MATCH(1, ($H$44 &lt;= Dev_Fee_Aggregate_Max_Allowed_Table[unit max]) * ($H$44&gt;=Dev_Fee_Aggregate_Max_Allowed_Table[unit min]), 0))</f>
        <v>0.15</v>
      </c>
      <c r="E412" s="1"/>
    </row>
    <row r="413" spans="1:5">
      <c r="A413" t="s">
        <v>2852</v>
      </c>
      <c r="B413">
        <f>IF(Application!B107 = "Yes", Admin!B57, 0)</f>
        <v>0</v>
      </c>
      <c r="C413" s="1"/>
      <c r="D413" s="1"/>
      <c r="E413" s="1"/>
    </row>
    <row r="414" spans="1:5">
      <c r="A414" t="s">
        <v>1998</v>
      </c>
      <c r="B414" s="66">
        <f>B288</f>
        <v>0</v>
      </c>
      <c r="E414" s="1"/>
    </row>
    <row r="415" spans="1:5">
      <c r="A415" t="s">
        <v>2853</v>
      </c>
      <c r="B415" s="66" t="e">
        <f>-B409</f>
        <v>#N/A</v>
      </c>
      <c r="E415" s="1"/>
    </row>
    <row r="416" spans="1:5" s="321" customFormat="1" ht="14.25" customHeight="1">
      <c r="A416" s="321" t="s">
        <v>2854</v>
      </c>
      <c r="B416" s="512">
        <f>IF(Admin!B27="yes",0,-Calculations!B170*0.5)</f>
        <v>0</v>
      </c>
      <c r="C416" s="321" t="str">
        <f>IF(Admin!B27="yes", "existing structures override granted", "")</f>
        <v/>
      </c>
      <c r="E416" s="491"/>
    </row>
    <row r="417" spans="1:16">
      <c r="A417" t="s">
        <v>2855</v>
      </c>
      <c r="B417" s="66">
        <f>-B169</f>
        <v>0</v>
      </c>
      <c r="E417" s="1"/>
      <c r="F417" s="1"/>
    </row>
    <row r="418" spans="1:16">
      <c r="A418" t="s">
        <v>2856</v>
      </c>
      <c r="B418" s="66">
        <f>-SUM(B272:B278)</f>
        <v>0</v>
      </c>
      <c r="E418" s="1"/>
    </row>
    <row r="419" spans="1:16" ht="15.75" thickBot="1">
      <c r="A419" t="s">
        <v>2857</v>
      </c>
      <c r="B419" s="66">
        <f>-SUM(B281:B286)</f>
        <v>0</v>
      </c>
      <c r="E419" s="1"/>
    </row>
    <row r="420" spans="1:16" ht="15.75" thickTop="1">
      <c r="A420" s="73" t="s">
        <v>2858</v>
      </c>
      <c r="B420" s="450" t="e">
        <f>SUM(B414:B419)</f>
        <v>#N/A</v>
      </c>
      <c r="E420" s="1"/>
    </row>
    <row r="421" spans="1:16">
      <c r="A421" t="s">
        <v>2859</v>
      </c>
      <c r="B421" s="66" t="e">
        <f>ROUND(B420*(B426), 0)</f>
        <v>#N/A</v>
      </c>
      <c r="C421" s="123"/>
      <c r="F421" s="22" t="s">
        <v>2860</v>
      </c>
    </row>
    <row r="422" spans="1:16">
      <c r="A422" t="s">
        <v>2861</v>
      </c>
      <c r="B422" s="66">
        <f>SUM(B272,B273,B274,B276,B277,B278)</f>
        <v>0</v>
      </c>
      <c r="D422" s="67" t="s">
        <v>2862</v>
      </c>
      <c r="E422" s="197">
        <f>IFERROR(B422/B420,0)</f>
        <v>0</v>
      </c>
      <c r="F422" t="b">
        <f>B412&gt;=E422</f>
        <v>1</v>
      </c>
      <c r="G422" t="str">
        <f>IF(NOT(F422),CONCATENATE("cannot exceed ", TEXT(B412, "0.00%")),"")</f>
        <v/>
      </c>
    </row>
    <row r="423" spans="1:16" ht="15.75" thickBot="1">
      <c r="A423" t="s">
        <v>2863</v>
      </c>
      <c r="B423" s="66">
        <f>B275</f>
        <v>0</v>
      </c>
      <c r="D423" s="67" t="s">
        <v>2864</v>
      </c>
      <c r="E423" s="197">
        <f>IFERROR(B423/B420,0)</f>
        <v>0</v>
      </c>
      <c r="F423" t="b">
        <f>B413&gt;=E423</f>
        <v>1</v>
      </c>
      <c r="G423" t="str">
        <f>IF(NOT(F423),CONCATENATE("cannot exceed ", TEXT(B413, "0.00%")),"")</f>
        <v/>
      </c>
    </row>
    <row r="424" spans="1:16" s="321" customFormat="1" ht="15.75" thickTop="1">
      <c r="A424" s="473" t="s">
        <v>1019</v>
      </c>
      <c r="B424" s="474" t="e">
        <f>IF(B422+B423 &gt; B421, B422-B421+B423, 0)</f>
        <v>#N/A</v>
      </c>
      <c r="D424" s="475" t="s">
        <v>982</v>
      </c>
      <c r="E424" s="476">
        <f>B422+B423</f>
        <v>0</v>
      </c>
    </row>
    <row r="425" spans="1:16">
      <c r="A425" t="s">
        <v>2862</v>
      </c>
      <c r="B425" s="197" t="e">
        <f>IF(B420=0,0,(B422+B423)/B420)</f>
        <v>#N/A</v>
      </c>
      <c r="E425" s="1"/>
    </row>
    <row r="426" spans="1:16">
      <c r="A426" s="73" t="s">
        <v>2865</v>
      </c>
      <c r="B426" s="197">
        <f>B412+B413</f>
        <v>0.15</v>
      </c>
      <c r="E426" s="1"/>
    </row>
    <row r="427" spans="1:16">
      <c r="E427" s="1"/>
    </row>
    <row r="428" spans="1:16">
      <c r="A428" s="248" t="s">
        <v>2866</v>
      </c>
      <c r="B428" s="99"/>
      <c r="C428" s="99"/>
      <c r="D428" s="99"/>
      <c r="E428" s="99"/>
      <c r="F428" s="99"/>
      <c r="G428" s="99"/>
      <c r="H428" s="99"/>
      <c r="I428" s="99"/>
      <c r="J428" s="99"/>
      <c r="K428" s="99"/>
      <c r="L428" s="99"/>
      <c r="M428" s="99"/>
      <c r="N428" s="99"/>
      <c r="O428" s="99"/>
      <c r="P428" s="99"/>
    </row>
    <row r="429" spans="1:16">
      <c r="F429" s="1"/>
    </row>
    <row r="430" spans="1:16">
      <c r="A430" t="s">
        <v>2715</v>
      </c>
      <c r="B430" t="b">
        <f>$B$6</f>
        <v>0</v>
      </c>
      <c r="F430" s="1"/>
    </row>
    <row r="431" spans="1:16">
      <c r="A431" t="s">
        <v>2719</v>
      </c>
      <c r="B431" t="b">
        <f>$B$10</f>
        <v>0</v>
      </c>
      <c r="F431" s="1"/>
    </row>
    <row r="432" spans="1:16">
      <c r="A432" t="s">
        <v>2716</v>
      </c>
      <c r="B432" t="b">
        <f>$B$7</f>
        <v>0</v>
      </c>
      <c r="F432" s="1"/>
    </row>
    <row r="433" spans="1:16">
      <c r="B433" t="s">
        <v>888</v>
      </c>
      <c r="C433" t="s">
        <v>122</v>
      </c>
      <c r="F433" s="1"/>
    </row>
    <row r="434" spans="1:16">
      <c r="A434" s="22" t="s">
        <v>889</v>
      </c>
      <c r="F434" s="1"/>
    </row>
    <row r="435" spans="1:16">
      <c r="A435" s="207">
        <v>0.04</v>
      </c>
      <c r="B435" s="66">
        <f>IF($B$430, 0, $C$288)</f>
        <v>0</v>
      </c>
      <c r="C435" s="66">
        <f>IF($B$430, 0, $C$288)</f>
        <v>0</v>
      </c>
      <c r="D435" t="s">
        <v>2867</v>
      </c>
      <c r="F435" s="1"/>
    </row>
    <row r="436" spans="1:16">
      <c r="A436" s="207">
        <v>0.09</v>
      </c>
      <c r="B436" s="66">
        <f>IF($B$430,$D$288,0)</f>
        <v>0</v>
      </c>
      <c r="C436" s="66">
        <f>IF($B$430,$D$288,0)</f>
        <v>0</v>
      </c>
      <c r="D436" t="s">
        <v>2868</v>
      </c>
      <c r="F436" s="1"/>
    </row>
    <row r="437" spans="1:16">
      <c r="A437" t="s">
        <v>2869</v>
      </c>
      <c r="B437" s="66">
        <f>IF(AND($B$430, $B$432), $B$170, 0)</f>
        <v>0</v>
      </c>
      <c r="C437" s="66">
        <f>IF(AND($B$430, $B$432), $B$170, 0)</f>
        <v>0</v>
      </c>
      <c r="D437" t="s">
        <v>2870</v>
      </c>
      <c r="F437" s="1"/>
    </row>
    <row r="438" spans="1:16" ht="17.25">
      <c r="B438" s="66"/>
      <c r="C438" s="66"/>
      <c r="D438" s="280" t="s">
        <v>2871</v>
      </c>
      <c r="F438" s="1"/>
    </row>
    <row r="439" spans="1:16">
      <c r="A439" t="s">
        <v>889</v>
      </c>
      <c r="B439" s="66">
        <f>SUM(B435:B437)</f>
        <v>0</v>
      </c>
      <c r="C439" s="66">
        <f>SUM(C435:C437)</f>
        <v>0</v>
      </c>
      <c r="D439" s="66" t="str">
        <f>IF(AND(Admin!$B$16, $B$10),C439,"")</f>
        <v/>
      </c>
      <c r="F439" s="1"/>
    </row>
    <row r="440" spans="1:16">
      <c r="A440" t="s">
        <v>2872</v>
      </c>
      <c r="B440" s="66" t="e">
        <f>-$B$424</f>
        <v>#N/A</v>
      </c>
      <c r="C440" s="66" t="e">
        <f>-$B$424</f>
        <v>#N/A</v>
      </c>
      <c r="D440" s="66" t="str">
        <f>IF(AND(Admin!$B$16, $B$10),C440,"")</f>
        <v/>
      </c>
      <c r="F440" s="1"/>
    </row>
    <row r="441" spans="1:16" ht="15.75" thickBot="1">
      <c r="A441" t="s">
        <v>2873</v>
      </c>
      <c r="B441" s="66">
        <f>-ABS(IF(Admin!$B$68 = "", Application!B83, Admin!$B$68))</f>
        <v>0</v>
      </c>
      <c r="C441" s="66">
        <f>-ABS(IF(Admin!$B$69 = "",Application!B85, Admin!$B$69))</f>
        <v>0</v>
      </c>
      <c r="D441" s="66" t="str">
        <f>IF(AND(Admin!$B$16, $B$10),C441,"")</f>
        <v/>
      </c>
      <c r="E441" t="s">
        <v>2874</v>
      </c>
      <c r="F441" s="1"/>
    </row>
    <row r="442" spans="1:16" ht="15.75" thickTop="1">
      <c r="A442" t="s">
        <v>893</v>
      </c>
      <c r="B442" s="198" t="e">
        <f>SUM(B439:B441)</f>
        <v>#N/A</v>
      </c>
      <c r="C442" s="198" t="e">
        <f>SUM(C439:C441)</f>
        <v>#N/A</v>
      </c>
      <c r="D442" s="198" t="str">
        <f>IF(AND(Admin!$B$16, $B$10),C442,"")</f>
        <v/>
      </c>
      <c r="F442" s="1"/>
    </row>
    <row r="443" spans="1:16">
      <c r="B443" s="66"/>
      <c r="E443" s="1"/>
    </row>
    <row r="444" spans="1:16">
      <c r="E444" s="1"/>
    </row>
    <row r="445" spans="1:16">
      <c r="A445" s="194" t="s">
        <v>2875</v>
      </c>
      <c r="B445" s="99"/>
      <c r="C445" s="99"/>
      <c r="D445" s="99"/>
      <c r="E445" s="99"/>
      <c r="F445" s="99"/>
      <c r="G445" s="99"/>
      <c r="H445" s="99"/>
      <c r="I445" s="99"/>
      <c r="J445" s="99"/>
      <c r="K445" s="99"/>
      <c r="L445" s="99"/>
      <c r="M445" s="99"/>
      <c r="N445" s="99"/>
      <c r="O445" s="99"/>
      <c r="P445" s="99"/>
    </row>
    <row r="446" spans="1:16">
      <c r="E446" s="1"/>
    </row>
    <row r="447" spans="1:16">
      <c r="A447" t="s">
        <v>2876</v>
      </c>
      <c r="B447" t="b">
        <f>$B$20</f>
        <v>0</v>
      </c>
      <c r="E447" s="1"/>
    </row>
    <row r="449" spans="1:3">
      <c r="A449" s="13" t="s">
        <v>2877</v>
      </c>
    </row>
    <row r="450" spans="1:3" ht="18.75">
      <c r="A450" s="249" t="s">
        <v>2878</v>
      </c>
    </row>
    <row r="451" spans="1:3">
      <c r="A451" t="s">
        <v>822</v>
      </c>
      <c r="B451" s="66" t="e">
        <f>$B$442</f>
        <v>#N/A</v>
      </c>
    </row>
    <row r="452" spans="1:3" ht="15.75" thickBot="1">
      <c r="A452" t="s">
        <v>2879</v>
      </c>
      <c r="B452" s="66">
        <f>IF(B7, 'Development Budget'!C5, 0)</f>
        <v>0</v>
      </c>
    </row>
    <row r="453" spans="1:3" ht="15.75" thickTop="1">
      <c r="B453" s="450" t="e">
        <f>B451-B452</f>
        <v>#N/A</v>
      </c>
    </row>
    <row r="454" spans="1:3" ht="15.75" thickBot="1">
      <c r="A454" t="s">
        <v>2880</v>
      </c>
      <c r="B454" s="12">
        <f>IF($B$447, Admin!$B$70, 1)</f>
        <v>1</v>
      </c>
    </row>
    <row r="455" spans="1:3" ht="15.75" thickTop="1">
      <c r="A455" t="s">
        <v>2881</v>
      </c>
      <c r="B455" s="450" t="e">
        <f>ROUND(B453*B454, 0)</f>
        <v>#N/A</v>
      </c>
    </row>
    <row r="456" spans="1:3" ht="15.75" thickBot="1">
      <c r="A456" t="s">
        <v>896</v>
      </c>
      <c r="B456" s="70">
        <f>$K$73</f>
        <v>0</v>
      </c>
    </row>
    <row r="457" spans="1:3" ht="15.75" thickTop="1">
      <c r="A457" t="s">
        <v>2882</v>
      </c>
      <c r="B457" s="450" t="e">
        <f>ROUND(B455*B456, 0)</f>
        <v>#N/A</v>
      </c>
    </row>
    <row r="458" spans="1:3" ht="15.75" thickBot="1">
      <c r="A458" t="s">
        <v>2883</v>
      </c>
      <c r="B458" s="325">
        <f>IF($B$6, Application!$B$17, Application!$B$18)</f>
        <v>0.04</v>
      </c>
      <c r="C458" t="s">
        <v>2884</v>
      </c>
    </row>
    <row r="459" spans="1:3" ht="15.75" thickTop="1">
      <c r="A459" t="s">
        <v>2885</v>
      </c>
      <c r="B459" s="450" t="e">
        <f>ROUND(B457*B458, 0)</f>
        <v>#N/A</v>
      </c>
    </row>
    <row r="461" spans="1:3" ht="18.75">
      <c r="A461" s="249" t="s">
        <v>2886</v>
      </c>
    </row>
    <row r="462" spans="1:3">
      <c r="A462" t="s">
        <v>822</v>
      </c>
      <c r="B462" s="66">
        <f>C170</f>
        <v>0</v>
      </c>
    </row>
    <row r="463" spans="1:3" ht="15.75" thickBot="1">
      <c r="A463" t="s">
        <v>896</v>
      </c>
      <c r="B463" s="70">
        <f>$K$73</f>
        <v>0</v>
      </c>
    </row>
    <row r="464" spans="1:3" ht="15.75" thickTop="1">
      <c r="A464" t="s">
        <v>2882</v>
      </c>
      <c r="B464" s="450">
        <f>B462*B463</f>
        <v>0</v>
      </c>
    </row>
    <row r="465" spans="1:11" ht="15.75" thickBot="1">
      <c r="A465" t="s">
        <v>2883</v>
      </c>
      <c r="B465" s="325">
        <f>Application!$B$19</f>
        <v>0.04</v>
      </c>
      <c r="C465" t="s">
        <v>2887</v>
      </c>
    </row>
    <row r="466" spans="1:11" ht="15.75" thickTop="1">
      <c r="A466" t="s">
        <v>2888</v>
      </c>
      <c r="B466" s="450">
        <f>B464*B465</f>
        <v>0</v>
      </c>
    </row>
    <row r="468" spans="1:11">
      <c r="A468" s="1" t="s">
        <v>2889</v>
      </c>
      <c r="B468" s="199" t="e">
        <f>B459+B466</f>
        <v>#N/A</v>
      </c>
    </row>
    <row r="470" spans="1:11">
      <c r="A470" s="13" t="s">
        <v>2890</v>
      </c>
    </row>
    <row r="471" spans="1:11">
      <c r="A471" t="s">
        <v>900</v>
      </c>
      <c r="B471" s="66">
        <f>$B$288</f>
        <v>0</v>
      </c>
    </row>
    <row r="472" spans="1:11" ht="15.75" thickBot="1">
      <c r="A472" t="s">
        <v>975</v>
      </c>
      <c r="B472" s="66">
        <f>IF(Admin!B22&gt;0, Admin!B22, $B$142)</f>
        <v>0</v>
      </c>
      <c r="D472" s="418" t="s">
        <v>2891</v>
      </c>
      <c r="E472" s="418"/>
      <c r="F472" s="418"/>
      <c r="G472" s="418"/>
      <c r="H472" s="418"/>
      <c r="I472" s="418"/>
      <c r="J472" s="418"/>
      <c r="K472" s="418"/>
    </row>
    <row r="473" spans="1:11" ht="15.75" thickTop="1">
      <c r="A473" t="s">
        <v>2892</v>
      </c>
      <c r="B473" s="450">
        <f>B471-B472</f>
        <v>0</v>
      </c>
    </row>
    <row r="474" spans="1:11" ht="15.75" thickBot="1">
      <c r="A474" t="s">
        <v>904</v>
      </c>
      <c r="B474" s="211">
        <f>Application!$B$15</f>
        <v>0</v>
      </c>
    </row>
    <row r="475" spans="1:11" ht="15.75" thickTop="1">
      <c r="A475" s="1" t="s">
        <v>2885</v>
      </c>
      <c r="B475" s="198">
        <f>IFERROR(B473/(B474*10),0)</f>
        <v>0</v>
      </c>
    </row>
    <row r="477" spans="1:11">
      <c r="A477" s="13" t="s">
        <v>2893</v>
      </c>
    </row>
    <row r="478" spans="1:11">
      <c r="A478" t="s">
        <v>2894</v>
      </c>
      <c r="B478" t="e">
        <f>INDEX(Admin!$B$107:$B$170, Calculations!$B$14)</f>
        <v>#VALUE!</v>
      </c>
    </row>
    <row r="479" spans="1:11">
      <c r="A479" t="s">
        <v>2895</v>
      </c>
      <c r="B479">
        <f>IFERROR(INDEX(Zone_Factor_Table[Factor],MATCH(Calculations!B478,Zone_Factor_Table[Zone],0)),0)</f>
        <v>0</v>
      </c>
    </row>
    <row r="480" spans="1:11">
      <c r="A480" t="s">
        <v>2896</v>
      </c>
      <c r="B480">
        <f>IF(ISNA(MATCH(Application!$B$60, Building_Type_Table[Building Type])), 1, INDEX(Building_Type_Table[Basis Limit test Index], MATCH(Application!$B$60, Building_Type_Table[Building Type], 0)))</f>
        <v>1</v>
      </c>
    </row>
    <row r="482" spans="1:5">
      <c r="B482" t="s">
        <v>1352</v>
      </c>
      <c r="C482" t="s">
        <v>2897</v>
      </c>
      <c r="D482" t="s">
        <v>2898</v>
      </c>
      <c r="E482" t="s">
        <v>2881</v>
      </c>
    </row>
    <row r="483" spans="1:5">
      <c r="A483" t="s">
        <v>366</v>
      </c>
      <c r="B483">
        <f>$B$44</f>
        <v>0</v>
      </c>
      <c r="C483" s="66">
        <f>INDEX(Basis_Limit_Test_Table[[Elevator Base]:[Non-Elevator Base]], MATCH(Calculations!$A483, Basis_Limit_Test_Table[Bedrooms], 0), $B$480)</f>
        <v>89067</v>
      </c>
      <c r="D483" s="66">
        <f t="shared" ref="D483:D488" si="64">TRUNC(($B$479*C483),0)</f>
        <v>0</v>
      </c>
      <c r="E483" s="66">
        <f t="shared" ref="E483:E488" si="65">D483*B483</f>
        <v>0</v>
      </c>
    </row>
    <row r="484" spans="1:5">
      <c r="A484" t="s">
        <v>367</v>
      </c>
      <c r="B484">
        <f>$C$44</f>
        <v>0</v>
      </c>
      <c r="C484" s="66">
        <f>INDEX(Basis_Limit_Test_Table[[Elevator Base]:[Non-Elevator Base]], MATCH(Calculations!$A484, Basis_Limit_Test_Table[Bedrooms], 0), $B$480)</f>
        <v>102108</v>
      </c>
      <c r="D484" s="66">
        <f>TRUNC(($B$479*C484),0)</f>
        <v>0</v>
      </c>
      <c r="E484" s="66">
        <f>D484*B484</f>
        <v>0</v>
      </c>
    </row>
    <row r="485" spans="1:5">
      <c r="A485" t="s">
        <v>368</v>
      </c>
      <c r="B485">
        <f>$D$44</f>
        <v>0</v>
      </c>
      <c r="C485" s="66">
        <f>INDEX(Basis_Limit_Test_Table[[Elevator Base]:[Non-Elevator Base]], MATCH(Calculations!$A485, Basis_Limit_Test_Table[Bedrooms], 0), $B$480)</f>
        <v>124155</v>
      </c>
      <c r="D485" s="66">
        <f t="shared" si="64"/>
        <v>0</v>
      </c>
      <c r="E485" s="66">
        <f t="shared" si="65"/>
        <v>0</v>
      </c>
    </row>
    <row r="486" spans="1:5">
      <c r="A486" t="s">
        <v>369</v>
      </c>
      <c r="B486">
        <f>$E$44</f>
        <v>0</v>
      </c>
      <c r="C486" s="66">
        <f>INDEX(Basis_Limit_Test_Table[[Elevator Base]:[Non-Elevator Base]], MATCH(Calculations!$A486, Basis_Limit_Test_Table[Bedrooms], 0), $B$480)</f>
        <v>160614</v>
      </c>
      <c r="D486" s="66">
        <f t="shared" si="64"/>
        <v>0</v>
      </c>
      <c r="E486" s="66">
        <f t="shared" si="65"/>
        <v>0</v>
      </c>
    </row>
    <row r="487" spans="1:5">
      <c r="A487" t="s">
        <v>370</v>
      </c>
      <c r="B487">
        <f>$F$44</f>
        <v>0</v>
      </c>
      <c r="C487" s="66">
        <f>INDEX(Basis_Limit_Test_Table[[Elevator Base]:[Non-Elevator Base]], MATCH(Calculations!$A487, Basis_Limit_Test_Table[Bedrooms], 0), $B$480)</f>
        <v>176308</v>
      </c>
      <c r="D487" s="66">
        <f t="shared" si="64"/>
        <v>0</v>
      </c>
      <c r="E487" s="66">
        <f t="shared" si="65"/>
        <v>0</v>
      </c>
    </row>
    <row r="488" spans="1:5" ht="15.75" thickBot="1">
      <c r="A488" t="s">
        <v>371</v>
      </c>
      <c r="B488">
        <f>$G$44</f>
        <v>0</v>
      </c>
      <c r="C488" s="66">
        <f>INDEX(Basis_Limit_Test_Table[[Elevator Base]:[Non-Elevator Base]], MATCH(Calculations!$A488, Basis_Limit_Test_Table[Bedrooms], 0), $B$480)</f>
        <v>192056</v>
      </c>
      <c r="D488" s="66">
        <f t="shared" si="64"/>
        <v>0</v>
      </c>
      <c r="E488" s="66">
        <f t="shared" si="65"/>
        <v>0</v>
      </c>
    </row>
    <row r="489" spans="1:5" ht="15.75" thickTop="1">
      <c r="E489" s="198">
        <f>SUM(E483:E488)</f>
        <v>0</v>
      </c>
    </row>
    <row r="490" spans="1:5">
      <c r="E490" s="199"/>
    </row>
    <row r="491" spans="1:5">
      <c r="A491" t="s">
        <v>2881</v>
      </c>
      <c r="B491" s="66">
        <f>IF(Admin!B24&gt;0, Admin!B24, E489)</f>
        <v>0</v>
      </c>
      <c r="E491" s="199"/>
    </row>
    <row r="492" spans="1:5">
      <c r="A492" t="s">
        <v>2880</v>
      </c>
      <c r="B492" s="12">
        <f>IF($B$447, Admin!$B$70, 1)</f>
        <v>1</v>
      </c>
      <c r="E492" s="199"/>
    </row>
    <row r="493" spans="1:5" ht="15.75" thickBot="1">
      <c r="A493" t="s">
        <v>896</v>
      </c>
      <c r="B493" s="137">
        <f>$K$73</f>
        <v>0</v>
      </c>
      <c r="E493" s="199"/>
    </row>
    <row r="494" spans="1:5" ht="15.75" thickTop="1">
      <c r="A494" t="s">
        <v>2899</v>
      </c>
      <c r="B494" s="450">
        <f>B491*B492*B493</f>
        <v>0</v>
      </c>
      <c r="D494" t="str">
        <f>IF(Admin!$B$24&gt;0,"cost basis override granted - federal credit","")</f>
        <v/>
      </c>
      <c r="E494" s="199"/>
    </row>
    <row r="495" spans="1:5" ht="15.75" thickBot="1">
      <c r="A495" t="s">
        <v>2883</v>
      </c>
      <c r="B495" s="325">
        <f>IF($B$6, Application!$B$17, Application!$B$18)</f>
        <v>0.04</v>
      </c>
      <c r="D495" t="str">
        <f>IF(Admin!$B$25&gt;0, "cost basis override granted - state credit", "")</f>
        <v/>
      </c>
      <c r="E495" s="199"/>
    </row>
    <row r="496" spans="1:5" ht="15.75" thickTop="1">
      <c r="A496" s="1" t="s">
        <v>2900</v>
      </c>
      <c r="B496" s="198">
        <f>B494*B495</f>
        <v>0</v>
      </c>
      <c r="D496" t="str">
        <f>IF(AND(Admin!$B$24&gt;0, Admin!$B$25&gt;0), "cost basis override granted", CONCATENATE(D494,D495))</f>
        <v/>
      </c>
      <c r="E496" s="199"/>
    </row>
    <row r="497" spans="1:16">
      <c r="E497" s="199"/>
    </row>
    <row r="498" spans="1:16">
      <c r="A498" t="s">
        <v>2901</v>
      </c>
      <c r="B498" s="66">
        <f>IF(Application!B72="Yes", "", Admin!B13)</f>
        <v>1450000</v>
      </c>
      <c r="E498" s="199"/>
    </row>
    <row r="500" spans="1:16">
      <c r="A500" s="253"/>
      <c r="B500" s="254"/>
      <c r="C500" s="253"/>
      <c r="D500" s="253"/>
      <c r="E500" s="253"/>
      <c r="F500" s="253"/>
    </row>
    <row r="501" spans="1:16">
      <c r="A501" t="s">
        <v>2902</v>
      </c>
      <c r="B501" s="66" t="e">
        <f>MIN(B468, B475, B496, B498)</f>
        <v>#N/A</v>
      </c>
    </row>
    <row r="502" spans="1:16" ht="15.75" thickBot="1">
      <c r="A502" t="s">
        <v>2903</v>
      </c>
      <c r="B502" s="66">
        <f>B614</f>
        <v>0</v>
      </c>
    </row>
    <row r="503" spans="1:16" ht="15.75" thickTop="1">
      <c r="B503" s="450" t="e">
        <f>SUM(B501:B502)</f>
        <v>#N/A</v>
      </c>
    </row>
    <row r="505" spans="1:16">
      <c r="A505" s="1" t="s">
        <v>913</v>
      </c>
      <c r="B505" s="199" t="e">
        <f>IF(AND($B$6, B503 &gt; Admin!$B$13), Admin!$B$13, B503)</f>
        <v>#N/A</v>
      </c>
      <c r="C505" t="s">
        <v>2904</v>
      </c>
    </row>
    <row r="507" spans="1:16">
      <c r="E507" s="199"/>
    </row>
    <row r="508" spans="1:16">
      <c r="A508" s="194" t="s">
        <v>2905</v>
      </c>
      <c r="B508" s="99"/>
      <c r="C508" s="99"/>
      <c r="D508" s="99"/>
      <c r="E508" s="99"/>
      <c r="F508" s="99"/>
      <c r="G508" s="99"/>
      <c r="H508" s="99"/>
      <c r="I508" s="99"/>
      <c r="J508" s="99"/>
      <c r="K508" s="99"/>
      <c r="L508" s="99"/>
      <c r="M508" s="99"/>
      <c r="N508" s="99"/>
      <c r="O508" s="99"/>
      <c r="P508" s="99"/>
    </row>
    <row r="509" spans="1:16">
      <c r="E509" s="199"/>
    </row>
    <row r="510" spans="1:16">
      <c r="A510" t="s">
        <v>2876</v>
      </c>
      <c r="B510" t="b">
        <f>$B$20</f>
        <v>0</v>
      </c>
      <c r="E510" s="199"/>
    </row>
    <row r="511" spans="1:16">
      <c r="C511" s="22" t="s">
        <v>2871</v>
      </c>
      <c r="F511" s="13" t="s">
        <v>2906</v>
      </c>
    </row>
    <row r="512" spans="1:16">
      <c r="A512" s="13" t="s">
        <v>2877</v>
      </c>
      <c r="E512" s="199"/>
      <c r="F512" t="s">
        <v>2907</v>
      </c>
      <c r="G512" s="1" t="b">
        <f>IF(ISNA(MATCH(Application!$B$10,Tax_Credit_Type_Table[Type Of Tax Credit],0)), FALSE,INDEX(Tax_Credit_Type_Table[Use Alternate Credit Calculation], MATCH(Application!$B$10,Tax_Credit_Type_Table[Type Of Tax Credit],0), 1))</f>
        <v>0</v>
      </c>
    </row>
    <row r="513" spans="1:7">
      <c r="A513" t="s">
        <v>893</v>
      </c>
      <c r="B513" s="66" t="e">
        <f>$B$442</f>
        <v>#N/A</v>
      </c>
      <c r="C513" s="66" t="str">
        <f>IF(AND(Admin!$B$16, $B$10),B513,"")</f>
        <v/>
      </c>
      <c r="E513" s="199"/>
      <c r="F513" t="s">
        <v>924</v>
      </c>
      <c r="G513" s="149">
        <f>H40+H42</f>
        <v>0</v>
      </c>
    </row>
    <row r="514" spans="1:7" ht="15.75" thickBot="1">
      <c r="A514" t="s">
        <v>2880</v>
      </c>
      <c r="B514" s="12">
        <f>IF($B$510, Admin!$B$70, 1)</f>
        <v>1</v>
      </c>
      <c r="C514" s="12" t="str">
        <f>IF(AND(Admin!$B$16, $B$10),B514,"")</f>
        <v/>
      </c>
      <c r="E514" s="199"/>
      <c r="F514" t="s">
        <v>2908</v>
      </c>
      <c r="G514" s="149" t="str">
        <f>IF(AND(Admin!B20&gt;0, G512),Admin!B20,"0")</f>
        <v>0</v>
      </c>
    </row>
    <row r="515" spans="1:7" ht="15.75" thickTop="1">
      <c r="A515" t="s">
        <v>2881</v>
      </c>
      <c r="B515" s="450" t="e">
        <f>ROUND(B513*B514, 0)</f>
        <v>#N/A</v>
      </c>
      <c r="C515" s="450" t="str">
        <f>IF(AND(Admin!$B$16, $B$10),B515,"")</f>
        <v/>
      </c>
      <c r="E515" s="199"/>
      <c r="F515" s="1" t="s">
        <v>2885</v>
      </c>
      <c r="G515" s="198" t="str">
        <f>IF(AND(Admin!B20&gt;0, G512),G514*G513,"")</f>
        <v/>
      </c>
    </row>
    <row r="516" spans="1:7" ht="15.75" thickBot="1">
      <c r="A516" t="s">
        <v>896</v>
      </c>
      <c r="B516" s="137">
        <f>$K$73</f>
        <v>0</v>
      </c>
      <c r="C516" s="137" t="str">
        <f>IF(AND(Admin!$B$16, $B$10),B516,"")</f>
        <v/>
      </c>
      <c r="E516" s="199"/>
      <c r="F516" t="s">
        <v>2909</v>
      </c>
      <c r="G516" s="149" t="str">
        <f>IF(AND(Admin!B20&gt;0, G512), Admin!B21, "")</f>
        <v/>
      </c>
    </row>
    <row r="517" spans="1:7" ht="15.75" thickTop="1">
      <c r="A517" t="s">
        <v>2882</v>
      </c>
      <c r="B517" s="450" t="e">
        <f>B515*B516</f>
        <v>#N/A</v>
      </c>
      <c r="C517" s="450" t="str">
        <f>IF(AND(Admin!$B$16, $B$10),B517,"")</f>
        <v/>
      </c>
      <c r="E517" s="199"/>
      <c r="F517" s="1" t="s">
        <v>2910</v>
      </c>
      <c r="G517" s="198">
        <f>MIN(G515,G516)</f>
        <v>0</v>
      </c>
    </row>
    <row r="518" spans="1:7" ht="15.75" thickBot="1">
      <c r="A518" t="s">
        <v>2883</v>
      </c>
      <c r="B518" s="137">
        <f>IF(G525&lt;&gt;"", G525, 0.3)</f>
        <v>0.3</v>
      </c>
      <c r="C518" s="137" t="str">
        <f>IF(AND(Admin!$B$16, $B$10),B518,"")</f>
        <v/>
      </c>
      <c r="E518" s="199"/>
    </row>
    <row r="519" spans="1:7" ht="15.75" thickTop="1">
      <c r="A519" t="s">
        <v>2885</v>
      </c>
      <c r="B519" s="450" t="e">
        <f>ROUND(B517*B518, 0)</f>
        <v>#N/A</v>
      </c>
      <c r="C519" s="450" t="str">
        <f>IF(AND(Admin!$B$16, $B$10),B519,"")</f>
        <v/>
      </c>
      <c r="E519" s="199"/>
    </row>
    <row r="520" spans="1:7">
      <c r="B520" s="66"/>
      <c r="C520" s="66"/>
      <c r="E520" s="199"/>
      <c r="F520" s="894" t="s">
        <v>2911</v>
      </c>
    </row>
    <row r="521" spans="1:7">
      <c r="A521" t="s">
        <v>2912</v>
      </c>
      <c r="B521" s="199" t="e">
        <f>B519/6</f>
        <v>#N/A</v>
      </c>
      <c r="C521" s="199" t="str">
        <f>IF(AND(Admin!$B$16, $B$10),B521,"")</f>
        <v/>
      </c>
      <c r="E521" s="199"/>
      <c r="F521" s="820" t="s">
        <v>2913</v>
      </c>
      <c r="G521" s="66">
        <f>Admin!B19</f>
        <v>0</v>
      </c>
    </row>
    <row r="522" spans="1:7">
      <c r="E522" s="199"/>
      <c r="F522" s="820" t="s">
        <v>2885</v>
      </c>
      <c r="G522" s="66">
        <f>G521*6</f>
        <v>0</v>
      </c>
    </row>
    <row r="523" spans="1:7">
      <c r="A523" s="13" t="s">
        <v>2914</v>
      </c>
      <c r="E523" s="199"/>
      <c r="F523" s="820" t="s">
        <v>2882</v>
      </c>
      <c r="G523" s="66" t="e">
        <f>B517</f>
        <v>#N/A</v>
      </c>
    </row>
    <row r="524" spans="1:7">
      <c r="A524" t="s">
        <v>900</v>
      </c>
      <c r="B524" s="66">
        <f>$B$288</f>
        <v>0</v>
      </c>
      <c r="C524" s="66" t="str">
        <f>IF(AND(Admin!$B$17, $B$10),B524,"")</f>
        <v/>
      </c>
      <c r="E524" s="199"/>
      <c r="F524" s="820" t="s">
        <v>2915</v>
      </c>
      <c r="G524" t="str">
        <f>IF(Admin!B19&gt;0, G522/G523, "")</f>
        <v/>
      </c>
    </row>
    <row r="525" spans="1:7">
      <c r="A525" t="s">
        <v>975</v>
      </c>
      <c r="B525" s="66">
        <f>IF(Admin!B23&gt;0, Admin!B23, $B$142)</f>
        <v>0</v>
      </c>
      <c r="C525" s="66" t="str">
        <f>IF(AND(Admin!$B$17, $B$10),B525,"")</f>
        <v/>
      </c>
    </row>
    <row r="526" spans="1:7" ht="15.75" thickBot="1">
      <c r="A526" t="s">
        <v>971</v>
      </c>
      <c r="B526" s="66" t="e">
        <f>B564</f>
        <v>#N/A</v>
      </c>
      <c r="C526" s="66" t="str">
        <f>IF(AND(Admin!$B$17, $B$10),B526,"")</f>
        <v/>
      </c>
    </row>
    <row r="527" spans="1:7" ht="15.75" thickTop="1">
      <c r="A527" t="s">
        <v>2892</v>
      </c>
      <c r="B527" s="450" t="e">
        <f>B524-(B525 + B526)</f>
        <v>#N/A</v>
      </c>
      <c r="C527" s="450" t="str">
        <f>IF(AND(Admin!$B$17, $B$10),B527,"")</f>
        <v/>
      </c>
    </row>
    <row r="528" spans="1:7" ht="15.75" thickBot="1">
      <c r="A528" t="s">
        <v>904</v>
      </c>
      <c r="B528" s="211">
        <f>Application!$B$16</f>
        <v>0</v>
      </c>
      <c r="C528" s="211" t="str">
        <f>IF(AND(Admin!$B$17, $B$10),B528,"")</f>
        <v/>
      </c>
    </row>
    <row r="529" spans="1:6" ht="15.75" thickTop="1">
      <c r="A529" s="1" t="s">
        <v>2885</v>
      </c>
      <c r="B529" s="198" t="e">
        <f>B527/(B528*6)</f>
        <v>#N/A</v>
      </c>
      <c r="C529" s="198" t="str">
        <f>IF(AND(Admin!$B$17, $B$10),B529,"")</f>
        <v/>
      </c>
    </row>
    <row r="531" spans="1:6">
      <c r="A531" s="13" t="s">
        <v>2916</v>
      </c>
    </row>
    <row r="532" spans="1:6">
      <c r="A532" t="s">
        <v>2894</v>
      </c>
      <c r="B532" t="e">
        <f>INDEX(Admin!$B$107:$B$170, Calculations!$B$14)</f>
        <v>#VALUE!</v>
      </c>
      <c r="C532" t="str">
        <f>IF(AND(Admin!$B$18, $B$10),B532,"")</f>
        <v/>
      </c>
    </row>
    <row r="533" spans="1:6">
      <c r="A533" t="s">
        <v>2895</v>
      </c>
      <c r="B533" t="e">
        <f>INDEX(Zone_Factor_Table[Factor],MATCH(Calculations!B532,Zone_Factor_Table[Zone],0))</f>
        <v>#VALUE!</v>
      </c>
      <c r="C533" t="str">
        <f>IF(AND(Admin!$B$18, $B$10),B533,"")</f>
        <v/>
      </c>
    </row>
    <row r="534" spans="1:6">
      <c r="A534" t="s">
        <v>2896</v>
      </c>
      <c r="B534">
        <f>IF(ISNA(MATCH(Application!$B$60, Building_Type_Table[Building Type])), 1, INDEX(Building_Type_Table[Basis Limit test Index], MATCH(Application!$B$60, Building_Type_Table[Building Type], 0)))</f>
        <v>1</v>
      </c>
      <c r="C534" t="str">
        <f>IF(AND(Admin!$B$18, $B$10),B534,"")</f>
        <v/>
      </c>
    </row>
    <row r="536" spans="1:6">
      <c r="B536" t="s">
        <v>1352</v>
      </c>
      <c r="C536" t="s">
        <v>2897</v>
      </c>
      <c r="D536" t="s">
        <v>2898</v>
      </c>
      <c r="E536" t="s">
        <v>2881</v>
      </c>
      <c r="F536" s="22" t="s">
        <v>2871</v>
      </c>
    </row>
    <row r="537" spans="1:6">
      <c r="A537" t="s">
        <v>366</v>
      </c>
      <c r="B537">
        <f>$B$44</f>
        <v>0</v>
      </c>
      <c r="C537" s="66">
        <f>INDEX(Basis_Limit_Test_Table[[Elevator Base]:[Non-Elevator Base]], MATCH(Calculations!$A537, Basis_Limit_Test_Table[Bedrooms], 0), $B$480)</f>
        <v>89067</v>
      </c>
      <c r="D537" s="66">
        <f t="shared" ref="D537:D542" si="66">TRUNC(($B$479*C537),0)</f>
        <v>0</v>
      </c>
      <c r="E537" s="66">
        <f t="shared" ref="E537:E542" si="67">D537*B537</f>
        <v>0</v>
      </c>
      <c r="F537" s="65" t="str">
        <f>IF(AND(Admin!$B$18, $B$10),E537,"")</f>
        <v/>
      </c>
    </row>
    <row r="538" spans="1:6">
      <c r="A538" t="s">
        <v>367</v>
      </c>
      <c r="B538">
        <f>$C$44</f>
        <v>0</v>
      </c>
      <c r="C538" s="66">
        <f>INDEX(Basis_Limit_Test_Table[[Elevator Base]:[Non-Elevator Base]], MATCH(Calculations!$A538, Basis_Limit_Test_Table[Bedrooms], 0), $B$480)</f>
        <v>102108</v>
      </c>
      <c r="D538" s="66">
        <f t="shared" si="66"/>
        <v>0</v>
      </c>
      <c r="E538" s="66">
        <f t="shared" si="67"/>
        <v>0</v>
      </c>
      <c r="F538" s="65" t="str">
        <f>IF(AND(Admin!$B$18, $B$10),E538,"")</f>
        <v/>
      </c>
    </row>
    <row r="539" spans="1:6">
      <c r="A539" t="s">
        <v>368</v>
      </c>
      <c r="B539">
        <f>$D$44</f>
        <v>0</v>
      </c>
      <c r="C539" s="66">
        <f>INDEX(Basis_Limit_Test_Table[[Elevator Base]:[Non-Elevator Base]], MATCH(Calculations!$A539, Basis_Limit_Test_Table[Bedrooms], 0), $B$480)</f>
        <v>124155</v>
      </c>
      <c r="D539" s="66">
        <f t="shared" si="66"/>
        <v>0</v>
      </c>
      <c r="E539" s="66">
        <f t="shared" si="67"/>
        <v>0</v>
      </c>
      <c r="F539" s="65" t="str">
        <f>IF(AND(Admin!$B$18, $B$10),E539,"")</f>
        <v/>
      </c>
    </row>
    <row r="540" spans="1:6">
      <c r="A540" t="s">
        <v>369</v>
      </c>
      <c r="B540">
        <f>$E$44</f>
        <v>0</v>
      </c>
      <c r="C540" s="66">
        <f>INDEX(Basis_Limit_Test_Table[[Elevator Base]:[Non-Elevator Base]], MATCH(Calculations!$A540, Basis_Limit_Test_Table[Bedrooms], 0), $B$480)</f>
        <v>160614</v>
      </c>
      <c r="D540" s="66">
        <f t="shared" si="66"/>
        <v>0</v>
      </c>
      <c r="E540" s="66">
        <f t="shared" si="67"/>
        <v>0</v>
      </c>
      <c r="F540" s="65" t="str">
        <f>IF(AND(Admin!$B$18, $B$10),E540,"")</f>
        <v/>
      </c>
    </row>
    <row r="541" spans="1:6">
      <c r="A541" t="s">
        <v>370</v>
      </c>
      <c r="B541">
        <f>$F$44</f>
        <v>0</v>
      </c>
      <c r="C541" s="66">
        <f>INDEX(Basis_Limit_Test_Table[[Elevator Base]:[Non-Elevator Base]], MATCH(Calculations!$A541, Basis_Limit_Test_Table[Bedrooms], 0), $B$480)</f>
        <v>176308</v>
      </c>
      <c r="D541" s="66">
        <f t="shared" si="66"/>
        <v>0</v>
      </c>
      <c r="E541" s="66">
        <f t="shared" si="67"/>
        <v>0</v>
      </c>
      <c r="F541" s="65" t="str">
        <f>IF(AND(Admin!$B$18, $B$10),E541,"")</f>
        <v/>
      </c>
    </row>
    <row r="542" spans="1:6" ht="15.75" thickBot="1">
      <c r="A542" t="s">
        <v>371</v>
      </c>
      <c r="B542">
        <f>$G$44</f>
        <v>0</v>
      </c>
      <c r="C542" s="66">
        <f>INDEX(Basis_Limit_Test_Table[[Elevator Base]:[Non-Elevator Base]], MATCH(Calculations!$A542, Basis_Limit_Test_Table[Bedrooms], 0), $B$480)</f>
        <v>192056</v>
      </c>
      <c r="D542" s="66">
        <f t="shared" si="66"/>
        <v>0</v>
      </c>
      <c r="E542" s="66">
        <f t="shared" si="67"/>
        <v>0</v>
      </c>
      <c r="F542" s="65" t="str">
        <f>IF(AND(Admin!$B$18, $B$10),E542,"")</f>
        <v/>
      </c>
    </row>
    <row r="543" spans="1:6" ht="15.75" thickTop="1">
      <c r="E543" s="198">
        <f>SUM(E537:E542)</f>
        <v>0</v>
      </c>
      <c r="F543" s="198" t="str">
        <f>IF(AND(Admin!$B$18, $B$10),E543,"")</f>
        <v/>
      </c>
    </row>
    <row r="544" spans="1:6">
      <c r="E544" s="199"/>
    </row>
    <row r="545" spans="1:16">
      <c r="A545" t="s">
        <v>2881</v>
      </c>
      <c r="B545">
        <f>IF(Admin!B25&gt;0, Admin!B25, E489)</f>
        <v>0</v>
      </c>
      <c r="C545" s="66" t="str">
        <f>IF(AND(Admin!$B$18, $B$10),B545,"")</f>
        <v/>
      </c>
      <c r="E545" s="199"/>
    </row>
    <row r="546" spans="1:16">
      <c r="A546" t="s">
        <v>2917</v>
      </c>
      <c r="B546" s="12">
        <f>IF($B$447, Admin!$B$70, 1)</f>
        <v>1</v>
      </c>
      <c r="C546" s="66" t="str">
        <f>IF(AND(Admin!$B$18, $B$10),B546,"")</f>
        <v/>
      </c>
      <c r="E546" s="199"/>
    </row>
    <row r="547" spans="1:16" ht="15.75" thickBot="1">
      <c r="A547" t="s">
        <v>896</v>
      </c>
      <c r="B547" s="70">
        <f>$K$73</f>
        <v>0</v>
      </c>
      <c r="C547" s="137" t="str">
        <f>IF(AND(Admin!$B$18, $B$10),B547,"")</f>
        <v/>
      </c>
      <c r="E547" s="199"/>
    </row>
    <row r="548" spans="1:16" ht="15.75" thickTop="1">
      <c r="A548" t="s">
        <v>2899</v>
      </c>
      <c r="B548" s="450">
        <f>B545*B546*B547</f>
        <v>0</v>
      </c>
      <c r="C548" s="450" t="str">
        <f>IF(AND(Admin!$B$18, $B$10),B548,"")</f>
        <v/>
      </c>
      <c r="E548" s="199"/>
    </row>
    <row r="549" spans="1:16" ht="15.75" thickBot="1">
      <c r="A549" t="s">
        <v>2883</v>
      </c>
      <c r="B549" s="137">
        <v>0.3</v>
      </c>
      <c r="C549" s="137" t="str">
        <f>IF(AND(Admin!$B$18, $B$10),B549,"")</f>
        <v/>
      </c>
      <c r="D549" s="318" t="str">
        <f>IF(Admin!B24&gt;0, "cost basis override granted", "")</f>
        <v/>
      </c>
      <c r="E549" s="199"/>
    </row>
    <row r="550" spans="1:16" ht="15.75" thickTop="1">
      <c r="A550" s="1" t="s">
        <v>2900</v>
      </c>
      <c r="B550" s="198">
        <f>B548*B549/6</f>
        <v>0</v>
      </c>
      <c r="C550" s="198" t="str">
        <f>IF(AND(Admin!$B$18, $B$10),B550,"")</f>
        <v/>
      </c>
      <c r="E550" s="199"/>
    </row>
    <row r="552" spans="1:16">
      <c r="A552" t="s">
        <v>2901</v>
      </c>
      <c r="B552" s="66">
        <f>Admin!B14</f>
        <v>1800000</v>
      </c>
      <c r="C552" s="66" t="str">
        <f>IF(AND(Admin!$B$18, $B$10),B552,"")</f>
        <v/>
      </c>
    </row>
    <row r="554" spans="1:16">
      <c r="A554" s="253"/>
      <c r="B554" s="254"/>
      <c r="C554" s="253"/>
      <c r="D554" s="253"/>
      <c r="E554" s="253"/>
      <c r="F554" s="253"/>
    </row>
    <row r="555" spans="1:16">
      <c r="A555" s="1" t="s">
        <v>2918</v>
      </c>
      <c r="B555" s="199">
        <f>IF(B10,IF(G517&gt;0, G517,  MIN(C521, C529, C550, C552)), 0)</f>
        <v>0</v>
      </c>
      <c r="D555" s="311" t="s">
        <v>2919</v>
      </c>
      <c r="E555" s="311"/>
      <c r="F555" s="311"/>
      <c r="G555" s="311"/>
      <c r="H555" s="311"/>
      <c r="I555" s="311"/>
      <c r="J555" s="311"/>
      <c r="K555" s="311"/>
    </row>
    <row r="556" spans="1:16">
      <c r="A556" t="s">
        <v>2920</v>
      </c>
      <c r="B556" s="204" t="e">
        <f>(B555*6)/B517</f>
        <v>#N/A</v>
      </c>
      <c r="D556" t="e">
        <f>B556 &lt;= 0.31</f>
        <v>#N/A</v>
      </c>
      <c r="E556" t="e">
        <f>INDEX(Comments_State_TC_Test_table[],MATCH(D556,Comments_State_TC_Test_table[State Tax Credit Test],0),2)</f>
        <v>#N/A</v>
      </c>
    </row>
    <row r="558" spans="1:16">
      <c r="A558" s="248" t="s">
        <v>2921</v>
      </c>
      <c r="B558" s="99"/>
      <c r="C558" s="99"/>
      <c r="D558" s="99"/>
      <c r="E558" s="99"/>
      <c r="F558" s="99"/>
      <c r="G558" s="99"/>
      <c r="H558" s="99"/>
      <c r="I558" s="99"/>
      <c r="J558" s="99"/>
      <c r="K558" s="99"/>
      <c r="L558" s="99"/>
      <c r="M558" s="99"/>
      <c r="N558" s="99"/>
      <c r="O558" s="99"/>
      <c r="P558" s="99"/>
    </row>
    <row r="560" spans="1:16">
      <c r="A560" s="13" t="s">
        <v>888</v>
      </c>
      <c r="B560" s="16" t="s">
        <v>2922</v>
      </c>
      <c r="E560" s="16" t="s">
        <v>2923</v>
      </c>
    </row>
    <row r="561" spans="1:7">
      <c r="A561" t="s">
        <v>913</v>
      </c>
      <c r="B561" s="66" t="e">
        <f>B501</f>
        <v>#N/A</v>
      </c>
    </row>
    <row r="562" spans="1:7">
      <c r="A562" t="s">
        <v>2924</v>
      </c>
      <c r="B562" s="92">
        <v>10</v>
      </c>
      <c r="D562" s="22" t="s">
        <v>2925</v>
      </c>
    </row>
    <row r="563" spans="1:7" ht="15.75" thickBot="1">
      <c r="A563" t="s">
        <v>2926</v>
      </c>
      <c r="B563" s="211">
        <f>Application!$B$15</f>
        <v>0</v>
      </c>
      <c r="D563" t="s">
        <v>969</v>
      </c>
      <c r="E563" s="66">
        <f>$B$576</f>
        <v>0</v>
      </c>
    </row>
    <row r="564" spans="1:7" ht="15.75" thickTop="1">
      <c r="A564" s="1" t="s">
        <v>971</v>
      </c>
      <c r="B564" s="198" t="e">
        <f>ROUND(B561*$B$562*$B$563, 0)</f>
        <v>#N/A</v>
      </c>
      <c r="D564" t="s">
        <v>971</v>
      </c>
      <c r="E564" s="66" t="e">
        <f>$B$566</f>
        <v>#N/A</v>
      </c>
    </row>
    <row r="565" spans="1:7" ht="15.75" thickBot="1">
      <c r="D565" t="s">
        <v>973</v>
      </c>
      <c r="E565" s="66">
        <f>$B$567</f>
        <v>0</v>
      </c>
    </row>
    <row r="566" spans="1:7" ht="15.75" thickTop="1">
      <c r="A566" t="s">
        <v>2927</v>
      </c>
      <c r="B566" s="450" t="e">
        <f>ROUND(B505*$B$562*$B$563, 0)</f>
        <v>#N/A</v>
      </c>
      <c r="D566" t="s">
        <v>1349</v>
      </c>
      <c r="E566" s="450" t="e">
        <f>$B$568</f>
        <v>#N/A</v>
      </c>
      <c r="F566" s="16" t="b">
        <f>IF(ISNA(E566),FALSE,ROUND($E$566,0)=ROUND($E$567,0))</f>
        <v>0</v>
      </c>
      <c r="G566" t="str">
        <f>INDEX(Comments_Development_Funds_table[],MATCH(F566,Comments_Development_Funds_table[Development Funds],0),2)</f>
        <v>Total Funds for Development do not equal Total Development Budget</v>
      </c>
    </row>
    <row r="567" spans="1:7" ht="15.75" thickBot="1">
      <c r="A567" t="s">
        <v>2928</v>
      </c>
      <c r="B567" s="66">
        <f>$B$142</f>
        <v>0</v>
      </c>
      <c r="D567" t="s">
        <v>1022</v>
      </c>
      <c r="E567" s="66">
        <f>$B$569</f>
        <v>0</v>
      </c>
    </row>
    <row r="568" spans="1:7" ht="15.75" thickTop="1">
      <c r="A568" t="s">
        <v>1349</v>
      </c>
      <c r="B568" s="450" t="e">
        <f>SUM(B566+B567+B163+B576)</f>
        <v>#N/A</v>
      </c>
      <c r="D568" t="s">
        <v>2892</v>
      </c>
      <c r="E568" s="450" t="e">
        <f>E566-E567</f>
        <v>#N/A</v>
      </c>
    </row>
    <row r="569" spans="1:7">
      <c r="A569" t="s">
        <v>1022</v>
      </c>
      <c r="B569" s="66">
        <f>$B$288+$B$633</f>
        <v>0</v>
      </c>
    </row>
    <row r="571" spans="1:7">
      <c r="B571" s="66"/>
    </row>
    <row r="572" spans="1:7">
      <c r="A572" s="13" t="s">
        <v>122</v>
      </c>
      <c r="B572" s="65"/>
    </row>
    <row r="573" spans="1:7">
      <c r="A573" t="s">
        <v>913</v>
      </c>
      <c r="B573" s="66">
        <f>B555</f>
        <v>0</v>
      </c>
    </row>
    <row r="574" spans="1:7">
      <c r="A574" t="s">
        <v>904</v>
      </c>
      <c r="B574" s="211">
        <f>Application!$B$16</f>
        <v>0</v>
      </c>
    </row>
    <row r="575" spans="1:7" ht="15.75" thickBot="1">
      <c r="B575" s="92">
        <v>6</v>
      </c>
    </row>
    <row r="576" spans="1:7" ht="15.75" thickTop="1">
      <c r="A576" s="1" t="s">
        <v>969</v>
      </c>
      <c r="B576" s="198">
        <f>B573*B574*B575</f>
        <v>0</v>
      </c>
    </row>
    <row r="577" spans="1:16">
      <c r="B577" s="66"/>
    </row>
    <row r="579" spans="1:16">
      <c r="A579" s="248" t="s">
        <v>2929</v>
      </c>
      <c r="B579" s="99"/>
      <c r="C579" s="99"/>
      <c r="D579" s="99"/>
      <c r="E579" s="99"/>
      <c r="F579" s="99"/>
      <c r="G579" s="99"/>
      <c r="H579" s="99"/>
      <c r="I579" s="99"/>
      <c r="J579" s="99"/>
      <c r="K579" s="99"/>
      <c r="L579" s="99"/>
      <c r="M579" s="99"/>
      <c r="N579" s="99"/>
      <c r="O579" s="99"/>
      <c r="P579" s="99"/>
    </row>
    <row r="581" spans="1:16">
      <c r="A581" t="s">
        <v>2715</v>
      </c>
      <c r="B581" t="b">
        <f>B6</f>
        <v>0</v>
      </c>
    </row>
    <row r="582" spans="1:16">
      <c r="A582" t="s">
        <v>2930</v>
      </c>
      <c r="B582" t="b">
        <f>NOT($B$20)</f>
        <v>1</v>
      </c>
    </row>
    <row r="583" spans="1:16">
      <c r="A583" t="s">
        <v>2931</v>
      </c>
      <c r="B583" t="b">
        <f>$B$21</f>
        <v>0</v>
      </c>
    </row>
    <row r="584" spans="1:16">
      <c r="A584" t="s">
        <v>2932</v>
      </c>
      <c r="B584" t="b">
        <f>AND(B582, B581, B583)</f>
        <v>0</v>
      </c>
      <c r="C584" t="s">
        <v>2933</v>
      </c>
    </row>
    <row r="586" spans="1:16">
      <c r="A586" t="s">
        <v>2934</v>
      </c>
      <c r="B586" s="66" t="e">
        <f>B501</f>
        <v>#N/A</v>
      </c>
      <c r="C586" s="521"/>
    </row>
    <row r="587" spans="1:16">
      <c r="A587" t="s">
        <v>2924</v>
      </c>
      <c r="B587" s="92">
        <v>10</v>
      </c>
    </row>
    <row r="588" spans="1:16" ht="15.75" thickBot="1">
      <c r="A588" t="s">
        <v>2926</v>
      </c>
      <c r="B588" s="211">
        <f>Application!$B$15</f>
        <v>0</v>
      </c>
    </row>
    <row r="589" spans="1:16" ht="15.75" thickTop="1">
      <c r="A589" t="s">
        <v>2935</v>
      </c>
      <c r="B589" s="450" t="e">
        <f>ROUND(B586*B587*B588, 0)</f>
        <v>#N/A</v>
      </c>
    </row>
    <row r="590" spans="1:16" ht="15.75" thickBot="1">
      <c r="A590" t="s">
        <v>2936</v>
      </c>
      <c r="B590" s="66">
        <f>$B$142+$B$576</f>
        <v>0</v>
      </c>
      <c r="D590" s="22"/>
    </row>
    <row r="591" spans="1:16" ht="15.75" thickTop="1">
      <c r="A591" t="s">
        <v>2937</v>
      </c>
      <c r="B591" s="450" t="e">
        <f>B589+B590</f>
        <v>#N/A</v>
      </c>
    </row>
    <row r="592" spans="1:16" ht="15.75" thickBot="1">
      <c r="A592" t="s">
        <v>900</v>
      </c>
      <c r="B592" s="66">
        <f>$B$288</f>
        <v>0</v>
      </c>
    </row>
    <row r="593" spans="1:2" ht="15.75" thickTop="1">
      <c r="A593" t="s">
        <v>2938</v>
      </c>
      <c r="B593" s="450" t="e">
        <f>B592 - B591</f>
        <v>#N/A</v>
      </c>
    </row>
    <row r="595" spans="1:2">
      <c r="B595" s="211" t="s">
        <v>2885</v>
      </c>
    </row>
    <row r="596" spans="1:2">
      <c r="A596" t="s">
        <v>2938</v>
      </c>
      <c r="B596" s="66">
        <f>IFERROR(ROUND(B593/($B$588*10), 0),0)</f>
        <v>0</v>
      </c>
    </row>
    <row r="597" spans="1:2" ht="15.75" thickBot="1">
      <c r="A597" t="s">
        <v>2935</v>
      </c>
      <c r="B597" s="66">
        <f>IFERROR(ROUND(B589/($B$588*10), 0),0)</f>
        <v>0</v>
      </c>
    </row>
    <row r="598" spans="1:2" ht="15.75" thickTop="1">
      <c r="A598" t="s">
        <v>2939</v>
      </c>
      <c r="B598" s="450">
        <f>SUM(B596:B597)</f>
        <v>0</v>
      </c>
    </row>
    <row r="600" spans="1:2">
      <c r="A600" t="s">
        <v>2883</v>
      </c>
      <c r="B600" s="137">
        <f>Application!$B$17</f>
        <v>0.09</v>
      </c>
    </row>
    <row r="601" spans="1:2">
      <c r="A601" t="s">
        <v>2938</v>
      </c>
      <c r="B601" s="66">
        <f>$B$596</f>
        <v>0</v>
      </c>
    </row>
    <row r="602" spans="1:2">
      <c r="A602" t="s">
        <v>2940</v>
      </c>
      <c r="B602" s="66">
        <f>ROUND(B601/B600, 0)</f>
        <v>0</v>
      </c>
    </row>
    <row r="604" spans="1:2">
      <c r="A604" t="s">
        <v>2941</v>
      </c>
      <c r="B604" s="66" t="e">
        <f>B457</f>
        <v>#N/A</v>
      </c>
    </row>
    <row r="605" spans="1:2">
      <c r="A605" t="s">
        <v>2942</v>
      </c>
      <c r="B605" s="251">
        <f>IF(B584, ROUND(B602/B604,4), 0)</f>
        <v>0</v>
      </c>
    </row>
    <row r="606" spans="1:2">
      <c r="B606" s="250"/>
    </row>
    <row r="607" spans="1:2">
      <c r="A607" t="s">
        <v>2943</v>
      </c>
      <c r="B607" s="66" t="e">
        <f>(B604*Admin!B71)-B604</f>
        <v>#N/A</v>
      </c>
    </row>
    <row r="608" spans="1:2">
      <c r="A608" t="s">
        <v>2944</v>
      </c>
      <c r="B608" s="66" t="e">
        <f>B607*B600</f>
        <v>#N/A</v>
      </c>
    </row>
    <row r="609" spans="1:16">
      <c r="B609" s="66"/>
    </row>
    <row r="610" spans="1:16">
      <c r="A610" t="s">
        <v>2945</v>
      </c>
      <c r="B610" s="149">
        <f>B601</f>
        <v>0</v>
      </c>
    </row>
    <row r="611" spans="1:16">
      <c r="A611" t="s">
        <v>2946</v>
      </c>
      <c r="B611" s="149">
        <f>Admin!B26</f>
        <v>0</v>
      </c>
      <c r="C611" s="18"/>
    </row>
    <row r="612" spans="1:16">
      <c r="A612" t="s">
        <v>2947</v>
      </c>
      <c r="B612" s="149">
        <f>IF(B611&gt;0,B611,B610)</f>
        <v>0</v>
      </c>
      <c r="C612" s="18"/>
    </row>
    <row r="613" spans="1:16">
      <c r="B613" s="349"/>
      <c r="C613" s="18"/>
    </row>
    <row r="614" spans="1:16">
      <c r="A614" t="s">
        <v>2948</v>
      </c>
      <c r="B614" s="199">
        <f>IF(NOT(B584), 0, MIN(B608, B612))</f>
        <v>0</v>
      </c>
    </row>
    <row r="615" spans="1:16">
      <c r="B615" s="199"/>
    </row>
    <row r="616" spans="1:16">
      <c r="A616" t="s">
        <v>2949</v>
      </c>
      <c r="B616" t="b">
        <f>B605&gt;0.001</f>
        <v>0</v>
      </c>
      <c r="C616" t="s">
        <v>2950</v>
      </c>
    </row>
    <row r="619" spans="1:16">
      <c r="A619" s="194"/>
      <c r="B619" s="99"/>
      <c r="C619" s="99"/>
      <c r="D619" s="99"/>
      <c r="E619" s="99"/>
      <c r="F619" s="99"/>
      <c r="G619" s="99"/>
      <c r="H619" s="99"/>
      <c r="I619" s="99"/>
      <c r="J619" s="99"/>
      <c r="K619" s="99"/>
      <c r="L619" s="99"/>
      <c r="M619" s="99"/>
      <c r="N619" s="99"/>
      <c r="O619" s="99"/>
      <c r="P619" s="99"/>
    </row>
    <row r="621" spans="1:16">
      <c r="A621" s="22" t="s">
        <v>2951</v>
      </c>
    </row>
    <row r="622" spans="1:16">
      <c r="A622" s="19" t="s">
        <v>2952</v>
      </c>
      <c r="B622" s="19" t="s">
        <v>590</v>
      </c>
      <c r="C622" s="90"/>
      <c r="D622" s="90"/>
      <c r="E622" s="90"/>
      <c r="F622" s="90"/>
    </row>
    <row r="623" spans="1:16">
      <c r="A623" t="s">
        <v>411</v>
      </c>
      <c r="B623">
        <f>SUM('Commercial Budget'!B4:B6)</f>
        <v>0</v>
      </c>
    </row>
    <row r="624" spans="1:16">
      <c r="A624" t="s">
        <v>421</v>
      </c>
      <c r="B624">
        <f>SUM('Commercial Budget'!B9:B10)</f>
        <v>0</v>
      </c>
    </row>
    <row r="625" spans="1:8">
      <c r="A625" t="s">
        <v>424</v>
      </c>
      <c r="B625">
        <f>SUM('Commercial Budget'!B13:B23)</f>
        <v>0</v>
      </c>
    </row>
    <row r="626" spans="1:8">
      <c r="A626" t="s">
        <v>436</v>
      </c>
      <c r="B626">
        <f>SUM('Commercial Budget'!B26:B33)</f>
        <v>0</v>
      </c>
    </row>
    <row r="627" spans="1:8">
      <c r="A627" t="s">
        <v>447</v>
      </c>
      <c r="B627">
        <f>SUM('Commercial Budget'!B36:B50)</f>
        <v>0</v>
      </c>
    </row>
    <row r="628" spans="1:8">
      <c r="A628" t="s">
        <v>463</v>
      </c>
      <c r="B628">
        <f>SUM('Commercial Budget'!B53:B63)</f>
        <v>0</v>
      </c>
    </row>
    <row r="629" spans="1:8">
      <c r="A629" t="s">
        <v>474</v>
      </c>
      <c r="B629">
        <f>SUM('Commercial Budget'!B66:B75)</f>
        <v>0</v>
      </c>
    </row>
    <row r="630" spans="1:8">
      <c r="A630" t="s">
        <v>490</v>
      </c>
      <c r="B630">
        <f>SUM('Commercial Budget'!B78:B83)</f>
        <v>0</v>
      </c>
    </row>
    <row r="631" spans="1:8">
      <c r="A631" t="s">
        <v>494</v>
      </c>
      <c r="B631">
        <f>SUM('Commercial Budget'!B86:B89)</f>
        <v>0</v>
      </c>
    </row>
    <row r="632" spans="1:8">
      <c r="A632" t="s">
        <v>502</v>
      </c>
      <c r="B632">
        <f>SUM('Commercial Budget'!B92:B96)</f>
        <v>0</v>
      </c>
    </row>
    <row r="633" spans="1:8">
      <c r="A633" s="1" t="s">
        <v>391</v>
      </c>
      <c r="B633" s="1">
        <f>SUM(B623:B632)</f>
        <v>0</v>
      </c>
      <c r="C633" s="1"/>
      <c r="D633" s="1"/>
      <c r="E633" s="1"/>
      <c r="F633" s="1"/>
      <c r="H633" s="1"/>
    </row>
    <row r="635" spans="1:8">
      <c r="A635" s="22" t="s">
        <v>73</v>
      </c>
    </row>
    <row r="636" spans="1:8">
      <c r="A636" s="19" t="s">
        <v>2953</v>
      </c>
      <c r="B636" s="65"/>
    </row>
    <row r="637" spans="1:8">
      <c r="A637" t="s">
        <v>733</v>
      </c>
      <c r="B637">
        <f>SUM('Cost Summary'!C8:C35)</f>
        <v>0</v>
      </c>
    </row>
    <row r="638" spans="1:8">
      <c r="A638" t="s">
        <v>788</v>
      </c>
      <c r="B638">
        <f>SUM('Cost Summary'!C38:C41)</f>
        <v>0</v>
      </c>
    </row>
    <row r="639" spans="1:8">
      <c r="A639" t="s">
        <v>790</v>
      </c>
      <c r="B639">
        <f>SUM('Cost Summary'!C44:C48)</f>
        <v>0</v>
      </c>
    </row>
    <row r="640" spans="1:8">
      <c r="A640" t="s">
        <v>795</v>
      </c>
      <c r="B640">
        <f>SUM('Cost Summary'!C51:C56)</f>
        <v>0</v>
      </c>
    </row>
    <row r="641" spans="1:31">
      <c r="A641" s="1" t="s">
        <v>391</v>
      </c>
      <c r="B641" s="1">
        <f>SUM(B637:B640)</f>
        <v>0</v>
      </c>
    </row>
    <row r="642" spans="1:31">
      <c r="A642" s="1"/>
      <c r="B642" s="1"/>
    </row>
    <row r="643" spans="1:31">
      <c r="A643" s="99" t="s">
        <v>77</v>
      </c>
      <c r="B643" s="99"/>
      <c r="C643" s="99"/>
      <c r="D643" s="99"/>
      <c r="E643" s="99"/>
      <c r="F643" s="99"/>
      <c r="G643" s="99"/>
      <c r="H643" s="71"/>
      <c r="I643" s="71"/>
      <c r="J643" s="71"/>
      <c r="K643" s="71"/>
      <c r="L643" s="71"/>
      <c r="M643" s="71"/>
    </row>
    <row r="645" spans="1:31">
      <c r="A645" t="s">
        <v>2954</v>
      </c>
      <c r="B645">
        <f>IF(OR($B$20, $B$584), Admin!$B$70, IF($B$605, MIN(Admin!$B$70, $B$61), 1))</f>
        <v>1</v>
      </c>
    </row>
    <row r="646" spans="1:31">
      <c r="A646" t="s">
        <v>2955</v>
      </c>
      <c r="B646" s="265">
        <f>H55</f>
        <v>0</v>
      </c>
    </row>
    <row r="647" spans="1:31">
      <c r="A647" t="s">
        <v>2956</v>
      </c>
      <c r="B647" s="265">
        <f>H40</f>
        <v>0</v>
      </c>
    </row>
    <row r="648" spans="1:31">
      <c r="A648" t="s">
        <v>913</v>
      </c>
      <c r="B648" s="66" t="e">
        <f>ROUND($B$505,0)</f>
        <v>#N/A</v>
      </c>
      <c r="D648" s="302" t="s">
        <v>2957</v>
      </c>
      <c r="E648" s="302"/>
    </row>
    <row r="649" spans="1:31">
      <c r="B649" s="137"/>
    </row>
    <row r="652" spans="1:31">
      <c r="A652" s="1" t="s">
        <v>2958</v>
      </c>
      <c r="B652" s="1"/>
    </row>
    <row r="653" spans="1:31" ht="60" customHeight="1">
      <c r="A653" s="19" t="s">
        <v>2959</v>
      </c>
      <c r="B653" s="93" t="s">
        <v>820</v>
      </c>
      <c r="C653" s="93" t="s">
        <v>804</v>
      </c>
      <c r="D653" s="93" t="s">
        <v>805</v>
      </c>
      <c r="E653" s="93" t="s">
        <v>821</v>
      </c>
      <c r="F653" s="93" t="s">
        <v>807</v>
      </c>
      <c r="G653" s="93" t="s">
        <v>808</v>
      </c>
      <c r="H653" s="93" t="s">
        <v>2960</v>
      </c>
      <c r="I653" s="93" t="s">
        <v>2961</v>
      </c>
      <c r="J653" s="93" t="s">
        <v>2962</v>
      </c>
      <c r="K653" s="93" t="s">
        <v>811</v>
      </c>
      <c r="L653" s="93" t="s">
        <v>2963</v>
      </c>
      <c r="M653" s="93" t="s">
        <v>2964</v>
      </c>
      <c r="N653" s="93" t="s">
        <v>2965</v>
      </c>
      <c r="O653" s="93" t="s">
        <v>2966</v>
      </c>
      <c r="P653" s="93" t="s">
        <v>2967</v>
      </c>
      <c r="Q653" s="93" t="s">
        <v>2968</v>
      </c>
      <c r="R653" s="93" t="s">
        <v>2969</v>
      </c>
      <c r="S653" s="93" t="s">
        <v>2970</v>
      </c>
      <c r="T653" s="93" t="s">
        <v>2971</v>
      </c>
      <c r="U653" s="93" t="s">
        <v>2972</v>
      </c>
      <c r="V653" s="93" t="s">
        <v>2973</v>
      </c>
      <c r="W653" s="93" t="s">
        <v>2974</v>
      </c>
      <c r="X653" s="93" t="s">
        <v>2975</v>
      </c>
      <c r="Y653" s="93" t="s">
        <v>2976</v>
      </c>
      <c r="Z653" s="93" t="s">
        <v>2977</v>
      </c>
      <c r="AA653" s="93" t="s">
        <v>2978</v>
      </c>
      <c r="AB653" s="93" t="s">
        <v>2979</v>
      </c>
      <c r="AC653" s="93" t="s">
        <v>2980</v>
      </c>
      <c r="AD653" s="93" t="s">
        <v>2981</v>
      </c>
      <c r="AE653" s="93" t="s">
        <v>2982</v>
      </c>
    </row>
    <row r="654" spans="1:31" ht="15" customHeight="1">
      <c r="A654">
        <f>'Final Building Profile'!A4</f>
        <v>1</v>
      </c>
      <c r="B654">
        <f>'Final Building Profile'!D4</f>
        <v>0</v>
      </c>
      <c r="C654">
        <f>'Final Building Profile'!E4</f>
        <v>0</v>
      </c>
      <c r="D654">
        <f>'Final Building Profile'!F4</f>
        <v>0</v>
      </c>
      <c r="E654" s="265">
        <f>'Final Building Profile'!G4</f>
        <v>0</v>
      </c>
      <c r="F654" s="265">
        <f>'Final Building Profile'!H4</f>
        <v>0</v>
      </c>
      <c r="G654" s="265">
        <f>'Final Building Profile'!I4</f>
        <v>0</v>
      </c>
      <c r="H654" s="197">
        <f t="shared" ref="H654:H685" si="68">IF((B654-C654) &lt;&gt; 0, ROUND(D654/(B654-C654), 4), 0)</f>
        <v>0</v>
      </c>
      <c r="I654" s="197">
        <f t="shared" ref="I654:I685" si="69">IF((E654-F654) = 0, 0, ROUND(G654/(E654-F654), 4))</f>
        <v>0</v>
      </c>
      <c r="J654" s="137">
        <f t="shared" ref="J654:J685" si="70">MIN(H654, I654)</f>
        <v>0</v>
      </c>
      <c r="K654" s="66">
        <f>'Final Building Profile'!L4</f>
        <v>0</v>
      </c>
      <c r="L654" s="66">
        <f>K654*$B$645</f>
        <v>0</v>
      </c>
      <c r="M654">
        <f>'Final Building Profile'!M4</f>
        <v>0</v>
      </c>
      <c r="N654" s="66">
        <f t="shared" ref="N654:N685" si="71">M654*$B$645</f>
        <v>0</v>
      </c>
      <c r="O654" s="66">
        <f t="shared" ref="O654:O685" si="72">L654+N654</f>
        <v>0</v>
      </c>
      <c r="P654" s="66">
        <f t="shared" ref="P654:P685" si="73">O654*J654</f>
        <v>0</v>
      </c>
      <c r="Q654" s="204">
        <f>'Final Building Profile'!K4</f>
        <v>0</v>
      </c>
      <c r="R654" s="66">
        <f>P654*Q654</f>
        <v>0</v>
      </c>
      <c r="S654" s="65">
        <f>'Final Building Profile'!N4-'Final Building Profile'!O4</f>
        <v>0</v>
      </c>
      <c r="T654" s="65">
        <f t="shared" ref="T654:T685" si="74">S654*J654</f>
        <v>0</v>
      </c>
      <c r="U654" s="204">
        <f>'Final Building Profile'!Q4</f>
        <v>0</v>
      </c>
      <c r="V654" s="65">
        <f>IF('Final Building Profile'!P4&lt;&gt;"", U654, 0) * T654</f>
        <v>0</v>
      </c>
      <c r="W654" s="266">
        <f t="shared" ref="W654:W685" si="75">IF($P$753 = 0, 0, (P654/$P$753) * Q654)</f>
        <v>0</v>
      </c>
      <c r="X654" s="266">
        <f>IF($T$753 = 0, 0, (T654/$T$753) * U654)</f>
        <v>0</v>
      </c>
      <c r="Y654" s="266" t="e">
        <f t="shared" ref="Y654:Y685" si="76">J654*(G654/$B$646)</f>
        <v>#DIV/0!</v>
      </c>
      <c r="Z654" s="266" t="e">
        <f t="shared" ref="Z654:Z685" si="77">J654*(D654/$B$647)</f>
        <v>#DIV/0!</v>
      </c>
      <c r="AA654" s="266" t="e">
        <f t="shared" ref="AA654:AA685" si="78">IF(I654=J654, Y654, Z654)</f>
        <v>#DIV/0!</v>
      </c>
      <c r="AB654" s="65" t="e">
        <f>IF($B$648&lt;$V$755, ROUND($B$648/$V$755*P654, 0), P654)</f>
        <v>#N/A</v>
      </c>
      <c r="AC654" s="65" t="e">
        <f>IF($B$648&lt;$V$755, ROUNDDOWN($B$648/$V$755*R654, 0), R654)</f>
        <v>#N/A</v>
      </c>
      <c r="AD654" s="65" t="e">
        <f>IF($B$648&lt;$V$755, ROUND($B$648/$V$755*T654, 0), T654)</f>
        <v>#N/A</v>
      </c>
      <c r="AE654" s="65" t="e">
        <f>IF($B$648&lt;$V$755, ROUND($B$648/$V$755*V654, 0), V654)</f>
        <v>#N/A</v>
      </c>
    </row>
    <row r="655" spans="1:31" ht="15" customHeight="1">
      <c r="A655">
        <f>'Final Building Profile'!A5</f>
        <v>2</v>
      </c>
      <c r="B655">
        <f>'Final Building Profile'!D5</f>
        <v>0</v>
      </c>
      <c r="C655">
        <f>'Final Building Profile'!E5</f>
        <v>0</v>
      </c>
      <c r="D655">
        <f>'Final Building Profile'!F5</f>
        <v>0</v>
      </c>
      <c r="E655" s="265">
        <f>'Final Building Profile'!G5</f>
        <v>0</v>
      </c>
      <c r="F655" s="265">
        <f>'Final Building Profile'!H5</f>
        <v>0</v>
      </c>
      <c r="G655" s="265">
        <f>'Final Building Profile'!I5</f>
        <v>0</v>
      </c>
      <c r="H655" s="197">
        <f t="shared" si="68"/>
        <v>0</v>
      </c>
      <c r="I655" s="197">
        <f t="shared" si="69"/>
        <v>0</v>
      </c>
      <c r="J655" s="137">
        <f t="shared" si="70"/>
        <v>0</v>
      </c>
      <c r="K655" s="66">
        <f>'Final Building Profile'!L5</f>
        <v>0</v>
      </c>
      <c r="L655" s="66">
        <f t="shared" ref="L655:L718" si="79">K655*$B$645</f>
        <v>0</v>
      </c>
      <c r="M655">
        <f>'Final Building Profile'!M5</f>
        <v>0</v>
      </c>
      <c r="N655" s="66">
        <f t="shared" si="71"/>
        <v>0</v>
      </c>
      <c r="O655" s="66">
        <f t="shared" si="72"/>
        <v>0</v>
      </c>
      <c r="P655" s="66">
        <f t="shared" si="73"/>
        <v>0</v>
      </c>
      <c r="Q655" s="204">
        <f>'Final Building Profile'!K5</f>
        <v>0</v>
      </c>
      <c r="R655" s="66">
        <f t="shared" ref="R655:R718" si="80">P655*Q655</f>
        <v>0</v>
      </c>
      <c r="S655" s="65">
        <f>'Final Building Profile'!N5-'Final Building Profile'!O5</f>
        <v>0</v>
      </c>
      <c r="T655" s="65">
        <f t="shared" si="74"/>
        <v>0</v>
      </c>
      <c r="U655" s="204">
        <f>'Final Building Profile'!Q5</f>
        <v>0</v>
      </c>
      <c r="V655" s="65">
        <f>IF('Final Building Profile'!P5&lt;&gt;"", U655, 0) * T655</f>
        <v>0</v>
      </c>
      <c r="W655" s="266">
        <f t="shared" si="75"/>
        <v>0</v>
      </c>
      <c r="X655" s="266">
        <f t="shared" ref="X655:X718" si="81">IF($T$753 = 0, 0, (T655/$T$753) * U655)</f>
        <v>0</v>
      </c>
      <c r="Y655" s="266" t="e">
        <f t="shared" si="76"/>
        <v>#DIV/0!</v>
      </c>
      <c r="Z655" s="266" t="e">
        <f t="shared" si="77"/>
        <v>#DIV/0!</v>
      </c>
      <c r="AA655" s="266" t="e">
        <f t="shared" si="78"/>
        <v>#DIV/0!</v>
      </c>
      <c r="AB655" s="65" t="e">
        <f t="shared" ref="AB655:AB685" si="82">IF($B$648&lt;$V$755, ROUND($B$648/$V$755*P655, 0), P655)</f>
        <v>#N/A</v>
      </c>
      <c r="AC655" s="65" t="e">
        <f t="shared" ref="AC655:AC685" si="83">IF($B$648&lt;$V$755, ROUNDDOWN($B$648/$V$755*R655, 0), R655)</f>
        <v>#N/A</v>
      </c>
      <c r="AD655" s="65" t="e">
        <f t="shared" ref="AD655:AD685" si="84">IF($B$648&lt;$V$755, ROUND($B$648/$V$755*T655, 0), T655)</f>
        <v>#N/A</v>
      </c>
      <c r="AE655" s="65" t="e">
        <f t="shared" ref="AE655:AE685" si="85">IF($B$648&lt;$V$755, ROUND($B$648/$V$755*V655, 0), V655)</f>
        <v>#N/A</v>
      </c>
    </row>
    <row r="656" spans="1:31" ht="15" customHeight="1">
      <c r="A656">
        <f>'Final Building Profile'!A6</f>
        <v>3</v>
      </c>
      <c r="B656">
        <f>'Final Building Profile'!D6</f>
        <v>0</v>
      </c>
      <c r="C656">
        <f>'Final Building Profile'!E6</f>
        <v>0</v>
      </c>
      <c r="D656">
        <f>'Final Building Profile'!F6</f>
        <v>0</v>
      </c>
      <c r="E656" s="265">
        <f>'Final Building Profile'!G6</f>
        <v>0</v>
      </c>
      <c r="F656" s="265">
        <f>'Final Building Profile'!H6</f>
        <v>0</v>
      </c>
      <c r="G656" s="265">
        <f>'Final Building Profile'!I6</f>
        <v>0</v>
      </c>
      <c r="H656" s="197">
        <f t="shared" si="68"/>
        <v>0</v>
      </c>
      <c r="I656" s="197">
        <f t="shared" si="69"/>
        <v>0</v>
      </c>
      <c r="J656" s="137">
        <f t="shared" si="70"/>
        <v>0</v>
      </c>
      <c r="K656" s="66">
        <f>'Final Building Profile'!L6</f>
        <v>0</v>
      </c>
      <c r="L656" s="66">
        <f t="shared" si="79"/>
        <v>0</v>
      </c>
      <c r="M656">
        <f>'Final Building Profile'!M6</f>
        <v>0</v>
      </c>
      <c r="N656" s="66">
        <f t="shared" si="71"/>
        <v>0</v>
      </c>
      <c r="O656" s="66">
        <f t="shared" si="72"/>
        <v>0</v>
      </c>
      <c r="P656" s="66">
        <f t="shared" si="73"/>
        <v>0</v>
      </c>
      <c r="Q656" s="204">
        <f>'Final Building Profile'!K6</f>
        <v>0</v>
      </c>
      <c r="R656" s="66">
        <f t="shared" si="80"/>
        <v>0</v>
      </c>
      <c r="S656" s="65">
        <f>'Final Building Profile'!N6-'Final Building Profile'!O6</f>
        <v>0</v>
      </c>
      <c r="T656" s="65">
        <f t="shared" si="74"/>
        <v>0</v>
      </c>
      <c r="U656" s="204">
        <f>'Final Building Profile'!Q6</f>
        <v>0</v>
      </c>
      <c r="V656" s="65">
        <f>IF('Final Building Profile'!P6&lt;&gt;"", U656, 0) * T656</f>
        <v>0</v>
      </c>
      <c r="W656" s="266">
        <f t="shared" si="75"/>
        <v>0</v>
      </c>
      <c r="X656" s="266">
        <f t="shared" si="81"/>
        <v>0</v>
      </c>
      <c r="Y656" s="266" t="e">
        <f t="shared" si="76"/>
        <v>#DIV/0!</v>
      </c>
      <c r="Z656" s="266" t="e">
        <f t="shared" si="77"/>
        <v>#DIV/0!</v>
      </c>
      <c r="AA656" s="266" t="e">
        <f t="shared" si="78"/>
        <v>#DIV/0!</v>
      </c>
      <c r="AB656" s="65" t="e">
        <f t="shared" si="82"/>
        <v>#N/A</v>
      </c>
      <c r="AC656" s="65" t="e">
        <f t="shared" si="83"/>
        <v>#N/A</v>
      </c>
      <c r="AD656" s="65" t="e">
        <f t="shared" si="84"/>
        <v>#N/A</v>
      </c>
      <c r="AE656" s="65" t="e">
        <f t="shared" si="85"/>
        <v>#N/A</v>
      </c>
    </row>
    <row r="657" spans="1:31" ht="15" customHeight="1">
      <c r="A657">
        <f>'Final Building Profile'!A7</f>
        <v>4</v>
      </c>
      <c r="B657">
        <f>'Final Building Profile'!D7</f>
        <v>0</v>
      </c>
      <c r="C657">
        <f>'Final Building Profile'!E7</f>
        <v>0</v>
      </c>
      <c r="D657">
        <f>'Final Building Profile'!F7</f>
        <v>0</v>
      </c>
      <c r="E657" s="265">
        <f>'Final Building Profile'!G7</f>
        <v>0</v>
      </c>
      <c r="F657" s="265">
        <f>'Final Building Profile'!H7</f>
        <v>0</v>
      </c>
      <c r="G657" s="265">
        <f>'Final Building Profile'!I7</f>
        <v>0</v>
      </c>
      <c r="H657" s="197">
        <f t="shared" si="68"/>
        <v>0</v>
      </c>
      <c r="I657" s="197">
        <f t="shared" si="69"/>
        <v>0</v>
      </c>
      <c r="J657" s="137">
        <f t="shared" si="70"/>
        <v>0</v>
      </c>
      <c r="K657" s="66">
        <f>'Final Building Profile'!L7</f>
        <v>0</v>
      </c>
      <c r="L657" s="66">
        <f t="shared" si="79"/>
        <v>0</v>
      </c>
      <c r="M657">
        <f>'Final Building Profile'!M7</f>
        <v>0</v>
      </c>
      <c r="N657" s="66">
        <f t="shared" si="71"/>
        <v>0</v>
      </c>
      <c r="O657" s="66">
        <f t="shared" si="72"/>
        <v>0</v>
      </c>
      <c r="P657" s="66">
        <f t="shared" si="73"/>
        <v>0</v>
      </c>
      <c r="Q657" s="204">
        <f>'Final Building Profile'!K7</f>
        <v>0</v>
      </c>
      <c r="R657" s="66">
        <f t="shared" si="80"/>
        <v>0</v>
      </c>
      <c r="S657" s="65">
        <f>'Final Building Profile'!N7-'Final Building Profile'!O7</f>
        <v>0</v>
      </c>
      <c r="T657" s="65">
        <f t="shared" si="74"/>
        <v>0</v>
      </c>
      <c r="U657" s="204">
        <f>'Final Building Profile'!Q7</f>
        <v>0</v>
      </c>
      <c r="V657" s="65">
        <f>IF('Final Building Profile'!P7&lt;&gt;"", U657, 0) * T657</f>
        <v>0</v>
      </c>
      <c r="W657" s="266">
        <f t="shared" si="75"/>
        <v>0</v>
      </c>
      <c r="X657" s="266">
        <f t="shared" si="81"/>
        <v>0</v>
      </c>
      <c r="Y657" s="266" t="e">
        <f t="shared" si="76"/>
        <v>#DIV/0!</v>
      </c>
      <c r="Z657" s="266" t="e">
        <f t="shared" si="77"/>
        <v>#DIV/0!</v>
      </c>
      <c r="AA657" s="266" t="e">
        <f t="shared" si="78"/>
        <v>#DIV/0!</v>
      </c>
      <c r="AB657" s="65" t="e">
        <f t="shared" si="82"/>
        <v>#N/A</v>
      </c>
      <c r="AC657" s="65" t="e">
        <f t="shared" si="83"/>
        <v>#N/A</v>
      </c>
      <c r="AD657" s="65" t="e">
        <f t="shared" si="84"/>
        <v>#N/A</v>
      </c>
      <c r="AE657" s="65" t="e">
        <f t="shared" si="85"/>
        <v>#N/A</v>
      </c>
    </row>
    <row r="658" spans="1:31" ht="15" customHeight="1">
      <c r="A658">
        <f>'Final Building Profile'!A8</f>
        <v>5</v>
      </c>
      <c r="B658">
        <f>'Final Building Profile'!D8</f>
        <v>0</v>
      </c>
      <c r="C658">
        <f>'Final Building Profile'!E8</f>
        <v>0</v>
      </c>
      <c r="D658">
        <f>'Final Building Profile'!F8</f>
        <v>0</v>
      </c>
      <c r="E658" s="265">
        <f>'Final Building Profile'!G8</f>
        <v>0</v>
      </c>
      <c r="F658" s="265">
        <f>'Final Building Profile'!H8</f>
        <v>0</v>
      </c>
      <c r="G658" s="265">
        <f>'Final Building Profile'!I8</f>
        <v>0</v>
      </c>
      <c r="H658" s="197">
        <f t="shared" si="68"/>
        <v>0</v>
      </c>
      <c r="I658" s="197">
        <f t="shared" si="69"/>
        <v>0</v>
      </c>
      <c r="J658" s="137">
        <f t="shared" si="70"/>
        <v>0</v>
      </c>
      <c r="K658" s="66">
        <f>'Final Building Profile'!L8</f>
        <v>0</v>
      </c>
      <c r="L658" s="66">
        <f t="shared" si="79"/>
        <v>0</v>
      </c>
      <c r="M658">
        <f>'Final Building Profile'!M8</f>
        <v>0</v>
      </c>
      <c r="N658" s="66">
        <f t="shared" si="71"/>
        <v>0</v>
      </c>
      <c r="O658" s="66">
        <f t="shared" si="72"/>
        <v>0</v>
      </c>
      <c r="P658" s="66">
        <f t="shared" si="73"/>
        <v>0</v>
      </c>
      <c r="Q658" s="204">
        <f>'Final Building Profile'!K8</f>
        <v>0</v>
      </c>
      <c r="R658" s="66">
        <f t="shared" si="80"/>
        <v>0</v>
      </c>
      <c r="S658" s="65">
        <f>'Final Building Profile'!N8-'Final Building Profile'!O8</f>
        <v>0</v>
      </c>
      <c r="T658" s="65">
        <f t="shared" si="74"/>
        <v>0</v>
      </c>
      <c r="U658" s="204">
        <f>'Final Building Profile'!Q8</f>
        <v>0</v>
      </c>
      <c r="V658" s="65">
        <f>IF('Final Building Profile'!P8&lt;&gt;"", U658, 0) * T658</f>
        <v>0</v>
      </c>
      <c r="W658" s="266">
        <f t="shared" si="75"/>
        <v>0</v>
      </c>
      <c r="X658" s="266">
        <f t="shared" si="81"/>
        <v>0</v>
      </c>
      <c r="Y658" s="266" t="e">
        <f t="shared" si="76"/>
        <v>#DIV/0!</v>
      </c>
      <c r="Z658" s="266" t="e">
        <f t="shared" si="77"/>
        <v>#DIV/0!</v>
      </c>
      <c r="AA658" s="266" t="e">
        <f t="shared" si="78"/>
        <v>#DIV/0!</v>
      </c>
      <c r="AB658" s="65" t="e">
        <f t="shared" si="82"/>
        <v>#N/A</v>
      </c>
      <c r="AC658" s="65" t="e">
        <f t="shared" si="83"/>
        <v>#N/A</v>
      </c>
      <c r="AD658" s="65" t="e">
        <f t="shared" si="84"/>
        <v>#N/A</v>
      </c>
      <c r="AE658" s="65" t="e">
        <f t="shared" si="85"/>
        <v>#N/A</v>
      </c>
    </row>
    <row r="659" spans="1:31" ht="15" customHeight="1">
      <c r="A659">
        <f>'Final Building Profile'!A9</f>
        <v>6</v>
      </c>
      <c r="B659">
        <f>'Final Building Profile'!D9</f>
        <v>0</v>
      </c>
      <c r="C659">
        <f>'Final Building Profile'!E9</f>
        <v>0</v>
      </c>
      <c r="D659">
        <f>'Final Building Profile'!F9</f>
        <v>0</v>
      </c>
      <c r="E659" s="265">
        <f>'Final Building Profile'!G9</f>
        <v>0</v>
      </c>
      <c r="F659" s="265">
        <f>'Final Building Profile'!H9</f>
        <v>0</v>
      </c>
      <c r="G659" s="265">
        <f>'Final Building Profile'!I9</f>
        <v>0</v>
      </c>
      <c r="H659" s="197">
        <f t="shared" si="68"/>
        <v>0</v>
      </c>
      <c r="I659" s="197">
        <f t="shared" si="69"/>
        <v>0</v>
      </c>
      <c r="J659" s="137">
        <f t="shared" si="70"/>
        <v>0</v>
      </c>
      <c r="K659" s="66">
        <f>'Final Building Profile'!L9</f>
        <v>0</v>
      </c>
      <c r="L659" s="66">
        <f t="shared" si="79"/>
        <v>0</v>
      </c>
      <c r="M659">
        <f>'Final Building Profile'!M9</f>
        <v>0</v>
      </c>
      <c r="N659" s="66">
        <f t="shared" si="71"/>
        <v>0</v>
      </c>
      <c r="O659" s="66">
        <f t="shared" si="72"/>
        <v>0</v>
      </c>
      <c r="P659" s="66">
        <f t="shared" si="73"/>
        <v>0</v>
      </c>
      <c r="Q659" s="204">
        <f>'Final Building Profile'!K9</f>
        <v>0</v>
      </c>
      <c r="R659" s="66">
        <f t="shared" si="80"/>
        <v>0</v>
      </c>
      <c r="S659" s="65">
        <f>'Final Building Profile'!N9-'Final Building Profile'!O9</f>
        <v>0</v>
      </c>
      <c r="T659" s="65">
        <f t="shared" si="74"/>
        <v>0</v>
      </c>
      <c r="U659" s="204">
        <f>'Final Building Profile'!Q9</f>
        <v>0</v>
      </c>
      <c r="V659" s="65">
        <f>IF('Final Building Profile'!P9&lt;&gt;"", U659, 0) * T659</f>
        <v>0</v>
      </c>
      <c r="W659" s="266">
        <f t="shared" si="75"/>
        <v>0</v>
      </c>
      <c r="X659" s="266">
        <f t="shared" si="81"/>
        <v>0</v>
      </c>
      <c r="Y659" s="266" t="e">
        <f t="shared" si="76"/>
        <v>#DIV/0!</v>
      </c>
      <c r="Z659" s="266" t="e">
        <f t="shared" si="77"/>
        <v>#DIV/0!</v>
      </c>
      <c r="AA659" s="266" t="e">
        <f t="shared" si="78"/>
        <v>#DIV/0!</v>
      </c>
      <c r="AB659" s="65" t="e">
        <f t="shared" si="82"/>
        <v>#N/A</v>
      </c>
      <c r="AC659" s="65" t="e">
        <f t="shared" si="83"/>
        <v>#N/A</v>
      </c>
      <c r="AD659" s="65" t="e">
        <f t="shared" si="84"/>
        <v>#N/A</v>
      </c>
      <c r="AE659" s="65" t="e">
        <f t="shared" si="85"/>
        <v>#N/A</v>
      </c>
    </row>
    <row r="660" spans="1:31" ht="15" customHeight="1">
      <c r="A660">
        <f>'Final Building Profile'!A10</f>
        <v>7</v>
      </c>
      <c r="B660">
        <f>'Final Building Profile'!D10</f>
        <v>0</v>
      </c>
      <c r="C660">
        <f>'Final Building Profile'!E10</f>
        <v>0</v>
      </c>
      <c r="D660">
        <f>'Final Building Profile'!F10</f>
        <v>0</v>
      </c>
      <c r="E660" s="265">
        <f>'Final Building Profile'!G10</f>
        <v>0</v>
      </c>
      <c r="F660" s="265">
        <f>'Final Building Profile'!H10</f>
        <v>0</v>
      </c>
      <c r="G660" s="265">
        <f>'Final Building Profile'!I10</f>
        <v>0</v>
      </c>
      <c r="H660" s="197">
        <f t="shared" si="68"/>
        <v>0</v>
      </c>
      <c r="I660" s="197">
        <f t="shared" si="69"/>
        <v>0</v>
      </c>
      <c r="J660" s="137">
        <f t="shared" si="70"/>
        <v>0</v>
      </c>
      <c r="K660" s="66">
        <f>'Final Building Profile'!L10</f>
        <v>0</v>
      </c>
      <c r="L660" s="66">
        <f t="shared" si="79"/>
        <v>0</v>
      </c>
      <c r="M660">
        <f>'Final Building Profile'!M10</f>
        <v>0</v>
      </c>
      <c r="N660" s="66">
        <f t="shared" si="71"/>
        <v>0</v>
      </c>
      <c r="O660" s="66">
        <f t="shared" si="72"/>
        <v>0</v>
      </c>
      <c r="P660" s="66">
        <f t="shared" si="73"/>
        <v>0</v>
      </c>
      <c r="Q660" s="204">
        <f>'Final Building Profile'!K10</f>
        <v>0</v>
      </c>
      <c r="R660" s="66">
        <f t="shared" si="80"/>
        <v>0</v>
      </c>
      <c r="S660" s="65">
        <f>'Final Building Profile'!N10-'Final Building Profile'!O10</f>
        <v>0</v>
      </c>
      <c r="T660" s="65">
        <f t="shared" si="74"/>
        <v>0</v>
      </c>
      <c r="U660" s="204">
        <f>'Final Building Profile'!Q10</f>
        <v>0</v>
      </c>
      <c r="V660" s="65">
        <f>IF('Final Building Profile'!P10&lt;&gt;"", U660, 0) * T660</f>
        <v>0</v>
      </c>
      <c r="W660" s="266">
        <f t="shared" si="75"/>
        <v>0</v>
      </c>
      <c r="X660" s="266">
        <f t="shared" si="81"/>
        <v>0</v>
      </c>
      <c r="Y660" s="266" t="e">
        <f t="shared" si="76"/>
        <v>#DIV/0!</v>
      </c>
      <c r="Z660" s="266" t="e">
        <f t="shared" si="77"/>
        <v>#DIV/0!</v>
      </c>
      <c r="AA660" s="266" t="e">
        <f t="shared" si="78"/>
        <v>#DIV/0!</v>
      </c>
      <c r="AB660" s="65" t="e">
        <f t="shared" si="82"/>
        <v>#N/A</v>
      </c>
      <c r="AC660" s="65" t="e">
        <f t="shared" si="83"/>
        <v>#N/A</v>
      </c>
      <c r="AD660" s="65" t="e">
        <f t="shared" si="84"/>
        <v>#N/A</v>
      </c>
      <c r="AE660" s="65" t="e">
        <f t="shared" si="85"/>
        <v>#N/A</v>
      </c>
    </row>
    <row r="661" spans="1:31" ht="15" customHeight="1">
      <c r="A661">
        <f>'Final Building Profile'!A11</f>
        <v>8</v>
      </c>
      <c r="B661">
        <f>'Final Building Profile'!D11</f>
        <v>0</v>
      </c>
      <c r="C661">
        <f>'Final Building Profile'!E11</f>
        <v>0</v>
      </c>
      <c r="D661">
        <f>'Final Building Profile'!F11</f>
        <v>0</v>
      </c>
      <c r="E661" s="265">
        <f>'Final Building Profile'!G11</f>
        <v>0</v>
      </c>
      <c r="F661" s="265">
        <f>'Final Building Profile'!H11</f>
        <v>0</v>
      </c>
      <c r="G661" s="265">
        <f>'Final Building Profile'!I11</f>
        <v>0</v>
      </c>
      <c r="H661" s="197">
        <f t="shared" si="68"/>
        <v>0</v>
      </c>
      <c r="I661" s="197">
        <f t="shared" si="69"/>
        <v>0</v>
      </c>
      <c r="J661" s="137">
        <f t="shared" si="70"/>
        <v>0</v>
      </c>
      <c r="K661" s="66">
        <f>'Final Building Profile'!L11</f>
        <v>0</v>
      </c>
      <c r="L661" s="66">
        <f t="shared" si="79"/>
        <v>0</v>
      </c>
      <c r="M661">
        <f>'Final Building Profile'!M11</f>
        <v>0</v>
      </c>
      <c r="N661" s="66">
        <f t="shared" si="71"/>
        <v>0</v>
      </c>
      <c r="O661" s="66">
        <f t="shared" si="72"/>
        <v>0</v>
      </c>
      <c r="P661" s="66">
        <f t="shared" si="73"/>
        <v>0</v>
      </c>
      <c r="Q661" s="204">
        <f>'Final Building Profile'!K11</f>
        <v>0</v>
      </c>
      <c r="R661" s="66">
        <f t="shared" si="80"/>
        <v>0</v>
      </c>
      <c r="S661" s="65">
        <f>'Final Building Profile'!N11-'Final Building Profile'!O11</f>
        <v>0</v>
      </c>
      <c r="T661" s="65">
        <f t="shared" si="74"/>
        <v>0</v>
      </c>
      <c r="U661" s="204">
        <f>'Final Building Profile'!Q11</f>
        <v>0</v>
      </c>
      <c r="V661" s="65">
        <f>IF('Final Building Profile'!P11&lt;&gt;"", U661, 0) * T661</f>
        <v>0</v>
      </c>
      <c r="W661" s="266">
        <f t="shared" si="75"/>
        <v>0</v>
      </c>
      <c r="X661" s="266">
        <f t="shared" si="81"/>
        <v>0</v>
      </c>
      <c r="Y661" s="266" t="e">
        <f t="shared" si="76"/>
        <v>#DIV/0!</v>
      </c>
      <c r="Z661" s="266" t="e">
        <f t="shared" si="77"/>
        <v>#DIV/0!</v>
      </c>
      <c r="AA661" s="266" t="e">
        <f t="shared" si="78"/>
        <v>#DIV/0!</v>
      </c>
      <c r="AB661" s="65" t="e">
        <f t="shared" si="82"/>
        <v>#N/A</v>
      </c>
      <c r="AC661" s="65" t="e">
        <f t="shared" si="83"/>
        <v>#N/A</v>
      </c>
      <c r="AD661" s="65" t="e">
        <f t="shared" si="84"/>
        <v>#N/A</v>
      </c>
      <c r="AE661" s="65" t="e">
        <f t="shared" si="85"/>
        <v>#N/A</v>
      </c>
    </row>
    <row r="662" spans="1:31" ht="15" customHeight="1">
      <c r="A662">
        <f>'Final Building Profile'!A12</f>
        <v>9</v>
      </c>
      <c r="B662">
        <f>'Final Building Profile'!D12</f>
        <v>0</v>
      </c>
      <c r="C662">
        <f>'Final Building Profile'!E12</f>
        <v>0</v>
      </c>
      <c r="D662">
        <f>'Final Building Profile'!F12</f>
        <v>0</v>
      </c>
      <c r="E662" s="265">
        <f>'Final Building Profile'!G12</f>
        <v>0</v>
      </c>
      <c r="F662" s="265">
        <f>'Final Building Profile'!H12</f>
        <v>0</v>
      </c>
      <c r="G662" s="265">
        <f>'Final Building Profile'!I12</f>
        <v>0</v>
      </c>
      <c r="H662" s="197">
        <f t="shared" si="68"/>
        <v>0</v>
      </c>
      <c r="I662" s="197">
        <f t="shared" si="69"/>
        <v>0</v>
      </c>
      <c r="J662" s="137">
        <f t="shared" si="70"/>
        <v>0</v>
      </c>
      <c r="K662" s="66">
        <f>'Final Building Profile'!L12</f>
        <v>0</v>
      </c>
      <c r="L662" s="66">
        <f t="shared" si="79"/>
        <v>0</v>
      </c>
      <c r="M662">
        <f>'Final Building Profile'!M12</f>
        <v>0</v>
      </c>
      <c r="N662" s="66">
        <f t="shared" si="71"/>
        <v>0</v>
      </c>
      <c r="O662" s="66">
        <f t="shared" si="72"/>
        <v>0</v>
      </c>
      <c r="P662" s="66">
        <f t="shared" si="73"/>
        <v>0</v>
      </c>
      <c r="Q662" s="204">
        <f>'Final Building Profile'!K12</f>
        <v>0</v>
      </c>
      <c r="R662" s="66">
        <f t="shared" si="80"/>
        <v>0</v>
      </c>
      <c r="S662" s="65">
        <f>'Final Building Profile'!N12-'Final Building Profile'!O12</f>
        <v>0</v>
      </c>
      <c r="T662" s="65">
        <f t="shared" si="74"/>
        <v>0</v>
      </c>
      <c r="U662" s="204">
        <f>'Final Building Profile'!Q12</f>
        <v>0</v>
      </c>
      <c r="V662" s="65">
        <f>IF('Final Building Profile'!P12&lt;&gt;"", U662, 0) * T662</f>
        <v>0</v>
      </c>
      <c r="W662" s="266">
        <f t="shared" si="75"/>
        <v>0</v>
      </c>
      <c r="X662" s="266">
        <f t="shared" si="81"/>
        <v>0</v>
      </c>
      <c r="Y662" s="266" t="e">
        <f t="shared" si="76"/>
        <v>#DIV/0!</v>
      </c>
      <c r="Z662" s="266" t="e">
        <f t="shared" si="77"/>
        <v>#DIV/0!</v>
      </c>
      <c r="AA662" s="266" t="e">
        <f t="shared" si="78"/>
        <v>#DIV/0!</v>
      </c>
      <c r="AB662" s="65" t="e">
        <f t="shared" si="82"/>
        <v>#N/A</v>
      </c>
      <c r="AC662" s="65" t="e">
        <f t="shared" si="83"/>
        <v>#N/A</v>
      </c>
      <c r="AD662" s="65" t="e">
        <f t="shared" si="84"/>
        <v>#N/A</v>
      </c>
      <c r="AE662" s="65" t="e">
        <f t="shared" si="85"/>
        <v>#N/A</v>
      </c>
    </row>
    <row r="663" spans="1:31" ht="15" customHeight="1">
      <c r="A663">
        <f>'Final Building Profile'!A13</f>
        <v>10</v>
      </c>
      <c r="B663">
        <f>'Final Building Profile'!D13</f>
        <v>0</v>
      </c>
      <c r="C663">
        <f>'Final Building Profile'!E13</f>
        <v>0</v>
      </c>
      <c r="D663">
        <f>'Final Building Profile'!F13</f>
        <v>0</v>
      </c>
      <c r="E663" s="265">
        <f>'Final Building Profile'!G13</f>
        <v>0</v>
      </c>
      <c r="F663" s="265">
        <f>'Final Building Profile'!H13</f>
        <v>0</v>
      </c>
      <c r="G663" s="265">
        <f>'Final Building Profile'!I13</f>
        <v>0</v>
      </c>
      <c r="H663" s="197">
        <f t="shared" si="68"/>
        <v>0</v>
      </c>
      <c r="I663" s="197">
        <f t="shared" si="69"/>
        <v>0</v>
      </c>
      <c r="J663" s="137">
        <f t="shared" si="70"/>
        <v>0</v>
      </c>
      <c r="K663" s="66">
        <f>'Final Building Profile'!L13</f>
        <v>0</v>
      </c>
      <c r="L663" s="66">
        <f t="shared" si="79"/>
        <v>0</v>
      </c>
      <c r="M663">
        <f>'Final Building Profile'!M13</f>
        <v>0</v>
      </c>
      <c r="N663" s="66">
        <f t="shared" si="71"/>
        <v>0</v>
      </c>
      <c r="O663" s="66">
        <f t="shared" si="72"/>
        <v>0</v>
      </c>
      <c r="P663" s="66">
        <f t="shared" si="73"/>
        <v>0</v>
      </c>
      <c r="Q663" s="204">
        <f>'Final Building Profile'!K13</f>
        <v>0</v>
      </c>
      <c r="R663" s="66">
        <f t="shared" si="80"/>
        <v>0</v>
      </c>
      <c r="S663" s="65">
        <f>'Final Building Profile'!N13-'Final Building Profile'!O13</f>
        <v>0</v>
      </c>
      <c r="T663" s="65">
        <f t="shared" si="74"/>
        <v>0</v>
      </c>
      <c r="U663" s="204">
        <f>'Final Building Profile'!Q13</f>
        <v>0</v>
      </c>
      <c r="V663" s="65">
        <f>IF('Final Building Profile'!P13&lt;&gt;"", U663, 0) * T663</f>
        <v>0</v>
      </c>
      <c r="W663" s="266">
        <f t="shared" si="75"/>
        <v>0</v>
      </c>
      <c r="X663" s="266">
        <f t="shared" si="81"/>
        <v>0</v>
      </c>
      <c r="Y663" s="266" t="e">
        <f t="shared" si="76"/>
        <v>#DIV/0!</v>
      </c>
      <c r="Z663" s="266" t="e">
        <f t="shared" si="77"/>
        <v>#DIV/0!</v>
      </c>
      <c r="AA663" s="266" t="e">
        <f t="shared" si="78"/>
        <v>#DIV/0!</v>
      </c>
      <c r="AB663" s="65" t="e">
        <f t="shared" si="82"/>
        <v>#N/A</v>
      </c>
      <c r="AC663" s="65" t="e">
        <f t="shared" si="83"/>
        <v>#N/A</v>
      </c>
      <c r="AD663" s="65" t="e">
        <f t="shared" si="84"/>
        <v>#N/A</v>
      </c>
      <c r="AE663" s="65" t="e">
        <f t="shared" si="85"/>
        <v>#N/A</v>
      </c>
    </row>
    <row r="664" spans="1:31" ht="15" customHeight="1">
      <c r="A664">
        <f>'Final Building Profile'!A14</f>
        <v>11</v>
      </c>
      <c r="B664">
        <f>'Final Building Profile'!D14</f>
        <v>0</v>
      </c>
      <c r="C664">
        <f>'Final Building Profile'!E14</f>
        <v>0</v>
      </c>
      <c r="D664">
        <f>'Final Building Profile'!F14</f>
        <v>0</v>
      </c>
      <c r="E664" s="265">
        <f>'Final Building Profile'!G14</f>
        <v>0</v>
      </c>
      <c r="F664" s="265">
        <f>'Final Building Profile'!H14</f>
        <v>0</v>
      </c>
      <c r="G664" s="265">
        <f>'Final Building Profile'!I14</f>
        <v>0</v>
      </c>
      <c r="H664" s="197">
        <f t="shared" si="68"/>
        <v>0</v>
      </c>
      <c r="I664" s="197">
        <f t="shared" si="69"/>
        <v>0</v>
      </c>
      <c r="J664" s="137">
        <f t="shared" si="70"/>
        <v>0</v>
      </c>
      <c r="K664" s="66">
        <f>'Final Building Profile'!L14</f>
        <v>0</v>
      </c>
      <c r="L664" s="66">
        <f t="shared" si="79"/>
        <v>0</v>
      </c>
      <c r="M664">
        <f>'Final Building Profile'!M14</f>
        <v>0</v>
      </c>
      <c r="N664" s="66">
        <f t="shared" si="71"/>
        <v>0</v>
      </c>
      <c r="O664" s="66">
        <f t="shared" si="72"/>
        <v>0</v>
      </c>
      <c r="P664" s="66">
        <f t="shared" si="73"/>
        <v>0</v>
      </c>
      <c r="Q664" s="204">
        <f>'Final Building Profile'!K14</f>
        <v>0</v>
      </c>
      <c r="R664" s="66">
        <f t="shared" si="80"/>
        <v>0</v>
      </c>
      <c r="S664" s="65">
        <f>'Final Building Profile'!N14-'Final Building Profile'!O14</f>
        <v>0</v>
      </c>
      <c r="T664" s="65">
        <f t="shared" si="74"/>
        <v>0</v>
      </c>
      <c r="U664" s="204">
        <f>'Final Building Profile'!Q14</f>
        <v>0</v>
      </c>
      <c r="V664" s="65">
        <f>IF('Final Building Profile'!P14&lt;&gt;"", U664, 0) * T664</f>
        <v>0</v>
      </c>
      <c r="W664" s="266">
        <f t="shared" si="75"/>
        <v>0</v>
      </c>
      <c r="X664" s="266">
        <f t="shared" si="81"/>
        <v>0</v>
      </c>
      <c r="Y664" s="266" t="e">
        <f t="shared" si="76"/>
        <v>#DIV/0!</v>
      </c>
      <c r="Z664" s="266" t="e">
        <f t="shared" si="77"/>
        <v>#DIV/0!</v>
      </c>
      <c r="AA664" s="266" t="e">
        <f t="shared" si="78"/>
        <v>#DIV/0!</v>
      </c>
      <c r="AB664" s="65" t="e">
        <f t="shared" si="82"/>
        <v>#N/A</v>
      </c>
      <c r="AC664" s="65" t="e">
        <f t="shared" si="83"/>
        <v>#N/A</v>
      </c>
      <c r="AD664" s="65" t="e">
        <f t="shared" si="84"/>
        <v>#N/A</v>
      </c>
      <c r="AE664" s="65" t="e">
        <f t="shared" si="85"/>
        <v>#N/A</v>
      </c>
    </row>
    <row r="665" spans="1:31" ht="15" customHeight="1">
      <c r="A665">
        <f>'Final Building Profile'!A15</f>
        <v>12</v>
      </c>
      <c r="B665">
        <f>'Final Building Profile'!D15</f>
        <v>0</v>
      </c>
      <c r="C665">
        <f>'Final Building Profile'!E15</f>
        <v>0</v>
      </c>
      <c r="D665">
        <f>'Final Building Profile'!F15</f>
        <v>0</v>
      </c>
      <c r="E665" s="265">
        <f>'Final Building Profile'!G15</f>
        <v>0</v>
      </c>
      <c r="F665" s="265">
        <f>'Final Building Profile'!H15</f>
        <v>0</v>
      </c>
      <c r="G665" s="265">
        <f>'Final Building Profile'!I15</f>
        <v>0</v>
      </c>
      <c r="H665" s="197">
        <f t="shared" si="68"/>
        <v>0</v>
      </c>
      <c r="I665" s="197">
        <f t="shared" si="69"/>
        <v>0</v>
      </c>
      <c r="J665" s="137">
        <f t="shared" si="70"/>
        <v>0</v>
      </c>
      <c r="K665" s="66">
        <f>'Final Building Profile'!L15</f>
        <v>0</v>
      </c>
      <c r="L665" s="66">
        <f t="shared" si="79"/>
        <v>0</v>
      </c>
      <c r="M665">
        <f>'Final Building Profile'!M15</f>
        <v>0</v>
      </c>
      <c r="N665" s="66">
        <f t="shared" si="71"/>
        <v>0</v>
      </c>
      <c r="O665" s="66">
        <f t="shared" si="72"/>
        <v>0</v>
      </c>
      <c r="P665" s="66">
        <f t="shared" si="73"/>
        <v>0</v>
      </c>
      <c r="Q665" s="204">
        <f>'Final Building Profile'!K15</f>
        <v>0</v>
      </c>
      <c r="R665" s="66">
        <f t="shared" si="80"/>
        <v>0</v>
      </c>
      <c r="S665" s="65">
        <f>'Final Building Profile'!N15-'Final Building Profile'!O15</f>
        <v>0</v>
      </c>
      <c r="T665" s="65">
        <f t="shared" si="74"/>
        <v>0</v>
      </c>
      <c r="U665" s="204">
        <f>'Final Building Profile'!Q15</f>
        <v>0</v>
      </c>
      <c r="V665" s="65">
        <f>IF('Final Building Profile'!P15&lt;&gt;"", U665, 0) * T665</f>
        <v>0</v>
      </c>
      <c r="W665" s="266">
        <f t="shared" si="75"/>
        <v>0</v>
      </c>
      <c r="X665" s="266">
        <f t="shared" si="81"/>
        <v>0</v>
      </c>
      <c r="Y665" s="266" t="e">
        <f t="shared" si="76"/>
        <v>#DIV/0!</v>
      </c>
      <c r="Z665" s="266" t="e">
        <f t="shared" si="77"/>
        <v>#DIV/0!</v>
      </c>
      <c r="AA665" s="266" t="e">
        <f t="shared" si="78"/>
        <v>#DIV/0!</v>
      </c>
      <c r="AB665" s="65" t="e">
        <f t="shared" si="82"/>
        <v>#N/A</v>
      </c>
      <c r="AC665" s="65" t="e">
        <f t="shared" si="83"/>
        <v>#N/A</v>
      </c>
      <c r="AD665" s="65" t="e">
        <f t="shared" si="84"/>
        <v>#N/A</v>
      </c>
      <c r="AE665" s="65" t="e">
        <f t="shared" si="85"/>
        <v>#N/A</v>
      </c>
    </row>
    <row r="666" spans="1:31" ht="15" customHeight="1">
      <c r="A666">
        <f>'Final Building Profile'!A16</f>
        <v>13</v>
      </c>
      <c r="B666">
        <f>'Final Building Profile'!D16</f>
        <v>0</v>
      </c>
      <c r="C666">
        <f>'Final Building Profile'!E16</f>
        <v>0</v>
      </c>
      <c r="D666">
        <f>'Final Building Profile'!F16</f>
        <v>0</v>
      </c>
      <c r="E666" s="265">
        <f>'Final Building Profile'!G16</f>
        <v>0</v>
      </c>
      <c r="F666" s="265">
        <f>'Final Building Profile'!H16</f>
        <v>0</v>
      </c>
      <c r="G666" s="265">
        <f>'Final Building Profile'!I16</f>
        <v>0</v>
      </c>
      <c r="H666" s="197">
        <f t="shared" si="68"/>
        <v>0</v>
      </c>
      <c r="I666" s="197">
        <f t="shared" si="69"/>
        <v>0</v>
      </c>
      <c r="J666" s="137">
        <f t="shared" si="70"/>
        <v>0</v>
      </c>
      <c r="K666" s="66">
        <f>'Final Building Profile'!L16</f>
        <v>0</v>
      </c>
      <c r="L666" s="66">
        <f t="shared" si="79"/>
        <v>0</v>
      </c>
      <c r="M666">
        <f>'Final Building Profile'!M16</f>
        <v>0</v>
      </c>
      <c r="N666" s="66">
        <f t="shared" si="71"/>
        <v>0</v>
      </c>
      <c r="O666" s="66">
        <f t="shared" si="72"/>
        <v>0</v>
      </c>
      <c r="P666" s="66">
        <f t="shared" si="73"/>
        <v>0</v>
      </c>
      <c r="Q666" s="204">
        <f>'Final Building Profile'!K16</f>
        <v>0</v>
      </c>
      <c r="R666" s="66">
        <f t="shared" si="80"/>
        <v>0</v>
      </c>
      <c r="S666" s="65">
        <f>'Final Building Profile'!N16-'Final Building Profile'!O16</f>
        <v>0</v>
      </c>
      <c r="T666" s="65">
        <f t="shared" si="74"/>
        <v>0</v>
      </c>
      <c r="U666" s="204">
        <f>'Final Building Profile'!Q16</f>
        <v>0</v>
      </c>
      <c r="V666" s="65">
        <f>IF('Final Building Profile'!P16&lt;&gt;"", U666, 0) * T666</f>
        <v>0</v>
      </c>
      <c r="W666" s="266">
        <f t="shared" si="75"/>
        <v>0</v>
      </c>
      <c r="X666" s="266">
        <f t="shared" si="81"/>
        <v>0</v>
      </c>
      <c r="Y666" s="266" t="e">
        <f t="shared" si="76"/>
        <v>#DIV/0!</v>
      </c>
      <c r="Z666" s="266" t="e">
        <f t="shared" si="77"/>
        <v>#DIV/0!</v>
      </c>
      <c r="AA666" s="266" t="e">
        <f t="shared" si="78"/>
        <v>#DIV/0!</v>
      </c>
      <c r="AB666" s="65" t="e">
        <f t="shared" si="82"/>
        <v>#N/A</v>
      </c>
      <c r="AC666" s="65" t="e">
        <f t="shared" si="83"/>
        <v>#N/A</v>
      </c>
      <c r="AD666" s="65" t="e">
        <f t="shared" si="84"/>
        <v>#N/A</v>
      </c>
      <c r="AE666" s="65" t="e">
        <f t="shared" si="85"/>
        <v>#N/A</v>
      </c>
    </row>
    <row r="667" spans="1:31" ht="15" customHeight="1">
      <c r="A667">
        <f>'Final Building Profile'!A17</f>
        <v>14</v>
      </c>
      <c r="B667">
        <f>'Final Building Profile'!D17</f>
        <v>0</v>
      </c>
      <c r="C667">
        <f>'Final Building Profile'!E17</f>
        <v>0</v>
      </c>
      <c r="D667">
        <f>'Final Building Profile'!F17</f>
        <v>0</v>
      </c>
      <c r="E667" s="265">
        <f>'Final Building Profile'!G17</f>
        <v>0</v>
      </c>
      <c r="F667" s="265">
        <f>'Final Building Profile'!H17</f>
        <v>0</v>
      </c>
      <c r="G667" s="265">
        <f>'Final Building Profile'!I17</f>
        <v>0</v>
      </c>
      <c r="H667" s="197">
        <f t="shared" si="68"/>
        <v>0</v>
      </c>
      <c r="I667" s="197">
        <f t="shared" si="69"/>
        <v>0</v>
      </c>
      <c r="J667" s="137">
        <f t="shared" si="70"/>
        <v>0</v>
      </c>
      <c r="K667" s="66">
        <f>'Final Building Profile'!L17</f>
        <v>0</v>
      </c>
      <c r="L667" s="66">
        <f t="shared" si="79"/>
        <v>0</v>
      </c>
      <c r="M667">
        <f>'Final Building Profile'!M17</f>
        <v>0</v>
      </c>
      <c r="N667" s="66">
        <f t="shared" si="71"/>
        <v>0</v>
      </c>
      <c r="O667" s="66">
        <f t="shared" si="72"/>
        <v>0</v>
      </c>
      <c r="P667" s="66">
        <f t="shared" si="73"/>
        <v>0</v>
      </c>
      <c r="Q667" s="204">
        <f>'Final Building Profile'!K17</f>
        <v>0</v>
      </c>
      <c r="R667" s="66">
        <f t="shared" si="80"/>
        <v>0</v>
      </c>
      <c r="S667" s="65">
        <f>'Final Building Profile'!N17-'Final Building Profile'!O17</f>
        <v>0</v>
      </c>
      <c r="T667" s="65">
        <f t="shared" si="74"/>
        <v>0</v>
      </c>
      <c r="U667" s="204">
        <f>'Final Building Profile'!Q17</f>
        <v>0</v>
      </c>
      <c r="V667" s="65">
        <f>IF('Final Building Profile'!P17&lt;&gt;"", U667, 0) * T667</f>
        <v>0</v>
      </c>
      <c r="W667" s="266">
        <f t="shared" si="75"/>
        <v>0</v>
      </c>
      <c r="X667" s="266">
        <f t="shared" si="81"/>
        <v>0</v>
      </c>
      <c r="Y667" s="266" t="e">
        <f t="shared" si="76"/>
        <v>#DIV/0!</v>
      </c>
      <c r="Z667" s="266" t="e">
        <f t="shared" si="77"/>
        <v>#DIV/0!</v>
      </c>
      <c r="AA667" s="266" t="e">
        <f t="shared" si="78"/>
        <v>#DIV/0!</v>
      </c>
      <c r="AB667" s="65" t="e">
        <f t="shared" si="82"/>
        <v>#N/A</v>
      </c>
      <c r="AC667" s="65" t="e">
        <f t="shared" si="83"/>
        <v>#N/A</v>
      </c>
      <c r="AD667" s="65" t="e">
        <f t="shared" si="84"/>
        <v>#N/A</v>
      </c>
      <c r="AE667" s="65" t="e">
        <f t="shared" si="85"/>
        <v>#N/A</v>
      </c>
    </row>
    <row r="668" spans="1:31" ht="15" customHeight="1">
      <c r="A668">
        <f>'Final Building Profile'!A18</f>
        <v>15</v>
      </c>
      <c r="B668">
        <f>'Final Building Profile'!D18</f>
        <v>0</v>
      </c>
      <c r="C668">
        <f>'Final Building Profile'!E18</f>
        <v>0</v>
      </c>
      <c r="D668">
        <f>'Final Building Profile'!F18</f>
        <v>0</v>
      </c>
      <c r="E668" s="265">
        <f>'Final Building Profile'!G18</f>
        <v>0</v>
      </c>
      <c r="F668" s="265">
        <f>'Final Building Profile'!H18</f>
        <v>0</v>
      </c>
      <c r="G668" s="265">
        <f>'Final Building Profile'!I18</f>
        <v>0</v>
      </c>
      <c r="H668" s="197">
        <f t="shared" si="68"/>
        <v>0</v>
      </c>
      <c r="I668" s="197">
        <f t="shared" si="69"/>
        <v>0</v>
      </c>
      <c r="J668" s="137">
        <f t="shared" si="70"/>
        <v>0</v>
      </c>
      <c r="K668" s="66">
        <f>'Final Building Profile'!L18</f>
        <v>0</v>
      </c>
      <c r="L668" s="66">
        <f t="shared" si="79"/>
        <v>0</v>
      </c>
      <c r="M668">
        <f>'Final Building Profile'!M18</f>
        <v>0</v>
      </c>
      <c r="N668" s="66">
        <f t="shared" si="71"/>
        <v>0</v>
      </c>
      <c r="O668" s="66">
        <f t="shared" si="72"/>
        <v>0</v>
      </c>
      <c r="P668" s="66">
        <f t="shared" si="73"/>
        <v>0</v>
      </c>
      <c r="Q668" s="204">
        <f>'Final Building Profile'!K18</f>
        <v>0</v>
      </c>
      <c r="R668" s="66">
        <f t="shared" si="80"/>
        <v>0</v>
      </c>
      <c r="S668" s="65">
        <f>'Final Building Profile'!N18-'Final Building Profile'!O18</f>
        <v>0</v>
      </c>
      <c r="T668" s="65">
        <f t="shared" si="74"/>
        <v>0</v>
      </c>
      <c r="U668" s="204">
        <f>'Final Building Profile'!Q18</f>
        <v>0</v>
      </c>
      <c r="V668" s="65">
        <f>IF('Final Building Profile'!P18&lt;&gt;"", U668, 0) * T668</f>
        <v>0</v>
      </c>
      <c r="W668" s="266">
        <f t="shared" si="75"/>
        <v>0</v>
      </c>
      <c r="X668" s="266">
        <f t="shared" si="81"/>
        <v>0</v>
      </c>
      <c r="Y668" s="266" t="e">
        <f t="shared" si="76"/>
        <v>#DIV/0!</v>
      </c>
      <c r="Z668" s="266" t="e">
        <f t="shared" si="77"/>
        <v>#DIV/0!</v>
      </c>
      <c r="AA668" s="266" t="e">
        <f t="shared" si="78"/>
        <v>#DIV/0!</v>
      </c>
      <c r="AB668" s="65" t="e">
        <f t="shared" si="82"/>
        <v>#N/A</v>
      </c>
      <c r="AC668" s="65" t="e">
        <f t="shared" si="83"/>
        <v>#N/A</v>
      </c>
      <c r="AD668" s="65" t="e">
        <f t="shared" si="84"/>
        <v>#N/A</v>
      </c>
      <c r="AE668" s="65" t="e">
        <f t="shared" si="85"/>
        <v>#N/A</v>
      </c>
    </row>
    <row r="669" spans="1:31" ht="15" customHeight="1">
      <c r="A669">
        <f>'Final Building Profile'!A19</f>
        <v>16</v>
      </c>
      <c r="B669">
        <f>'Final Building Profile'!D19</f>
        <v>0</v>
      </c>
      <c r="C669">
        <f>'Final Building Profile'!E19</f>
        <v>0</v>
      </c>
      <c r="D669">
        <f>'Final Building Profile'!F19</f>
        <v>0</v>
      </c>
      <c r="E669" s="265">
        <f>'Final Building Profile'!G19</f>
        <v>0</v>
      </c>
      <c r="F669" s="265">
        <f>'Final Building Profile'!H19</f>
        <v>0</v>
      </c>
      <c r="G669" s="265">
        <f>'Final Building Profile'!I19</f>
        <v>0</v>
      </c>
      <c r="H669" s="197">
        <f t="shared" si="68"/>
        <v>0</v>
      </c>
      <c r="I669" s="197">
        <f t="shared" si="69"/>
        <v>0</v>
      </c>
      <c r="J669" s="137">
        <f t="shared" si="70"/>
        <v>0</v>
      </c>
      <c r="K669" s="66">
        <f>'Final Building Profile'!L19</f>
        <v>0</v>
      </c>
      <c r="L669" s="66">
        <f t="shared" si="79"/>
        <v>0</v>
      </c>
      <c r="M669">
        <f>'Final Building Profile'!M19</f>
        <v>0</v>
      </c>
      <c r="N669" s="66">
        <f t="shared" si="71"/>
        <v>0</v>
      </c>
      <c r="O669" s="66">
        <f t="shared" si="72"/>
        <v>0</v>
      </c>
      <c r="P669" s="66">
        <f t="shared" si="73"/>
        <v>0</v>
      </c>
      <c r="Q669" s="204">
        <f>'Final Building Profile'!K19</f>
        <v>0</v>
      </c>
      <c r="R669" s="66">
        <f t="shared" si="80"/>
        <v>0</v>
      </c>
      <c r="S669" s="65">
        <f>'Final Building Profile'!N19-'Final Building Profile'!O19</f>
        <v>0</v>
      </c>
      <c r="T669" s="65">
        <f t="shared" si="74"/>
        <v>0</v>
      </c>
      <c r="U669" s="204">
        <f>'Final Building Profile'!Q19</f>
        <v>0</v>
      </c>
      <c r="V669" s="65">
        <f>IF('Final Building Profile'!P19&lt;&gt;"", U669, 0) * T669</f>
        <v>0</v>
      </c>
      <c r="W669" s="266">
        <f t="shared" si="75"/>
        <v>0</v>
      </c>
      <c r="X669" s="266">
        <f t="shared" si="81"/>
        <v>0</v>
      </c>
      <c r="Y669" s="266" t="e">
        <f t="shared" si="76"/>
        <v>#DIV/0!</v>
      </c>
      <c r="Z669" s="266" t="e">
        <f t="shared" si="77"/>
        <v>#DIV/0!</v>
      </c>
      <c r="AA669" s="266" t="e">
        <f t="shared" si="78"/>
        <v>#DIV/0!</v>
      </c>
      <c r="AB669" s="65" t="e">
        <f t="shared" si="82"/>
        <v>#N/A</v>
      </c>
      <c r="AC669" s="65" t="e">
        <f t="shared" si="83"/>
        <v>#N/A</v>
      </c>
      <c r="AD669" s="65" t="e">
        <f t="shared" si="84"/>
        <v>#N/A</v>
      </c>
      <c r="AE669" s="65" t="e">
        <f t="shared" si="85"/>
        <v>#N/A</v>
      </c>
    </row>
    <row r="670" spans="1:31" ht="15" customHeight="1">
      <c r="A670">
        <f>'Final Building Profile'!A20</f>
        <v>17</v>
      </c>
      <c r="B670">
        <f>'Final Building Profile'!D20</f>
        <v>0</v>
      </c>
      <c r="C670">
        <f>'Final Building Profile'!E20</f>
        <v>0</v>
      </c>
      <c r="D670">
        <f>'Final Building Profile'!F20</f>
        <v>0</v>
      </c>
      <c r="E670" s="265">
        <f>'Final Building Profile'!G20</f>
        <v>0</v>
      </c>
      <c r="F670" s="265">
        <f>'Final Building Profile'!H20</f>
        <v>0</v>
      </c>
      <c r="G670" s="265">
        <f>'Final Building Profile'!I20</f>
        <v>0</v>
      </c>
      <c r="H670" s="197">
        <f t="shared" si="68"/>
        <v>0</v>
      </c>
      <c r="I670" s="197">
        <f t="shared" si="69"/>
        <v>0</v>
      </c>
      <c r="J670" s="137">
        <f t="shared" si="70"/>
        <v>0</v>
      </c>
      <c r="K670" s="66">
        <f>'Final Building Profile'!L20</f>
        <v>0</v>
      </c>
      <c r="L670" s="66">
        <f t="shared" si="79"/>
        <v>0</v>
      </c>
      <c r="M670">
        <f>'Final Building Profile'!M20</f>
        <v>0</v>
      </c>
      <c r="N670" s="66">
        <f t="shared" si="71"/>
        <v>0</v>
      </c>
      <c r="O670" s="66">
        <f t="shared" si="72"/>
        <v>0</v>
      </c>
      <c r="P670" s="66">
        <f t="shared" si="73"/>
        <v>0</v>
      </c>
      <c r="Q670" s="204">
        <f>'Final Building Profile'!K20</f>
        <v>0</v>
      </c>
      <c r="R670" s="66">
        <f t="shared" si="80"/>
        <v>0</v>
      </c>
      <c r="S670" s="65">
        <f>'Final Building Profile'!N20-'Final Building Profile'!O20</f>
        <v>0</v>
      </c>
      <c r="T670" s="65">
        <f t="shared" si="74"/>
        <v>0</v>
      </c>
      <c r="U670" s="204">
        <f>'Final Building Profile'!Q20</f>
        <v>0</v>
      </c>
      <c r="V670" s="65">
        <f>IF('Final Building Profile'!P20&lt;&gt;"", U670, 0) * T670</f>
        <v>0</v>
      </c>
      <c r="W670" s="266">
        <f t="shared" si="75"/>
        <v>0</v>
      </c>
      <c r="X670" s="266">
        <f t="shared" si="81"/>
        <v>0</v>
      </c>
      <c r="Y670" s="266" t="e">
        <f t="shared" si="76"/>
        <v>#DIV/0!</v>
      </c>
      <c r="Z670" s="266" t="e">
        <f t="shared" si="77"/>
        <v>#DIV/0!</v>
      </c>
      <c r="AA670" s="266" t="e">
        <f t="shared" si="78"/>
        <v>#DIV/0!</v>
      </c>
      <c r="AB670" s="65" t="e">
        <f t="shared" si="82"/>
        <v>#N/A</v>
      </c>
      <c r="AC670" s="65" t="e">
        <f t="shared" si="83"/>
        <v>#N/A</v>
      </c>
      <c r="AD670" s="65" t="e">
        <f t="shared" si="84"/>
        <v>#N/A</v>
      </c>
      <c r="AE670" s="65" t="e">
        <f t="shared" si="85"/>
        <v>#N/A</v>
      </c>
    </row>
    <row r="671" spans="1:31" ht="15" customHeight="1">
      <c r="A671">
        <f>'Final Building Profile'!A21</f>
        <v>18</v>
      </c>
      <c r="B671">
        <f>'Final Building Profile'!D21</f>
        <v>0</v>
      </c>
      <c r="C671">
        <f>'Final Building Profile'!E21</f>
        <v>0</v>
      </c>
      <c r="D671">
        <f>'Final Building Profile'!F21</f>
        <v>0</v>
      </c>
      <c r="E671" s="265">
        <f>'Final Building Profile'!G21</f>
        <v>0</v>
      </c>
      <c r="F671" s="265">
        <f>'Final Building Profile'!H21</f>
        <v>0</v>
      </c>
      <c r="G671" s="265">
        <f>'Final Building Profile'!I21</f>
        <v>0</v>
      </c>
      <c r="H671" s="197">
        <f t="shared" si="68"/>
        <v>0</v>
      </c>
      <c r="I671" s="197">
        <f t="shared" si="69"/>
        <v>0</v>
      </c>
      <c r="J671" s="137">
        <f t="shared" si="70"/>
        <v>0</v>
      </c>
      <c r="K671" s="66">
        <f>'Final Building Profile'!L21</f>
        <v>0</v>
      </c>
      <c r="L671" s="66">
        <f t="shared" si="79"/>
        <v>0</v>
      </c>
      <c r="M671">
        <f>'Final Building Profile'!M21</f>
        <v>0</v>
      </c>
      <c r="N671" s="66">
        <f t="shared" si="71"/>
        <v>0</v>
      </c>
      <c r="O671" s="66">
        <f t="shared" si="72"/>
        <v>0</v>
      </c>
      <c r="P671" s="66">
        <f t="shared" si="73"/>
        <v>0</v>
      </c>
      <c r="Q671" s="204">
        <f>'Final Building Profile'!K21</f>
        <v>0</v>
      </c>
      <c r="R671" s="66">
        <f t="shared" si="80"/>
        <v>0</v>
      </c>
      <c r="S671" s="65">
        <f>'Final Building Profile'!N21-'Final Building Profile'!O21</f>
        <v>0</v>
      </c>
      <c r="T671" s="65">
        <f t="shared" si="74"/>
        <v>0</v>
      </c>
      <c r="U671" s="204">
        <f>'Final Building Profile'!Q21</f>
        <v>0</v>
      </c>
      <c r="V671" s="65">
        <f>IF('Final Building Profile'!P21&lt;&gt;"", U671, 0) * T671</f>
        <v>0</v>
      </c>
      <c r="W671" s="266">
        <f t="shared" si="75"/>
        <v>0</v>
      </c>
      <c r="X671" s="266">
        <f t="shared" si="81"/>
        <v>0</v>
      </c>
      <c r="Y671" s="266" t="e">
        <f t="shared" si="76"/>
        <v>#DIV/0!</v>
      </c>
      <c r="Z671" s="266" t="e">
        <f t="shared" si="77"/>
        <v>#DIV/0!</v>
      </c>
      <c r="AA671" s="266" t="e">
        <f t="shared" si="78"/>
        <v>#DIV/0!</v>
      </c>
      <c r="AB671" s="65" t="e">
        <f t="shared" si="82"/>
        <v>#N/A</v>
      </c>
      <c r="AC671" s="65" t="e">
        <f t="shared" si="83"/>
        <v>#N/A</v>
      </c>
      <c r="AD671" s="65" t="e">
        <f t="shared" si="84"/>
        <v>#N/A</v>
      </c>
      <c r="AE671" s="65" t="e">
        <f t="shared" si="85"/>
        <v>#N/A</v>
      </c>
    </row>
    <row r="672" spans="1:31" ht="15" customHeight="1">
      <c r="A672">
        <f>'Final Building Profile'!A22</f>
        <v>19</v>
      </c>
      <c r="B672">
        <f>'Final Building Profile'!D22</f>
        <v>0</v>
      </c>
      <c r="C672">
        <f>'Final Building Profile'!E22</f>
        <v>0</v>
      </c>
      <c r="D672">
        <f>'Final Building Profile'!F22</f>
        <v>0</v>
      </c>
      <c r="E672" s="265">
        <f>'Final Building Profile'!G22</f>
        <v>0</v>
      </c>
      <c r="F672" s="265">
        <f>'Final Building Profile'!H22</f>
        <v>0</v>
      </c>
      <c r="G672" s="265">
        <f>'Final Building Profile'!I22</f>
        <v>0</v>
      </c>
      <c r="H672" s="197">
        <f t="shared" si="68"/>
        <v>0</v>
      </c>
      <c r="I672" s="197">
        <f t="shared" si="69"/>
        <v>0</v>
      </c>
      <c r="J672" s="137">
        <f t="shared" si="70"/>
        <v>0</v>
      </c>
      <c r="K672" s="66">
        <f>'Final Building Profile'!L22</f>
        <v>0</v>
      </c>
      <c r="L672" s="66">
        <f t="shared" si="79"/>
        <v>0</v>
      </c>
      <c r="M672">
        <f>'Final Building Profile'!M22</f>
        <v>0</v>
      </c>
      <c r="N672" s="66">
        <f t="shared" si="71"/>
        <v>0</v>
      </c>
      <c r="O672" s="66">
        <f t="shared" si="72"/>
        <v>0</v>
      </c>
      <c r="P672" s="66">
        <f t="shared" si="73"/>
        <v>0</v>
      </c>
      <c r="Q672" s="204">
        <f>'Final Building Profile'!K22</f>
        <v>0</v>
      </c>
      <c r="R672" s="66">
        <f t="shared" si="80"/>
        <v>0</v>
      </c>
      <c r="S672" s="65">
        <f>'Final Building Profile'!N22-'Final Building Profile'!O22</f>
        <v>0</v>
      </c>
      <c r="T672" s="65">
        <f t="shared" si="74"/>
        <v>0</v>
      </c>
      <c r="U672" s="204">
        <f>'Final Building Profile'!Q22</f>
        <v>0</v>
      </c>
      <c r="V672" s="65">
        <f>IF('Final Building Profile'!P22&lt;&gt;"", U672, 0) * T672</f>
        <v>0</v>
      </c>
      <c r="W672" s="266">
        <f t="shared" si="75"/>
        <v>0</v>
      </c>
      <c r="X672" s="266">
        <f t="shared" si="81"/>
        <v>0</v>
      </c>
      <c r="Y672" s="266" t="e">
        <f t="shared" si="76"/>
        <v>#DIV/0!</v>
      </c>
      <c r="Z672" s="266" t="e">
        <f t="shared" si="77"/>
        <v>#DIV/0!</v>
      </c>
      <c r="AA672" s="266" t="e">
        <f t="shared" si="78"/>
        <v>#DIV/0!</v>
      </c>
      <c r="AB672" s="65" t="e">
        <f t="shared" si="82"/>
        <v>#N/A</v>
      </c>
      <c r="AC672" s="65" t="e">
        <f t="shared" si="83"/>
        <v>#N/A</v>
      </c>
      <c r="AD672" s="65" t="e">
        <f t="shared" si="84"/>
        <v>#N/A</v>
      </c>
      <c r="AE672" s="65" t="e">
        <f t="shared" si="85"/>
        <v>#N/A</v>
      </c>
    </row>
    <row r="673" spans="1:31" ht="15" customHeight="1">
      <c r="A673">
        <f>'Final Building Profile'!A23</f>
        <v>20</v>
      </c>
      <c r="B673">
        <f>'Final Building Profile'!D23</f>
        <v>0</v>
      </c>
      <c r="C673">
        <f>'Final Building Profile'!E23</f>
        <v>0</v>
      </c>
      <c r="D673">
        <f>'Final Building Profile'!F23</f>
        <v>0</v>
      </c>
      <c r="E673" s="265">
        <f>'Final Building Profile'!G23</f>
        <v>0</v>
      </c>
      <c r="F673" s="265">
        <f>'Final Building Profile'!H23</f>
        <v>0</v>
      </c>
      <c r="G673" s="265">
        <f>'Final Building Profile'!I23</f>
        <v>0</v>
      </c>
      <c r="H673" s="197">
        <f t="shared" si="68"/>
        <v>0</v>
      </c>
      <c r="I673" s="197">
        <f t="shared" si="69"/>
        <v>0</v>
      </c>
      <c r="J673" s="137">
        <f t="shared" si="70"/>
        <v>0</v>
      </c>
      <c r="K673" s="66">
        <f>'Final Building Profile'!L23</f>
        <v>0</v>
      </c>
      <c r="L673" s="66">
        <f t="shared" si="79"/>
        <v>0</v>
      </c>
      <c r="M673">
        <f>'Final Building Profile'!M23</f>
        <v>0</v>
      </c>
      <c r="N673" s="66">
        <f t="shared" si="71"/>
        <v>0</v>
      </c>
      <c r="O673" s="66">
        <f t="shared" si="72"/>
        <v>0</v>
      </c>
      <c r="P673" s="66">
        <f t="shared" si="73"/>
        <v>0</v>
      </c>
      <c r="Q673" s="204">
        <f>'Final Building Profile'!K23</f>
        <v>0</v>
      </c>
      <c r="R673" s="66">
        <f t="shared" si="80"/>
        <v>0</v>
      </c>
      <c r="S673" s="65">
        <f>'Final Building Profile'!N23-'Final Building Profile'!O23</f>
        <v>0</v>
      </c>
      <c r="T673" s="65">
        <f t="shared" si="74"/>
        <v>0</v>
      </c>
      <c r="U673" s="204">
        <f>'Final Building Profile'!Q23</f>
        <v>0</v>
      </c>
      <c r="V673" s="65">
        <f>IF('Final Building Profile'!P23&lt;&gt;"", U673, 0) * T673</f>
        <v>0</v>
      </c>
      <c r="W673" s="266">
        <f t="shared" si="75"/>
        <v>0</v>
      </c>
      <c r="X673" s="266">
        <f t="shared" si="81"/>
        <v>0</v>
      </c>
      <c r="Y673" s="266" t="e">
        <f t="shared" si="76"/>
        <v>#DIV/0!</v>
      </c>
      <c r="Z673" s="266" t="e">
        <f t="shared" si="77"/>
        <v>#DIV/0!</v>
      </c>
      <c r="AA673" s="266" t="e">
        <f t="shared" si="78"/>
        <v>#DIV/0!</v>
      </c>
      <c r="AB673" s="65" t="e">
        <f t="shared" si="82"/>
        <v>#N/A</v>
      </c>
      <c r="AC673" s="65" t="e">
        <f t="shared" si="83"/>
        <v>#N/A</v>
      </c>
      <c r="AD673" s="65" t="e">
        <f t="shared" si="84"/>
        <v>#N/A</v>
      </c>
      <c r="AE673" s="65" t="e">
        <f t="shared" si="85"/>
        <v>#N/A</v>
      </c>
    </row>
    <row r="674" spans="1:31" ht="15" customHeight="1">
      <c r="A674">
        <f>'Final Building Profile'!A24</f>
        <v>21</v>
      </c>
      <c r="B674">
        <f>'Final Building Profile'!D24</f>
        <v>0</v>
      </c>
      <c r="C674">
        <f>'Final Building Profile'!E24</f>
        <v>0</v>
      </c>
      <c r="D674">
        <f>'Final Building Profile'!F24</f>
        <v>0</v>
      </c>
      <c r="E674" s="265">
        <f>'Final Building Profile'!G24</f>
        <v>0</v>
      </c>
      <c r="F674" s="265">
        <f>'Final Building Profile'!H24</f>
        <v>0</v>
      </c>
      <c r="G674" s="265">
        <f>'Final Building Profile'!I24</f>
        <v>0</v>
      </c>
      <c r="H674" s="197">
        <f t="shared" si="68"/>
        <v>0</v>
      </c>
      <c r="I674" s="197">
        <f t="shared" si="69"/>
        <v>0</v>
      </c>
      <c r="J674" s="137">
        <f t="shared" si="70"/>
        <v>0</v>
      </c>
      <c r="K674" s="66">
        <f>'Final Building Profile'!L24</f>
        <v>0</v>
      </c>
      <c r="L674" s="66">
        <f t="shared" si="79"/>
        <v>0</v>
      </c>
      <c r="M674">
        <f>'Final Building Profile'!M24</f>
        <v>0</v>
      </c>
      <c r="N674" s="66">
        <f t="shared" si="71"/>
        <v>0</v>
      </c>
      <c r="O674" s="66">
        <f t="shared" si="72"/>
        <v>0</v>
      </c>
      <c r="P674" s="66">
        <f t="shared" si="73"/>
        <v>0</v>
      </c>
      <c r="Q674" s="204">
        <f>'Final Building Profile'!K24</f>
        <v>0</v>
      </c>
      <c r="R674" s="66">
        <f t="shared" si="80"/>
        <v>0</v>
      </c>
      <c r="S674" s="65">
        <f>'Final Building Profile'!N24-'Final Building Profile'!O24</f>
        <v>0</v>
      </c>
      <c r="T674" s="65">
        <f t="shared" si="74"/>
        <v>0</v>
      </c>
      <c r="U674" s="204">
        <f>'Final Building Profile'!Q24</f>
        <v>0</v>
      </c>
      <c r="V674" s="65">
        <f>IF('Final Building Profile'!P24&lt;&gt;"", U674, 0) * T674</f>
        <v>0</v>
      </c>
      <c r="W674" s="266">
        <f t="shared" si="75"/>
        <v>0</v>
      </c>
      <c r="X674" s="266">
        <f t="shared" si="81"/>
        <v>0</v>
      </c>
      <c r="Y674" s="266" t="e">
        <f t="shared" si="76"/>
        <v>#DIV/0!</v>
      </c>
      <c r="Z674" s="266" t="e">
        <f t="shared" si="77"/>
        <v>#DIV/0!</v>
      </c>
      <c r="AA674" s="266" t="e">
        <f t="shared" si="78"/>
        <v>#DIV/0!</v>
      </c>
      <c r="AB674" s="65" t="e">
        <f t="shared" si="82"/>
        <v>#N/A</v>
      </c>
      <c r="AC674" s="65" t="e">
        <f t="shared" si="83"/>
        <v>#N/A</v>
      </c>
      <c r="AD674" s="65" t="e">
        <f t="shared" si="84"/>
        <v>#N/A</v>
      </c>
      <c r="AE674" s="65" t="e">
        <f t="shared" si="85"/>
        <v>#N/A</v>
      </c>
    </row>
    <row r="675" spans="1:31" ht="15" customHeight="1">
      <c r="A675">
        <f>'Final Building Profile'!A25</f>
        <v>22</v>
      </c>
      <c r="B675">
        <f>'Final Building Profile'!D25</f>
        <v>0</v>
      </c>
      <c r="C675">
        <f>'Final Building Profile'!E25</f>
        <v>0</v>
      </c>
      <c r="D675">
        <f>'Final Building Profile'!F25</f>
        <v>0</v>
      </c>
      <c r="E675" s="265">
        <f>'Final Building Profile'!G25</f>
        <v>0</v>
      </c>
      <c r="F675" s="265">
        <f>'Final Building Profile'!H25</f>
        <v>0</v>
      </c>
      <c r="G675" s="265">
        <f>'Final Building Profile'!I25</f>
        <v>0</v>
      </c>
      <c r="H675" s="197">
        <f t="shared" si="68"/>
        <v>0</v>
      </c>
      <c r="I675" s="197">
        <f t="shared" si="69"/>
        <v>0</v>
      </c>
      <c r="J675" s="137">
        <f t="shared" si="70"/>
        <v>0</v>
      </c>
      <c r="K675" s="66">
        <f>'Final Building Profile'!L25</f>
        <v>0</v>
      </c>
      <c r="L675" s="66">
        <f t="shared" si="79"/>
        <v>0</v>
      </c>
      <c r="M675">
        <f>'Final Building Profile'!M25</f>
        <v>0</v>
      </c>
      <c r="N675" s="66">
        <f t="shared" si="71"/>
        <v>0</v>
      </c>
      <c r="O675" s="66">
        <f t="shared" si="72"/>
        <v>0</v>
      </c>
      <c r="P675" s="66">
        <f t="shared" si="73"/>
        <v>0</v>
      </c>
      <c r="Q675" s="204">
        <f>'Final Building Profile'!K25</f>
        <v>0</v>
      </c>
      <c r="R675" s="66">
        <f t="shared" si="80"/>
        <v>0</v>
      </c>
      <c r="S675" s="65">
        <f>'Final Building Profile'!N25-'Final Building Profile'!O25</f>
        <v>0</v>
      </c>
      <c r="T675" s="65">
        <f t="shared" si="74"/>
        <v>0</v>
      </c>
      <c r="U675" s="204">
        <f>'Final Building Profile'!Q25</f>
        <v>0</v>
      </c>
      <c r="V675" s="65">
        <f>IF('Final Building Profile'!P25&lt;&gt;"", U675, 0) * T675</f>
        <v>0</v>
      </c>
      <c r="W675" s="266">
        <f t="shared" si="75"/>
        <v>0</v>
      </c>
      <c r="X675" s="266">
        <f t="shared" si="81"/>
        <v>0</v>
      </c>
      <c r="Y675" s="266" t="e">
        <f t="shared" si="76"/>
        <v>#DIV/0!</v>
      </c>
      <c r="Z675" s="266" t="e">
        <f t="shared" si="77"/>
        <v>#DIV/0!</v>
      </c>
      <c r="AA675" s="266" t="e">
        <f t="shared" si="78"/>
        <v>#DIV/0!</v>
      </c>
      <c r="AB675" s="65" t="e">
        <f t="shared" si="82"/>
        <v>#N/A</v>
      </c>
      <c r="AC675" s="65" t="e">
        <f t="shared" si="83"/>
        <v>#N/A</v>
      </c>
      <c r="AD675" s="65" t="e">
        <f t="shared" si="84"/>
        <v>#N/A</v>
      </c>
      <c r="AE675" s="65" t="e">
        <f t="shared" si="85"/>
        <v>#N/A</v>
      </c>
    </row>
    <row r="676" spans="1:31" ht="15" customHeight="1">
      <c r="A676">
        <f>'Final Building Profile'!A26</f>
        <v>23</v>
      </c>
      <c r="B676">
        <f>'Final Building Profile'!D26</f>
        <v>0</v>
      </c>
      <c r="C676">
        <f>'Final Building Profile'!E26</f>
        <v>0</v>
      </c>
      <c r="D676">
        <f>'Final Building Profile'!F26</f>
        <v>0</v>
      </c>
      <c r="E676" s="265">
        <f>'Final Building Profile'!G26</f>
        <v>0</v>
      </c>
      <c r="F676" s="265">
        <f>'Final Building Profile'!H26</f>
        <v>0</v>
      </c>
      <c r="G676" s="265">
        <f>'Final Building Profile'!I26</f>
        <v>0</v>
      </c>
      <c r="H676" s="197">
        <f t="shared" si="68"/>
        <v>0</v>
      </c>
      <c r="I676" s="197">
        <f t="shared" si="69"/>
        <v>0</v>
      </c>
      <c r="J676" s="137">
        <f t="shared" si="70"/>
        <v>0</v>
      </c>
      <c r="K676" s="66">
        <f>'Final Building Profile'!L26</f>
        <v>0</v>
      </c>
      <c r="L676" s="66">
        <f t="shared" si="79"/>
        <v>0</v>
      </c>
      <c r="M676">
        <f>'Final Building Profile'!M26</f>
        <v>0</v>
      </c>
      <c r="N676" s="66">
        <f t="shared" si="71"/>
        <v>0</v>
      </c>
      <c r="O676" s="66">
        <f t="shared" si="72"/>
        <v>0</v>
      </c>
      <c r="P676" s="66">
        <f t="shared" si="73"/>
        <v>0</v>
      </c>
      <c r="Q676" s="204">
        <f>'Final Building Profile'!K26</f>
        <v>0</v>
      </c>
      <c r="R676" s="66">
        <f t="shared" si="80"/>
        <v>0</v>
      </c>
      <c r="S676" s="65">
        <f>'Final Building Profile'!N26-'Final Building Profile'!O26</f>
        <v>0</v>
      </c>
      <c r="T676" s="65">
        <f t="shared" si="74"/>
        <v>0</v>
      </c>
      <c r="U676" s="204">
        <f>'Final Building Profile'!Q26</f>
        <v>0</v>
      </c>
      <c r="V676" s="65">
        <f>IF('Final Building Profile'!P26&lt;&gt;"", U676, 0) * T676</f>
        <v>0</v>
      </c>
      <c r="W676" s="266">
        <f t="shared" si="75"/>
        <v>0</v>
      </c>
      <c r="X676" s="266">
        <f t="shared" si="81"/>
        <v>0</v>
      </c>
      <c r="Y676" s="266" t="e">
        <f t="shared" si="76"/>
        <v>#DIV/0!</v>
      </c>
      <c r="Z676" s="266" t="e">
        <f t="shared" si="77"/>
        <v>#DIV/0!</v>
      </c>
      <c r="AA676" s="266" t="e">
        <f t="shared" si="78"/>
        <v>#DIV/0!</v>
      </c>
      <c r="AB676" s="65" t="e">
        <f t="shared" si="82"/>
        <v>#N/A</v>
      </c>
      <c r="AC676" s="65" t="e">
        <f t="shared" si="83"/>
        <v>#N/A</v>
      </c>
      <c r="AD676" s="65" t="e">
        <f t="shared" si="84"/>
        <v>#N/A</v>
      </c>
      <c r="AE676" s="65" t="e">
        <f t="shared" si="85"/>
        <v>#N/A</v>
      </c>
    </row>
    <row r="677" spans="1:31" ht="15" customHeight="1">
      <c r="A677">
        <f>'Final Building Profile'!A27</f>
        <v>24</v>
      </c>
      <c r="B677">
        <f>'Final Building Profile'!D27</f>
        <v>0</v>
      </c>
      <c r="C677">
        <f>'Final Building Profile'!E27</f>
        <v>0</v>
      </c>
      <c r="D677">
        <f>'Final Building Profile'!F27</f>
        <v>0</v>
      </c>
      <c r="E677" s="265">
        <f>'Final Building Profile'!G27</f>
        <v>0</v>
      </c>
      <c r="F677" s="265">
        <f>'Final Building Profile'!H27</f>
        <v>0</v>
      </c>
      <c r="G677" s="265">
        <f>'Final Building Profile'!I27</f>
        <v>0</v>
      </c>
      <c r="H677" s="197">
        <f t="shared" si="68"/>
        <v>0</v>
      </c>
      <c r="I677" s="197">
        <f t="shared" si="69"/>
        <v>0</v>
      </c>
      <c r="J677" s="137">
        <f t="shared" si="70"/>
        <v>0</v>
      </c>
      <c r="K677" s="66">
        <f>'Final Building Profile'!L27</f>
        <v>0</v>
      </c>
      <c r="L677" s="66">
        <f t="shared" si="79"/>
        <v>0</v>
      </c>
      <c r="M677">
        <f>'Final Building Profile'!M27</f>
        <v>0</v>
      </c>
      <c r="N677" s="66">
        <f t="shared" si="71"/>
        <v>0</v>
      </c>
      <c r="O677" s="66">
        <f t="shared" si="72"/>
        <v>0</v>
      </c>
      <c r="P677" s="66">
        <f t="shared" si="73"/>
        <v>0</v>
      </c>
      <c r="Q677" s="204">
        <f>'Final Building Profile'!K27</f>
        <v>0</v>
      </c>
      <c r="R677" s="66">
        <f t="shared" si="80"/>
        <v>0</v>
      </c>
      <c r="S677" s="65">
        <f>'Final Building Profile'!N27-'Final Building Profile'!O27</f>
        <v>0</v>
      </c>
      <c r="T677" s="65">
        <f t="shared" si="74"/>
        <v>0</v>
      </c>
      <c r="U677" s="204">
        <f>'Final Building Profile'!Q27</f>
        <v>0</v>
      </c>
      <c r="V677" s="65">
        <f>IF('Final Building Profile'!P27&lt;&gt;"", U677, 0) * T677</f>
        <v>0</v>
      </c>
      <c r="W677" s="266">
        <f t="shared" si="75"/>
        <v>0</v>
      </c>
      <c r="X677" s="266">
        <f t="shared" si="81"/>
        <v>0</v>
      </c>
      <c r="Y677" s="266" t="e">
        <f t="shared" si="76"/>
        <v>#DIV/0!</v>
      </c>
      <c r="Z677" s="266" t="e">
        <f t="shared" si="77"/>
        <v>#DIV/0!</v>
      </c>
      <c r="AA677" s="266" t="e">
        <f t="shared" si="78"/>
        <v>#DIV/0!</v>
      </c>
      <c r="AB677" s="65" t="e">
        <f t="shared" si="82"/>
        <v>#N/A</v>
      </c>
      <c r="AC677" s="65" t="e">
        <f t="shared" si="83"/>
        <v>#N/A</v>
      </c>
      <c r="AD677" s="65" t="e">
        <f t="shared" si="84"/>
        <v>#N/A</v>
      </c>
      <c r="AE677" s="65" t="e">
        <f t="shared" si="85"/>
        <v>#N/A</v>
      </c>
    </row>
    <row r="678" spans="1:31" ht="15" customHeight="1">
      <c r="A678">
        <f>'Final Building Profile'!A28</f>
        <v>25</v>
      </c>
      <c r="B678">
        <f>'Final Building Profile'!D28</f>
        <v>0</v>
      </c>
      <c r="C678">
        <f>'Final Building Profile'!E28</f>
        <v>0</v>
      </c>
      <c r="D678">
        <f>'Final Building Profile'!F28</f>
        <v>0</v>
      </c>
      <c r="E678" s="265">
        <f>'Final Building Profile'!G28</f>
        <v>0</v>
      </c>
      <c r="F678" s="265">
        <f>'Final Building Profile'!H28</f>
        <v>0</v>
      </c>
      <c r="G678" s="265">
        <f>'Final Building Profile'!I28</f>
        <v>0</v>
      </c>
      <c r="H678" s="197">
        <f t="shared" si="68"/>
        <v>0</v>
      </c>
      <c r="I678" s="197">
        <f t="shared" si="69"/>
        <v>0</v>
      </c>
      <c r="J678" s="137">
        <f t="shared" si="70"/>
        <v>0</v>
      </c>
      <c r="K678" s="66">
        <f>'Final Building Profile'!L28</f>
        <v>0</v>
      </c>
      <c r="L678" s="66">
        <f t="shared" si="79"/>
        <v>0</v>
      </c>
      <c r="M678">
        <f>'Final Building Profile'!M28</f>
        <v>0</v>
      </c>
      <c r="N678" s="66">
        <f t="shared" si="71"/>
        <v>0</v>
      </c>
      <c r="O678" s="66">
        <f t="shared" si="72"/>
        <v>0</v>
      </c>
      <c r="P678" s="66">
        <f t="shared" si="73"/>
        <v>0</v>
      </c>
      <c r="Q678" s="204">
        <f>'Final Building Profile'!K28</f>
        <v>0</v>
      </c>
      <c r="R678" s="66">
        <f t="shared" si="80"/>
        <v>0</v>
      </c>
      <c r="S678" s="65">
        <f>'Final Building Profile'!N28-'Final Building Profile'!O28</f>
        <v>0</v>
      </c>
      <c r="T678" s="65">
        <f t="shared" si="74"/>
        <v>0</v>
      </c>
      <c r="U678" s="204">
        <f>'Final Building Profile'!Q28</f>
        <v>0</v>
      </c>
      <c r="V678" s="65">
        <f>IF('Final Building Profile'!P28&lt;&gt;"", U678, 0) * T678</f>
        <v>0</v>
      </c>
      <c r="W678" s="266">
        <f t="shared" si="75"/>
        <v>0</v>
      </c>
      <c r="X678" s="266">
        <f t="shared" si="81"/>
        <v>0</v>
      </c>
      <c r="Y678" s="266" t="e">
        <f t="shared" si="76"/>
        <v>#DIV/0!</v>
      </c>
      <c r="Z678" s="266" t="e">
        <f t="shared" si="77"/>
        <v>#DIV/0!</v>
      </c>
      <c r="AA678" s="266" t="e">
        <f t="shared" si="78"/>
        <v>#DIV/0!</v>
      </c>
      <c r="AB678" s="65" t="e">
        <f t="shared" si="82"/>
        <v>#N/A</v>
      </c>
      <c r="AC678" s="65" t="e">
        <f t="shared" si="83"/>
        <v>#N/A</v>
      </c>
      <c r="AD678" s="65" t="e">
        <f t="shared" si="84"/>
        <v>#N/A</v>
      </c>
      <c r="AE678" s="65" t="e">
        <f t="shared" si="85"/>
        <v>#N/A</v>
      </c>
    </row>
    <row r="679" spans="1:31" ht="15" customHeight="1">
      <c r="A679">
        <f>'Final Building Profile'!A29</f>
        <v>26</v>
      </c>
      <c r="B679">
        <f>'Final Building Profile'!D29</f>
        <v>0</v>
      </c>
      <c r="C679">
        <f>'Final Building Profile'!E29</f>
        <v>0</v>
      </c>
      <c r="D679">
        <f>'Final Building Profile'!F29</f>
        <v>0</v>
      </c>
      <c r="E679" s="265">
        <f>'Final Building Profile'!G29</f>
        <v>0</v>
      </c>
      <c r="F679" s="265">
        <f>'Final Building Profile'!H29</f>
        <v>0</v>
      </c>
      <c r="G679" s="265">
        <f>'Final Building Profile'!I29</f>
        <v>0</v>
      </c>
      <c r="H679" s="197">
        <f t="shared" si="68"/>
        <v>0</v>
      </c>
      <c r="I679" s="197">
        <f t="shared" si="69"/>
        <v>0</v>
      </c>
      <c r="J679" s="137">
        <f t="shared" si="70"/>
        <v>0</v>
      </c>
      <c r="K679" s="66">
        <f>'Final Building Profile'!L29</f>
        <v>0</v>
      </c>
      <c r="L679" s="66">
        <f t="shared" si="79"/>
        <v>0</v>
      </c>
      <c r="M679">
        <f>'Final Building Profile'!M29</f>
        <v>0</v>
      </c>
      <c r="N679" s="66">
        <f t="shared" si="71"/>
        <v>0</v>
      </c>
      <c r="O679" s="66">
        <f t="shared" si="72"/>
        <v>0</v>
      </c>
      <c r="P679" s="66">
        <f t="shared" si="73"/>
        <v>0</v>
      </c>
      <c r="Q679" s="204">
        <f>'Final Building Profile'!K29</f>
        <v>0</v>
      </c>
      <c r="R679" s="66">
        <f t="shared" si="80"/>
        <v>0</v>
      </c>
      <c r="S679" s="65">
        <f>'Final Building Profile'!N29-'Final Building Profile'!O29</f>
        <v>0</v>
      </c>
      <c r="T679" s="65">
        <f t="shared" si="74"/>
        <v>0</v>
      </c>
      <c r="U679" s="204">
        <f>'Final Building Profile'!Q29</f>
        <v>0</v>
      </c>
      <c r="V679" s="65">
        <f>IF('Final Building Profile'!P29&lt;&gt;"", U679, 0) * T679</f>
        <v>0</v>
      </c>
      <c r="W679" s="266">
        <f t="shared" si="75"/>
        <v>0</v>
      </c>
      <c r="X679" s="266">
        <f t="shared" si="81"/>
        <v>0</v>
      </c>
      <c r="Y679" s="266" t="e">
        <f t="shared" si="76"/>
        <v>#DIV/0!</v>
      </c>
      <c r="Z679" s="266" t="e">
        <f t="shared" si="77"/>
        <v>#DIV/0!</v>
      </c>
      <c r="AA679" s="266" t="e">
        <f t="shared" si="78"/>
        <v>#DIV/0!</v>
      </c>
      <c r="AB679" s="65" t="e">
        <f t="shared" si="82"/>
        <v>#N/A</v>
      </c>
      <c r="AC679" s="65" t="e">
        <f t="shared" si="83"/>
        <v>#N/A</v>
      </c>
      <c r="AD679" s="65" t="e">
        <f t="shared" si="84"/>
        <v>#N/A</v>
      </c>
      <c r="AE679" s="65" t="e">
        <f t="shared" si="85"/>
        <v>#N/A</v>
      </c>
    </row>
    <row r="680" spans="1:31" ht="15" customHeight="1">
      <c r="A680">
        <f>'Final Building Profile'!A30</f>
        <v>27</v>
      </c>
      <c r="B680">
        <f>'Final Building Profile'!D30</f>
        <v>0</v>
      </c>
      <c r="C680">
        <f>'Final Building Profile'!E30</f>
        <v>0</v>
      </c>
      <c r="D680">
        <f>'Final Building Profile'!F30</f>
        <v>0</v>
      </c>
      <c r="E680" s="265">
        <f>'Final Building Profile'!G30</f>
        <v>0</v>
      </c>
      <c r="F680" s="265">
        <f>'Final Building Profile'!H30</f>
        <v>0</v>
      </c>
      <c r="G680" s="265">
        <f>'Final Building Profile'!I30</f>
        <v>0</v>
      </c>
      <c r="H680" s="197">
        <f t="shared" si="68"/>
        <v>0</v>
      </c>
      <c r="I680" s="197">
        <f t="shared" si="69"/>
        <v>0</v>
      </c>
      <c r="J680" s="137">
        <f t="shared" si="70"/>
        <v>0</v>
      </c>
      <c r="K680" s="66">
        <f>'Final Building Profile'!L30</f>
        <v>0</v>
      </c>
      <c r="L680" s="66">
        <f t="shared" si="79"/>
        <v>0</v>
      </c>
      <c r="M680">
        <f>'Final Building Profile'!M30</f>
        <v>0</v>
      </c>
      <c r="N680" s="66">
        <f t="shared" si="71"/>
        <v>0</v>
      </c>
      <c r="O680" s="66">
        <f t="shared" si="72"/>
        <v>0</v>
      </c>
      <c r="P680" s="66">
        <f t="shared" si="73"/>
        <v>0</v>
      </c>
      <c r="Q680" s="204">
        <f>'Final Building Profile'!K30</f>
        <v>0</v>
      </c>
      <c r="R680" s="66">
        <f t="shared" si="80"/>
        <v>0</v>
      </c>
      <c r="S680" s="65">
        <f>'Final Building Profile'!N30-'Final Building Profile'!O30</f>
        <v>0</v>
      </c>
      <c r="T680" s="65">
        <f t="shared" si="74"/>
        <v>0</v>
      </c>
      <c r="U680" s="204">
        <f>'Final Building Profile'!Q30</f>
        <v>0</v>
      </c>
      <c r="V680" s="65">
        <f>IF('Final Building Profile'!P30&lt;&gt;"", U680, 0) * T680</f>
        <v>0</v>
      </c>
      <c r="W680" s="266">
        <f t="shared" si="75"/>
        <v>0</v>
      </c>
      <c r="X680" s="266">
        <f t="shared" si="81"/>
        <v>0</v>
      </c>
      <c r="Y680" s="266" t="e">
        <f t="shared" si="76"/>
        <v>#DIV/0!</v>
      </c>
      <c r="Z680" s="266" t="e">
        <f t="shared" si="77"/>
        <v>#DIV/0!</v>
      </c>
      <c r="AA680" s="266" t="e">
        <f t="shared" si="78"/>
        <v>#DIV/0!</v>
      </c>
      <c r="AB680" s="65" t="e">
        <f t="shared" si="82"/>
        <v>#N/A</v>
      </c>
      <c r="AC680" s="65" t="e">
        <f t="shared" si="83"/>
        <v>#N/A</v>
      </c>
      <c r="AD680" s="65" t="e">
        <f t="shared" si="84"/>
        <v>#N/A</v>
      </c>
      <c r="AE680" s="65" t="e">
        <f t="shared" si="85"/>
        <v>#N/A</v>
      </c>
    </row>
    <row r="681" spans="1:31" ht="15" customHeight="1">
      <c r="A681">
        <f>'Final Building Profile'!A31</f>
        <v>28</v>
      </c>
      <c r="B681">
        <f>'Final Building Profile'!D31</f>
        <v>0</v>
      </c>
      <c r="C681">
        <f>'Final Building Profile'!E31</f>
        <v>0</v>
      </c>
      <c r="D681">
        <f>'Final Building Profile'!F31</f>
        <v>0</v>
      </c>
      <c r="E681" s="265">
        <f>'Final Building Profile'!G31</f>
        <v>0</v>
      </c>
      <c r="F681" s="265">
        <f>'Final Building Profile'!H31</f>
        <v>0</v>
      </c>
      <c r="G681" s="265">
        <f>'Final Building Profile'!I31</f>
        <v>0</v>
      </c>
      <c r="H681" s="197">
        <f t="shared" si="68"/>
        <v>0</v>
      </c>
      <c r="I681" s="197">
        <f t="shared" si="69"/>
        <v>0</v>
      </c>
      <c r="J681" s="137">
        <f t="shared" si="70"/>
        <v>0</v>
      </c>
      <c r="K681" s="66">
        <f>'Final Building Profile'!L31</f>
        <v>0</v>
      </c>
      <c r="L681" s="66">
        <f t="shared" si="79"/>
        <v>0</v>
      </c>
      <c r="M681">
        <f>'Final Building Profile'!M31</f>
        <v>0</v>
      </c>
      <c r="N681" s="66">
        <f t="shared" si="71"/>
        <v>0</v>
      </c>
      <c r="O681" s="66">
        <f t="shared" si="72"/>
        <v>0</v>
      </c>
      <c r="P681" s="66">
        <f t="shared" si="73"/>
        <v>0</v>
      </c>
      <c r="Q681" s="204">
        <f>'Final Building Profile'!K31</f>
        <v>0</v>
      </c>
      <c r="R681" s="66">
        <f t="shared" si="80"/>
        <v>0</v>
      </c>
      <c r="S681" s="65">
        <f>'Final Building Profile'!N31-'Final Building Profile'!O31</f>
        <v>0</v>
      </c>
      <c r="T681" s="65">
        <f t="shared" si="74"/>
        <v>0</v>
      </c>
      <c r="U681" s="204">
        <f>'Final Building Profile'!Q31</f>
        <v>0</v>
      </c>
      <c r="V681" s="65">
        <f>IF('Final Building Profile'!P31&lt;&gt;"", U681, 0) * T681</f>
        <v>0</v>
      </c>
      <c r="W681" s="266">
        <f t="shared" si="75"/>
        <v>0</v>
      </c>
      <c r="X681" s="266">
        <f t="shared" si="81"/>
        <v>0</v>
      </c>
      <c r="Y681" s="266" t="e">
        <f t="shared" si="76"/>
        <v>#DIV/0!</v>
      </c>
      <c r="Z681" s="266" t="e">
        <f t="shared" si="77"/>
        <v>#DIV/0!</v>
      </c>
      <c r="AA681" s="266" t="e">
        <f t="shared" si="78"/>
        <v>#DIV/0!</v>
      </c>
      <c r="AB681" s="65" t="e">
        <f t="shared" si="82"/>
        <v>#N/A</v>
      </c>
      <c r="AC681" s="65" t="e">
        <f t="shared" si="83"/>
        <v>#N/A</v>
      </c>
      <c r="AD681" s="65" t="e">
        <f t="shared" si="84"/>
        <v>#N/A</v>
      </c>
      <c r="AE681" s="65" t="e">
        <f t="shared" si="85"/>
        <v>#N/A</v>
      </c>
    </row>
    <row r="682" spans="1:31" ht="15" customHeight="1">
      <c r="A682">
        <f>'Final Building Profile'!A32</f>
        <v>29</v>
      </c>
      <c r="B682">
        <f>'Final Building Profile'!D32</f>
        <v>0</v>
      </c>
      <c r="C682">
        <f>'Final Building Profile'!E32</f>
        <v>0</v>
      </c>
      <c r="D682">
        <f>'Final Building Profile'!F32</f>
        <v>0</v>
      </c>
      <c r="E682" s="265">
        <f>'Final Building Profile'!G32</f>
        <v>0</v>
      </c>
      <c r="F682" s="265">
        <f>'Final Building Profile'!H32</f>
        <v>0</v>
      </c>
      <c r="G682" s="265">
        <f>'Final Building Profile'!I32</f>
        <v>0</v>
      </c>
      <c r="H682" s="197">
        <f t="shared" si="68"/>
        <v>0</v>
      </c>
      <c r="I682" s="197">
        <f t="shared" si="69"/>
        <v>0</v>
      </c>
      <c r="J682" s="137">
        <f t="shared" si="70"/>
        <v>0</v>
      </c>
      <c r="K682" s="66">
        <f>'Final Building Profile'!L32</f>
        <v>0</v>
      </c>
      <c r="L682" s="66">
        <f t="shared" si="79"/>
        <v>0</v>
      </c>
      <c r="M682">
        <f>'Final Building Profile'!M32</f>
        <v>0</v>
      </c>
      <c r="N682" s="66">
        <f t="shared" si="71"/>
        <v>0</v>
      </c>
      <c r="O682" s="66">
        <f t="shared" si="72"/>
        <v>0</v>
      </c>
      <c r="P682" s="66">
        <f t="shared" si="73"/>
        <v>0</v>
      </c>
      <c r="Q682" s="204">
        <f>'Final Building Profile'!K32</f>
        <v>0</v>
      </c>
      <c r="R682" s="66">
        <f t="shared" si="80"/>
        <v>0</v>
      </c>
      <c r="S682" s="65">
        <f>'Final Building Profile'!N32-'Final Building Profile'!O32</f>
        <v>0</v>
      </c>
      <c r="T682" s="65">
        <f t="shared" si="74"/>
        <v>0</v>
      </c>
      <c r="U682" s="204">
        <f>'Final Building Profile'!Q32</f>
        <v>0</v>
      </c>
      <c r="V682" s="65">
        <f>IF('Final Building Profile'!P32&lt;&gt;"", U682, 0) * T682</f>
        <v>0</v>
      </c>
      <c r="W682" s="266">
        <f t="shared" si="75"/>
        <v>0</v>
      </c>
      <c r="X682" s="266">
        <f t="shared" si="81"/>
        <v>0</v>
      </c>
      <c r="Y682" s="266" t="e">
        <f t="shared" si="76"/>
        <v>#DIV/0!</v>
      </c>
      <c r="Z682" s="266" t="e">
        <f t="shared" si="77"/>
        <v>#DIV/0!</v>
      </c>
      <c r="AA682" s="266" t="e">
        <f t="shared" si="78"/>
        <v>#DIV/0!</v>
      </c>
      <c r="AB682" s="65" t="e">
        <f t="shared" si="82"/>
        <v>#N/A</v>
      </c>
      <c r="AC682" s="65" t="e">
        <f t="shared" si="83"/>
        <v>#N/A</v>
      </c>
      <c r="AD682" s="65" t="e">
        <f t="shared" si="84"/>
        <v>#N/A</v>
      </c>
      <c r="AE682" s="65" t="e">
        <f t="shared" si="85"/>
        <v>#N/A</v>
      </c>
    </row>
    <row r="683" spans="1:31" ht="15" customHeight="1">
      <c r="A683">
        <f>'Final Building Profile'!A33</f>
        <v>30</v>
      </c>
      <c r="B683">
        <f>'Final Building Profile'!D33</f>
        <v>0</v>
      </c>
      <c r="C683">
        <f>'Final Building Profile'!E33</f>
        <v>0</v>
      </c>
      <c r="D683">
        <f>'Final Building Profile'!F33</f>
        <v>0</v>
      </c>
      <c r="E683" s="265">
        <f>'Final Building Profile'!G33</f>
        <v>0</v>
      </c>
      <c r="F683" s="265">
        <f>'Final Building Profile'!H33</f>
        <v>0</v>
      </c>
      <c r="G683" s="265">
        <f>'Final Building Profile'!I33</f>
        <v>0</v>
      </c>
      <c r="H683" s="197">
        <f t="shared" si="68"/>
        <v>0</v>
      </c>
      <c r="I683" s="197">
        <f t="shared" si="69"/>
        <v>0</v>
      </c>
      <c r="J683" s="137">
        <f t="shared" si="70"/>
        <v>0</v>
      </c>
      <c r="K683" s="66">
        <f>'Final Building Profile'!L33</f>
        <v>0</v>
      </c>
      <c r="L683" s="66">
        <f t="shared" si="79"/>
        <v>0</v>
      </c>
      <c r="M683">
        <f>'Final Building Profile'!M33</f>
        <v>0</v>
      </c>
      <c r="N683" s="66">
        <f t="shared" si="71"/>
        <v>0</v>
      </c>
      <c r="O683" s="66">
        <f t="shared" si="72"/>
        <v>0</v>
      </c>
      <c r="P683" s="66">
        <f t="shared" si="73"/>
        <v>0</v>
      </c>
      <c r="Q683" s="204">
        <f>'Final Building Profile'!K33</f>
        <v>0</v>
      </c>
      <c r="R683" s="66">
        <f t="shared" si="80"/>
        <v>0</v>
      </c>
      <c r="S683" s="65">
        <f>'Final Building Profile'!N33-'Final Building Profile'!O33</f>
        <v>0</v>
      </c>
      <c r="T683" s="65">
        <f t="shared" si="74"/>
        <v>0</v>
      </c>
      <c r="U683" s="204">
        <f>'Final Building Profile'!Q33</f>
        <v>0</v>
      </c>
      <c r="V683" s="65">
        <f>IF('Final Building Profile'!P33&lt;&gt;"", U683, 0) * T683</f>
        <v>0</v>
      </c>
      <c r="W683" s="266">
        <f t="shared" si="75"/>
        <v>0</v>
      </c>
      <c r="X683" s="266">
        <f t="shared" si="81"/>
        <v>0</v>
      </c>
      <c r="Y683" s="266" t="e">
        <f t="shared" si="76"/>
        <v>#DIV/0!</v>
      </c>
      <c r="Z683" s="266" t="e">
        <f t="shared" si="77"/>
        <v>#DIV/0!</v>
      </c>
      <c r="AA683" s="266" t="e">
        <f t="shared" si="78"/>
        <v>#DIV/0!</v>
      </c>
      <c r="AB683" s="65" t="e">
        <f t="shared" si="82"/>
        <v>#N/A</v>
      </c>
      <c r="AC683" s="65" t="e">
        <f t="shared" si="83"/>
        <v>#N/A</v>
      </c>
      <c r="AD683" s="65" t="e">
        <f t="shared" si="84"/>
        <v>#N/A</v>
      </c>
      <c r="AE683" s="65" t="e">
        <f t="shared" si="85"/>
        <v>#N/A</v>
      </c>
    </row>
    <row r="684" spans="1:31" ht="15" customHeight="1">
      <c r="A684">
        <f>'Final Building Profile'!A34</f>
        <v>31</v>
      </c>
      <c r="B684">
        <f>'Final Building Profile'!D34</f>
        <v>0</v>
      </c>
      <c r="C684">
        <f>'Final Building Profile'!E34</f>
        <v>0</v>
      </c>
      <c r="D684">
        <f>'Final Building Profile'!F34</f>
        <v>0</v>
      </c>
      <c r="E684" s="265">
        <f>'Final Building Profile'!G34</f>
        <v>0</v>
      </c>
      <c r="F684" s="265">
        <f>'Final Building Profile'!H34</f>
        <v>0</v>
      </c>
      <c r="G684" s="265">
        <f>'Final Building Profile'!I34</f>
        <v>0</v>
      </c>
      <c r="H684" s="197">
        <f t="shared" si="68"/>
        <v>0</v>
      </c>
      <c r="I684" s="197">
        <f t="shared" si="69"/>
        <v>0</v>
      </c>
      <c r="J684" s="137">
        <f t="shared" si="70"/>
        <v>0</v>
      </c>
      <c r="K684" s="66">
        <f>'Final Building Profile'!L34</f>
        <v>0</v>
      </c>
      <c r="L684" s="66">
        <f t="shared" si="79"/>
        <v>0</v>
      </c>
      <c r="M684">
        <f>'Final Building Profile'!M34</f>
        <v>0</v>
      </c>
      <c r="N684" s="66">
        <f t="shared" si="71"/>
        <v>0</v>
      </c>
      <c r="O684" s="66">
        <f t="shared" si="72"/>
        <v>0</v>
      </c>
      <c r="P684" s="66">
        <f t="shared" si="73"/>
        <v>0</v>
      </c>
      <c r="Q684" s="204">
        <f>'Final Building Profile'!K34</f>
        <v>0</v>
      </c>
      <c r="R684" s="66">
        <f t="shared" si="80"/>
        <v>0</v>
      </c>
      <c r="S684" s="65">
        <f>'Final Building Profile'!N34-'Final Building Profile'!O34</f>
        <v>0</v>
      </c>
      <c r="T684" s="65">
        <f t="shared" si="74"/>
        <v>0</v>
      </c>
      <c r="U684" s="204">
        <f>'Final Building Profile'!Q34</f>
        <v>0</v>
      </c>
      <c r="V684" s="65">
        <f>IF('Final Building Profile'!P34&lt;&gt;"", U684, 0) * T684</f>
        <v>0</v>
      </c>
      <c r="W684" s="266">
        <f t="shared" si="75"/>
        <v>0</v>
      </c>
      <c r="X684" s="266">
        <f t="shared" si="81"/>
        <v>0</v>
      </c>
      <c r="Y684" s="266" t="e">
        <f t="shared" si="76"/>
        <v>#DIV/0!</v>
      </c>
      <c r="Z684" s="266" t="e">
        <f t="shared" si="77"/>
        <v>#DIV/0!</v>
      </c>
      <c r="AA684" s="266" t="e">
        <f t="shared" si="78"/>
        <v>#DIV/0!</v>
      </c>
      <c r="AB684" s="65" t="e">
        <f t="shared" si="82"/>
        <v>#N/A</v>
      </c>
      <c r="AC684" s="65" t="e">
        <f t="shared" si="83"/>
        <v>#N/A</v>
      </c>
      <c r="AD684" s="65" t="e">
        <f t="shared" si="84"/>
        <v>#N/A</v>
      </c>
      <c r="AE684" s="65" t="e">
        <f t="shared" si="85"/>
        <v>#N/A</v>
      </c>
    </row>
    <row r="685" spans="1:31" ht="15" customHeight="1">
      <c r="A685">
        <f>'Final Building Profile'!A35</f>
        <v>32</v>
      </c>
      <c r="B685">
        <f>'Final Building Profile'!D35</f>
        <v>0</v>
      </c>
      <c r="C685">
        <f>'Final Building Profile'!E35</f>
        <v>0</v>
      </c>
      <c r="D685">
        <f>'Final Building Profile'!F35</f>
        <v>0</v>
      </c>
      <c r="E685" s="265">
        <f>'Final Building Profile'!G35</f>
        <v>0</v>
      </c>
      <c r="F685" s="265">
        <f>'Final Building Profile'!H35</f>
        <v>0</v>
      </c>
      <c r="G685" s="265">
        <f>'Final Building Profile'!I35</f>
        <v>0</v>
      </c>
      <c r="H685" s="197">
        <f t="shared" si="68"/>
        <v>0</v>
      </c>
      <c r="I685" s="197">
        <f t="shared" si="69"/>
        <v>0</v>
      </c>
      <c r="J685" s="137">
        <f t="shared" si="70"/>
        <v>0</v>
      </c>
      <c r="K685" s="66">
        <f>'Final Building Profile'!L35</f>
        <v>0</v>
      </c>
      <c r="L685" s="66">
        <f t="shared" si="79"/>
        <v>0</v>
      </c>
      <c r="M685">
        <f>'Final Building Profile'!M35</f>
        <v>0</v>
      </c>
      <c r="N685" s="66">
        <f t="shared" si="71"/>
        <v>0</v>
      </c>
      <c r="O685" s="66">
        <f t="shared" si="72"/>
        <v>0</v>
      </c>
      <c r="P685" s="66">
        <f t="shared" si="73"/>
        <v>0</v>
      </c>
      <c r="Q685" s="204">
        <f>'Final Building Profile'!K35</f>
        <v>0</v>
      </c>
      <c r="R685" s="66">
        <f t="shared" si="80"/>
        <v>0</v>
      </c>
      <c r="S685" s="65">
        <f>'Final Building Profile'!N35-'Final Building Profile'!O35</f>
        <v>0</v>
      </c>
      <c r="T685" s="65">
        <f t="shared" si="74"/>
        <v>0</v>
      </c>
      <c r="U685" s="204">
        <f>'Final Building Profile'!Q35</f>
        <v>0</v>
      </c>
      <c r="V685" s="65">
        <f>IF('Final Building Profile'!P35&lt;&gt;"", U685, 0) * T685</f>
        <v>0</v>
      </c>
      <c r="W685" s="266">
        <f t="shared" si="75"/>
        <v>0</v>
      </c>
      <c r="X685" s="266">
        <f t="shared" si="81"/>
        <v>0</v>
      </c>
      <c r="Y685" s="266" t="e">
        <f t="shared" si="76"/>
        <v>#DIV/0!</v>
      </c>
      <c r="Z685" s="266" t="e">
        <f t="shared" si="77"/>
        <v>#DIV/0!</v>
      </c>
      <c r="AA685" s="266" t="e">
        <f t="shared" si="78"/>
        <v>#DIV/0!</v>
      </c>
      <c r="AB685" s="65" t="e">
        <f t="shared" si="82"/>
        <v>#N/A</v>
      </c>
      <c r="AC685" s="65" t="e">
        <f t="shared" si="83"/>
        <v>#N/A</v>
      </c>
      <c r="AD685" s="65" t="e">
        <f t="shared" si="84"/>
        <v>#N/A</v>
      </c>
      <c r="AE685" s="65" t="e">
        <f t="shared" si="85"/>
        <v>#N/A</v>
      </c>
    </row>
    <row r="686" spans="1:31" ht="15" customHeight="1">
      <c r="A686">
        <f>'Final Building Profile'!A36</f>
        <v>33</v>
      </c>
      <c r="B686">
        <f>'Final Building Profile'!D36</f>
        <v>0</v>
      </c>
      <c r="C686">
        <f>'Final Building Profile'!E36</f>
        <v>0</v>
      </c>
      <c r="D686">
        <f>'Final Building Profile'!F36</f>
        <v>0</v>
      </c>
      <c r="E686" s="265">
        <f>'Final Building Profile'!G36</f>
        <v>0</v>
      </c>
      <c r="F686" s="265">
        <f>'Final Building Profile'!H36</f>
        <v>0</v>
      </c>
      <c r="G686" s="265">
        <f>'Final Building Profile'!I36</f>
        <v>0</v>
      </c>
      <c r="H686" s="197">
        <f t="shared" ref="H686:H717" si="86">IF((B686-C686) &lt;&gt; 0, ROUND(D686/(B686-C686), 4), 0)</f>
        <v>0</v>
      </c>
      <c r="I686" s="197">
        <f t="shared" ref="I686:I717" si="87">IF((E686-F686) = 0, 0, ROUND(G686/(E686-F686), 4))</f>
        <v>0</v>
      </c>
      <c r="J686" s="137">
        <f t="shared" ref="J686:J717" si="88">MIN(H686, I686)</f>
        <v>0</v>
      </c>
      <c r="K686" s="66">
        <f>'Final Building Profile'!L36</f>
        <v>0</v>
      </c>
      <c r="L686" s="66">
        <f t="shared" si="79"/>
        <v>0</v>
      </c>
      <c r="M686">
        <f>'Final Building Profile'!M36</f>
        <v>0</v>
      </c>
      <c r="N686" s="66">
        <f t="shared" ref="N686:N717" si="89">M686*$B$645</f>
        <v>0</v>
      </c>
      <c r="O686" s="66">
        <f t="shared" ref="O686:O717" si="90">L686+N686</f>
        <v>0</v>
      </c>
      <c r="P686" s="66">
        <f t="shared" ref="P686:P717" si="91">O686*J686</f>
        <v>0</v>
      </c>
      <c r="Q686" s="204">
        <f>'Final Building Profile'!K36</f>
        <v>0</v>
      </c>
      <c r="R686" s="66">
        <f t="shared" si="80"/>
        <v>0</v>
      </c>
      <c r="S686" s="65">
        <f>'Final Building Profile'!N36-'Final Building Profile'!O36</f>
        <v>0</v>
      </c>
      <c r="T686" s="65">
        <f t="shared" ref="T686:T717" si="92">S686*J686</f>
        <v>0</v>
      </c>
      <c r="U686" s="204">
        <f>'Final Building Profile'!Q36</f>
        <v>0</v>
      </c>
      <c r="V686" s="65">
        <f>IF('Final Building Profile'!P36&lt;&gt;"", U686, 0) * T686</f>
        <v>0</v>
      </c>
      <c r="W686" s="266">
        <f t="shared" ref="W686:W717" si="93">IF($P$753 = 0, 0, (P686/$P$753) * Q686)</f>
        <v>0</v>
      </c>
      <c r="X686" s="266">
        <f t="shared" si="81"/>
        <v>0</v>
      </c>
      <c r="Y686" s="266" t="e">
        <f t="shared" ref="Y686:Y717" si="94">J686*(G686/$B$646)</f>
        <v>#DIV/0!</v>
      </c>
      <c r="Z686" s="266" t="e">
        <f t="shared" ref="Z686:Z717" si="95">J686*(D686/$B$647)</f>
        <v>#DIV/0!</v>
      </c>
      <c r="AA686" s="266" t="e">
        <f t="shared" ref="AA686:AA717" si="96">IF(I686=J686, Y686, Z686)</f>
        <v>#DIV/0!</v>
      </c>
      <c r="AB686" s="65" t="e">
        <f t="shared" ref="AB686:AB717" si="97">IF($B$648&lt;$V$755, ROUND($B$648/$V$755*P686, 0), P686)</f>
        <v>#N/A</v>
      </c>
      <c r="AC686" s="65" t="e">
        <f t="shared" ref="AC686:AC717" si="98">IF($B$648&lt;$V$755, ROUNDDOWN($B$648/$V$755*R686, 0), R686)</f>
        <v>#N/A</v>
      </c>
      <c r="AD686" s="65" t="e">
        <f t="shared" ref="AD686:AD717" si="99">IF($B$648&lt;$V$755, ROUND($B$648/$V$755*T686, 0), T686)</f>
        <v>#N/A</v>
      </c>
      <c r="AE686" s="65" t="e">
        <f t="shared" ref="AE686:AE717" si="100">IF($B$648&lt;$V$755, ROUND($B$648/$V$755*V686, 0), V686)</f>
        <v>#N/A</v>
      </c>
    </row>
    <row r="687" spans="1:31" ht="15" customHeight="1">
      <c r="A687">
        <f>'Final Building Profile'!A37</f>
        <v>34</v>
      </c>
      <c r="B687">
        <f>'Final Building Profile'!D37</f>
        <v>0</v>
      </c>
      <c r="C687">
        <f>'Final Building Profile'!E37</f>
        <v>0</v>
      </c>
      <c r="D687">
        <f>'Final Building Profile'!F37</f>
        <v>0</v>
      </c>
      <c r="E687" s="265">
        <f>'Final Building Profile'!G37</f>
        <v>0</v>
      </c>
      <c r="F687" s="265">
        <f>'Final Building Profile'!H37</f>
        <v>0</v>
      </c>
      <c r="G687" s="265">
        <f>'Final Building Profile'!I37</f>
        <v>0</v>
      </c>
      <c r="H687" s="197">
        <f t="shared" si="86"/>
        <v>0</v>
      </c>
      <c r="I687" s="197">
        <f t="shared" si="87"/>
        <v>0</v>
      </c>
      <c r="J687" s="137">
        <f t="shared" si="88"/>
        <v>0</v>
      </c>
      <c r="K687" s="66">
        <f>'Final Building Profile'!L37</f>
        <v>0</v>
      </c>
      <c r="L687" s="66">
        <f t="shared" si="79"/>
        <v>0</v>
      </c>
      <c r="M687">
        <f>'Final Building Profile'!M37</f>
        <v>0</v>
      </c>
      <c r="N687" s="66">
        <f t="shared" si="89"/>
        <v>0</v>
      </c>
      <c r="O687" s="66">
        <f t="shared" si="90"/>
        <v>0</v>
      </c>
      <c r="P687" s="66">
        <f t="shared" si="91"/>
        <v>0</v>
      </c>
      <c r="Q687" s="204">
        <f>'Final Building Profile'!K37</f>
        <v>0</v>
      </c>
      <c r="R687" s="66">
        <f t="shared" si="80"/>
        <v>0</v>
      </c>
      <c r="S687" s="65">
        <f>'Final Building Profile'!N37-'Final Building Profile'!O37</f>
        <v>0</v>
      </c>
      <c r="T687" s="65">
        <f t="shared" si="92"/>
        <v>0</v>
      </c>
      <c r="U687" s="204">
        <f>'Final Building Profile'!Q37</f>
        <v>0</v>
      </c>
      <c r="V687" s="65">
        <f>IF('Final Building Profile'!P37&lt;&gt;"", U687, 0) * T687</f>
        <v>0</v>
      </c>
      <c r="W687" s="266">
        <f t="shared" si="93"/>
        <v>0</v>
      </c>
      <c r="X687" s="266">
        <f t="shared" si="81"/>
        <v>0</v>
      </c>
      <c r="Y687" s="266" t="e">
        <f t="shared" si="94"/>
        <v>#DIV/0!</v>
      </c>
      <c r="Z687" s="266" t="e">
        <f t="shared" si="95"/>
        <v>#DIV/0!</v>
      </c>
      <c r="AA687" s="266" t="e">
        <f t="shared" si="96"/>
        <v>#DIV/0!</v>
      </c>
      <c r="AB687" s="65" t="e">
        <f t="shared" si="97"/>
        <v>#N/A</v>
      </c>
      <c r="AC687" s="65" t="e">
        <f t="shared" si="98"/>
        <v>#N/A</v>
      </c>
      <c r="AD687" s="65" t="e">
        <f t="shared" si="99"/>
        <v>#N/A</v>
      </c>
      <c r="AE687" s="65" t="e">
        <f t="shared" si="100"/>
        <v>#N/A</v>
      </c>
    </row>
    <row r="688" spans="1:31" ht="15" customHeight="1">
      <c r="A688">
        <f>'Final Building Profile'!A38</f>
        <v>35</v>
      </c>
      <c r="B688">
        <f>'Final Building Profile'!D38</f>
        <v>0</v>
      </c>
      <c r="C688">
        <f>'Final Building Profile'!E38</f>
        <v>0</v>
      </c>
      <c r="D688">
        <f>'Final Building Profile'!F38</f>
        <v>0</v>
      </c>
      <c r="E688" s="265">
        <f>'Final Building Profile'!G38</f>
        <v>0</v>
      </c>
      <c r="F688" s="265">
        <f>'Final Building Profile'!H38</f>
        <v>0</v>
      </c>
      <c r="G688" s="265">
        <f>'Final Building Profile'!I38</f>
        <v>0</v>
      </c>
      <c r="H688" s="197">
        <f t="shared" si="86"/>
        <v>0</v>
      </c>
      <c r="I688" s="197">
        <f t="shared" si="87"/>
        <v>0</v>
      </c>
      <c r="J688" s="137">
        <f t="shared" si="88"/>
        <v>0</v>
      </c>
      <c r="K688" s="66">
        <f>'Final Building Profile'!L38</f>
        <v>0</v>
      </c>
      <c r="L688" s="66">
        <f t="shared" si="79"/>
        <v>0</v>
      </c>
      <c r="M688">
        <f>'Final Building Profile'!M38</f>
        <v>0</v>
      </c>
      <c r="N688" s="66">
        <f t="shared" si="89"/>
        <v>0</v>
      </c>
      <c r="O688" s="66">
        <f t="shared" si="90"/>
        <v>0</v>
      </c>
      <c r="P688" s="66">
        <f t="shared" si="91"/>
        <v>0</v>
      </c>
      <c r="Q688" s="204">
        <f>'Final Building Profile'!K38</f>
        <v>0</v>
      </c>
      <c r="R688" s="66">
        <f t="shared" si="80"/>
        <v>0</v>
      </c>
      <c r="S688" s="65">
        <f>'Final Building Profile'!N38-'Final Building Profile'!O38</f>
        <v>0</v>
      </c>
      <c r="T688" s="65">
        <f t="shared" si="92"/>
        <v>0</v>
      </c>
      <c r="U688" s="204">
        <f>'Final Building Profile'!Q38</f>
        <v>0</v>
      </c>
      <c r="V688" s="65">
        <f>IF('Final Building Profile'!P38&lt;&gt;"", U688, 0) * T688</f>
        <v>0</v>
      </c>
      <c r="W688" s="266">
        <f t="shared" si="93"/>
        <v>0</v>
      </c>
      <c r="X688" s="266">
        <f t="shared" si="81"/>
        <v>0</v>
      </c>
      <c r="Y688" s="266" t="e">
        <f t="shared" si="94"/>
        <v>#DIV/0!</v>
      </c>
      <c r="Z688" s="266" t="e">
        <f t="shared" si="95"/>
        <v>#DIV/0!</v>
      </c>
      <c r="AA688" s="266" t="e">
        <f t="shared" si="96"/>
        <v>#DIV/0!</v>
      </c>
      <c r="AB688" s="65" t="e">
        <f t="shared" si="97"/>
        <v>#N/A</v>
      </c>
      <c r="AC688" s="65" t="e">
        <f t="shared" si="98"/>
        <v>#N/A</v>
      </c>
      <c r="AD688" s="65" t="e">
        <f t="shared" si="99"/>
        <v>#N/A</v>
      </c>
      <c r="AE688" s="65" t="e">
        <f t="shared" si="100"/>
        <v>#N/A</v>
      </c>
    </row>
    <row r="689" spans="1:31" ht="15" customHeight="1">
      <c r="A689">
        <f>'Final Building Profile'!A39</f>
        <v>36</v>
      </c>
      <c r="B689">
        <f>'Final Building Profile'!D39</f>
        <v>0</v>
      </c>
      <c r="C689">
        <f>'Final Building Profile'!E39</f>
        <v>0</v>
      </c>
      <c r="D689">
        <f>'Final Building Profile'!F39</f>
        <v>0</v>
      </c>
      <c r="E689" s="265">
        <f>'Final Building Profile'!G39</f>
        <v>0</v>
      </c>
      <c r="F689" s="265">
        <f>'Final Building Profile'!H39</f>
        <v>0</v>
      </c>
      <c r="G689" s="265">
        <f>'Final Building Profile'!I39</f>
        <v>0</v>
      </c>
      <c r="H689" s="197">
        <f t="shared" si="86"/>
        <v>0</v>
      </c>
      <c r="I689" s="197">
        <f t="shared" si="87"/>
        <v>0</v>
      </c>
      <c r="J689" s="137">
        <f t="shared" si="88"/>
        <v>0</v>
      </c>
      <c r="K689" s="66">
        <f>'Final Building Profile'!L39</f>
        <v>0</v>
      </c>
      <c r="L689" s="66">
        <f t="shared" si="79"/>
        <v>0</v>
      </c>
      <c r="M689">
        <f>'Final Building Profile'!M39</f>
        <v>0</v>
      </c>
      <c r="N689" s="66">
        <f t="shared" si="89"/>
        <v>0</v>
      </c>
      <c r="O689" s="66">
        <f t="shared" si="90"/>
        <v>0</v>
      </c>
      <c r="P689" s="66">
        <f t="shared" si="91"/>
        <v>0</v>
      </c>
      <c r="Q689" s="204">
        <f>'Final Building Profile'!K39</f>
        <v>0</v>
      </c>
      <c r="R689" s="66">
        <f t="shared" si="80"/>
        <v>0</v>
      </c>
      <c r="S689" s="65">
        <f>'Final Building Profile'!N39-'Final Building Profile'!O39</f>
        <v>0</v>
      </c>
      <c r="T689" s="65">
        <f t="shared" si="92"/>
        <v>0</v>
      </c>
      <c r="U689" s="204">
        <f>'Final Building Profile'!Q39</f>
        <v>0</v>
      </c>
      <c r="V689" s="65">
        <f>IF('Final Building Profile'!P39&lt;&gt;"", U689, 0) * T689</f>
        <v>0</v>
      </c>
      <c r="W689" s="266">
        <f t="shared" si="93"/>
        <v>0</v>
      </c>
      <c r="X689" s="266">
        <f t="shared" si="81"/>
        <v>0</v>
      </c>
      <c r="Y689" s="266" t="e">
        <f t="shared" si="94"/>
        <v>#DIV/0!</v>
      </c>
      <c r="Z689" s="266" t="e">
        <f t="shared" si="95"/>
        <v>#DIV/0!</v>
      </c>
      <c r="AA689" s="266" t="e">
        <f t="shared" si="96"/>
        <v>#DIV/0!</v>
      </c>
      <c r="AB689" s="65" t="e">
        <f t="shared" si="97"/>
        <v>#N/A</v>
      </c>
      <c r="AC689" s="65" t="e">
        <f t="shared" si="98"/>
        <v>#N/A</v>
      </c>
      <c r="AD689" s="65" t="e">
        <f t="shared" si="99"/>
        <v>#N/A</v>
      </c>
      <c r="AE689" s="65" t="e">
        <f t="shared" si="100"/>
        <v>#N/A</v>
      </c>
    </row>
    <row r="690" spans="1:31" ht="15" customHeight="1">
      <c r="A690">
        <f>'Final Building Profile'!A40</f>
        <v>37</v>
      </c>
      <c r="B690">
        <f>'Final Building Profile'!D40</f>
        <v>0</v>
      </c>
      <c r="C690">
        <f>'Final Building Profile'!E40</f>
        <v>0</v>
      </c>
      <c r="D690">
        <f>'Final Building Profile'!F40</f>
        <v>0</v>
      </c>
      <c r="E690" s="265">
        <f>'Final Building Profile'!G40</f>
        <v>0</v>
      </c>
      <c r="F690" s="265">
        <f>'Final Building Profile'!H40</f>
        <v>0</v>
      </c>
      <c r="G690" s="265">
        <f>'Final Building Profile'!I40</f>
        <v>0</v>
      </c>
      <c r="H690" s="197">
        <f t="shared" si="86"/>
        <v>0</v>
      </c>
      <c r="I690" s="197">
        <f t="shared" si="87"/>
        <v>0</v>
      </c>
      <c r="J690" s="137">
        <f t="shared" si="88"/>
        <v>0</v>
      </c>
      <c r="K690" s="66">
        <f>'Final Building Profile'!L40</f>
        <v>0</v>
      </c>
      <c r="L690" s="66">
        <f t="shared" si="79"/>
        <v>0</v>
      </c>
      <c r="M690">
        <f>'Final Building Profile'!M40</f>
        <v>0</v>
      </c>
      <c r="N690" s="66">
        <f t="shared" si="89"/>
        <v>0</v>
      </c>
      <c r="O690" s="66">
        <f t="shared" si="90"/>
        <v>0</v>
      </c>
      <c r="P690" s="66">
        <f t="shared" si="91"/>
        <v>0</v>
      </c>
      <c r="Q690" s="204">
        <f>'Final Building Profile'!K40</f>
        <v>0</v>
      </c>
      <c r="R690" s="66">
        <f t="shared" si="80"/>
        <v>0</v>
      </c>
      <c r="S690" s="65">
        <f>'Final Building Profile'!N40-'Final Building Profile'!O40</f>
        <v>0</v>
      </c>
      <c r="T690" s="65">
        <f t="shared" si="92"/>
        <v>0</v>
      </c>
      <c r="U690" s="204">
        <f>'Final Building Profile'!Q40</f>
        <v>0</v>
      </c>
      <c r="V690" s="65">
        <f>IF('Final Building Profile'!P40&lt;&gt;"", U690, 0) * T690</f>
        <v>0</v>
      </c>
      <c r="W690" s="266">
        <f t="shared" si="93"/>
        <v>0</v>
      </c>
      <c r="X690" s="266">
        <f t="shared" si="81"/>
        <v>0</v>
      </c>
      <c r="Y690" s="266" t="e">
        <f t="shared" si="94"/>
        <v>#DIV/0!</v>
      </c>
      <c r="Z690" s="266" t="e">
        <f t="shared" si="95"/>
        <v>#DIV/0!</v>
      </c>
      <c r="AA690" s="266" t="e">
        <f t="shared" si="96"/>
        <v>#DIV/0!</v>
      </c>
      <c r="AB690" s="65" t="e">
        <f t="shared" si="97"/>
        <v>#N/A</v>
      </c>
      <c r="AC690" s="65" t="e">
        <f t="shared" si="98"/>
        <v>#N/A</v>
      </c>
      <c r="AD690" s="65" t="e">
        <f t="shared" si="99"/>
        <v>#N/A</v>
      </c>
      <c r="AE690" s="65" t="e">
        <f t="shared" si="100"/>
        <v>#N/A</v>
      </c>
    </row>
    <row r="691" spans="1:31" ht="15" customHeight="1">
      <c r="A691">
        <f>'Final Building Profile'!A41</f>
        <v>38</v>
      </c>
      <c r="B691">
        <f>'Final Building Profile'!D41</f>
        <v>0</v>
      </c>
      <c r="C691">
        <f>'Final Building Profile'!E41</f>
        <v>0</v>
      </c>
      <c r="D691">
        <f>'Final Building Profile'!F41</f>
        <v>0</v>
      </c>
      <c r="E691" s="265">
        <f>'Final Building Profile'!G41</f>
        <v>0</v>
      </c>
      <c r="F691" s="265">
        <f>'Final Building Profile'!H41</f>
        <v>0</v>
      </c>
      <c r="G691" s="265">
        <f>'Final Building Profile'!I41</f>
        <v>0</v>
      </c>
      <c r="H691" s="197">
        <f t="shared" si="86"/>
        <v>0</v>
      </c>
      <c r="I691" s="197">
        <f t="shared" si="87"/>
        <v>0</v>
      </c>
      <c r="J691" s="137">
        <f t="shared" si="88"/>
        <v>0</v>
      </c>
      <c r="K691" s="66">
        <f>'Final Building Profile'!L41</f>
        <v>0</v>
      </c>
      <c r="L691" s="66">
        <f t="shared" si="79"/>
        <v>0</v>
      </c>
      <c r="M691">
        <f>'Final Building Profile'!M41</f>
        <v>0</v>
      </c>
      <c r="N691" s="66">
        <f t="shared" si="89"/>
        <v>0</v>
      </c>
      <c r="O691" s="66">
        <f t="shared" si="90"/>
        <v>0</v>
      </c>
      <c r="P691" s="66">
        <f t="shared" si="91"/>
        <v>0</v>
      </c>
      <c r="Q691" s="204">
        <f>'Final Building Profile'!K41</f>
        <v>0</v>
      </c>
      <c r="R691" s="66">
        <f t="shared" si="80"/>
        <v>0</v>
      </c>
      <c r="S691" s="65">
        <f>'Final Building Profile'!N41-'Final Building Profile'!O41</f>
        <v>0</v>
      </c>
      <c r="T691" s="65">
        <f t="shared" si="92"/>
        <v>0</v>
      </c>
      <c r="U691" s="204">
        <f>'Final Building Profile'!Q41</f>
        <v>0</v>
      </c>
      <c r="V691" s="65">
        <f>IF('Final Building Profile'!P41&lt;&gt;"", U691, 0) * T691</f>
        <v>0</v>
      </c>
      <c r="W691" s="266">
        <f t="shared" si="93"/>
        <v>0</v>
      </c>
      <c r="X691" s="266">
        <f t="shared" si="81"/>
        <v>0</v>
      </c>
      <c r="Y691" s="266" t="e">
        <f t="shared" si="94"/>
        <v>#DIV/0!</v>
      </c>
      <c r="Z691" s="266" t="e">
        <f t="shared" si="95"/>
        <v>#DIV/0!</v>
      </c>
      <c r="AA691" s="266" t="e">
        <f t="shared" si="96"/>
        <v>#DIV/0!</v>
      </c>
      <c r="AB691" s="65" t="e">
        <f t="shared" si="97"/>
        <v>#N/A</v>
      </c>
      <c r="AC691" s="65" t="e">
        <f t="shared" si="98"/>
        <v>#N/A</v>
      </c>
      <c r="AD691" s="65" t="e">
        <f t="shared" si="99"/>
        <v>#N/A</v>
      </c>
      <c r="AE691" s="65" t="e">
        <f t="shared" si="100"/>
        <v>#N/A</v>
      </c>
    </row>
    <row r="692" spans="1:31" ht="15" customHeight="1">
      <c r="A692">
        <f>'Final Building Profile'!A42</f>
        <v>39</v>
      </c>
      <c r="B692">
        <f>'Final Building Profile'!D42</f>
        <v>0</v>
      </c>
      <c r="C692">
        <f>'Final Building Profile'!E42</f>
        <v>0</v>
      </c>
      <c r="D692">
        <f>'Final Building Profile'!F42</f>
        <v>0</v>
      </c>
      <c r="E692" s="265">
        <f>'Final Building Profile'!G42</f>
        <v>0</v>
      </c>
      <c r="F692" s="265">
        <f>'Final Building Profile'!H42</f>
        <v>0</v>
      </c>
      <c r="G692" s="265">
        <f>'Final Building Profile'!I42</f>
        <v>0</v>
      </c>
      <c r="H692" s="197">
        <f t="shared" si="86"/>
        <v>0</v>
      </c>
      <c r="I692" s="197">
        <f t="shared" si="87"/>
        <v>0</v>
      </c>
      <c r="J692" s="137">
        <f t="shared" si="88"/>
        <v>0</v>
      </c>
      <c r="K692" s="66">
        <f>'Final Building Profile'!L42</f>
        <v>0</v>
      </c>
      <c r="L692" s="66">
        <f t="shared" si="79"/>
        <v>0</v>
      </c>
      <c r="M692">
        <f>'Final Building Profile'!M42</f>
        <v>0</v>
      </c>
      <c r="N692" s="66">
        <f t="shared" si="89"/>
        <v>0</v>
      </c>
      <c r="O692" s="66">
        <f t="shared" si="90"/>
        <v>0</v>
      </c>
      <c r="P692" s="66">
        <f t="shared" si="91"/>
        <v>0</v>
      </c>
      <c r="Q692" s="204">
        <f>'Final Building Profile'!K42</f>
        <v>0</v>
      </c>
      <c r="R692" s="66">
        <f t="shared" si="80"/>
        <v>0</v>
      </c>
      <c r="S692" s="65">
        <f>'Final Building Profile'!N42-'Final Building Profile'!O42</f>
        <v>0</v>
      </c>
      <c r="T692" s="65">
        <f t="shared" si="92"/>
        <v>0</v>
      </c>
      <c r="U692" s="204">
        <f>'Final Building Profile'!Q42</f>
        <v>0</v>
      </c>
      <c r="V692" s="65">
        <f>IF('Final Building Profile'!P42&lt;&gt;"", U692, 0) * T692</f>
        <v>0</v>
      </c>
      <c r="W692" s="266">
        <f t="shared" si="93"/>
        <v>0</v>
      </c>
      <c r="X692" s="266">
        <f t="shared" si="81"/>
        <v>0</v>
      </c>
      <c r="Y692" s="266" t="e">
        <f t="shared" si="94"/>
        <v>#DIV/0!</v>
      </c>
      <c r="Z692" s="266" t="e">
        <f t="shared" si="95"/>
        <v>#DIV/0!</v>
      </c>
      <c r="AA692" s="266" t="e">
        <f t="shared" si="96"/>
        <v>#DIV/0!</v>
      </c>
      <c r="AB692" s="65" t="e">
        <f t="shared" si="97"/>
        <v>#N/A</v>
      </c>
      <c r="AC692" s="65" t="e">
        <f t="shared" si="98"/>
        <v>#N/A</v>
      </c>
      <c r="AD692" s="65" t="e">
        <f t="shared" si="99"/>
        <v>#N/A</v>
      </c>
      <c r="AE692" s="65" t="e">
        <f t="shared" si="100"/>
        <v>#N/A</v>
      </c>
    </row>
    <row r="693" spans="1:31" ht="15" customHeight="1">
      <c r="A693">
        <f>'Final Building Profile'!A43</f>
        <v>40</v>
      </c>
      <c r="B693">
        <f>'Final Building Profile'!D43</f>
        <v>0</v>
      </c>
      <c r="C693">
        <f>'Final Building Profile'!E43</f>
        <v>0</v>
      </c>
      <c r="D693">
        <f>'Final Building Profile'!F43</f>
        <v>0</v>
      </c>
      <c r="E693" s="265">
        <f>'Final Building Profile'!G43</f>
        <v>0</v>
      </c>
      <c r="F693" s="265">
        <f>'Final Building Profile'!H43</f>
        <v>0</v>
      </c>
      <c r="G693" s="265">
        <f>'Final Building Profile'!I43</f>
        <v>0</v>
      </c>
      <c r="H693" s="197">
        <f t="shared" si="86"/>
        <v>0</v>
      </c>
      <c r="I693" s="197">
        <f t="shared" si="87"/>
        <v>0</v>
      </c>
      <c r="J693" s="137">
        <f t="shared" si="88"/>
        <v>0</v>
      </c>
      <c r="K693" s="66">
        <f>'Final Building Profile'!L43</f>
        <v>0</v>
      </c>
      <c r="L693" s="66">
        <f t="shared" si="79"/>
        <v>0</v>
      </c>
      <c r="M693">
        <f>'Final Building Profile'!M43</f>
        <v>0</v>
      </c>
      <c r="N693" s="66">
        <f t="shared" si="89"/>
        <v>0</v>
      </c>
      <c r="O693" s="66">
        <f t="shared" si="90"/>
        <v>0</v>
      </c>
      <c r="P693" s="66">
        <f t="shared" si="91"/>
        <v>0</v>
      </c>
      <c r="Q693" s="204">
        <f>'Final Building Profile'!K43</f>
        <v>0</v>
      </c>
      <c r="R693" s="66">
        <f t="shared" si="80"/>
        <v>0</v>
      </c>
      <c r="S693" s="65">
        <f>'Final Building Profile'!N43-'Final Building Profile'!O43</f>
        <v>0</v>
      </c>
      <c r="T693" s="65">
        <f t="shared" si="92"/>
        <v>0</v>
      </c>
      <c r="U693" s="204">
        <f>'Final Building Profile'!Q43</f>
        <v>0</v>
      </c>
      <c r="V693" s="65">
        <f>IF('Final Building Profile'!P43&lt;&gt;"", U693, 0) * T693</f>
        <v>0</v>
      </c>
      <c r="W693" s="266">
        <f t="shared" si="93"/>
        <v>0</v>
      </c>
      <c r="X693" s="266">
        <f t="shared" si="81"/>
        <v>0</v>
      </c>
      <c r="Y693" s="266" t="e">
        <f t="shared" si="94"/>
        <v>#DIV/0!</v>
      </c>
      <c r="Z693" s="266" t="e">
        <f t="shared" si="95"/>
        <v>#DIV/0!</v>
      </c>
      <c r="AA693" s="266" t="e">
        <f t="shared" si="96"/>
        <v>#DIV/0!</v>
      </c>
      <c r="AB693" s="65" t="e">
        <f t="shared" si="97"/>
        <v>#N/A</v>
      </c>
      <c r="AC693" s="65" t="e">
        <f t="shared" si="98"/>
        <v>#N/A</v>
      </c>
      <c r="AD693" s="65" t="e">
        <f t="shared" si="99"/>
        <v>#N/A</v>
      </c>
      <c r="AE693" s="65" t="e">
        <f t="shared" si="100"/>
        <v>#N/A</v>
      </c>
    </row>
    <row r="694" spans="1:31" ht="15" customHeight="1">
      <c r="A694">
        <f>'Final Building Profile'!A44</f>
        <v>41</v>
      </c>
      <c r="B694">
        <f>'Final Building Profile'!D44</f>
        <v>0</v>
      </c>
      <c r="C694">
        <f>'Final Building Profile'!E44</f>
        <v>0</v>
      </c>
      <c r="D694">
        <f>'Final Building Profile'!F44</f>
        <v>0</v>
      </c>
      <c r="E694" s="265">
        <f>'Final Building Profile'!G44</f>
        <v>0</v>
      </c>
      <c r="F694" s="265">
        <f>'Final Building Profile'!H44</f>
        <v>0</v>
      </c>
      <c r="G694" s="265">
        <f>'Final Building Profile'!I44</f>
        <v>0</v>
      </c>
      <c r="H694" s="197">
        <f t="shared" si="86"/>
        <v>0</v>
      </c>
      <c r="I694" s="197">
        <f t="shared" si="87"/>
        <v>0</v>
      </c>
      <c r="J694" s="137">
        <f t="shared" si="88"/>
        <v>0</v>
      </c>
      <c r="K694" s="66">
        <f>'Final Building Profile'!L44</f>
        <v>0</v>
      </c>
      <c r="L694" s="66">
        <f t="shared" si="79"/>
        <v>0</v>
      </c>
      <c r="M694">
        <f>'Final Building Profile'!M44</f>
        <v>0</v>
      </c>
      <c r="N694" s="66">
        <f t="shared" si="89"/>
        <v>0</v>
      </c>
      <c r="O694" s="66">
        <f t="shared" si="90"/>
        <v>0</v>
      </c>
      <c r="P694" s="66">
        <f t="shared" si="91"/>
        <v>0</v>
      </c>
      <c r="Q694" s="204">
        <f>'Final Building Profile'!K44</f>
        <v>0</v>
      </c>
      <c r="R694" s="66">
        <f t="shared" si="80"/>
        <v>0</v>
      </c>
      <c r="S694" s="65">
        <f>'Final Building Profile'!N44-'Final Building Profile'!O44</f>
        <v>0</v>
      </c>
      <c r="T694" s="65">
        <f t="shared" si="92"/>
        <v>0</v>
      </c>
      <c r="U694" s="204">
        <f>'Final Building Profile'!Q44</f>
        <v>0</v>
      </c>
      <c r="V694" s="65">
        <f>IF('Final Building Profile'!P44&lt;&gt;"", U694, 0) * T694</f>
        <v>0</v>
      </c>
      <c r="W694" s="266">
        <f t="shared" si="93"/>
        <v>0</v>
      </c>
      <c r="X694" s="266">
        <f t="shared" si="81"/>
        <v>0</v>
      </c>
      <c r="Y694" s="266" t="e">
        <f t="shared" si="94"/>
        <v>#DIV/0!</v>
      </c>
      <c r="Z694" s="266" t="e">
        <f t="shared" si="95"/>
        <v>#DIV/0!</v>
      </c>
      <c r="AA694" s="266" t="e">
        <f t="shared" si="96"/>
        <v>#DIV/0!</v>
      </c>
      <c r="AB694" s="65" t="e">
        <f t="shared" si="97"/>
        <v>#N/A</v>
      </c>
      <c r="AC694" s="65" t="e">
        <f t="shared" si="98"/>
        <v>#N/A</v>
      </c>
      <c r="AD694" s="65" t="e">
        <f t="shared" si="99"/>
        <v>#N/A</v>
      </c>
      <c r="AE694" s="65" t="e">
        <f t="shared" si="100"/>
        <v>#N/A</v>
      </c>
    </row>
    <row r="695" spans="1:31" ht="15" customHeight="1">
      <c r="A695">
        <f>'Final Building Profile'!A45</f>
        <v>42</v>
      </c>
      <c r="B695">
        <f>'Final Building Profile'!D45</f>
        <v>0</v>
      </c>
      <c r="C695">
        <f>'Final Building Profile'!E45</f>
        <v>0</v>
      </c>
      <c r="D695">
        <f>'Final Building Profile'!F45</f>
        <v>0</v>
      </c>
      <c r="E695" s="265">
        <f>'Final Building Profile'!G45</f>
        <v>0</v>
      </c>
      <c r="F695" s="265">
        <f>'Final Building Profile'!H45</f>
        <v>0</v>
      </c>
      <c r="G695" s="265">
        <f>'Final Building Profile'!I45</f>
        <v>0</v>
      </c>
      <c r="H695" s="197">
        <f t="shared" si="86"/>
        <v>0</v>
      </c>
      <c r="I695" s="197">
        <f t="shared" si="87"/>
        <v>0</v>
      </c>
      <c r="J695" s="137">
        <f t="shared" si="88"/>
        <v>0</v>
      </c>
      <c r="K695" s="66">
        <f>'Final Building Profile'!L45</f>
        <v>0</v>
      </c>
      <c r="L695" s="66">
        <f t="shared" si="79"/>
        <v>0</v>
      </c>
      <c r="M695">
        <f>'Final Building Profile'!M45</f>
        <v>0</v>
      </c>
      <c r="N695" s="66">
        <f t="shared" si="89"/>
        <v>0</v>
      </c>
      <c r="O695" s="66">
        <f t="shared" si="90"/>
        <v>0</v>
      </c>
      <c r="P695" s="66">
        <f t="shared" si="91"/>
        <v>0</v>
      </c>
      <c r="Q695" s="204">
        <f>'Final Building Profile'!K45</f>
        <v>0</v>
      </c>
      <c r="R695" s="66">
        <f t="shared" si="80"/>
        <v>0</v>
      </c>
      <c r="S695" s="65">
        <f>'Final Building Profile'!N45-'Final Building Profile'!O45</f>
        <v>0</v>
      </c>
      <c r="T695" s="65">
        <f t="shared" si="92"/>
        <v>0</v>
      </c>
      <c r="U695" s="204">
        <f>'Final Building Profile'!Q45</f>
        <v>0</v>
      </c>
      <c r="V695" s="65">
        <f>IF('Final Building Profile'!P45&lt;&gt;"", U695, 0) * T695</f>
        <v>0</v>
      </c>
      <c r="W695" s="266">
        <f t="shared" si="93"/>
        <v>0</v>
      </c>
      <c r="X695" s="266">
        <f t="shared" si="81"/>
        <v>0</v>
      </c>
      <c r="Y695" s="266" t="e">
        <f t="shared" si="94"/>
        <v>#DIV/0!</v>
      </c>
      <c r="Z695" s="266" t="e">
        <f t="shared" si="95"/>
        <v>#DIV/0!</v>
      </c>
      <c r="AA695" s="266" t="e">
        <f t="shared" si="96"/>
        <v>#DIV/0!</v>
      </c>
      <c r="AB695" s="65" t="e">
        <f t="shared" si="97"/>
        <v>#N/A</v>
      </c>
      <c r="AC695" s="65" t="e">
        <f t="shared" si="98"/>
        <v>#N/A</v>
      </c>
      <c r="AD695" s="65" t="e">
        <f t="shared" si="99"/>
        <v>#N/A</v>
      </c>
      <c r="AE695" s="65" t="e">
        <f t="shared" si="100"/>
        <v>#N/A</v>
      </c>
    </row>
    <row r="696" spans="1:31" ht="15" customHeight="1">
      <c r="A696">
        <f>'Final Building Profile'!A46</f>
        <v>43</v>
      </c>
      <c r="B696">
        <f>'Final Building Profile'!D46</f>
        <v>0</v>
      </c>
      <c r="C696">
        <f>'Final Building Profile'!E46</f>
        <v>0</v>
      </c>
      <c r="D696">
        <f>'Final Building Profile'!F46</f>
        <v>0</v>
      </c>
      <c r="E696" s="265">
        <f>'Final Building Profile'!G46</f>
        <v>0</v>
      </c>
      <c r="F696" s="265">
        <f>'Final Building Profile'!H46</f>
        <v>0</v>
      </c>
      <c r="G696" s="265">
        <f>'Final Building Profile'!I46</f>
        <v>0</v>
      </c>
      <c r="H696" s="197">
        <f t="shared" si="86"/>
        <v>0</v>
      </c>
      <c r="I696" s="197">
        <f t="shared" si="87"/>
        <v>0</v>
      </c>
      <c r="J696" s="137">
        <f t="shared" si="88"/>
        <v>0</v>
      </c>
      <c r="K696" s="66">
        <f>'Final Building Profile'!L46</f>
        <v>0</v>
      </c>
      <c r="L696" s="66">
        <f t="shared" si="79"/>
        <v>0</v>
      </c>
      <c r="M696">
        <f>'Final Building Profile'!M46</f>
        <v>0</v>
      </c>
      <c r="N696" s="66">
        <f t="shared" si="89"/>
        <v>0</v>
      </c>
      <c r="O696" s="66">
        <f t="shared" si="90"/>
        <v>0</v>
      </c>
      <c r="P696" s="66">
        <f t="shared" si="91"/>
        <v>0</v>
      </c>
      <c r="Q696" s="204">
        <f>'Final Building Profile'!K46</f>
        <v>0</v>
      </c>
      <c r="R696" s="66">
        <f t="shared" si="80"/>
        <v>0</v>
      </c>
      <c r="S696" s="65">
        <f>'Final Building Profile'!N46-'Final Building Profile'!O46</f>
        <v>0</v>
      </c>
      <c r="T696" s="65">
        <f t="shared" si="92"/>
        <v>0</v>
      </c>
      <c r="U696" s="204">
        <f>'Final Building Profile'!Q46</f>
        <v>0</v>
      </c>
      <c r="V696" s="65">
        <f>IF('Final Building Profile'!P46&lt;&gt;"", U696, 0) * T696</f>
        <v>0</v>
      </c>
      <c r="W696" s="266">
        <f t="shared" si="93"/>
        <v>0</v>
      </c>
      <c r="X696" s="266">
        <f t="shared" si="81"/>
        <v>0</v>
      </c>
      <c r="Y696" s="266" t="e">
        <f t="shared" si="94"/>
        <v>#DIV/0!</v>
      </c>
      <c r="Z696" s="266" t="e">
        <f t="shared" si="95"/>
        <v>#DIV/0!</v>
      </c>
      <c r="AA696" s="266" t="e">
        <f t="shared" si="96"/>
        <v>#DIV/0!</v>
      </c>
      <c r="AB696" s="65" t="e">
        <f t="shared" si="97"/>
        <v>#N/A</v>
      </c>
      <c r="AC696" s="65" t="e">
        <f t="shared" si="98"/>
        <v>#N/A</v>
      </c>
      <c r="AD696" s="65" t="e">
        <f t="shared" si="99"/>
        <v>#N/A</v>
      </c>
      <c r="AE696" s="65" t="e">
        <f t="shared" si="100"/>
        <v>#N/A</v>
      </c>
    </row>
    <row r="697" spans="1:31" ht="15" customHeight="1">
      <c r="A697">
        <f>'Final Building Profile'!A47</f>
        <v>44</v>
      </c>
      <c r="B697">
        <f>'Final Building Profile'!D47</f>
        <v>0</v>
      </c>
      <c r="C697">
        <f>'Final Building Profile'!E47</f>
        <v>0</v>
      </c>
      <c r="D697">
        <f>'Final Building Profile'!F47</f>
        <v>0</v>
      </c>
      <c r="E697" s="265">
        <f>'Final Building Profile'!G47</f>
        <v>0</v>
      </c>
      <c r="F697" s="265">
        <f>'Final Building Profile'!H47</f>
        <v>0</v>
      </c>
      <c r="G697" s="265">
        <f>'Final Building Profile'!I47</f>
        <v>0</v>
      </c>
      <c r="H697" s="197">
        <f t="shared" si="86"/>
        <v>0</v>
      </c>
      <c r="I697" s="197">
        <f t="shared" si="87"/>
        <v>0</v>
      </c>
      <c r="J697" s="137">
        <f t="shared" si="88"/>
        <v>0</v>
      </c>
      <c r="K697" s="66">
        <f>'Final Building Profile'!L47</f>
        <v>0</v>
      </c>
      <c r="L697" s="66">
        <f t="shared" si="79"/>
        <v>0</v>
      </c>
      <c r="M697">
        <f>'Final Building Profile'!M47</f>
        <v>0</v>
      </c>
      <c r="N697" s="66">
        <f t="shared" si="89"/>
        <v>0</v>
      </c>
      <c r="O697" s="66">
        <f t="shared" si="90"/>
        <v>0</v>
      </c>
      <c r="P697" s="66">
        <f t="shared" si="91"/>
        <v>0</v>
      </c>
      <c r="Q697" s="204">
        <f>'Final Building Profile'!K47</f>
        <v>0</v>
      </c>
      <c r="R697" s="66">
        <f t="shared" si="80"/>
        <v>0</v>
      </c>
      <c r="S697" s="65">
        <f>'Final Building Profile'!N47-'Final Building Profile'!O47</f>
        <v>0</v>
      </c>
      <c r="T697" s="65">
        <f t="shared" si="92"/>
        <v>0</v>
      </c>
      <c r="U697" s="204">
        <f>'Final Building Profile'!Q47</f>
        <v>0</v>
      </c>
      <c r="V697" s="65">
        <f>IF('Final Building Profile'!P47&lt;&gt;"", U697, 0) * T697</f>
        <v>0</v>
      </c>
      <c r="W697" s="266">
        <f t="shared" si="93"/>
        <v>0</v>
      </c>
      <c r="X697" s="266">
        <f t="shared" si="81"/>
        <v>0</v>
      </c>
      <c r="Y697" s="266" t="e">
        <f t="shared" si="94"/>
        <v>#DIV/0!</v>
      </c>
      <c r="Z697" s="266" t="e">
        <f t="shared" si="95"/>
        <v>#DIV/0!</v>
      </c>
      <c r="AA697" s="266" t="e">
        <f t="shared" si="96"/>
        <v>#DIV/0!</v>
      </c>
      <c r="AB697" s="65" t="e">
        <f t="shared" si="97"/>
        <v>#N/A</v>
      </c>
      <c r="AC697" s="65" t="e">
        <f t="shared" si="98"/>
        <v>#N/A</v>
      </c>
      <c r="AD697" s="65" t="e">
        <f t="shared" si="99"/>
        <v>#N/A</v>
      </c>
      <c r="AE697" s="65" t="e">
        <f t="shared" si="100"/>
        <v>#N/A</v>
      </c>
    </row>
    <row r="698" spans="1:31" ht="15" customHeight="1">
      <c r="A698">
        <f>'Final Building Profile'!A48</f>
        <v>45</v>
      </c>
      <c r="B698">
        <f>'Final Building Profile'!D48</f>
        <v>0</v>
      </c>
      <c r="C698">
        <f>'Final Building Profile'!E48</f>
        <v>0</v>
      </c>
      <c r="D698">
        <f>'Final Building Profile'!F48</f>
        <v>0</v>
      </c>
      <c r="E698" s="265">
        <f>'Final Building Profile'!G48</f>
        <v>0</v>
      </c>
      <c r="F698" s="265">
        <f>'Final Building Profile'!H48</f>
        <v>0</v>
      </c>
      <c r="G698" s="265">
        <f>'Final Building Profile'!I48</f>
        <v>0</v>
      </c>
      <c r="H698" s="197">
        <f t="shared" si="86"/>
        <v>0</v>
      </c>
      <c r="I698" s="197">
        <f t="shared" si="87"/>
        <v>0</v>
      </c>
      <c r="J698" s="137">
        <f t="shared" si="88"/>
        <v>0</v>
      </c>
      <c r="K698" s="66">
        <f>'Final Building Profile'!L48</f>
        <v>0</v>
      </c>
      <c r="L698" s="66">
        <f t="shared" si="79"/>
        <v>0</v>
      </c>
      <c r="M698">
        <f>'Final Building Profile'!M48</f>
        <v>0</v>
      </c>
      <c r="N698" s="66">
        <f t="shared" si="89"/>
        <v>0</v>
      </c>
      <c r="O698" s="66">
        <f t="shared" si="90"/>
        <v>0</v>
      </c>
      <c r="P698" s="66">
        <f t="shared" si="91"/>
        <v>0</v>
      </c>
      <c r="Q698" s="204">
        <f>'Final Building Profile'!K48</f>
        <v>0</v>
      </c>
      <c r="R698" s="66">
        <f t="shared" si="80"/>
        <v>0</v>
      </c>
      <c r="S698" s="65">
        <f>'Final Building Profile'!N48-'Final Building Profile'!O48</f>
        <v>0</v>
      </c>
      <c r="T698" s="65">
        <f t="shared" si="92"/>
        <v>0</v>
      </c>
      <c r="U698" s="204">
        <f>'Final Building Profile'!Q48</f>
        <v>0</v>
      </c>
      <c r="V698" s="65">
        <f>IF('Final Building Profile'!P48&lt;&gt;"", U698, 0) * T698</f>
        <v>0</v>
      </c>
      <c r="W698" s="266">
        <f t="shared" si="93"/>
        <v>0</v>
      </c>
      <c r="X698" s="266">
        <f t="shared" si="81"/>
        <v>0</v>
      </c>
      <c r="Y698" s="266" t="e">
        <f t="shared" si="94"/>
        <v>#DIV/0!</v>
      </c>
      <c r="Z698" s="266" t="e">
        <f t="shared" si="95"/>
        <v>#DIV/0!</v>
      </c>
      <c r="AA698" s="266" t="e">
        <f t="shared" si="96"/>
        <v>#DIV/0!</v>
      </c>
      <c r="AB698" s="65" t="e">
        <f t="shared" si="97"/>
        <v>#N/A</v>
      </c>
      <c r="AC698" s="65" t="e">
        <f t="shared" si="98"/>
        <v>#N/A</v>
      </c>
      <c r="AD698" s="65" t="e">
        <f t="shared" si="99"/>
        <v>#N/A</v>
      </c>
      <c r="AE698" s="65" t="e">
        <f t="shared" si="100"/>
        <v>#N/A</v>
      </c>
    </row>
    <row r="699" spans="1:31" ht="15" customHeight="1">
      <c r="A699">
        <f>'Final Building Profile'!A49</f>
        <v>46</v>
      </c>
      <c r="B699">
        <f>'Final Building Profile'!D49</f>
        <v>0</v>
      </c>
      <c r="C699">
        <f>'Final Building Profile'!E49</f>
        <v>0</v>
      </c>
      <c r="D699">
        <f>'Final Building Profile'!F49</f>
        <v>0</v>
      </c>
      <c r="E699" s="265">
        <f>'Final Building Profile'!G49</f>
        <v>0</v>
      </c>
      <c r="F699" s="265">
        <f>'Final Building Profile'!H49</f>
        <v>0</v>
      </c>
      <c r="G699" s="265">
        <f>'Final Building Profile'!I49</f>
        <v>0</v>
      </c>
      <c r="H699" s="197">
        <f t="shared" si="86"/>
        <v>0</v>
      </c>
      <c r="I699" s="197">
        <f t="shared" si="87"/>
        <v>0</v>
      </c>
      <c r="J699" s="137">
        <f t="shared" si="88"/>
        <v>0</v>
      </c>
      <c r="K699" s="66">
        <f>'Final Building Profile'!L49</f>
        <v>0</v>
      </c>
      <c r="L699" s="66">
        <f t="shared" si="79"/>
        <v>0</v>
      </c>
      <c r="M699">
        <f>'Final Building Profile'!M49</f>
        <v>0</v>
      </c>
      <c r="N699" s="66">
        <f t="shared" si="89"/>
        <v>0</v>
      </c>
      <c r="O699" s="66">
        <f t="shared" si="90"/>
        <v>0</v>
      </c>
      <c r="P699" s="66">
        <f t="shared" si="91"/>
        <v>0</v>
      </c>
      <c r="Q699" s="204">
        <f>'Final Building Profile'!K49</f>
        <v>0</v>
      </c>
      <c r="R699" s="66">
        <f t="shared" si="80"/>
        <v>0</v>
      </c>
      <c r="S699" s="65">
        <f>'Final Building Profile'!N49-'Final Building Profile'!O49</f>
        <v>0</v>
      </c>
      <c r="T699" s="65">
        <f t="shared" si="92"/>
        <v>0</v>
      </c>
      <c r="U699" s="204">
        <f>'Final Building Profile'!Q49</f>
        <v>0</v>
      </c>
      <c r="V699" s="65">
        <f>IF('Final Building Profile'!P49&lt;&gt;"", U699, 0) * T699</f>
        <v>0</v>
      </c>
      <c r="W699" s="266">
        <f t="shared" si="93"/>
        <v>0</v>
      </c>
      <c r="X699" s="266">
        <f t="shared" si="81"/>
        <v>0</v>
      </c>
      <c r="Y699" s="266" t="e">
        <f t="shared" si="94"/>
        <v>#DIV/0!</v>
      </c>
      <c r="Z699" s="266" t="e">
        <f t="shared" si="95"/>
        <v>#DIV/0!</v>
      </c>
      <c r="AA699" s="266" t="e">
        <f t="shared" si="96"/>
        <v>#DIV/0!</v>
      </c>
      <c r="AB699" s="65" t="e">
        <f t="shared" si="97"/>
        <v>#N/A</v>
      </c>
      <c r="AC699" s="65" t="e">
        <f t="shared" si="98"/>
        <v>#N/A</v>
      </c>
      <c r="AD699" s="65" t="e">
        <f t="shared" si="99"/>
        <v>#N/A</v>
      </c>
      <c r="AE699" s="65" t="e">
        <f t="shared" si="100"/>
        <v>#N/A</v>
      </c>
    </row>
    <row r="700" spans="1:31" ht="15" customHeight="1">
      <c r="A700">
        <f>'Final Building Profile'!A50</f>
        <v>47</v>
      </c>
      <c r="B700">
        <f>'Final Building Profile'!D50</f>
        <v>0</v>
      </c>
      <c r="C700">
        <f>'Final Building Profile'!E50</f>
        <v>0</v>
      </c>
      <c r="D700">
        <f>'Final Building Profile'!F50</f>
        <v>0</v>
      </c>
      <c r="E700" s="265">
        <f>'Final Building Profile'!G50</f>
        <v>0</v>
      </c>
      <c r="F700" s="265">
        <f>'Final Building Profile'!H50</f>
        <v>0</v>
      </c>
      <c r="G700" s="265">
        <f>'Final Building Profile'!I50</f>
        <v>0</v>
      </c>
      <c r="H700" s="197">
        <f t="shared" si="86"/>
        <v>0</v>
      </c>
      <c r="I700" s="197">
        <f t="shared" si="87"/>
        <v>0</v>
      </c>
      <c r="J700" s="137">
        <f t="shared" si="88"/>
        <v>0</v>
      </c>
      <c r="K700" s="66">
        <f>'Final Building Profile'!L50</f>
        <v>0</v>
      </c>
      <c r="L700" s="66">
        <f t="shared" si="79"/>
        <v>0</v>
      </c>
      <c r="M700">
        <f>'Final Building Profile'!M50</f>
        <v>0</v>
      </c>
      <c r="N700" s="66">
        <f t="shared" si="89"/>
        <v>0</v>
      </c>
      <c r="O700" s="66">
        <f t="shared" si="90"/>
        <v>0</v>
      </c>
      <c r="P700" s="66">
        <f t="shared" si="91"/>
        <v>0</v>
      </c>
      <c r="Q700" s="204">
        <f>'Final Building Profile'!K50</f>
        <v>0</v>
      </c>
      <c r="R700" s="66">
        <f t="shared" si="80"/>
        <v>0</v>
      </c>
      <c r="S700" s="65">
        <f>'Final Building Profile'!N50-'Final Building Profile'!O50</f>
        <v>0</v>
      </c>
      <c r="T700" s="65">
        <f t="shared" si="92"/>
        <v>0</v>
      </c>
      <c r="U700" s="204">
        <f>'Final Building Profile'!Q50</f>
        <v>0</v>
      </c>
      <c r="V700" s="65">
        <f>IF('Final Building Profile'!P50&lt;&gt;"", U700, 0) * T700</f>
        <v>0</v>
      </c>
      <c r="W700" s="266">
        <f t="shared" si="93"/>
        <v>0</v>
      </c>
      <c r="X700" s="266">
        <f t="shared" si="81"/>
        <v>0</v>
      </c>
      <c r="Y700" s="266" t="e">
        <f t="shared" si="94"/>
        <v>#DIV/0!</v>
      </c>
      <c r="Z700" s="266" t="e">
        <f t="shared" si="95"/>
        <v>#DIV/0!</v>
      </c>
      <c r="AA700" s="266" t="e">
        <f t="shared" si="96"/>
        <v>#DIV/0!</v>
      </c>
      <c r="AB700" s="65" t="e">
        <f t="shared" si="97"/>
        <v>#N/A</v>
      </c>
      <c r="AC700" s="65" t="e">
        <f t="shared" si="98"/>
        <v>#N/A</v>
      </c>
      <c r="AD700" s="65" t="e">
        <f t="shared" si="99"/>
        <v>#N/A</v>
      </c>
      <c r="AE700" s="65" t="e">
        <f t="shared" si="100"/>
        <v>#N/A</v>
      </c>
    </row>
    <row r="701" spans="1:31" ht="15" customHeight="1">
      <c r="A701">
        <f>'Final Building Profile'!A51</f>
        <v>48</v>
      </c>
      <c r="B701">
        <f>'Final Building Profile'!D51</f>
        <v>0</v>
      </c>
      <c r="C701">
        <f>'Final Building Profile'!E51</f>
        <v>0</v>
      </c>
      <c r="D701">
        <f>'Final Building Profile'!F51</f>
        <v>0</v>
      </c>
      <c r="E701" s="265">
        <f>'Final Building Profile'!G51</f>
        <v>0</v>
      </c>
      <c r="F701" s="265">
        <f>'Final Building Profile'!H51</f>
        <v>0</v>
      </c>
      <c r="G701" s="265">
        <f>'Final Building Profile'!I51</f>
        <v>0</v>
      </c>
      <c r="H701" s="197">
        <f t="shared" si="86"/>
        <v>0</v>
      </c>
      <c r="I701" s="197">
        <f t="shared" si="87"/>
        <v>0</v>
      </c>
      <c r="J701" s="137">
        <f t="shared" si="88"/>
        <v>0</v>
      </c>
      <c r="K701" s="66">
        <f>'Final Building Profile'!L51</f>
        <v>0</v>
      </c>
      <c r="L701" s="66">
        <f t="shared" si="79"/>
        <v>0</v>
      </c>
      <c r="M701">
        <f>'Final Building Profile'!M51</f>
        <v>0</v>
      </c>
      <c r="N701" s="66">
        <f t="shared" si="89"/>
        <v>0</v>
      </c>
      <c r="O701" s="66">
        <f t="shared" si="90"/>
        <v>0</v>
      </c>
      <c r="P701" s="66">
        <f t="shared" si="91"/>
        <v>0</v>
      </c>
      <c r="Q701" s="204">
        <f>'Final Building Profile'!K51</f>
        <v>0</v>
      </c>
      <c r="R701" s="66">
        <f t="shared" si="80"/>
        <v>0</v>
      </c>
      <c r="S701" s="65">
        <f>'Final Building Profile'!N51-'Final Building Profile'!O51</f>
        <v>0</v>
      </c>
      <c r="T701" s="65">
        <f t="shared" si="92"/>
        <v>0</v>
      </c>
      <c r="U701" s="204">
        <f>'Final Building Profile'!Q51</f>
        <v>0</v>
      </c>
      <c r="V701" s="65">
        <f>IF('Final Building Profile'!P51&lt;&gt;"", U701, 0) * T701</f>
        <v>0</v>
      </c>
      <c r="W701" s="266">
        <f t="shared" si="93"/>
        <v>0</v>
      </c>
      <c r="X701" s="266">
        <f t="shared" si="81"/>
        <v>0</v>
      </c>
      <c r="Y701" s="266" t="e">
        <f t="shared" si="94"/>
        <v>#DIV/0!</v>
      </c>
      <c r="Z701" s="266" t="e">
        <f t="shared" si="95"/>
        <v>#DIV/0!</v>
      </c>
      <c r="AA701" s="266" t="e">
        <f t="shared" si="96"/>
        <v>#DIV/0!</v>
      </c>
      <c r="AB701" s="65" t="e">
        <f t="shared" si="97"/>
        <v>#N/A</v>
      </c>
      <c r="AC701" s="65" t="e">
        <f t="shared" si="98"/>
        <v>#N/A</v>
      </c>
      <c r="AD701" s="65" t="e">
        <f t="shared" si="99"/>
        <v>#N/A</v>
      </c>
      <c r="AE701" s="65" t="e">
        <f t="shared" si="100"/>
        <v>#N/A</v>
      </c>
    </row>
    <row r="702" spans="1:31" ht="15" customHeight="1">
      <c r="A702">
        <f>'Final Building Profile'!A52</f>
        <v>49</v>
      </c>
      <c r="B702">
        <f>'Final Building Profile'!D52</f>
        <v>0</v>
      </c>
      <c r="C702">
        <f>'Final Building Profile'!E52</f>
        <v>0</v>
      </c>
      <c r="D702">
        <f>'Final Building Profile'!F52</f>
        <v>0</v>
      </c>
      <c r="E702" s="265">
        <f>'Final Building Profile'!G52</f>
        <v>0</v>
      </c>
      <c r="F702" s="265">
        <f>'Final Building Profile'!H52</f>
        <v>0</v>
      </c>
      <c r="G702" s="265">
        <f>'Final Building Profile'!I52</f>
        <v>0</v>
      </c>
      <c r="H702" s="197">
        <f t="shared" si="86"/>
        <v>0</v>
      </c>
      <c r="I702" s="197">
        <f t="shared" si="87"/>
        <v>0</v>
      </c>
      <c r="J702" s="137">
        <f t="shared" si="88"/>
        <v>0</v>
      </c>
      <c r="K702" s="66">
        <f>'Final Building Profile'!L52</f>
        <v>0</v>
      </c>
      <c r="L702" s="66">
        <f t="shared" si="79"/>
        <v>0</v>
      </c>
      <c r="M702">
        <f>'Final Building Profile'!M52</f>
        <v>0</v>
      </c>
      <c r="N702" s="66">
        <f t="shared" si="89"/>
        <v>0</v>
      </c>
      <c r="O702" s="66">
        <f t="shared" si="90"/>
        <v>0</v>
      </c>
      <c r="P702" s="66">
        <f t="shared" si="91"/>
        <v>0</v>
      </c>
      <c r="Q702" s="204">
        <f>'Final Building Profile'!K52</f>
        <v>0</v>
      </c>
      <c r="R702" s="66">
        <f t="shared" si="80"/>
        <v>0</v>
      </c>
      <c r="S702" s="65">
        <f>'Final Building Profile'!N52-'Final Building Profile'!O52</f>
        <v>0</v>
      </c>
      <c r="T702" s="65">
        <f t="shared" si="92"/>
        <v>0</v>
      </c>
      <c r="U702" s="204">
        <f>'Final Building Profile'!Q52</f>
        <v>0</v>
      </c>
      <c r="V702" s="65">
        <f>IF('Final Building Profile'!P52&lt;&gt;"", U702, 0) * T702</f>
        <v>0</v>
      </c>
      <c r="W702" s="266">
        <f t="shared" si="93"/>
        <v>0</v>
      </c>
      <c r="X702" s="266">
        <f t="shared" si="81"/>
        <v>0</v>
      </c>
      <c r="Y702" s="266" t="e">
        <f t="shared" si="94"/>
        <v>#DIV/0!</v>
      </c>
      <c r="Z702" s="266" t="e">
        <f t="shared" si="95"/>
        <v>#DIV/0!</v>
      </c>
      <c r="AA702" s="266" t="e">
        <f t="shared" si="96"/>
        <v>#DIV/0!</v>
      </c>
      <c r="AB702" s="65" t="e">
        <f t="shared" si="97"/>
        <v>#N/A</v>
      </c>
      <c r="AC702" s="65" t="e">
        <f t="shared" si="98"/>
        <v>#N/A</v>
      </c>
      <c r="AD702" s="65" t="e">
        <f t="shared" si="99"/>
        <v>#N/A</v>
      </c>
      <c r="AE702" s="65" t="e">
        <f t="shared" si="100"/>
        <v>#N/A</v>
      </c>
    </row>
    <row r="703" spans="1:31" ht="15" customHeight="1">
      <c r="A703">
        <f>'Final Building Profile'!A53</f>
        <v>50</v>
      </c>
      <c r="B703">
        <f>'Final Building Profile'!D53</f>
        <v>0</v>
      </c>
      <c r="C703">
        <f>'Final Building Profile'!E53</f>
        <v>0</v>
      </c>
      <c r="D703">
        <f>'Final Building Profile'!F53</f>
        <v>0</v>
      </c>
      <c r="E703" s="265">
        <f>'Final Building Profile'!G53</f>
        <v>0</v>
      </c>
      <c r="F703" s="265">
        <f>'Final Building Profile'!H53</f>
        <v>0</v>
      </c>
      <c r="G703" s="265">
        <f>'Final Building Profile'!I53</f>
        <v>0</v>
      </c>
      <c r="H703" s="197">
        <f t="shared" si="86"/>
        <v>0</v>
      </c>
      <c r="I703" s="197">
        <f t="shared" si="87"/>
        <v>0</v>
      </c>
      <c r="J703" s="137">
        <f t="shared" si="88"/>
        <v>0</v>
      </c>
      <c r="K703" s="66">
        <f>'Final Building Profile'!L53</f>
        <v>0</v>
      </c>
      <c r="L703" s="66">
        <f t="shared" si="79"/>
        <v>0</v>
      </c>
      <c r="M703">
        <f>'Final Building Profile'!M53</f>
        <v>0</v>
      </c>
      <c r="N703" s="66">
        <f t="shared" si="89"/>
        <v>0</v>
      </c>
      <c r="O703" s="66">
        <f t="shared" si="90"/>
        <v>0</v>
      </c>
      <c r="P703" s="66">
        <f t="shared" si="91"/>
        <v>0</v>
      </c>
      <c r="Q703" s="204">
        <f>'Final Building Profile'!K53</f>
        <v>0</v>
      </c>
      <c r="R703" s="66">
        <f t="shared" si="80"/>
        <v>0</v>
      </c>
      <c r="S703" s="65">
        <f>'Final Building Profile'!N53-'Final Building Profile'!O53</f>
        <v>0</v>
      </c>
      <c r="T703" s="65">
        <f t="shared" si="92"/>
        <v>0</v>
      </c>
      <c r="U703" s="204">
        <f>'Final Building Profile'!Q53</f>
        <v>0</v>
      </c>
      <c r="V703" s="65">
        <f>IF('Final Building Profile'!P53&lt;&gt;"", U703, 0) * T703</f>
        <v>0</v>
      </c>
      <c r="W703" s="266">
        <f t="shared" si="93"/>
        <v>0</v>
      </c>
      <c r="X703" s="266">
        <f t="shared" si="81"/>
        <v>0</v>
      </c>
      <c r="Y703" s="266" t="e">
        <f t="shared" si="94"/>
        <v>#DIV/0!</v>
      </c>
      <c r="Z703" s="266" t="e">
        <f t="shared" si="95"/>
        <v>#DIV/0!</v>
      </c>
      <c r="AA703" s="266" t="e">
        <f t="shared" si="96"/>
        <v>#DIV/0!</v>
      </c>
      <c r="AB703" s="65" t="e">
        <f t="shared" si="97"/>
        <v>#N/A</v>
      </c>
      <c r="AC703" s="65" t="e">
        <f t="shared" si="98"/>
        <v>#N/A</v>
      </c>
      <c r="AD703" s="65" t="e">
        <f t="shared" si="99"/>
        <v>#N/A</v>
      </c>
      <c r="AE703" s="65" t="e">
        <f t="shared" si="100"/>
        <v>#N/A</v>
      </c>
    </row>
    <row r="704" spans="1:31" ht="15" customHeight="1">
      <c r="A704">
        <f>'Final Building Profile'!A54</f>
        <v>51</v>
      </c>
      <c r="B704">
        <f>'Final Building Profile'!D54</f>
        <v>0</v>
      </c>
      <c r="C704">
        <f>'Final Building Profile'!E54</f>
        <v>0</v>
      </c>
      <c r="D704">
        <f>'Final Building Profile'!F54</f>
        <v>0</v>
      </c>
      <c r="E704" s="265">
        <f>'Final Building Profile'!G54</f>
        <v>0</v>
      </c>
      <c r="F704" s="265">
        <f>'Final Building Profile'!H54</f>
        <v>0</v>
      </c>
      <c r="G704" s="265">
        <f>'Final Building Profile'!I54</f>
        <v>0</v>
      </c>
      <c r="H704" s="197">
        <f t="shared" si="86"/>
        <v>0</v>
      </c>
      <c r="I704" s="197">
        <f t="shared" si="87"/>
        <v>0</v>
      </c>
      <c r="J704" s="137">
        <f t="shared" si="88"/>
        <v>0</v>
      </c>
      <c r="K704" s="66">
        <f>'Final Building Profile'!L54</f>
        <v>0</v>
      </c>
      <c r="L704" s="66">
        <f t="shared" si="79"/>
        <v>0</v>
      </c>
      <c r="M704">
        <f>'Final Building Profile'!M54</f>
        <v>0</v>
      </c>
      <c r="N704" s="66">
        <f t="shared" si="89"/>
        <v>0</v>
      </c>
      <c r="O704" s="66">
        <f t="shared" si="90"/>
        <v>0</v>
      </c>
      <c r="P704" s="66">
        <f t="shared" si="91"/>
        <v>0</v>
      </c>
      <c r="Q704" s="204">
        <f>'Final Building Profile'!K54</f>
        <v>0</v>
      </c>
      <c r="R704" s="66">
        <f t="shared" si="80"/>
        <v>0</v>
      </c>
      <c r="S704" s="65">
        <f>'Final Building Profile'!N54-'Final Building Profile'!O54</f>
        <v>0</v>
      </c>
      <c r="T704" s="65">
        <f t="shared" si="92"/>
        <v>0</v>
      </c>
      <c r="U704" s="204">
        <f>'Final Building Profile'!Q54</f>
        <v>0</v>
      </c>
      <c r="V704" s="65">
        <f>IF('Final Building Profile'!P54&lt;&gt;"", U704, 0) * T704</f>
        <v>0</v>
      </c>
      <c r="W704" s="266">
        <f t="shared" si="93"/>
        <v>0</v>
      </c>
      <c r="X704" s="266">
        <f t="shared" si="81"/>
        <v>0</v>
      </c>
      <c r="Y704" s="266" t="e">
        <f t="shared" si="94"/>
        <v>#DIV/0!</v>
      </c>
      <c r="Z704" s="266" t="e">
        <f t="shared" si="95"/>
        <v>#DIV/0!</v>
      </c>
      <c r="AA704" s="266" t="e">
        <f t="shared" si="96"/>
        <v>#DIV/0!</v>
      </c>
      <c r="AB704" s="65" t="e">
        <f t="shared" si="97"/>
        <v>#N/A</v>
      </c>
      <c r="AC704" s="65" t="e">
        <f t="shared" si="98"/>
        <v>#N/A</v>
      </c>
      <c r="AD704" s="65" t="e">
        <f t="shared" si="99"/>
        <v>#N/A</v>
      </c>
      <c r="AE704" s="65" t="e">
        <f t="shared" si="100"/>
        <v>#N/A</v>
      </c>
    </row>
    <row r="705" spans="1:31" ht="15" customHeight="1">
      <c r="A705">
        <f>'Final Building Profile'!A55</f>
        <v>52</v>
      </c>
      <c r="B705">
        <f>'Final Building Profile'!D55</f>
        <v>0</v>
      </c>
      <c r="C705">
        <f>'Final Building Profile'!E55</f>
        <v>0</v>
      </c>
      <c r="D705">
        <f>'Final Building Profile'!F55</f>
        <v>0</v>
      </c>
      <c r="E705" s="265">
        <f>'Final Building Profile'!G55</f>
        <v>0</v>
      </c>
      <c r="F705" s="265">
        <f>'Final Building Profile'!H55</f>
        <v>0</v>
      </c>
      <c r="G705" s="265">
        <f>'Final Building Profile'!I55</f>
        <v>0</v>
      </c>
      <c r="H705" s="197">
        <f t="shared" si="86"/>
        <v>0</v>
      </c>
      <c r="I705" s="197">
        <f t="shared" si="87"/>
        <v>0</v>
      </c>
      <c r="J705" s="137">
        <f t="shared" si="88"/>
        <v>0</v>
      </c>
      <c r="K705" s="66">
        <f>'Final Building Profile'!L55</f>
        <v>0</v>
      </c>
      <c r="L705" s="66">
        <f t="shared" si="79"/>
        <v>0</v>
      </c>
      <c r="M705">
        <f>'Final Building Profile'!M55</f>
        <v>0</v>
      </c>
      <c r="N705" s="66">
        <f t="shared" si="89"/>
        <v>0</v>
      </c>
      <c r="O705" s="66">
        <f t="shared" si="90"/>
        <v>0</v>
      </c>
      <c r="P705" s="66">
        <f t="shared" si="91"/>
        <v>0</v>
      </c>
      <c r="Q705" s="204">
        <f>'Final Building Profile'!K55</f>
        <v>0</v>
      </c>
      <c r="R705" s="66">
        <f t="shared" si="80"/>
        <v>0</v>
      </c>
      <c r="S705" s="65">
        <f>'Final Building Profile'!N55-'Final Building Profile'!O55</f>
        <v>0</v>
      </c>
      <c r="T705" s="65">
        <f t="shared" si="92"/>
        <v>0</v>
      </c>
      <c r="U705" s="204">
        <f>'Final Building Profile'!Q55</f>
        <v>0</v>
      </c>
      <c r="V705" s="65">
        <f>IF('Final Building Profile'!P55&lt;&gt;"", U705, 0) * T705</f>
        <v>0</v>
      </c>
      <c r="W705" s="266">
        <f t="shared" si="93"/>
        <v>0</v>
      </c>
      <c r="X705" s="266">
        <f t="shared" si="81"/>
        <v>0</v>
      </c>
      <c r="Y705" s="266" t="e">
        <f t="shared" si="94"/>
        <v>#DIV/0!</v>
      </c>
      <c r="Z705" s="266" t="e">
        <f t="shared" si="95"/>
        <v>#DIV/0!</v>
      </c>
      <c r="AA705" s="266" t="e">
        <f t="shared" si="96"/>
        <v>#DIV/0!</v>
      </c>
      <c r="AB705" s="65" t="e">
        <f t="shared" si="97"/>
        <v>#N/A</v>
      </c>
      <c r="AC705" s="65" t="e">
        <f t="shared" si="98"/>
        <v>#N/A</v>
      </c>
      <c r="AD705" s="65" t="e">
        <f t="shared" si="99"/>
        <v>#N/A</v>
      </c>
      <c r="AE705" s="65" t="e">
        <f t="shared" si="100"/>
        <v>#N/A</v>
      </c>
    </row>
    <row r="706" spans="1:31" ht="15" customHeight="1">
      <c r="A706">
        <f>'Final Building Profile'!A56</f>
        <v>53</v>
      </c>
      <c r="B706">
        <f>'Final Building Profile'!D56</f>
        <v>0</v>
      </c>
      <c r="C706">
        <f>'Final Building Profile'!E56</f>
        <v>0</v>
      </c>
      <c r="D706">
        <f>'Final Building Profile'!F56</f>
        <v>0</v>
      </c>
      <c r="E706" s="265">
        <f>'Final Building Profile'!G56</f>
        <v>0</v>
      </c>
      <c r="F706" s="265">
        <f>'Final Building Profile'!H56</f>
        <v>0</v>
      </c>
      <c r="G706" s="265">
        <f>'Final Building Profile'!I56</f>
        <v>0</v>
      </c>
      <c r="H706" s="197">
        <f t="shared" si="86"/>
        <v>0</v>
      </c>
      <c r="I706" s="197">
        <f t="shared" si="87"/>
        <v>0</v>
      </c>
      <c r="J706" s="137">
        <f t="shared" si="88"/>
        <v>0</v>
      </c>
      <c r="K706" s="66">
        <f>'Final Building Profile'!L56</f>
        <v>0</v>
      </c>
      <c r="L706" s="66">
        <f t="shared" si="79"/>
        <v>0</v>
      </c>
      <c r="M706">
        <f>'Final Building Profile'!M56</f>
        <v>0</v>
      </c>
      <c r="N706" s="66">
        <f t="shared" si="89"/>
        <v>0</v>
      </c>
      <c r="O706" s="66">
        <f t="shared" si="90"/>
        <v>0</v>
      </c>
      <c r="P706" s="66">
        <f t="shared" si="91"/>
        <v>0</v>
      </c>
      <c r="Q706" s="204">
        <f>'Final Building Profile'!K56</f>
        <v>0</v>
      </c>
      <c r="R706" s="66">
        <f t="shared" si="80"/>
        <v>0</v>
      </c>
      <c r="S706" s="65">
        <f>'Final Building Profile'!N56-'Final Building Profile'!O56</f>
        <v>0</v>
      </c>
      <c r="T706" s="65">
        <f t="shared" si="92"/>
        <v>0</v>
      </c>
      <c r="U706" s="204">
        <f>'Final Building Profile'!Q56</f>
        <v>0</v>
      </c>
      <c r="V706" s="65">
        <f>IF('Final Building Profile'!P56&lt;&gt;"", U706, 0) * T706</f>
        <v>0</v>
      </c>
      <c r="W706" s="266">
        <f t="shared" si="93"/>
        <v>0</v>
      </c>
      <c r="X706" s="266">
        <f t="shared" si="81"/>
        <v>0</v>
      </c>
      <c r="Y706" s="266" t="e">
        <f t="shared" si="94"/>
        <v>#DIV/0!</v>
      </c>
      <c r="Z706" s="266" t="e">
        <f t="shared" si="95"/>
        <v>#DIV/0!</v>
      </c>
      <c r="AA706" s="266" t="e">
        <f t="shared" si="96"/>
        <v>#DIV/0!</v>
      </c>
      <c r="AB706" s="65" t="e">
        <f t="shared" si="97"/>
        <v>#N/A</v>
      </c>
      <c r="AC706" s="65" t="e">
        <f t="shared" si="98"/>
        <v>#N/A</v>
      </c>
      <c r="AD706" s="65" t="e">
        <f t="shared" si="99"/>
        <v>#N/A</v>
      </c>
      <c r="AE706" s="65" t="e">
        <f t="shared" si="100"/>
        <v>#N/A</v>
      </c>
    </row>
    <row r="707" spans="1:31" ht="15" customHeight="1">
      <c r="A707">
        <f>'Final Building Profile'!A57</f>
        <v>54</v>
      </c>
      <c r="B707">
        <f>'Final Building Profile'!D57</f>
        <v>0</v>
      </c>
      <c r="C707">
        <f>'Final Building Profile'!E57</f>
        <v>0</v>
      </c>
      <c r="D707">
        <f>'Final Building Profile'!F57</f>
        <v>0</v>
      </c>
      <c r="E707" s="265">
        <f>'Final Building Profile'!G57</f>
        <v>0</v>
      </c>
      <c r="F707" s="265">
        <f>'Final Building Profile'!H57</f>
        <v>0</v>
      </c>
      <c r="G707" s="265">
        <f>'Final Building Profile'!I57</f>
        <v>0</v>
      </c>
      <c r="H707" s="197">
        <f t="shared" si="86"/>
        <v>0</v>
      </c>
      <c r="I707" s="197">
        <f t="shared" si="87"/>
        <v>0</v>
      </c>
      <c r="J707" s="137">
        <f t="shared" si="88"/>
        <v>0</v>
      </c>
      <c r="K707" s="66">
        <f>'Final Building Profile'!L57</f>
        <v>0</v>
      </c>
      <c r="L707" s="66">
        <f t="shared" si="79"/>
        <v>0</v>
      </c>
      <c r="M707">
        <f>'Final Building Profile'!M57</f>
        <v>0</v>
      </c>
      <c r="N707" s="66">
        <f t="shared" si="89"/>
        <v>0</v>
      </c>
      <c r="O707" s="66">
        <f t="shared" si="90"/>
        <v>0</v>
      </c>
      <c r="P707" s="66">
        <f t="shared" si="91"/>
        <v>0</v>
      </c>
      <c r="Q707" s="204">
        <f>'Final Building Profile'!K57</f>
        <v>0</v>
      </c>
      <c r="R707" s="66">
        <f t="shared" si="80"/>
        <v>0</v>
      </c>
      <c r="S707" s="65">
        <f>'Final Building Profile'!N57-'Final Building Profile'!O57</f>
        <v>0</v>
      </c>
      <c r="T707" s="65">
        <f t="shared" si="92"/>
        <v>0</v>
      </c>
      <c r="U707" s="204">
        <f>'Final Building Profile'!Q57</f>
        <v>0</v>
      </c>
      <c r="V707" s="65">
        <f>IF('Final Building Profile'!P57&lt;&gt;"", U707, 0) * T707</f>
        <v>0</v>
      </c>
      <c r="W707" s="266">
        <f t="shared" si="93"/>
        <v>0</v>
      </c>
      <c r="X707" s="266">
        <f t="shared" si="81"/>
        <v>0</v>
      </c>
      <c r="Y707" s="266" t="e">
        <f t="shared" si="94"/>
        <v>#DIV/0!</v>
      </c>
      <c r="Z707" s="266" t="e">
        <f t="shared" si="95"/>
        <v>#DIV/0!</v>
      </c>
      <c r="AA707" s="266" t="e">
        <f t="shared" si="96"/>
        <v>#DIV/0!</v>
      </c>
      <c r="AB707" s="65" t="e">
        <f t="shared" si="97"/>
        <v>#N/A</v>
      </c>
      <c r="AC707" s="65" t="e">
        <f t="shared" si="98"/>
        <v>#N/A</v>
      </c>
      <c r="AD707" s="65" t="e">
        <f t="shared" si="99"/>
        <v>#N/A</v>
      </c>
      <c r="AE707" s="65" t="e">
        <f t="shared" si="100"/>
        <v>#N/A</v>
      </c>
    </row>
    <row r="708" spans="1:31" ht="15" customHeight="1">
      <c r="A708">
        <f>'Final Building Profile'!A58</f>
        <v>55</v>
      </c>
      <c r="B708">
        <f>'Final Building Profile'!D58</f>
        <v>0</v>
      </c>
      <c r="C708">
        <f>'Final Building Profile'!E58</f>
        <v>0</v>
      </c>
      <c r="D708">
        <f>'Final Building Profile'!F58</f>
        <v>0</v>
      </c>
      <c r="E708" s="265">
        <f>'Final Building Profile'!G58</f>
        <v>0</v>
      </c>
      <c r="F708" s="265">
        <f>'Final Building Profile'!H58</f>
        <v>0</v>
      </c>
      <c r="G708" s="265">
        <f>'Final Building Profile'!I58</f>
        <v>0</v>
      </c>
      <c r="H708" s="197">
        <f t="shared" si="86"/>
        <v>0</v>
      </c>
      <c r="I708" s="197">
        <f t="shared" si="87"/>
        <v>0</v>
      </c>
      <c r="J708" s="137">
        <f t="shared" si="88"/>
        <v>0</v>
      </c>
      <c r="K708" s="66">
        <f>'Final Building Profile'!L58</f>
        <v>0</v>
      </c>
      <c r="L708" s="66">
        <f t="shared" si="79"/>
        <v>0</v>
      </c>
      <c r="M708">
        <f>'Final Building Profile'!M58</f>
        <v>0</v>
      </c>
      <c r="N708" s="66">
        <f t="shared" si="89"/>
        <v>0</v>
      </c>
      <c r="O708" s="66">
        <f t="shared" si="90"/>
        <v>0</v>
      </c>
      <c r="P708" s="66">
        <f t="shared" si="91"/>
        <v>0</v>
      </c>
      <c r="Q708" s="204">
        <f>'Final Building Profile'!K58</f>
        <v>0</v>
      </c>
      <c r="R708" s="66">
        <f t="shared" si="80"/>
        <v>0</v>
      </c>
      <c r="S708" s="65">
        <f>'Final Building Profile'!N58-'Final Building Profile'!O58</f>
        <v>0</v>
      </c>
      <c r="T708" s="65">
        <f t="shared" si="92"/>
        <v>0</v>
      </c>
      <c r="U708" s="204">
        <f>'Final Building Profile'!Q58</f>
        <v>0</v>
      </c>
      <c r="V708" s="65">
        <f>IF('Final Building Profile'!P58&lt;&gt;"", U708, 0) * T708</f>
        <v>0</v>
      </c>
      <c r="W708" s="266">
        <f t="shared" si="93"/>
        <v>0</v>
      </c>
      <c r="X708" s="266">
        <f t="shared" si="81"/>
        <v>0</v>
      </c>
      <c r="Y708" s="266" t="e">
        <f t="shared" si="94"/>
        <v>#DIV/0!</v>
      </c>
      <c r="Z708" s="266" t="e">
        <f t="shared" si="95"/>
        <v>#DIV/0!</v>
      </c>
      <c r="AA708" s="266" t="e">
        <f t="shared" si="96"/>
        <v>#DIV/0!</v>
      </c>
      <c r="AB708" s="65" t="e">
        <f t="shared" si="97"/>
        <v>#N/A</v>
      </c>
      <c r="AC708" s="65" t="e">
        <f t="shared" si="98"/>
        <v>#N/A</v>
      </c>
      <c r="AD708" s="65" t="e">
        <f t="shared" si="99"/>
        <v>#N/A</v>
      </c>
      <c r="AE708" s="65" t="e">
        <f t="shared" si="100"/>
        <v>#N/A</v>
      </c>
    </row>
    <row r="709" spans="1:31" ht="15" customHeight="1">
      <c r="A709">
        <f>'Final Building Profile'!A59</f>
        <v>56</v>
      </c>
      <c r="B709">
        <f>'Final Building Profile'!D59</f>
        <v>0</v>
      </c>
      <c r="C709">
        <f>'Final Building Profile'!E59</f>
        <v>0</v>
      </c>
      <c r="D709">
        <f>'Final Building Profile'!F59</f>
        <v>0</v>
      </c>
      <c r="E709" s="265">
        <f>'Final Building Profile'!G59</f>
        <v>0</v>
      </c>
      <c r="F709" s="265">
        <f>'Final Building Profile'!H59</f>
        <v>0</v>
      </c>
      <c r="G709" s="265">
        <f>'Final Building Profile'!I59</f>
        <v>0</v>
      </c>
      <c r="H709" s="197">
        <f t="shared" si="86"/>
        <v>0</v>
      </c>
      <c r="I709" s="197">
        <f t="shared" si="87"/>
        <v>0</v>
      </c>
      <c r="J709" s="137">
        <f t="shared" si="88"/>
        <v>0</v>
      </c>
      <c r="K709" s="66">
        <f>'Final Building Profile'!L59</f>
        <v>0</v>
      </c>
      <c r="L709" s="66">
        <f t="shared" si="79"/>
        <v>0</v>
      </c>
      <c r="M709">
        <f>'Final Building Profile'!M59</f>
        <v>0</v>
      </c>
      <c r="N709" s="66">
        <f t="shared" si="89"/>
        <v>0</v>
      </c>
      <c r="O709" s="66">
        <f t="shared" si="90"/>
        <v>0</v>
      </c>
      <c r="P709" s="66">
        <f t="shared" si="91"/>
        <v>0</v>
      </c>
      <c r="Q709" s="204">
        <f>'Final Building Profile'!K59</f>
        <v>0</v>
      </c>
      <c r="R709" s="66">
        <f t="shared" si="80"/>
        <v>0</v>
      </c>
      <c r="S709" s="65">
        <f>'Final Building Profile'!N59-'Final Building Profile'!O59</f>
        <v>0</v>
      </c>
      <c r="T709" s="65">
        <f t="shared" si="92"/>
        <v>0</v>
      </c>
      <c r="U709" s="204">
        <f>'Final Building Profile'!Q59</f>
        <v>0</v>
      </c>
      <c r="V709" s="65">
        <f>IF('Final Building Profile'!P59&lt;&gt;"", U709, 0) * T709</f>
        <v>0</v>
      </c>
      <c r="W709" s="266">
        <f t="shared" si="93"/>
        <v>0</v>
      </c>
      <c r="X709" s="266">
        <f t="shared" si="81"/>
        <v>0</v>
      </c>
      <c r="Y709" s="266" t="e">
        <f t="shared" si="94"/>
        <v>#DIV/0!</v>
      </c>
      <c r="Z709" s="266" t="e">
        <f t="shared" si="95"/>
        <v>#DIV/0!</v>
      </c>
      <c r="AA709" s="266" t="e">
        <f t="shared" si="96"/>
        <v>#DIV/0!</v>
      </c>
      <c r="AB709" s="65" t="e">
        <f t="shared" si="97"/>
        <v>#N/A</v>
      </c>
      <c r="AC709" s="65" t="e">
        <f t="shared" si="98"/>
        <v>#N/A</v>
      </c>
      <c r="AD709" s="65" t="e">
        <f t="shared" si="99"/>
        <v>#N/A</v>
      </c>
      <c r="AE709" s="65" t="e">
        <f t="shared" si="100"/>
        <v>#N/A</v>
      </c>
    </row>
    <row r="710" spans="1:31" ht="15" customHeight="1">
      <c r="A710">
        <f>'Final Building Profile'!A60</f>
        <v>57</v>
      </c>
      <c r="B710">
        <f>'Final Building Profile'!D60</f>
        <v>0</v>
      </c>
      <c r="C710">
        <f>'Final Building Profile'!E60</f>
        <v>0</v>
      </c>
      <c r="D710">
        <f>'Final Building Profile'!F60</f>
        <v>0</v>
      </c>
      <c r="E710" s="265">
        <f>'Final Building Profile'!G60</f>
        <v>0</v>
      </c>
      <c r="F710" s="265">
        <f>'Final Building Profile'!H60</f>
        <v>0</v>
      </c>
      <c r="G710" s="265">
        <f>'Final Building Profile'!I60</f>
        <v>0</v>
      </c>
      <c r="H710" s="197">
        <f t="shared" si="86"/>
        <v>0</v>
      </c>
      <c r="I710" s="197">
        <f t="shared" si="87"/>
        <v>0</v>
      </c>
      <c r="J710" s="137">
        <f t="shared" si="88"/>
        <v>0</v>
      </c>
      <c r="K710" s="66">
        <f>'Final Building Profile'!L60</f>
        <v>0</v>
      </c>
      <c r="L710" s="66">
        <f t="shared" si="79"/>
        <v>0</v>
      </c>
      <c r="M710">
        <f>'Final Building Profile'!M60</f>
        <v>0</v>
      </c>
      <c r="N710" s="66">
        <f t="shared" si="89"/>
        <v>0</v>
      </c>
      <c r="O710" s="66">
        <f t="shared" si="90"/>
        <v>0</v>
      </c>
      <c r="P710" s="66">
        <f t="shared" si="91"/>
        <v>0</v>
      </c>
      <c r="Q710" s="204">
        <f>'Final Building Profile'!K60</f>
        <v>0</v>
      </c>
      <c r="R710" s="66">
        <f t="shared" si="80"/>
        <v>0</v>
      </c>
      <c r="S710" s="65">
        <f>'Final Building Profile'!N60-'Final Building Profile'!O60</f>
        <v>0</v>
      </c>
      <c r="T710" s="65">
        <f t="shared" si="92"/>
        <v>0</v>
      </c>
      <c r="U710" s="204">
        <f>'Final Building Profile'!Q60</f>
        <v>0</v>
      </c>
      <c r="V710" s="65">
        <f>IF('Final Building Profile'!P60&lt;&gt;"", U710, 0) * T710</f>
        <v>0</v>
      </c>
      <c r="W710" s="266">
        <f t="shared" si="93"/>
        <v>0</v>
      </c>
      <c r="X710" s="266">
        <f t="shared" si="81"/>
        <v>0</v>
      </c>
      <c r="Y710" s="266" t="e">
        <f t="shared" si="94"/>
        <v>#DIV/0!</v>
      </c>
      <c r="Z710" s="266" t="e">
        <f t="shared" si="95"/>
        <v>#DIV/0!</v>
      </c>
      <c r="AA710" s="266" t="e">
        <f t="shared" si="96"/>
        <v>#DIV/0!</v>
      </c>
      <c r="AB710" s="65" t="e">
        <f t="shared" si="97"/>
        <v>#N/A</v>
      </c>
      <c r="AC710" s="65" t="e">
        <f t="shared" si="98"/>
        <v>#N/A</v>
      </c>
      <c r="AD710" s="65" t="e">
        <f t="shared" si="99"/>
        <v>#N/A</v>
      </c>
      <c r="AE710" s="65" t="e">
        <f t="shared" si="100"/>
        <v>#N/A</v>
      </c>
    </row>
    <row r="711" spans="1:31" ht="15" customHeight="1">
      <c r="A711">
        <f>'Final Building Profile'!A61</f>
        <v>58</v>
      </c>
      <c r="B711">
        <f>'Final Building Profile'!D61</f>
        <v>0</v>
      </c>
      <c r="C711">
        <f>'Final Building Profile'!E61</f>
        <v>0</v>
      </c>
      <c r="D711">
        <f>'Final Building Profile'!F61</f>
        <v>0</v>
      </c>
      <c r="E711" s="265">
        <f>'Final Building Profile'!G61</f>
        <v>0</v>
      </c>
      <c r="F711" s="265">
        <f>'Final Building Profile'!H61</f>
        <v>0</v>
      </c>
      <c r="G711" s="265">
        <f>'Final Building Profile'!I61</f>
        <v>0</v>
      </c>
      <c r="H711" s="197">
        <f t="shared" si="86"/>
        <v>0</v>
      </c>
      <c r="I711" s="197">
        <f t="shared" si="87"/>
        <v>0</v>
      </c>
      <c r="J711" s="137">
        <f t="shared" si="88"/>
        <v>0</v>
      </c>
      <c r="K711" s="66">
        <f>'Final Building Profile'!L61</f>
        <v>0</v>
      </c>
      <c r="L711" s="66">
        <f t="shared" si="79"/>
        <v>0</v>
      </c>
      <c r="M711">
        <f>'Final Building Profile'!M61</f>
        <v>0</v>
      </c>
      <c r="N711" s="66">
        <f t="shared" si="89"/>
        <v>0</v>
      </c>
      <c r="O711" s="66">
        <f t="shared" si="90"/>
        <v>0</v>
      </c>
      <c r="P711" s="66">
        <f t="shared" si="91"/>
        <v>0</v>
      </c>
      <c r="Q711" s="204">
        <f>'Final Building Profile'!K61</f>
        <v>0</v>
      </c>
      <c r="R711" s="66">
        <f t="shared" si="80"/>
        <v>0</v>
      </c>
      <c r="S711" s="65">
        <f>'Final Building Profile'!N61-'Final Building Profile'!O61</f>
        <v>0</v>
      </c>
      <c r="T711" s="65">
        <f t="shared" si="92"/>
        <v>0</v>
      </c>
      <c r="U711" s="204">
        <f>'Final Building Profile'!Q61</f>
        <v>0</v>
      </c>
      <c r="V711" s="65">
        <f>IF('Final Building Profile'!P61&lt;&gt;"", U711, 0) * T711</f>
        <v>0</v>
      </c>
      <c r="W711" s="266">
        <f t="shared" si="93"/>
        <v>0</v>
      </c>
      <c r="X711" s="266">
        <f t="shared" si="81"/>
        <v>0</v>
      </c>
      <c r="Y711" s="266" t="e">
        <f t="shared" si="94"/>
        <v>#DIV/0!</v>
      </c>
      <c r="Z711" s="266" t="e">
        <f t="shared" si="95"/>
        <v>#DIV/0!</v>
      </c>
      <c r="AA711" s="266" t="e">
        <f t="shared" si="96"/>
        <v>#DIV/0!</v>
      </c>
      <c r="AB711" s="65" t="e">
        <f t="shared" si="97"/>
        <v>#N/A</v>
      </c>
      <c r="AC711" s="65" t="e">
        <f t="shared" si="98"/>
        <v>#N/A</v>
      </c>
      <c r="AD711" s="65" t="e">
        <f t="shared" si="99"/>
        <v>#N/A</v>
      </c>
      <c r="AE711" s="65" t="e">
        <f t="shared" si="100"/>
        <v>#N/A</v>
      </c>
    </row>
    <row r="712" spans="1:31" ht="15" customHeight="1">
      <c r="A712">
        <f>'Final Building Profile'!A62</f>
        <v>59</v>
      </c>
      <c r="B712">
        <f>'Final Building Profile'!D62</f>
        <v>0</v>
      </c>
      <c r="C712">
        <f>'Final Building Profile'!E62</f>
        <v>0</v>
      </c>
      <c r="D712">
        <f>'Final Building Profile'!F62</f>
        <v>0</v>
      </c>
      <c r="E712" s="265">
        <f>'Final Building Profile'!G62</f>
        <v>0</v>
      </c>
      <c r="F712" s="265">
        <f>'Final Building Profile'!H62</f>
        <v>0</v>
      </c>
      <c r="G712" s="265">
        <f>'Final Building Profile'!I62</f>
        <v>0</v>
      </c>
      <c r="H712" s="197">
        <f t="shared" si="86"/>
        <v>0</v>
      </c>
      <c r="I712" s="197">
        <f t="shared" si="87"/>
        <v>0</v>
      </c>
      <c r="J712" s="137">
        <f t="shared" si="88"/>
        <v>0</v>
      </c>
      <c r="K712" s="66">
        <f>'Final Building Profile'!L62</f>
        <v>0</v>
      </c>
      <c r="L712" s="66">
        <f t="shared" si="79"/>
        <v>0</v>
      </c>
      <c r="M712">
        <f>'Final Building Profile'!M62</f>
        <v>0</v>
      </c>
      <c r="N712" s="66">
        <f t="shared" si="89"/>
        <v>0</v>
      </c>
      <c r="O712" s="66">
        <f t="shared" si="90"/>
        <v>0</v>
      </c>
      <c r="P712" s="66">
        <f t="shared" si="91"/>
        <v>0</v>
      </c>
      <c r="Q712" s="204">
        <f>'Final Building Profile'!K62</f>
        <v>0</v>
      </c>
      <c r="R712" s="66">
        <f t="shared" si="80"/>
        <v>0</v>
      </c>
      <c r="S712" s="65">
        <f>'Final Building Profile'!N62-'Final Building Profile'!O62</f>
        <v>0</v>
      </c>
      <c r="T712" s="65">
        <f t="shared" si="92"/>
        <v>0</v>
      </c>
      <c r="U712" s="204">
        <f>'Final Building Profile'!Q62</f>
        <v>0</v>
      </c>
      <c r="V712" s="65">
        <f>IF('Final Building Profile'!P62&lt;&gt;"", U712, 0) * T712</f>
        <v>0</v>
      </c>
      <c r="W712" s="266">
        <f t="shared" si="93"/>
        <v>0</v>
      </c>
      <c r="X712" s="266">
        <f t="shared" si="81"/>
        <v>0</v>
      </c>
      <c r="Y712" s="266" t="e">
        <f t="shared" si="94"/>
        <v>#DIV/0!</v>
      </c>
      <c r="Z712" s="266" t="e">
        <f t="shared" si="95"/>
        <v>#DIV/0!</v>
      </c>
      <c r="AA712" s="266" t="e">
        <f t="shared" si="96"/>
        <v>#DIV/0!</v>
      </c>
      <c r="AB712" s="65" t="e">
        <f t="shared" si="97"/>
        <v>#N/A</v>
      </c>
      <c r="AC712" s="65" t="e">
        <f t="shared" si="98"/>
        <v>#N/A</v>
      </c>
      <c r="AD712" s="65" t="e">
        <f t="shared" si="99"/>
        <v>#N/A</v>
      </c>
      <c r="AE712" s="65" t="e">
        <f t="shared" si="100"/>
        <v>#N/A</v>
      </c>
    </row>
    <row r="713" spans="1:31" ht="15" customHeight="1">
      <c r="A713">
        <f>'Final Building Profile'!A63</f>
        <v>60</v>
      </c>
      <c r="B713">
        <f>'Final Building Profile'!D63</f>
        <v>0</v>
      </c>
      <c r="C713">
        <f>'Final Building Profile'!E63</f>
        <v>0</v>
      </c>
      <c r="D713">
        <f>'Final Building Profile'!F63</f>
        <v>0</v>
      </c>
      <c r="E713" s="265">
        <f>'Final Building Profile'!G63</f>
        <v>0</v>
      </c>
      <c r="F713" s="265">
        <f>'Final Building Profile'!H63</f>
        <v>0</v>
      </c>
      <c r="G713" s="265">
        <f>'Final Building Profile'!I63</f>
        <v>0</v>
      </c>
      <c r="H713" s="197">
        <f t="shared" si="86"/>
        <v>0</v>
      </c>
      <c r="I713" s="197">
        <f t="shared" si="87"/>
        <v>0</v>
      </c>
      <c r="J713" s="137">
        <f t="shared" si="88"/>
        <v>0</v>
      </c>
      <c r="K713" s="66">
        <f>'Final Building Profile'!L63</f>
        <v>0</v>
      </c>
      <c r="L713" s="66">
        <f t="shared" si="79"/>
        <v>0</v>
      </c>
      <c r="M713">
        <f>'Final Building Profile'!M63</f>
        <v>0</v>
      </c>
      <c r="N713" s="66">
        <f t="shared" si="89"/>
        <v>0</v>
      </c>
      <c r="O713" s="66">
        <f t="shared" si="90"/>
        <v>0</v>
      </c>
      <c r="P713" s="66">
        <f t="shared" si="91"/>
        <v>0</v>
      </c>
      <c r="Q713" s="204">
        <f>'Final Building Profile'!K63</f>
        <v>0</v>
      </c>
      <c r="R713" s="66">
        <f t="shared" si="80"/>
        <v>0</v>
      </c>
      <c r="S713" s="65">
        <f>'Final Building Profile'!N63-'Final Building Profile'!O63</f>
        <v>0</v>
      </c>
      <c r="T713" s="65">
        <f t="shared" si="92"/>
        <v>0</v>
      </c>
      <c r="U713" s="204">
        <f>'Final Building Profile'!Q63</f>
        <v>0</v>
      </c>
      <c r="V713" s="65">
        <f>IF('Final Building Profile'!P63&lt;&gt;"", U713, 0) * T713</f>
        <v>0</v>
      </c>
      <c r="W713" s="266">
        <f t="shared" si="93"/>
        <v>0</v>
      </c>
      <c r="X713" s="266">
        <f t="shared" si="81"/>
        <v>0</v>
      </c>
      <c r="Y713" s="266" t="e">
        <f t="shared" si="94"/>
        <v>#DIV/0!</v>
      </c>
      <c r="Z713" s="266" t="e">
        <f t="shared" si="95"/>
        <v>#DIV/0!</v>
      </c>
      <c r="AA713" s="266" t="e">
        <f t="shared" si="96"/>
        <v>#DIV/0!</v>
      </c>
      <c r="AB713" s="65" t="e">
        <f t="shared" si="97"/>
        <v>#N/A</v>
      </c>
      <c r="AC713" s="65" t="e">
        <f t="shared" si="98"/>
        <v>#N/A</v>
      </c>
      <c r="AD713" s="65" t="e">
        <f t="shared" si="99"/>
        <v>#N/A</v>
      </c>
      <c r="AE713" s="65" t="e">
        <f t="shared" si="100"/>
        <v>#N/A</v>
      </c>
    </row>
    <row r="714" spans="1:31" ht="15" customHeight="1">
      <c r="A714">
        <f>'Final Building Profile'!A64</f>
        <v>61</v>
      </c>
      <c r="B714">
        <f>'Final Building Profile'!D64</f>
        <v>0</v>
      </c>
      <c r="C714">
        <f>'Final Building Profile'!E64</f>
        <v>0</v>
      </c>
      <c r="D714">
        <f>'Final Building Profile'!F64</f>
        <v>0</v>
      </c>
      <c r="E714" s="265">
        <f>'Final Building Profile'!G64</f>
        <v>0</v>
      </c>
      <c r="F714" s="265">
        <f>'Final Building Profile'!H64</f>
        <v>0</v>
      </c>
      <c r="G714" s="265">
        <f>'Final Building Profile'!I64</f>
        <v>0</v>
      </c>
      <c r="H714" s="197">
        <f t="shared" si="86"/>
        <v>0</v>
      </c>
      <c r="I714" s="197">
        <f t="shared" si="87"/>
        <v>0</v>
      </c>
      <c r="J714" s="137">
        <f t="shared" si="88"/>
        <v>0</v>
      </c>
      <c r="K714" s="66">
        <f>'Final Building Profile'!L64</f>
        <v>0</v>
      </c>
      <c r="L714" s="66">
        <f t="shared" si="79"/>
        <v>0</v>
      </c>
      <c r="M714">
        <f>'Final Building Profile'!M64</f>
        <v>0</v>
      </c>
      <c r="N714" s="66">
        <f t="shared" si="89"/>
        <v>0</v>
      </c>
      <c r="O714" s="66">
        <f t="shared" si="90"/>
        <v>0</v>
      </c>
      <c r="P714" s="66">
        <f t="shared" si="91"/>
        <v>0</v>
      </c>
      <c r="Q714" s="204">
        <f>'Final Building Profile'!K64</f>
        <v>0</v>
      </c>
      <c r="R714" s="66">
        <f t="shared" si="80"/>
        <v>0</v>
      </c>
      <c r="S714" s="65">
        <f>'Final Building Profile'!N64-'Final Building Profile'!O64</f>
        <v>0</v>
      </c>
      <c r="T714" s="65">
        <f t="shared" si="92"/>
        <v>0</v>
      </c>
      <c r="U714" s="204">
        <f>'Final Building Profile'!Q64</f>
        <v>0</v>
      </c>
      <c r="V714" s="65">
        <f>IF('Final Building Profile'!P64&lt;&gt;"", U714, 0) * T714</f>
        <v>0</v>
      </c>
      <c r="W714" s="266">
        <f t="shared" si="93"/>
        <v>0</v>
      </c>
      <c r="X714" s="266">
        <f t="shared" si="81"/>
        <v>0</v>
      </c>
      <c r="Y714" s="266" t="e">
        <f t="shared" si="94"/>
        <v>#DIV/0!</v>
      </c>
      <c r="Z714" s="266" t="e">
        <f t="shared" si="95"/>
        <v>#DIV/0!</v>
      </c>
      <c r="AA714" s="266" t="e">
        <f t="shared" si="96"/>
        <v>#DIV/0!</v>
      </c>
      <c r="AB714" s="65" t="e">
        <f t="shared" si="97"/>
        <v>#N/A</v>
      </c>
      <c r="AC714" s="65" t="e">
        <f t="shared" si="98"/>
        <v>#N/A</v>
      </c>
      <c r="AD714" s="65" t="e">
        <f t="shared" si="99"/>
        <v>#N/A</v>
      </c>
      <c r="AE714" s="65" t="e">
        <f t="shared" si="100"/>
        <v>#N/A</v>
      </c>
    </row>
    <row r="715" spans="1:31" ht="15" customHeight="1">
      <c r="A715">
        <f>'Final Building Profile'!A65</f>
        <v>62</v>
      </c>
      <c r="B715">
        <f>'Final Building Profile'!D65</f>
        <v>0</v>
      </c>
      <c r="C715">
        <f>'Final Building Profile'!E65</f>
        <v>0</v>
      </c>
      <c r="D715">
        <f>'Final Building Profile'!F65</f>
        <v>0</v>
      </c>
      <c r="E715" s="265">
        <f>'Final Building Profile'!G65</f>
        <v>0</v>
      </c>
      <c r="F715" s="265">
        <f>'Final Building Profile'!H65</f>
        <v>0</v>
      </c>
      <c r="G715" s="265">
        <f>'Final Building Profile'!I65</f>
        <v>0</v>
      </c>
      <c r="H715" s="197">
        <f t="shared" si="86"/>
        <v>0</v>
      </c>
      <c r="I715" s="197">
        <f t="shared" si="87"/>
        <v>0</v>
      </c>
      <c r="J715" s="137">
        <f t="shared" si="88"/>
        <v>0</v>
      </c>
      <c r="K715" s="66">
        <f>'Final Building Profile'!L65</f>
        <v>0</v>
      </c>
      <c r="L715" s="66">
        <f t="shared" si="79"/>
        <v>0</v>
      </c>
      <c r="M715">
        <f>'Final Building Profile'!M65</f>
        <v>0</v>
      </c>
      <c r="N715" s="66">
        <f t="shared" si="89"/>
        <v>0</v>
      </c>
      <c r="O715" s="66">
        <f t="shared" si="90"/>
        <v>0</v>
      </c>
      <c r="P715" s="66">
        <f t="shared" si="91"/>
        <v>0</v>
      </c>
      <c r="Q715" s="204">
        <f>'Final Building Profile'!K65</f>
        <v>0</v>
      </c>
      <c r="R715" s="66">
        <f t="shared" si="80"/>
        <v>0</v>
      </c>
      <c r="S715" s="65">
        <f>'Final Building Profile'!N65-'Final Building Profile'!O65</f>
        <v>0</v>
      </c>
      <c r="T715" s="65">
        <f t="shared" si="92"/>
        <v>0</v>
      </c>
      <c r="U715" s="204">
        <f>'Final Building Profile'!Q65</f>
        <v>0</v>
      </c>
      <c r="V715" s="65">
        <f>IF('Final Building Profile'!P65&lt;&gt;"", U715, 0) * T715</f>
        <v>0</v>
      </c>
      <c r="W715" s="266">
        <f t="shared" si="93"/>
        <v>0</v>
      </c>
      <c r="X715" s="266">
        <f t="shared" si="81"/>
        <v>0</v>
      </c>
      <c r="Y715" s="266" t="e">
        <f t="shared" si="94"/>
        <v>#DIV/0!</v>
      </c>
      <c r="Z715" s="266" t="e">
        <f t="shared" si="95"/>
        <v>#DIV/0!</v>
      </c>
      <c r="AA715" s="266" t="e">
        <f t="shared" si="96"/>
        <v>#DIV/0!</v>
      </c>
      <c r="AB715" s="65" t="e">
        <f t="shared" si="97"/>
        <v>#N/A</v>
      </c>
      <c r="AC715" s="65" t="e">
        <f t="shared" si="98"/>
        <v>#N/A</v>
      </c>
      <c r="AD715" s="65" t="e">
        <f t="shared" si="99"/>
        <v>#N/A</v>
      </c>
      <c r="AE715" s="65" t="e">
        <f t="shared" si="100"/>
        <v>#N/A</v>
      </c>
    </row>
    <row r="716" spans="1:31" ht="15" customHeight="1">
      <c r="A716">
        <f>'Final Building Profile'!A66</f>
        <v>63</v>
      </c>
      <c r="B716">
        <f>'Final Building Profile'!D66</f>
        <v>0</v>
      </c>
      <c r="C716">
        <f>'Final Building Profile'!E66</f>
        <v>0</v>
      </c>
      <c r="D716">
        <f>'Final Building Profile'!F66</f>
        <v>0</v>
      </c>
      <c r="E716" s="265">
        <f>'Final Building Profile'!G66</f>
        <v>0</v>
      </c>
      <c r="F716" s="265">
        <f>'Final Building Profile'!H66</f>
        <v>0</v>
      </c>
      <c r="G716" s="265">
        <f>'Final Building Profile'!I66</f>
        <v>0</v>
      </c>
      <c r="H716" s="197">
        <f t="shared" si="86"/>
        <v>0</v>
      </c>
      <c r="I716" s="197">
        <f t="shared" si="87"/>
        <v>0</v>
      </c>
      <c r="J716" s="137">
        <f t="shared" si="88"/>
        <v>0</v>
      </c>
      <c r="K716" s="66">
        <f>'Final Building Profile'!L66</f>
        <v>0</v>
      </c>
      <c r="L716" s="66">
        <f t="shared" si="79"/>
        <v>0</v>
      </c>
      <c r="M716">
        <f>'Final Building Profile'!M66</f>
        <v>0</v>
      </c>
      <c r="N716" s="66">
        <f t="shared" si="89"/>
        <v>0</v>
      </c>
      <c r="O716" s="66">
        <f t="shared" si="90"/>
        <v>0</v>
      </c>
      <c r="P716" s="66">
        <f t="shared" si="91"/>
        <v>0</v>
      </c>
      <c r="Q716" s="204">
        <f>'Final Building Profile'!K66</f>
        <v>0</v>
      </c>
      <c r="R716" s="66">
        <f t="shared" si="80"/>
        <v>0</v>
      </c>
      <c r="S716" s="65">
        <f>'Final Building Profile'!N66-'Final Building Profile'!O66</f>
        <v>0</v>
      </c>
      <c r="T716" s="65">
        <f t="shared" si="92"/>
        <v>0</v>
      </c>
      <c r="U716" s="204">
        <f>'Final Building Profile'!Q66</f>
        <v>0</v>
      </c>
      <c r="V716" s="65">
        <f>IF('Final Building Profile'!P66&lt;&gt;"", U716, 0) * T716</f>
        <v>0</v>
      </c>
      <c r="W716" s="266">
        <f t="shared" si="93"/>
        <v>0</v>
      </c>
      <c r="X716" s="266">
        <f t="shared" si="81"/>
        <v>0</v>
      </c>
      <c r="Y716" s="266" t="e">
        <f t="shared" si="94"/>
        <v>#DIV/0!</v>
      </c>
      <c r="Z716" s="266" t="e">
        <f t="shared" si="95"/>
        <v>#DIV/0!</v>
      </c>
      <c r="AA716" s="266" t="e">
        <f t="shared" si="96"/>
        <v>#DIV/0!</v>
      </c>
      <c r="AB716" s="65" t="e">
        <f t="shared" si="97"/>
        <v>#N/A</v>
      </c>
      <c r="AC716" s="65" t="e">
        <f t="shared" si="98"/>
        <v>#N/A</v>
      </c>
      <c r="AD716" s="65" t="e">
        <f t="shared" si="99"/>
        <v>#N/A</v>
      </c>
      <c r="AE716" s="65" t="e">
        <f t="shared" si="100"/>
        <v>#N/A</v>
      </c>
    </row>
    <row r="717" spans="1:31" ht="15" customHeight="1">
      <c r="A717">
        <f>'Final Building Profile'!A67</f>
        <v>64</v>
      </c>
      <c r="B717">
        <f>'Final Building Profile'!D67</f>
        <v>0</v>
      </c>
      <c r="C717">
        <f>'Final Building Profile'!E67</f>
        <v>0</v>
      </c>
      <c r="D717">
        <f>'Final Building Profile'!F67</f>
        <v>0</v>
      </c>
      <c r="E717" s="265">
        <f>'Final Building Profile'!G67</f>
        <v>0</v>
      </c>
      <c r="F717" s="265">
        <f>'Final Building Profile'!H67</f>
        <v>0</v>
      </c>
      <c r="G717" s="265">
        <f>'Final Building Profile'!I67</f>
        <v>0</v>
      </c>
      <c r="H717" s="197">
        <f t="shared" si="86"/>
        <v>0</v>
      </c>
      <c r="I717" s="197">
        <f t="shared" si="87"/>
        <v>0</v>
      </c>
      <c r="J717" s="137">
        <f t="shared" si="88"/>
        <v>0</v>
      </c>
      <c r="K717" s="66">
        <f>'Final Building Profile'!L67</f>
        <v>0</v>
      </c>
      <c r="L717" s="66">
        <f t="shared" si="79"/>
        <v>0</v>
      </c>
      <c r="M717">
        <f>'Final Building Profile'!M67</f>
        <v>0</v>
      </c>
      <c r="N717" s="66">
        <f t="shared" si="89"/>
        <v>0</v>
      </c>
      <c r="O717" s="66">
        <f t="shared" si="90"/>
        <v>0</v>
      </c>
      <c r="P717" s="66">
        <f t="shared" si="91"/>
        <v>0</v>
      </c>
      <c r="Q717" s="204">
        <f>'Final Building Profile'!K67</f>
        <v>0</v>
      </c>
      <c r="R717" s="66">
        <f t="shared" si="80"/>
        <v>0</v>
      </c>
      <c r="S717" s="65">
        <f>'Final Building Profile'!N67-'Final Building Profile'!O67</f>
        <v>0</v>
      </c>
      <c r="T717" s="65">
        <f t="shared" si="92"/>
        <v>0</v>
      </c>
      <c r="U717" s="204">
        <f>'Final Building Profile'!Q67</f>
        <v>0</v>
      </c>
      <c r="V717" s="65">
        <f>IF('Final Building Profile'!P67&lt;&gt;"", U717, 0) * T717</f>
        <v>0</v>
      </c>
      <c r="W717" s="266">
        <f t="shared" si="93"/>
        <v>0</v>
      </c>
      <c r="X717" s="266">
        <f t="shared" si="81"/>
        <v>0</v>
      </c>
      <c r="Y717" s="266" t="e">
        <f t="shared" si="94"/>
        <v>#DIV/0!</v>
      </c>
      <c r="Z717" s="266" t="e">
        <f t="shared" si="95"/>
        <v>#DIV/0!</v>
      </c>
      <c r="AA717" s="266" t="e">
        <f t="shared" si="96"/>
        <v>#DIV/0!</v>
      </c>
      <c r="AB717" s="65" t="e">
        <f t="shared" si="97"/>
        <v>#N/A</v>
      </c>
      <c r="AC717" s="65" t="e">
        <f t="shared" si="98"/>
        <v>#N/A</v>
      </c>
      <c r="AD717" s="65" t="e">
        <f t="shared" si="99"/>
        <v>#N/A</v>
      </c>
      <c r="AE717" s="65" t="e">
        <f t="shared" si="100"/>
        <v>#N/A</v>
      </c>
    </row>
    <row r="718" spans="1:31" ht="15" customHeight="1">
      <c r="A718">
        <f>'Final Building Profile'!A68</f>
        <v>65</v>
      </c>
      <c r="B718">
        <f>'Final Building Profile'!D68</f>
        <v>0</v>
      </c>
      <c r="C718">
        <f>'Final Building Profile'!E68</f>
        <v>0</v>
      </c>
      <c r="D718">
        <f>'Final Building Profile'!F68</f>
        <v>0</v>
      </c>
      <c r="E718" s="265">
        <f>'Final Building Profile'!G68</f>
        <v>0</v>
      </c>
      <c r="F718" s="265">
        <f>'Final Building Profile'!H68</f>
        <v>0</v>
      </c>
      <c r="G718" s="265">
        <f>'Final Building Profile'!I68</f>
        <v>0</v>
      </c>
      <c r="H718" s="197">
        <f t="shared" ref="H718:H752" si="101">IF((B718-C718) &lt;&gt; 0, ROUND(D718/(B718-C718), 4), 0)</f>
        <v>0</v>
      </c>
      <c r="I718" s="197">
        <f t="shared" ref="I718:I752" si="102">IF((E718-F718) = 0, 0, ROUND(G718/(E718-F718), 4))</f>
        <v>0</v>
      </c>
      <c r="J718" s="137">
        <f t="shared" ref="J718:J749" si="103">MIN(H718, I718)</f>
        <v>0</v>
      </c>
      <c r="K718" s="66">
        <f>'Final Building Profile'!L68</f>
        <v>0</v>
      </c>
      <c r="L718" s="66">
        <f t="shared" si="79"/>
        <v>0</v>
      </c>
      <c r="M718">
        <f>'Final Building Profile'!M68</f>
        <v>0</v>
      </c>
      <c r="N718" s="66">
        <f t="shared" ref="N718:N749" si="104">M718*$B$645</f>
        <v>0</v>
      </c>
      <c r="O718" s="66">
        <f t="shared" ref="O718:O749" si="105">L718+N718</f>
        <v>0</v>
      </c>
      <c r="P718" s="66">
        <f t="shared" ref="P718:P749" si="106">O718*J718</f>
        <v>0</v>
      </c>
      <c r="Q718" s="204">
        <f>'Final Building Profile'!K68</f>
        <v>0</v>
      </c>
      <c r="R718" s="66">
        <f t="shared" si="80"/>
        <v>0</v>
      </c>
      <c r="S718" s="65">
        <f>'Final Building Profile'!N68-'Final Building Profile'!O68</f>
        <v>0</v>
      </c>
      <c r="T718" s="65">
        <f t="shared" ref="T718:T749" si="107">S718*J718</f>
        <v>0</v>
      </c>
      <c r="U718" s="204">
        <f>'Final Building Profile'!Q68</f>
        <v>0</v>
      </c>
      <c r="V718" s="65">
        <f>IF('Final Building Profile'!P68&lt;&gt;"", U718, 0) * T718</f>
        <v>0</v>
      </c>
      <c r="W718" s="266">
        <f t="shared" ref="W718:W752" si="108">IF($P$753 = 0, 0, (P718/$P$753) * Q718)</f>
        <v>0</v>
      </c>
      <c r="X718" s="266">
        <f t="shared" si="81"/>
        <v>0</v>
      </c>
      <c r="Y718" s="266" t="e">
        <f t="shared" ref="Y718:Y752" si="109">J718*(G718/$B$646)</f>
        <v>#DIV/0!</v>
      </c>
      <c r="Z718" s="266" t="e">
        <f t="shared" ref="Z718:Z752" si="110">J718*(D718/$B$647)</f>
        <v>#DIV/0!</v>
      </c>
      <c r="AA718" s="266" t="e">
        <f t="shared" ref="AA718:AA749" si="111">IF(I718=J718, Y718, Z718)</f>
        <v>#DIV/0!</v>
      </c>
      <c r="AB718" s="65" t="e">
        <f t="shared" ref="AB718:AB752" si="112">IF($B$648&lt;$V$755, ROUND($B$648/$V$755*P718, 0), P718)</f>
        <v>#N/A</v>
      </c>
      <c r="AC718" s="65" t="e">
        <f t="shared" ref="AC718:AC752" si="113">IF($B$648&lt;$V$755, ROUNDDOWN($B$648/$V$755*R718, 0), R718)</f>
        <v>#N/A</v>
      </c>
      <c r="AD718" s="65" t="e">
        <f t="shared" ref="AD718:AD752" si="114">IF($B$648&lt;$V$755, ROUND($B$648/$V$755*T718, 0), T718)</f>
        <v>#N/A</v>
      </c>
      <c r="AE718" s="65" t="e">
        <f t="shared" ref="AE718:AE752" si="115">IF($B$648&lt;$V$755, ROUND($B$648/$V$755*V718, 0), V718)</f>
        <v>#N/A</v>
      </c>
    </row>
    <row r="719" spans="1:31" ht="15" customHeight="1">
      <c r="A719">
        <f>'Final Building Profile'!A69</f>
        <v>66</v>
      </c>
      <c r="B719">
        <f>'Final Building Profile'!D69</f>
        <v>0</v>
      </c>
      <c r="C719">
        <f>'Final Building Profile'!E69</f>
        <v>0</v>
      </c>
      <c r="D719">
        <f>'Final Building Profile'!F69</f>
        <v>0</v>
      </c>
      <c r="E719" s="265">
        <f>'Final Building Profile'!G69</f>
        <v>0</v>
      </c>
      <c r="F719" s="265">
        <f>'Final Building Profile'!H69</f>
        <v>0</v>
      </c>
      <c r="G719" s="265">
        <f>'Final Building Profile'!I69</f>
        <v>0</v>
      </c>
      <c r="H719" s="197">
        <f t="shared" si="101"/>
        <v>0</v>
      </c>
      <c r="I719" s="197">
        <f t="shared" si="102"/>
        <v>0</v>
      </c>
      <c r="J719" s="137">
        <f t="shared" si="103"/>
        <v>0</v>
      </c>
      <c r="K719" s="66">
        <f>'Final Building Profile'!L69</f>
        <v>0</v>
      </c>
      <c r="L719" s="66">
        <f t="shared" ref="L719:L752" si="116">K719*$B$645</f>
        <v>0</v>
      </c>
      <c r="M719">
        <f>'Final Building Profile'!M69</f>
        <v>0</v>
      </c>
      <c r="N719" s="66">
        <f t="shared" si="104"/>
        <v>0</v>
      </c>
      <c r="O719" s="66">
        <f t="shared" si="105"/>
        <v>0</v>
      </c>
      <c r="P719" s="66">
        <f t="shared" si="106"/>
        <v>0</v>
      </c>
      <c r="Q719" s="204">
        <f>'Final Building Profile'!K69</f>
        <v>0</v>
      </c>
      <c r="R719" s="66">
        <f t="shared" ref="R719:R752" si="117">P719*Q719</f>
        <v>0</v>
      </c>
      <c r="S719" s="65">
        <f>'Final Building Profile'!N69-'Final Building Profile'!O69</f>
        <v>0</v>
      </c>
      <c r="T719" s="65">
        <f t="shared" si="107"/>
        <v>0</v>
      </c>
      <c r="U719" s="204">
        <f>'Final Building Profile'!Q69</f>
        <v>0</v>
      </c>
      <c r="V719" s="65">
        <f>IF('Final Building Profile'!P69&lt;&gt;"", U719, 0) * T719</f>
        <v>0</v>
      </c>
      <c r="W719" s="266">
        <f t="shared" si="108"/>
        <v>0</v>
      </c>
      <c r="X719" s="266">
        <f t="shared" ref="X719:X752" si="118">IF($T$753 = 0, 0, (T719/$T$753) * U719)</f>
        <v>0</v>
      </c>
      <c r="Y719" s="266" t="e">
        <f t="shared" si="109"/>
        <v>#DIV/0!</v>
      </c>
      <c r="Z719" s="266" t="e">
        <f t="shared" si="110"/>
        <v>#DIV/0!</v>
      </c>
      <c r="AA719" s="266" t="e">
        <f t="shared" si="111"/>
        <v>#DIV/0!</v>
      </c>
      <c r="AB719" s="65" t="e">
        <f t="shared" si="112"/>
        <v>#N/A</v>
      </c>
      <c r="AC719" s="65" t="e">
        <f t="shared" si="113"/>
        <v>#N/A</v>
      </c>
      <c r="AD719" s="65" t="e">
        <f t="shared" si="114"/>
        <v>#N/A</v>
      </c>
      <c r="AE719" s="65" t="e">
        <f t="shared" si="115"/>
        <v>#N/A</v>
      </c>
    </row>
    <row r="720" spans="1:31" ht="15" customHeight="1">
      <c r="A720">
        <f>'Final Building Profile'!A70</f>
        <v>67</v>
      </c>
      <c r="B720">
        <f>'Final Building Profile'!D70</f>
        <v>0</v>
      </c>
      <c r="C720">
        <f>'Final Building Profile'!E70</f>
        <v>0</v>
      </c>
      <c r="D720">
        <f>'Final Building Profile'!F70</f>
        <v>0</v>
      </c>
      <c r="E720" s="265">
        <f>'Final Building Profile'!G70</f>
        <v>0</v>
      </c>
      <c r="F720" s="265">
        <f>'Final Building Profile'!H70</f>
        <v>0</v>
      </c>
      <c r="G720" s="265">
        <f>'Final Building Profile'!I70</f>
        <v>0</v>
      </c>
      <c r="H720" s="197">
        <f t="shared" si="101"/>
        <v>0</v>
      </c>
      <c r="I720" s="197">
        <f t="shared" si="102"/>
        <v>0</v>
      </c>
      <c r="J720" s="137">
        <f t="shared" si="103"/>
        <v>0</v>
      </c>
      <c r="K720" s="66">
        <f>'Final Building Profile'!L70</f>
        <v>0</v>
      </c>
      <c r="L720" s="66">
        <f t="shared" si="116"/>
        <v>0</v>
      </c>
      <c r="M720">
        <f>'Final Building Profile'!M70</f>
        <v>0</v>
      </c>
      <c r="N720" s="66">
        <f t="shared" si="104"/>
        <v>0</v>
      </c>
      <c r="O720" s="66">
        <f t="shared" si="105"/>
        <v>0</v>
      </c>
      <c r="P720" s="66">
        <f t="shared" si="106"/>
        <v>0</v>
      </c>
      <c r="Q720" s="204">
        <f>'Final Building Profile'!K70</f>
        <v>0</v>
      </c>
      <c r="R720" s="66">
        <f t="shared" si="117"/>
        <v>0</v>
      </c>
      <c r="S720" s="65">
        <f>'Final Building Profile'!N70-'Final Building Profile'!O70</f>
        <v>0</v>
      </c>
      <c r="T720" s="65">
        <f t="shared" si="107"/>
        <v>0</v>
      </c>
      <c r="U720" s="204">
        <f>'Final Building Profile'!Q70</f>
        <v>0</v>
      </c>
      <c r="V720" s="65">
        <f>IF('Final Building Profile'!P70&lt;&gt;"", U720, 0) * T720</f>
        <v>0</v>
      </c>
      <c r="W720" s="266">
        <f t="shared" si="108"/>
        <v>0</v>
      </c>
      <c r="X720" s="266">
        <f t="shared" si="118"/>
        <v>0</v>
      </c>
      <c r="Y720" s="266" t="e">
        <f t="shared" si="109"/>
        <v>#DIV/0!</v>
      </c>
      <c r="Z720" s="266" t="e">
        <f t="shared" si="110"/>
        <v>#DIV/0!</v>
      </c>
      <c r="AA720" s="266" t="e">
        <f t="shared" si="111"/>
        <v>#DIV/0!</v>
      </c>
      <c r="AB720" s="65" t="e">
        <f t="shared" si="112"/>
        <v>#N/A</v>
      </c>
      <c r="AC720" s="65" t="e">
        <f t="shared" si="113"/>
        <v>#N/A</v>
      </c>
      <c r="AD720" s="65" t="e">
        <f t="shared" si="114"/>
        <v>#N/A</v>
      </c>
      <c r="AE720" s="65" t="e">
        <f t="shared" si="115"/>
        <v>#N/A</v>
      </c>
    </row>
    <row r="721" spans="1:31" ht="15" customHeight="1">
      <c r="A721">
        <f>'Final Building Profile'!A71</f>
        <v>68</v>
      </c>
      <c r="B721">
        <f>'Final Building Profile'!D71</f>
        <v>0</v>
      </c>
      <c r="C721">
        <f>'Final Building Profile'!E71</f>
        <v>0</v>
      </c>
      <c r="D721">
        <f>'Final Building Profile'!F71</f>
        <v>0</v>
      </c>
      <c r="E721" s="265">
        <f>'Final Building Profile'!G71</f>
        <v>0</v>
      </c>
      <c r="F721" s="265">
        <f>'Final Building Profile'!H71</f>
        <v>0</v>
      </c>
      <c r="G721" s="265">
        <f>'Final Building Profile'!I71</f>
        <v>0</v>
      </c>
      <c r="H721" s="197">
        <f t="shared" si="101"/>
        <v>0</v>
      </c>
      <c r="I721" s="197">
        <f t="shared" si="102"/>
        <v>0</v>
      </c>
      <c r="J721" s="137">
        <f t="shared" si="103"/>
        <v>0</v>
      </c>
      <c r="K721" s="66">
        <f>'Final Building Profile'!L71</f>
        <v>0</v>
      </c>
      <c r="L721" s="66">
        <f t="shared" si="116"/>
        <v>0</v>
      </c>
      <c r="M721">
        <f>'Final Building Profile'!M71</f>
        <v>0</v>
      </c>
      <c r="N721" s="66">
        <f t="shared" si="104"/>
        <v>0</v>
      </c>
      <c r="O721" s="66">
        <f t="shared" si="105"/>
        <v>0</v>
      </c>
      <c r="P721" s="66">
        <f t="shared" si="106"/>
        <v>0</v>
      </c>
      <c r="Q721" s="204">
        <f>'Final Building Profile'!K71</f>
        <v>0</v>
      </c>
      <c r="R721" s="66">
        <f t="shared" si="117"/>
        <v>0</v>
      </c>
      <c r="S721" s="65">
        <f>'Final Building Profile'!N71-'Final Building Profile'!O71</f>
        <v>0</v>
      </c>
      <c r="T721" s="65">
        <f t="shared" si="107"/>
        <v>0</v>
      </c>
      <c r="U721" s="204">
        <f>'Final Building Profile'!Q71</f>
        <v>0</v>
      </c>
      <c r="V721" s="65">
        <f>IF('Final Building Profile'!P71&lt;&gt;"", U721, 0) * T721</f>
        <v>0</v>
      </c>
      <c r="W721" s="266">
        <f t="shared" si="108"/>
        <v>0</v>
      </c>
      <c r="X721" s="266">
        <f t="shared" si="118"/>
        <v>0</v>
      </c>
      <c r="Y721" s="266" t="e">
        <f t="shared" si="109"/>
        <v>#DIV/0!</v>
      </c>
      <c r="Z721" s="266" t="e">
        <f t="shared" si="110"/>
        <v>#DIV/0!</v>
      </c>
      <c r="AA721" s="266" t="e">
        <f t="shared" si="111"/>
        <v>#DIV/0!</v>
      </c>
      <c r="AB721" s="65" t="e">
        <f t="shared" si="112"/>
        <v>#N/A</v>
      </c>
      <c r="AC721" s="65" t="e">
        <f t="shared" si="113"/>
        <v>#N/A</v>
      </c>
      <c r="AD721" s="65" t="e">
        <f t="shared" si="114"/>
        <v>#N/A</v>
      </c>
      <c r="AE721" s="65" t="e">
        <f t="shared" si="115"/>
        <v>#N/A</v>
      </c>
    </row>
    <row r="722" spans="1:31" ht="15" customHeight="1">
      <c r="A722">
        <f>'Final Building Profile'!A72</f>
        <v>69</v>
      </c>
      <c r="B722">
        <f>'Final Building Profile'!D72</f>
        <v>0</v>
      </c>
      <c r="C722">
        <f>'Final Building Profile'!E72</f>
        <v>0</v>
      </c>
      <c r="D722">
        <f>'Final Building Profile'!F72</f>
        <v>0</v>
      </c>
      <c r="E722" s="265">
        <f>'Final Building Profile'!G72</f>
        <v>0</v>
      </c>
      <c r="F722" s="265">
        <f>'Final Building Profile'!H72</f>
        <v>0</v>
      </c>
      <c r="G722" s="265">
        <f>'Final Building Profile'!I72</f>
        <v>0</v>
      </c>
      <c r="H722" s="197">
        <f t="shared" si="101"/>
        <v>0</v>
      </c>
      <c r="I722" s="197">
        <f t="shared" si="102"/>
        <v>0</v>
      </c>
      <c r="J722" s="137">
        <f t="shared" si="103"/>
        <v>0</v>
      </c>
      <c r="K722" s="66">
        <f>'Final Building Profile'!L72</f>
        <v>0</v>
      </c>
      <c r="L722" s="66">
        <f t="shared" si="116"/>
        <v>0</v>
      </c>
      <c r="M722">
        <f>'Final Building Profile'!M72</f>
        <v>0</v>
      </c>
      <c r="N722" s="66">
        <f t="shared" si="104"/>
        <v>0</v>
      </c>
      <c r="O722" s="66">
        <f t="shared" si="105"/>
        <v>0</v>
      </c>
      <c r="P722" s="66">
        <f t="shared" si="106"/>
        <v>0</v>
      </c>
      <c r="Q722" s="204">
        <f>'Final Building Profile'!K72</f>
        <v>0</v>
      </c>
      <c r="R722" s="66">
        <f t="shared" si="117"/>
        <v>0</v>
      </c>
      <c r="S722" s="65">
        <f>'Final Building Profile'!N72-'Final Building Profile'!O72</f>
        <v>0</v>
      </c>
      <c r="T722" s="65">
        <f t="shared" si="107"/>
        <v>0</v>
      </c>
      <c r="U722" s="204">
        <f>'Final Building Profile'!Q72</f>
        <v>0</v>
      </c>
      <c r="V722" s="65">
        <f>IF('Final Building Profile'!P72&lt;&gt;"", U722, 0) * T722</f>
        <v>0</v>
      </c>
      <c r="W722" s="266">
        <f t="shared" si="108"/>
        <v>0</v>
      </c>
      <c r="X722" s="266">
        <f t="shared" si="118"/>
        <v>0</v>
      </c>
      <c r="Y722" s="266" t="e">
        <f t="shared" si="109"/>
        <v>#DIV/0!</v>
      </c>
      <c r="Z722" s="266" t="e">
        <f t="shared" si="110"/>
        <v>#DIV/0!</v>
      </c>
      <c r="AA722" s="266" t="e">
        <f t="shared" si="111"/>
        <v>#DIV/0!</v>
      </c>
      <c r="AB722" s="65" t="e">
        <f t="shared" si="112"/>
        <v>#N/A</v>
      </c>
      <c r="AC722" s="65" t="e">
        <f t="shared" si="113"/>
        <v>#N/A</v>
      </c>
      <c r="AD722" s="65" t="e">
        <f t="shared" si="114"/>
        <v>#N/A</v>
      </c>
      <c r="AE722" s="65" t="e">
        <f t="shared" si="115"/>
        <v>#N/A</v>
      </c>
    </row>
    <row r="723" spans="1:31" ht="15" customHeight="1">
      <c r="A723">
        <f>'Final Building Profile'!A73</f>
        <v>70</v>
      </c>
      <c r="B723">
        <f>'Final Building Profile'!D73</f>
        <v>0</v>
      </c>
      <c r="C723">
        <f>'Final Building Profile'!E73</f>
        <v>0</v>
      </c>
      <c r="D723">
        <f>'Final Building Profile'!F73</f>
        <v>0</v>
      </c>
      <c r="E723" s="265">
        <f>'Final Building Profile'!G73</f>
        <v>0</v>
      </c>
      <c r="F723" s="265">
        <f>'Final Building Profile'!H73</f>
        <v>0</v>
      </c>
      <c r="G723" s="265">
        <f>'Final Building Profile'!I73</f>
        <v>0</v>
      </c>
      <c r="H723" s="197">
        <f t="shared" si="101"/>
        <v>0</v>
      </c>
      <c r="I723" s="197">
        <f t="shared" si="102"/>
        <v>0</v>
      </c>
      <c r="J723" s="137">
        <f t="shared" si="103"/>
        <v>0</v>
      </c>
      <c r="K723" s="66">
        <f>'Final Building Profile'!L73</f>
        <v>0</v>
      </c>
      <c r="L723" s="66">
        <f t="shared" si="116"/>
        <v>0</v>
      </c>
      <c r="M723">
        <f>'Final Building Profile'!M73</f>
        <v>0</v>
      </c>
      <c r="N723" s="66">
        <f t="shared" si="104"/>
        <v>0</v>
      </c>
      <c r="O723" s="66">
        <f t="shared" si="105"/>
        <v>0</v>
      </c>
      <c r="P723" s="66">
        <f t="shared" si="106"/>
        <v>0</v>
      </c>
      <c r="Q723" s="204">
        <f>'Final Building Profile'!K73</f>
        <v>0</v>
      </c>
      <c r="R723" s="66">
        <f t="shared" si="117"/>
        <v>0</v>
      </c>
      <c r="S723" s="65">
        <f>'Final Building Profile'!N73-'Final Building Profile'!O73</f>
        <v>0</v>
      </c>
      <c r="T723" s="65">
        <f t="shared" si="107"/>
        <v>0</v>
      </c>
      <c r="U723" s="204">
        <f>'Final Building Profile'!Q73</f>
        <v>0</v>
      </c>
      <c r="V723" s="65">
        <f>IF('Final Building Profile'!P73&lt;&gt;"", U723, 0) * T723</f>
        <v>0</v>
      </c>
      <c r="W723" s="266">
        <f t="shared" si="108"/>
        <v>0</v>
      </c>
      <c r="X723" s="266">
        <f t="shared" si="118"/>
        <v>0</v>
      </c>
      <c r="Y723" s="266" t="e">
        <f t="shared" si="109"/>
        <v>#DIV/0!</v>
      </c>
      <c r="Z723" s="266" t="e">
        <f t="shared" si="110"/>
        <v>#DIV/0!</v>
      </c>
      <c r="AA723" s="266" t="e">
        <f t="shared" si="111"/>
        <v>#DIV/0!</v>
      </c>
      <c r="AB723" s="65" t="e">
        <f t="shared" si="112"/>
        <v>#N/A</v>
      </c>
      <c r="AC723" s="65" t="e">
        <f t="shared" si="113"/>
        <v>#N/A</v>
      </c>
      <c r="AD723" s="65" t="e">
        <f t="shared" si="114"/>
        <v>#N/A</v>
      </c>
      <c r="AE723" s="65" t="e">
        <f t="shared" si="115"/>
        <v>#N/A</v>
      </c>
    </row>
    <row r="724" spans="1:31" ht="15" customHeight="1">
      <c r="A724">
        <f>'Final Building Profile'!A74</f>
        <v>71</v>
      </c>
      <c r="B724">
        <f>'Final Building Profile'!D74</f>
        <v>0</v>
      </c>
      <c r="C724">
        <f>'Final Building Profile'!E74</f>
        <v>0</v>
      </c>
      <c r="D724">
        <f>'Final Building Profile'!F74</f>
        <v>0</v>
      </c>
      <c r="E724" s="265">
        <f>'Final Building Profile'!G74</f>
        <v>0</v>
      </c>
      <c r="F724" s="265">
        <f>'Final Building Profile'!H74</f>
        <v>0</v>
      </c>
      <c r="G724" s="265">
        <f>'Final Building Profile'!I74</f>
        <v>0</v>
      </c>
      <c r="H724" s="197">
        <f t="shared" si="101"/>
        <v>0</v>
      </c>
      <c r="I724" s="197">
        <f t="shared" si="102"/>
        <v>0</v>
      </c>
      <c r="J724" s="137">
        <f t="shared" si="103"/>
        <v>0</v>
      </c>
      <c r="K724" s="66">
        <f>'Final Building Profile'!L74</f>
        <v>0</v>
      </c>
      <c r="L724" s="66">
        <f t="shared" si="116"/>
        <v>0</v>
      </c>
      <c r="M724">
        <f>'Final Building Profile'!M74</f>
        <v>0</v>
      </c>
      <c r="N724" s="66">
        <f t="shared" si="104"/>
        <v>0</v>
      </c>
      <c r="O724" s="66">
        <f t="shared" si="105"/>
        <v>0</v>
      </c>
      <c r="P724" s="66">
        <f t="shared" si="106"/>
        <v>0</v>
      </c>
      <c r="Q724" s="204">
        <f>'Final Building Profile'!K74</f>
        <v>0</v>
      </c>
      <c r="R724" s="66">
        <f t="shared" si="117"/>
        <v>0</v>
      </c>
      <c r="S724" s="65">
        <f>'Final Building Profile'!N74-'Final Building Profile'!O74</f>
        <v>0</v>
      </c>
      <c r="T724" s="65">
        <f t="shared" si="107"/>
        <v>0</v>
      </c>
      <c r="U724" s="204">
        <f>'Final Building Profile'!Q74</f>
        <v>0</v>
      </c>
      <c r="V724" s="65">
        <f>IF('Final Building Profile'!P74&lt;&gt;"", U724, 0) * T724</f>
        <v>0</v>
      </c>
      <c r="W724" s="266">
        <f t="shared" si="108"/>
        <v>0</v>
      </c>
      <c r="X724" s="266">
        <f t="shared" si="118"/>
        <v>0</v>
      </c>
      <c r="Y724" s="266" t="e">
        <f t="shared" si="109"/>
        <v>#DIV/0!</v>
      </c>
      <c r="Z724" s="266" t="e">
        <f t="shared" si="110"/>
        <v>#DIV/0!</v>
      </c>
      <c r="AA724" s="266" t="e">
        <f t="shared" si="111"/>
        <v>#DIV/0!</v>
      </c>
      <c r="AB724" s="65" t="e">
        <f t="shared" si="112"/>
        <v>#N/A</v>
      </c>
      <c r="AC724" s="65" t="e">
        <f t="shared" si="113"/>
        <v>#N/A</v>
      </c>
      <c r="AD724" s="65" t="e">
        <f t="shared" si="114"/>
        <v>#N/A</v>
      </c>
      <c r="AE724" s="65" t="e">
        <f t="shared" si="115"/>
        <v>#N/A</v>
      </c>
    </row>
    <row r="725" spans="1:31" ht="15" customHeight="1">
      <c r="A725">
        <f>'Final Building Profile'!A75</f>
        <v>72</v>
      </c>
      <c r="B725">
        <f>'Final Building Profile'!D75</f>
        <v>0</v>
      </c>
      <c r="C725">
        <f>'Final Building Profile'!E75</f>
        <v>0</v>
      </c>
      <c r="D725">
        <f>'Final Building Profile'!F75</f>
        <v>0</v>
      </c>
      <c r="E725" s="265">
        <f>'Final Building Profile'!G75</f>
        <v>0</v>
      </c>
      <c r="F725" s="265">
        <f>'Final Building Profile'!H75</f>
        <v>0</v>
      </c>
      <c r="G725" s="265">
        <f>'Final Building Profile'!I75</f>
        <v>0</v>
      </c>
      <c r="H725" s="197">
        <f t="shared" si="101"/>
        <v>0</v>
      </c>
      <c r="I725" s="197">
        <f t="shared" si="102"/>
        <v>0</v>
      </c>
      <c r="J725" s="137">
        <f t="shared" si="103"/>
        <v>0</v>
      </c>
      <c r="K725" s="66">
        <f>'Final Building Profile'!L75</f>
        <v>0</v>
      </c>
      <c r="L725" s="66">
        <f t="shared" si="116"/>
        <v>0</v>
      </c>
      <c r="M725">
        <f>'Final Building Profile'!M75</f>
        <v>0</v>
      </c>
      <c r="N725" s="66">
        <f t="shared" si="104"/>
        <v>0</v>
      </c>
      <c r="O725" s="66">
        <f t="shared" si="105"/>
        <v>0</v>
      </c>
      <c r="P725" s="66">
        <f t="shared" si="106"/>
        <v>0</v>
      </c>
      <c r="Q725" s="204">
        <f>'Final Building Profile'!K75</f>
        <v>0</v>
      </c>
      <c r="R725" s="66">
        <f t="shared" si="117"/>
        <v>0</v>
      </c>
      <c r="S725" s="65">
        <f>'Final Building Profile'!N75-'Final Building Profile'!O75</f>
        <v>0</v>
      </c>
      <c r="T725" s="65">
        <f t="shared" si="107"/>
        <v>0</v>
      </c>
      <c r="U725" s="204">
        <f>'Final Building Profile'!Q75</f>
        <v>0</v>
      </c>
      <c r="V725" s="65">
        <f>IF('Final Building Profile'!P75&lt;&gt;"", U725, 0) * T725</f>
        <v>0</v>
      </c>
      <c r="W725" s="266">
        <f t="shared" si="108"/>
        <v>0</v>
      </c>
      <c r="X725" s="266">
        <f t="shared" si="118"/>
        <v>0</v>
      </c>
      <c r="Y725" s="266" t="e">
        <f t="shared" si="109"/>
        <v>#DIV/0!</v>
      </c>
      <c r="Z725" s="266" t="e">
        <f t="shared" si="110"/>
        <v>#DIV/0!</v>
      </c>
      <c r="AA725" s="266" t="e">
        <f t="shared" si="111"/>
        <v>#DIV/0!</v>
      </c>
      <c r="AB725" s="65" t="e">
        <f t="shared" si="112"/>
        <v>#N/A</v>
      </c>
      <c r="AC725" s="65" t="e">
        <f t="shared" si="113"/>
        <v>#N/A</v>
      </c>
      <c r="AD725" s="65" t="e">
        <f t="shared" si="114"/>
        <v>#N/A</v>
      </c>
      <c r="AE725" s="65" t="e">
        <f t="shared" si="115"/>
        <v>#N/A</v>
      </c>
    </row>
    <row r="726" spans="1:31" ht="15" customHeight="1">
      <c r="A726">
        <f>'Final Building Profile'!A76</f>
        <v>73</v>
      </c>
      <c r="B726">
        <f>'Final Building Profile'!D76</f>
        <v>0</v>
      </c>
      <c r="C726">
        <f>'Final Building Profile'!E76</f>
        <v>0</v>
      </c>
      <c r="D726">
        <f>'Final Building Profile'!F76</f>
        <v>0</v>
      </c>
      <c r="E726" s="265">
        <f>'Final Building Profile'!G76</f>
        <v>0</v>
      </c>
      <c r="F726" s="265">
        <f>'Final Building Profile'!H76</f>
        <v>0</v>
      </c>
      <c r="G726" s="265">
        <f>'Final Building Profile'!I76</f>
        <v>0</v>
      </c>
      <c r="H726" s="197">
        <f t="shared" si="101"/>
        <v>0</v>
      </c>
      <c r="I726" s="197">
        <f t="shared" si="102"/>
        <v>0</v>
      </c>
      <c r="J726" s="137">
        <f t="shared" si="103"/>
        <v>0</v>
      </c>
      <c r="K726" s="66">
        <f>'Final Building Profile'!L76</f>
        <v>0</v>
      </c>
      <c r="L726" s="66">
        <f t="shared" si="116"/>
        <v>0</v>
      </c>
      <c r="M726">
        <f>'Final Building Profile'!M76</f>
        <v>0</v>
      </c>
      <c r="N726" s="66">
        <f t="shared" si="104"/>
        <v>0</v>
      </c>
      <c r="O726" s="66">
        <f t="shared" si="105"/>
        <v>0</v>
      </c>
      <c r="P726" s="66">
        <f t="shared" si="106"/>
        <v>0</v>
      </c>
      <c r="Q726" s="204">
        <f>'Final Building Profile'!K76</f>
        <v>0</v>
      </c>
      <c r="R726" s="66">
        <f t="shared" si="117"/>
        <v>0</v>
      </c>
      <c r="S726" s="65">
        <f>'Final Building Profile'!N76-'Final Building Profile'!O76</f>
        <v>0</v>
      </c>
      <c r="T726" s="65">
        <f t="shared" si="107"/>
        <v>0</v>
      </c>
      <c r="U726" s="204">
        <f>'Final Building Profile'!Q76</f>
        <v>0</v>
      </c>
      <c r="V726" s="65">
        <f>IF('Final Building Profile'!P76&lt;&gt;"", U726, 0) * T726</f>
        <v>0</v>
      </c>
      <c r="W726" s="266">
        <f t="shared" si="108"/>
        <v>0</v>
      </c>
      <c r="X726" s="266">
        <f t="shared" si="118"/>
        <v>0</v>
      </c>
      <c r="Y726" s="266" t="e">
        <f t="shared" si="109"/>
        <v>#DIV/0!</v>
      </c>
      <c r="Z726" s="266" t="e">
        <f t="shared" si="110"/>
        <v>#DIV/0!</v>
      </c>
      <c r="AA726" s="266" t="e">
        <f t="shared" si="111"/>
        <v>#DIV/0!</v>
      </c>
      <c r="AB726" s="65" t="e">
        <f t="shared" si="112"/>
        <v>#N/A</v>
      </c>
      <c r="AC726" s="65" t="e">
        <f t="shared" si="113"/>
        <v>#N/A</v>
      </c>
      <c r="AD726" s="65" t="e">
        <f t="shared" si="114"/>
        <v>#N/A</v>
      </c>
      <c r="AE726" s="65" t="e">
        <f t="shared" si="115"/>
        <v>#N/A</v>
      </c>
    </row>
    <row r="727" spans="1:31" ht="15" customHeight="1">
      <c r="A727">
        <f>'Final Building Profile'!A77</f>
        <v>74</v>
      </c>
      <c r="B727">
        <f>'Final Building Profile'!D77</f>
        <v>0</v>
      </c>
      <c r="C727">
        <f>'Final Building Profile'!E77</f>
        <v>0</v>
      </c>
      <c r="D727">
        <f>'Final Building Profile'!F77</f>
        <v>0</v>
      </c>
      <c r="E727" s="265">
        <f>'Final Building Profile'!G77</f>
        <v>0</v>
      </c>
      <c r="F727" s="265">
        <f>'Final Building Profile'!H77</f>
        <v>0</v>
      </c>
      <c r="G727" s="265">
        <f>'Final Building Profile'!I77</f>
        <v>0</v>
      </c>
      <c r="H727" s="197">
        <f t="shared" si="101"/>
        <v>0</v>
      </c>
      <c r="I727" s="197">
        <f t="shared" si="102"/>
        <v>0</v>
      </c>
      <c r="J727" s="137">
        <f t="shared" si="103"/>
        <v>0</v>
      </c>
      <c r="K727" s="66">
        <f>'Final Building Profile'!L77</f>
        <v>0</v>
      </c>
      <c r="L727" s="66">
        <f t="shared" si="116"/>
        <v>0</v>
      </c>
      <c r="M727">
        <f>'Final Building Profile'!M77</f>
        <v>0</v>
      </c>
      <c r="N727" s="66">
        <f t="shared" si="104"/>
        <v>0</v>
      </c>
      <c r="O727" s="66">
        <f t="shared" si="105"/>
        <v>0</v>
      </c>
      <c r="P727" s="66">
        <f t="shared" si="106"/>
        <v>0</v>
      </c>
      <c r="Q727" s="204">
        <f>'Final Building Profile'!K77</f>
        <v>0</v>
      </c>
      <c r="R727" s="66">
        <f t="shared" si="117"/>
        <v>0</v>
      </c>
      <c r="S727" s="65">
        <f>'Final Building Profile'!N77-'Final Building Profile'!O77</f>
        <v>0</v>
      </c>
      <c r="T727" s="65">
        <f t="shared" si="107"/>
        <v>0</v>
      </c>
      <c r="U727" s="204">
        <f>'Final Building Profile'!Q77</f>
        <v>0</v>
      </c>
      <c r="V727" s="65">
        <f>IF('Final Building Profile'!P77&lt;&gt;"", U727, 0) * T727</f>
        <v>0</v>
      </c>
      <c r="W727" s="266">
        <f t="shared" si="108"/>
        <v>0</v>
      </c>
      <c r="X727" s="266">
        <f t="shared" si="118"/>
        <v>0</v>
      </c>
      <c r="Y727" s="266" t="e">
        <f t="shared" si="109"/>
        <v>#DIV/0!</v>
      </c>
      <c r="Z727" s="266" t="e">
        <f t="shared" si="110"/>
        <v>#DIV/0!</v>
      </c>
      <c r="AA727" s="266" t="e">
        <f t="shared" si="111"/>
        <v>#DIV/0!</v>
      </c>
      <c r="AB727" s="65" t="e">
        <f t="shared" si="112"/>
        <v>#N/A</v>
      </c>
      <c r="AC727" s="65" t="e">
        <f t="shared" si="113"/>
        <v>#N/A</v>
      </c>
      <c r="AD727" s="65" t="e">
        <f t="shared" si="114"/>
        <v>#N/A</v>
      </c>
      <c r="AE727" s="65" t="e">
        <f t="shared" si="115"/>
        <v>#N/A</v>
      </c>
    </row>
    <row r="728" spans="1:31" ht="15" customHeight="1">
      <c r="A728">
        <f>'Final Building Profile'!A78</f>
        <v>75</v>
      </c>
      <c r="B728">
        <f>'Final Building Profile'!D78</f>
        <v>0</v>
      </c>
      <c r="C728">
        <f>'Final Building Profile'!E78</f>
        <v>0</v>
      </c>
      <c r="D728">
        <f>'Final Building Profile'!F78</f>
        <v>0</v>
      </c>
      <c r="E728" s="265">
        <f>'Final Building Profile'!G78</f>
        <v>0</v>
      </c>
      <c r="F728" s="265">
        <f>'Final Building Profile'!H78</f>
        <v>0</v>
      </c>
      <c r="G728" s="265">
        <f>'Final Building Profile'!I78</f>
        <v>0</v>
      </c>
      <c r="H728" s="197">
        <f t="shared" si="101"/>
        <v>0</v>
      </c>
      <c r="I728" s="197">
        <f t="shared" si="102"/>
        <v>0</v>
      </c>
      <c r="J728" s="137">
        <f t="shared" si="103"/>
        <v>0</v>
      </c>
      <c r="K728" s="66">
        <f>'Final Building Profile'!L78</f>
        <v>0</v>
      </c>
      <c r="L728" s="66">
        <f t="shared" si="116"/>
        <v>0</v>
      </c>
      <c r="M728">
        <f>'Final Building Profile'!M78</f>
        <v>0</v>
      </c>
      <c r="N728" s="66">
        <f t="shared" si="104"/>
        <v>0</v>
      </c>
      <c r="O728" s="66">
        <f t="shared" si="105"/>
        <v>0</v>
      </c>
      <c r="P728" s="66">
        <f t="shared" si="106"/>
        <v>0</v>
      </c>
      <c r="Q728" s="204">
        <f>'Final Building Profile'!K78</f>
        <v>0</v>
      </c>
      <c r="R728" s="66">
        <f t="shared" si="117"/>
        <v>0</v>
      </c>
      <c r="S728" s="65">
        <f>'Final Building Profile'!N78-'Final Building Profile'!O78</f>
        <v>0</v>
      </c>
      <c r="T728" s="65">
        <f t="shared" si="107"/>
        <v>0</v>
      </c>
      <c r="U728" s="204">
        <f>'Final Building Profile'!Q78</f>
        <v>0</v>
      </c>
      <c r="V728" s="65">
        <f>IF('Final Building Profile'!P78&lt;&gt;"", U728, 0) * T728</f>
        <v>0</v>
      </c>
      <c r="W728" s="266">
        <f t="shared" si="108"/>
        <v>0</v>
      </c>
      <c r="X728" s="266">
        <f t="shared" si="118"/>
        <v>0</v>
      </c>
      <c r="Y728" s="266" t="e">
        <f t="shared" si="109"/>
        <v>#DIV/0!</v>
      </c>
      <c r="Z728" s="266" t="e">
        <f t="shared" si="110"/>
        <v>#DIV/0!</v>
      </c>
      <c r="AA728" s="266" t="e">
        <f t="shared" si="111"/>
        <v>#DIV/0!</v>
      </c>
      <c r="AB728" s="65" t="e">
        <f t="shared" si="112"/>
        <v>#N/A</v>
      </c>
      <c r="AC728" s="65" t="e">
        <f t="shared" si="113"/>
        <v>#N/A</v>
      </c>
      <c r="AD728" s="65" t="e">
        <f t="shared" si="114"/>
        <v>#N/A</v>
      </c>
      <c r="AE728" s="65" t="e">
        <f t="shared" si="115"/>
        <v>#N/A</v>
      </c>
    </row>
    <row r="729" spans="1:31" ht="15" customHeight="1">
      <c r="A729">
        <f>'Final Building Profile'!A79</f>
        <v>76</v>
      </c>
      <c r="B729">
        <f>'Final Building Profile'!D79</f>
        <v>0</v>
      </c>
      <c r="C729">
        <f>'Final Building Profile'!E79</f>
        <v>0</v>
      </c>
      <c r="D729">
        <f>'Final Building Profile'!F79</f>
        <v>0</v>
      </c>
      <c r="E729" s="265">
        <f>'Final Building Profile'!G79</f>
        <v>0</v>
      </c>
      <c r="F729" s="265">
        <f>'Final Building Profile'!H79</f>
        <v>0</v>
      </c>
      <c r="G729" s="265">
        <f>'Final Building Profile'!I79</f>
        <v>0</v>
      </c>
      <c r="H729" s="197">
        <f t="shared" si="101"/>
        <v>0</v>
      </c>
      <c r="I729" s="197">
        <f t="shared" si="102"/>
        <v>0</v>
      </c>
      <c r="J729" s="137">
        <f t="shared" si="103"/>
        <v>0</v>
      </c>
      <c r="K729" s="66">
        <f>'Final Building Profile'!L79</f>
        <v>0</v>
      </c>
      <c r="L729" s="66">
        <f t="shared" si="116"/>
        <v>0</v>
      </c>
      <c r="M729">
        <f>'Final Building Profile'!M79</f>
        <v>0</v>
      </c>
      <c r="N729" s="66">
        <f t="shared" si="104"/>
        <v>0</v>
      </c>
      <c r="O729" s="66">
        <f t="shared" si="105"/>
        <v>0</v>
      </c>
      <c r="P729" s="66">
        <f t="shared" si="106"/>
        <v>0</v>
      </c>
      <c r="Q729" s="204">
        <f>'Final Building Profile'!K79</f>
        <v>0</v>
      </c>
      <c r="R729" s="66">
        <f t="shared" si="117"/>
        <v>0</v>
      </c>
      <c r="S729" s="65">
        <f>'Final Building Profile'!N79-'Final Building Profile'!O79</f>
        <v>0</v>
      </c>
      <c r="T729" s="65">
        <f t="shared" si="107"/>
        <v>0</v>
      </c>
      <c r="U729" s="204">
        <f>'Final Building Profile'!Q79</f>
        <v>0</v>
      </c>
      <c r="V729" s="65">
        <f>IF('Final Building Profile'!P79&lt;&gt;"", U729, 0) * T729</f>
        <v>0</v>
      </c>
      <c r="W729" s="266">
        <f t="shared" si="108"/>
        <v>0</v>
      </c>
      <c r="X729" s="266">
        <f t="shared" si="118"/>
        <v>0</v>
      </c>
      <c r="Y729" s="266" t="e">
        <f t="shared" si="109"/>
        <v>#DIV/0!</v>
      </c>
      <c r="Z729" s="266" t="e">
        <f t="shared" si="110"/>
        <v>#DIV/0!</v>
      </c>
      <c r="AA729" s="266" t="e">
        <f t="shared" si="111"/>
        <v>#DIV/0!</v>
      </c>
      <c r="AB729" s="65" t="e">
        <f t="shared" si="112"/>
        <v>#N/A</v>
      </c>
      <c r="AC729" s="65" t="e">
        <f t="shared" si="113"/>
        <v>#N/A</v>
      </c>
      <c r="AD729" s="65" t="e">
        <f t="shared" si="114"/>
        <v>#N/A</v>
      </c>
      <c r="AE729" s="65" t="e">
        <f t="shared" si="115"/>
        <v>#N/A</v>
      </c>
    </row>
    <row r="730" spans="1:31" ht="15" customHeight="1">
      <c r="A730">
        <f>'Final Building Profile'!A80</f>
        <v>77</v>
      </c>
      <c r="B730">
        <f>'Final Building Profile'!D80</f>
        <v>0</v>
      </c>
      <c r="C730">
        <f>'Final Building Profile'!E80</f>
        <v>0</v>
      </c>
      <c r="D730">
        <f>'Final Building Profile'!F80</f>
        <v>0</v>
      </c>
      <c r="E730" s="265">
        <f>'Final Building Profile'!G80</f>
        <v>0</v>
      </c>
      <c r="F730" s="265">
        <f>'Final Building Profile'!H80</f>
        <v>0</v>
      </c>
      <c r="G730" s="265">
        <f>'Final Building Profile'!I80</f>
        <v>0</v>
      </c>
      <c r="H730" s="197">
        <f t="shared" si="101"/>
        <v>0</v>
      </c>
      <c r="I730" s="197">
        <f t="shared" si="102"/>
        <v>0</v>
      </c>
      <c r="J730" s="137">
        <f t="shared" si="103"/>
        <v>0</v>
      </c>
      <c r="K730" s="66">
        <f>'Final Building Profile'!L80</f>
        <v>0</v>
      </c>
      <c r="L730" s="66">
        <f t="shared" si="116"/>
        <v>0</v>
      </c>
      <c r="M730">
        <f>'Final Building Profile'!M80</f>
        <v>0</v>
      </c>
      <c r="N730" s="66">
        <f t="shared" si="104"/>
        <v>0</v>
      </c>
      <c r="O730" s="66">
        <f t="shared" si="105"/>
        <v>0</v>
      </c>
      <c r="P730" s="66">
        <f t="shared" si="106"/>
        <v>0</v>
      </c>
      <c r="Q730" s="204">
        <f>'Final Building Profile'!K80</f>
        <v>0</v>
      </c>
      <c r="R730" s="66">
        <f t="shared" si="117"/>
        <v>0</v>
      </c>
      <c r="S730" s="65">
        <f>'Final Building Profile'!N80-'Final Building Profile'!O80</f>
        <v>0</v>
      </c>
      <c r="T730" s="65">
        <f t="shared" si="107"/>
        <v>0</v>
      </c>
      <c r="U730" s="204">
        <f>'Final Building Profile'!Q80</f>
        <v>0</v>
      </c>
      <c r="V730" s="65">
        <f>IF('Final Building Profile'!P80&lt;&gt;"", U730, 0) * T730</f>
        <v>0</v>
      </c>
      <c r="W730" s="266">
        <f t="shared" si="108"/>
        <v>0</v>
      </c>
      <c r="X730" s="266">
        <f t="shared" si="118"/>
        <v>0</v>
      </c>
      <c r="Y730" s="266" t="e">
        <f t="shared" si="109"/>
        <v>#DIV/0!</v>
      </c>
      <c r="Z730" s="266" t="e">
        <f t="shared" si="110"/>
        <v>#DIV/0!</v>
      </c>
      <c r="AA730" s="266" t="e">
        <f t="shared" si="111"/>
        <v>#DIV/0!</v>
      </c>
      <c r="AB730" s="65" t="e">
        <f t="shared" si="112"/>
        <v>#N/A</v>
      </c>
      <c r="AC730" s="65" t="e">
        <f t="shared" si="113"/>
        <v>#N/A</v>
      </c>
      <c r="AD730" s="65" t="e">
        <f t="shared" si="114"/>
        <v>#N/A</v>
      </c>
      <c r="AE730" s="65" t="e">
        <f t="shared" si="115"/>
        <v>#N/A</v>
      </c>
    </row>
    <row r="731" spans="1:31" ht="15" customHeight="1">
      <c r="A731">
        <f>'Final Building Profile'!A81</f>
        <v>78</v>
      </c>
      <c r="B731">
        <f>'Final Building Profile'!D81</f>
        <v>0</v>
      </c>
      <c r="C731">
        <f>'Final Building Profile'!E81</f>
        <v>0</v>
      </c>
      <c r="D731">
        <f>'Final Building Profile'!F81</f>
        <v>0</v>
      </c>
      <c r="E731" s="265">
        <f>'Final Building Profile'!G81</f>
        <v>0</v>
      </c>
      <c r="F731" s="265">
        <f>'Final Building Profile'!H81</f>
        <v>0</v>
      </c>
      <c r="G731" s="265">
        <f>'Final Building Profile'!I81</f>
        <v>0</v>
      </c>
      <c r="H731" s="197">
        <f t="shared" si="101"/>
        <v>0</v>
      </c>
      <c r="I731" s="197">
        <f t="shared" si="102"/>
        <v>0</v>
      </c>
      <c r="J731" s="137">
        <f t="shared" si="103"/>
        <v>0</v>
      </c>
      <c r="K731" s="66">
        <f>'Final Building Profile'!L81</f>
        <v>0</v>
      </c>
      <c r="L731" s="66">
        <f t="shared" si="116"/>
        <v>0</v>
      </c>
      <c r="M731">
        <f>'Final Building Profile'!M81</f>
        <v>0</v>
      </c>
      <c r="N731" s="66">
        <f t="shared" si="104"/>
        <v>0</v>
      </c>
      <c r="O731" s="66">
        <f t="shared" si="105"/>
        <v>0</v>
      </c>
      <c r="P731" s="66">
        <f t="shared" si="106"/>
        <v>0</v>
      </c>
      <c r="Q731" s="204">
        <f>'Final Building Profile'!K81</f>
        <v>0</v>
      </c>
      <c r="R731" s="66">
        <f t="shared" si="117"/>
        <v>0</v>
      </c>
      <c r="S731" s="65">
        <f>'Final Building Profile'!N81-'Final Building Profile'!O81</f>
        <v>0</v>
      </c>
      <c r="T731" s="65">
        <f t="shared" si="107"/>
        <v>0</v>
      </c>
      <c r="U731" s="204">
        <f>'Final Building Profile'!Q81</f>
        <v>0</v>
      </c>
      <c r="V731" s="65">
        <f>IF('Final Building Profile'!P81&lt;&gt;"", U731, 0) * T731</f>
        <v>0</v>
      </c>
      <c r="W731" s="266">
        <f t="shared" si="108"/>
        <v>0</v>
      </c>
      <c r="X731" s="266">
        <f t="shared" si="118"/>
        <v>0</v>
      </c>
      <c r="Y731" s="266" t="e">
        <f t="shared" si="109"/>
        <v>#DIV/0!</v>
      </c>
      <c r="Z731" s="266" t="e">
        <f t="shared" si="110"/>
        <v>#DIV/0!</v>
      </c>
      <c r="AA731" s="266" t="e">
        <f t="shared" si="111"/>
        <v>#DIV/0!</v>
      </c>
      <c r="AB731" s="65" t="e">
        <f t="shared" si="112"/>
        <v>#N/A</v>
      </c>
      <c r="AC731" s="65" t="e">
        <f t="shared" si="113"/>
        <v>#N/A</v>
      </c>
      <c r="AD731" s="65" t="e">
        <f t="shared" si="114"/>
        <v>#N/A</v>
      </c>
      <c r="AE731" s="65" t="e">
        <f t="shared" si="115"/>
        <v>#N/A</v>
      </c>
    </row>
    <row r="732" spans="1:31" ht="15" customHeight="1">
      <c r="A732">
        <f>'Final Building Profile'!A82</f>
        <v>79</v>
      </c>
      <c r="B732">
        <f>'Final Building Profile'!D82</f>
        <v>0</v>
      </c>
      <c r="C732">
        <f>'Final Building Profile'!E82</f>
        <v>0</v>
      </c>
      <c r="D732">
        <f>'Final Building Profile'!F82</f>
        <v>0</v>
      </c>
      <c r="E732" s="265">
        <f>'Final Building Profile'!G82</f>
        <v>0</v>
      </c>
      <c r="F732" s="265">
        <f>'Final Building Profile'!H82</f>
        <v>0</v>
      </c>
      <c r="G732" s="265">
        <f>'Final Building Profile'!I82</f>
        <v>0</v>
      </c>
      <c r="H732" s="197">
        <f t="shared" si="101"/>
        <v>0</v>
      </c>
      <c r="I732" s="197">
        <f t="shared" si="102"/>
        <v>0</v>
      </c>
      <c r="J732" s="137">
        <f t="shared" si="103"/>
        <v>0</v>
      </c>
      <c r="K732" s="66">
        <f>'Final Building Profile'!L82</f>
        <v>0</v>
      </c>
      <c r="L732" s="66">
        <f t="shared" si="116"/>
        <v>0</v>
      </c>
      <c r="M732">
        <f>'Final Building Profile'!M82</f>
        <v>0</v>
      </c>
      <c r="N732" s="66">
        <f t="shared" si="104"/>
        <v>0</v>
      </c>
      <c r="O732" s="66">
        <f t="shared" si="105"/>
        <v>0</v>
      </c>
      <c r="P732" s="66">
        <f t="shared" si="106"/>
        <v>0</v>
      </c>
      <c r="Q732" s="204">
        <f>'Final Building Profile'!K82</f>
        <v>0</v>
      </c>
      <c r="R732" s="66">
        <f t="shared" si="117"/>
        <v>0</v>
      </c>
      <c r="S732" s="65">
        <f>'Final Building Profile'!N82-'Final Building Profile'!O82</f>
        <v>0</v>
      </c>
      <c r="T732" s="65">
        <f t="shared" si="107"/>
        <v>0</v>
      </c>
      <c r="U732" s="204">
        <f>'Final Building Profile'!Q82</f>
        <v>0</v>
      </c>
      <c r="V732" s="65">
        <f>IF('Final Building Profile'!P82&lt;&gt;"", U732, 0) * T732</f>
        <v>0</v>
      </c>
      <c r="W732" s="266">
        <f t="shared" si="108"/>
        <v>0</v>
      </c>
      <c r="X732" s="266">
        <f t="shared" si="118"/>
        <v>0</v>
      </c>
      <c r="Y732" s="266" t="e">
        <f t="shared" si="109"/>
        <v>#DIV/0!</v>
      </c>
      <c r="Z732" s="266" t="e">
        <f t="shared" si="110"/>
        <v>#DIV/0!</v>
      </c>
      <c r="AA732" s="266" t="e">
        <f t="shared" si="111"/>
        <v>#DIV/0!</v>
      </c>
      <c r="AB732" s="65" t="e">
        <f t="shared" si="112"/>
        <v>#N/A</v>
      </c>
      <c r="AC732" s="65" t="e">
        <f t="shared" si="113"/>
        <v>#N/A</v>
      </c>
      <c r="AD732" s="65" t="e">
        <f t="shared" si="114"/>
        <v>#N/A</v>
      </c>
      <c r="AE732" s="65" t="e">
        <f t="shared" si="115"/>
        <v>#N/A</v>
      </c>
    </row>
    <row r="733" spans="1:31" ht="15" customHeight="1">
      <c r="A733">
        <f>'Final Building Profile'!A83</f>
        <v>80</v>
      </c>
      <c r="B733">
        <f>'Final Building Profile'!D83</f>
        <v>0</v>
      </c>
      <c r="C733">
        <f>'Final Building Profile'!E83</f>
        <v>0</v>
      </c>
      <c r="D733">
        <f>'Final Building Profile'!F83</f>
        <v>0</v>
      </c>
      <c r="E733" s="265">
        <f>'Final Building Profile'!G83</f>
        <v>0</v>
      </c>
      <c r="F733" s="265">
        <f>'Final Building Profile'!H83</f>
        <v>0</v>
      </c>
      <c r="G733" s="265">
        <f>'Final Building Profile'!I83</f>
        <v>0</v>
      </c>
      <c r="H733" s="197">
        <f t="shared" si="101"/>
        <v>0</v>
      </c>
      <c r="I733" s="197">
        <f t="shared" si="102"/>
        <v>0</v>
      </c>
      <c r="J733" s="137">
        <f t="shared" si="103"/>
        <v>0</v>
      </c>
      <c r="K733" s="66">
        <f>'Final Building Profile'!L83</f>
        <v>0</v>
      </c>
      <c r="L733" s="66">
        <f t="shared" si="116"/>
        <v>0</v>
      </c>
      <c r="M733">
        <f>'Final Building Profile'!M83</f>
        <v>0</v>
      </c>
      <c r="N733" s="66">
        <f t="shared" si="104"/>
        <v>0</v>
      </c>
      <c r="O733" s="66">
        <f t="shared" si="105"/>
        <v>0</v>
      </c>
      <c r="P733" s="66">
        <f t="shared" si="106"/>
        <v>0</v>
      </c>
      <c r="Q733" s="204">
        <f>'Final Building Profile'!K83</f>
        <v>0</v>
      </c>
      <c r="R733" s="66">
        <f t="shared" si="117"/>
        <v>0</v>
      </c>
      <c r="S733" s="65">
        <f>'Final Building Profile'!N83-'Final Building Profile'!O83</f>
        <v>0</v>
      </c>
      <c r="T733" s="65">
        <f t="shared" si="107"/>
        <v>0</v>
      </c>
      <c r="U733" s="204">
        <f>'Final Building Profile'!Q83</f>
        <v>0</v>
      </c>
      <c r="V733" s="65">
        <f>IF('Final Building Profile'!P83&lt;&gt;"", U733, 0) * T733</f>
        <v>0</v>
      </c>
      <c r="W733" s="266">
        <f t="shared" si="108"/>
        <v>0</v>
      </c>
      <c r="X733" s="266">
        <f t="shared" si="118"/>
        <v>0</v>
      </c>
      <c r="Y733" s="266" t="e">
        <f t="shared" si="109"/>
        <v>#DIV/0!</v>
      </c>
      <c r="Z733" s="266" t="e">
        <f t="shared" si="110"/>
        <v>#DIV/0!</v>
      </c>
      <c r="AA733" s="266" t="e">
        <f t="shared" si="111"/>
        <v>#DIV/0!</v>
      </c>
      <c r="AB733" s="65" t="e">
        <f t="shared" si="112"/>
        <v>#N/A</v>
      </c>
      <c r="AC733" s="65" t="e">
        <f t="shared" si="113"/>
        <v>#N/A</v>
      </c>
      <c r="AD733" s="65" t="e">
        <f t="shared" si="114"/>
        <v>#N/A</v>
      </c>
      <c r="AE733" s="65" t="e">
        <f t="shared" si="115"/>
        <v>#N/A</v>
      </c>
    </row>
    <row r="734" spans="1:31" ht="15" customHeight="1">
      <c r="A734">
        <f>'Final Building Profile'!A84</f>
        <v>81</v>
      </c>
      <c r="B734">
        <f>'Final Building Profile'!D84</f>
        <v>0</v>
      </c>
      <c r="C734">
        <f>'Final Building Profile'!E84</f>
        <v>0</v>
      </c>
      <c r="D734">
        <f>'Final Building Profile'!F84</f>
        <v>0</v>
      </c>
      <c r="E734" s="265">
        <f>'Final Building Profile'!G84</f>
        <v>0</v>
      </c>
      <c r="F734" s="265">
        <f>'Final Building Profile'!H84</f>
        <v>0</v>
      </c>
      <c r="G734" s="265">
        <f>'Final Building Profile'!I84</f>
        <v>0</v>
      </c>
      <c r="H734" s="197">
        <f t="shared" si="101"/>
        <v>0</v>
      </c>
      <c r="I734" s="197">
        <f t="shared" si="102"/>
        <v>0</v>
      </c>
      <c r="J734" s="137">
        <f t="shared" si="103"/>
        <v>0</v>
      </c>
      <c r="K734" s="66">
        <f>'Final Building Profile'!L84</f>
        <v>0</v>
      </c>
      <c r="L734" s="66">
        <f t="shared" si="116"/>
        <v>0</v>
      </c>
      <c r="M734">
        <f>'Final Building Profile'!M84</f>
        <v>0</v>
      </c>
      <c r="N734" s="66">
        <f t="shared" si="104"/>
        <v>0</v>
      </c>
      <c r="O734" s="66">
        <f t="shared" si="105"/>
        <v>0</v>
      </c>
      <c r="P734" s="66">
        <f t="shared" si="106"/>
        <v>0</v>
      </c>
      <c r="Q734" s="204">
        <f>'Final Building Profile'!K84</f>
        <v>0</v>
      </c>
      <c r="R734" s="66">
        <f t="shared" si="117"/>
        <v>0</v>
      </c>
      <c r="S734" s="65">
        <f>'Final Building Profile'!N84-'Final Building Profile'!O84</f>
        <v>0</v>
      </c>
      <c r="T734" s="65">
        <f t="shared" si="107"/>
        <v>0</v>
      </c>
      <c r="U734" s="204">
        <f>'Final Building Profile'!Q84</f>
        <v>0</v>
      </c>
      <c r="V734" s="65">
        <f>IF('Final Building Profile'!P84&lt;&gt;"", U734, 0) * T734</f>
        <v>0</v>
      </c>
      <c r="W734" s="266">
        <f t="shared" si="108"/>
        <v>0</v>
      </c>
      <c r="X734" s="266">
        <f t="shared" si="118"/>
        <v>0</v>
      </c>
      <c r="Y734" s="266" t="e">
        <f t="shared" si="109"/>
        <v>#DIV/0!</v>
      </c>
      <c r="Z734" s="266" t="e">
        <f t="shared" si="110"/>
        <v>#DIV/0!</v>
      </c>
      <c r="AA734" s="266" t="e">
        <f t="shared" si="111"/>
        <v>#DIV/0!</v>
      </c>
      <c r="AB734" s="65" t="e">
        <f t="shared" si="112"/>
        <v>#N/A</v>
      </c>
      <c r="AC734" s="65" t="e">
        <f t="shared" si="113"/>
        <v>#N/A</v>
      </c>
      <c r="AD734" s="65" t="e">
        <f t="shared" si="114"/>
        <v>#N/A</v>
      </c>
      <c r="AE734" s="65" t="e">
        <f t="shared" si="115"/>
        <v>#N/A</v>
      </c>
    </row>
    <row r="735" spans="1:31" ht="15" customHeight="1">
      <c r="A735">
        <f>'Final Building Profile'!A85</f>
        <v>82</v>
      </c>
      <c r="B735">
        <f>'Final Building Profile'!D85</f>
        <v>0</v>
      </c>
      <c r="C735">
        <f>'Final Building Profile'!E85</f>
        <v>0</v>
      </c>
      <c r="D735">
        <f>'Final Building Profile'!F85</f>
        <v>0</v>
      </c>
      <c r="E735" s="265">
        <f>'Final Building Profile'!G85</f>
        <v>0</v>
      </c>
      <c r="F735" s="265">
        <f>'Final Building Profile'!H85</f>
        <v>0</v>
      </c>
      <c r="G735" s="265">
        <f>'Final Building Profile'!I85</f>
        <v>0</v>
      </c>
      <c r="H735" s="197">
        <f t="shared" si="101"/>
        <v>0</v>
      </c>
      <c r="I735" s="197">
        <f t="shared" si="102"/>
        <v>0</v>
      </c>
      <c r="J735" s="137">
        <f t="shared" si="103"/>
        <v>0</v>
      </c>
      <c r="K735" s="66">
        <f>'Final Building Profile'!L85</f>
        <v>0</v>
      </c>
      <c r="L735" s="66">
        <f t="shared" si="116"/>
        <v>0</v>
      </c>
      <c r="M735">
        <f>'Final Building Profile'!M85</f>
        <v>0</v>
      </c>
      <c r="N735" s="66">
        <f t="shared" si="104"/>
        <v>0</v>
      </c>
      <c r="O735" s="66">
        <f t="shared" si="105"/>
        <v>0</v>
      </c>
      <c r="P735" s="66">
        <f t="shared" si="106"/>
        <v>0</v>
      </c>
      <c r="Q735" s="204">
        <f>'Final Building Profile'!K85</f>
        <v>0</v>
      </c>
      <c r="R735" s="66">
        <f t="shared" si="117"/>
        <v>0</v>
      </c>
      <c r="S735" s="65">
        <f>'Final Building Profile'!N85-'Final Building Profile'!O85</f>
        <v>0</v>
      </c>
      <c r="T735" s="65">
        <f t="shared" si="107"/>
        <v>0</v>
      </c>
      <c r="U735" s="204">
        <f>'Final Building Profile'!Q85</f>
        <v>0</v>
      </c>
      <c r="V735" s="65">
        <f>IF('Final Building Profile'!P85&lt;&gt;"", U735, 0) * T735</f>
        <v>0</v>
      </c>
      <c r="W735" s="266">
        <f t="shared" si="108"/>
        <v>0</v>
      </c>
      <c r="X735" s="266">
        <f t="shared" si="118"/>
        <v>0</v>
      </c>
      <c r="Y735" s="266" t="e">
        <f t="shared" si="109"/>
        <v>#DIV/0!</v>
      </c>
      <c r="Z735" s="266" t="e">
        <f t="shared" si="110"/>
        <v>#DIV/0!</v>
      </c>
      <c r="AA735" s="266" t="e">
        <f t="shared" si="111"/>
        <v>#DIV/0!</v>
      </c>
      <c r="AB735" s="65" t="e">
        <f t="shared" si="112"/>
        <v>#N/A</v>
      </c>
      <c r="AC735" s="65" t="e">
        <f t="shared" si="113"/>
        <v>#N/A</v>
      </c>
      <c r="AD735" s="65" t="e">
        <f t="shared" si="114"/>
        <v>#N/A</v>
      </c>
      <c r="AE735" s="65" t="e">
        <f t="shared" si="115"/>
        <v>#N/A</v>
      </c>
    </row>
    <row r="736" spans="1:31" ht="15" customHeight="1">
      <c r="A736">
        <f>'Final Building Profile'!A86</f>
        <v>83</v>
      </c>
      <c r="B736">
        <f>'Final Building Profile'!D86</f>
        <v>0</v>
      </c>
      <c r="C736">
        <f>'Final Building Profile'!E86</f>
        <v>0</v>
      </c>
      <c r="D736">
        <f>'Final Building Profile'!F86</f>
        <v>0</v>
      </c>
      <c r="E736" s="265">
        <f>'Final Building Profile'!G86</f>
        <v>0</v>
      </c>
      <c r="F736" s="265">
        <f>'Final Building Profile'!H86</f>
        <v>0</v>
      </c>
      <c r="G736" s="265">
        <f>'Final Building Profile'!I86</f>
        <v>0</v>
      </c>
      <c r="H736" s="197">
        <f t="shared" si="101"/>
        <v>0</v>
      </c>
      <c r="I736" s="197">
        <f t="shared" si="102"/>
        <v>0</v>
      </c>
      <c r="J736" s="137">
        <f t="shared" si="103"/>
        <v>0</v>
      </c>
      <c r="K736" s="66">
        <f>'Final Building Profile'!L86</f>
        <v>0</v>
      </c>
      <c r="L736" s="66">
        <f t="shared" si="116"/>
        <v>0</v>
      </c>
      <c r="M736">
        <f>'Final Building Profile'!M86</f>
        <v>0</v>
      </c>
      <c r="N736" s="66">
        <f t="shared" si="104"/>
        <v>0</v>
      </c>
      <c r="O736" s="66">
        <f t="shared" si="105"/>
        <v>0</v>
      </c>
      <c r="P736" s="66">
        <f t="shared" si="106"/>
        <v>0</v>
      </c>
      <c r="Q736" s="204">
        <f>'Final Building Profile'!K86</f>
        <v>0</v>
      </c>
      <c r="R736" s="66">
        <f t="shared" si="117"/>
        <v>0</v>
      </c>
      <c r="S736" s="65">
        <f>'Final Building Profile'!N86-'Final Building Profile'!O86</f>
        <v>0</v>
      </c>
      <c r="T736" s="65">
        <f t="shared" si="107"/>
        <v>0</v>
      </c>
      <c r="U736" s="204">
        <f>'Final Building Profile'!Q86</f>
        <v>0</v>
      </c>
      <c r="V736" s="65">
        <f>IF('Final Building Profile'!P86&lt;&gt;"", U736, 0) * T736</f>
        <v>0</v>
      </c>
      <c r="W736" s="266">
        <f t="shared" si="108"/>
        <v>0</v>
      </c>
      <c r="X736" s="266">
        <f t="shared" si="118"/>
        <v>0</v>
      </c>
      <c r="Y736" s="266" t="e">
        <f t="shared" si="109"/>
        <v>#DIV/0!</v>
      </c>
      <c r="Z736" s="266" t="e">
        <f t="shared" si="110"/>
        <v>#DIV/0!</v>
      </c>
      <c r="AA736" s="266" t="e">
        <f t="shared" si="111"/>
        <v>#DIV/0!</v>
      </c>
      <c r="AB736" s="65" t="e">
        <f t="shared" si="112"/>
        <v>#N/A</v>
      </c>
      <c r="AC736" s="65" t="e">
        <f t="shared" si="113"/>
        <v>#N/A</v>
      </c>
      <c r="AD736" s="65" t="e">
        <f t="shared" si="114"/>
        <v>#N/A</v>
      </c>
      <c r="AE736" s="65" t="e">
        <f t="shared" si="115"/>
        <v>#N/A</v>
      </c>
    </row>
    <row r="737" spans="1:31" ht="15" customHeight="1">
      <c r="A737">
        <f>'Final Building Profile'!A87</f>
        <v>84</v>
      </c>
      <c r="B737">
        <f>'Final Building Profile'!D87</f>
        <v>0</v>
      </c>
      <c r="C737">
        <f>'Final Building Profile'!E87</f>
        <v>0</v>
      </c>
      <c r="D737">
        <f>'Final Building Profile'!F87</f>
        <v>0</v>
      </c>
      <c r="E737" s="265">
        <f>'Final Building Profile'!G87</f>
        <v>0</v>
      </c>
      <c r="F737" s="265">
        <f>'Final Building Profile'!H87</f>
        <v>0</v>
      </c>
      <c r="G737" s="265">
        <f>'Final Building Profile'!I87</f>
        <v>0</v>
      </c>
      <c r="H737" s="197">
        <f t="shared" si="101"/>
        <v>0</v>
      </c>
      <c r="I737" s="197">
        <f t="shared" si="102"/>
        <v>0</v>
      </c>
      <c r="J737" s="137">
        <f t="shared" si="103"/>
        <v>0</v>
      </c>
      <c r="K737" s="66">
        <f>'Final Building Profile'!L87</f>
        <v>0</v>
      </c>
      <c r="L737" s="66">
        <f t="shared" si="116"/>
        <v>0</v>
      </c>
      <c r="M737">
        <f>'Final Building Profile'!M87</f>
        <v>0</v>
      </c>
      <c r="N737" s="66">
        <f t="shared" si="104"/>
        <v>0</v>
      </c>
      <c r="O737" s="66">
        <f t="shared" si="105"/>
        <v>0</v>
      </c>
      <c r="P737" s="66">
        <f t="shared" si="106"/>
        <v>0</v>
      </c>
      <c r="Q737" s="204">
        <f>'Final Building Profile'!K87</f>
        <v>0</v>
      </c>
      <c r="R737" s="66">
        <f t="shared" si="117"/>
        <v>0</v>
      </c>
      <c r="S737" s="65">
        <f>'Final Building Profile'!N87-'Final Building Profile'!O87</f>
        <v>0</v>
      </c>
      <c r="T737" s="65">
        <f t="shared" si="107"/>
        <v>0</v>
      </c>
      <c r="U737" s="204">
        <f>'Final Building Profile'!Q87</f>
        <v>0</v>
      </c>
      <c r="V737" s="65">
        <f>IF('Final Building Profile'!P87&lt;&gt;"", U737, 0) * T737</f>
        <v>0</v>
      </c>
      <c r="W737" s="266">
        <f t="shared" si="108"/>
        <v>0</v>
      </c>
      <c r="X737" s="266">
        <f t="shared" si="118"/>
        <v>0</v>
      </c>
      <c r="Y737" s="266" t="e">
        <f t="shared" si="109"/>
        <v>#DIV/0!</v>
      </c>
      <c r="Z737" s="266" t="e">
        <f t="shared" si="110"/>
        <v>#DIV/0!</v>
      </c>
      <c r="AA737" s="266" t="e">
        <f t="shared" si="111"/>
        <v>#DIV/0!</v>
      </c>
      <c r="AB737" s="65" t="e">
        <f t="shared" si="112"/>
        <v>#N/A</v>
      </c>
      <c r="AC737" s="65" t="e">
        <f t="shared" si="113"/>
        <v>#N/A</v>
      </c>
      <c r="AD737" s="65" t="e">
        <f t="shared" si="114"/>
        <v>#N/A</v>
      </c>
      <c r="AE737" s="65" t="e">
        <f t="shared" si="115"/>
        <v>#N/A</v>
      </c>
    </row>
    <row r="738" spans="1:31" ht="15" customHeight="1">
      <c r="A738">
        <f>'Final Building Profile'!A88</f>
        <v>85</v>
      </c>
      <c r="B738">
        <f>'Final Building Profile'!D88</f>
        <v>0</v>
      </c>
      <c r="C738">
        <f>'Final Building Profile'!E88</f>
        <v>0</v>
      </c>
      <c r="D738">
        <f>'Final Building Profile'!F88</f>
        <v>0</v>
      </c>
      <c r="E738" s="265">
        <f>'Final Building Profile'!G88</f>
        <v>0</v>
      </c>
      <c r="F738" s="265">
        <f>'Final Building Profile'!H88</f>
        <v>0</v>
      </c>
      <c r="G738" s="265">
        <f>'Final Building Profile'!I88</f>
        <v>0</v>
      </c>
      <c r="H738" s="197">
        <f t="shared" si="101"/>
        <v>0</v>
      </c>
      <c r="I738" s="197">
        <f t="shared" si="102"/>
        <v>0</v>
      </c>
      <c r="J738" s="137">
        <f t="shared" si="103"/>
        <v>0</v>
      </c>
      <c r="K738" s="66">
        <f>'Final Building Profile'!L88</f>
        <v>0</v>
      </c>
      <c r="L738" s="66">
        <f t="shared" si="116"/>
        <v>0</v>
      </c>
      <c r="M738">
        <f>'Final Building Profile'!M88</f>
        <v>0</v>
      </c>
      <c r="N738" s="66">
        <f t="shared" si="104"/>
        <v>0</v>
      </c>
      <c r="O738" s="66">
        <f t="shared" si="105"/>
        <v>0</v>
      </c>
      <c r="P738" s="66">
        <f t="shared" si="106"/>
        <v>0</v>
      </c>
      <c r="Q738" s="204">
        <f>'Final Building Profile'!K88</f>
        <v>0</v>
      </c>
      <c r="R738" s="66">
        <f t="shared" si="117"/>
        <v>0</v>
      </c>
      <c r="S738" s="65">
        <f>'Final Building Profile'!N88-'Final Building Profile'!O88</f>
        <v>0</v>
      </c>
      <c r="T738" s="65">
        <f t="shared" si="107"/>
        <v>0</v>
      </c>
      <c r="U738" s="204">
        <f>'Final Building Profile'!Q88</f>
        <v>0</v>
      </c>
      <c r="V738" s="65">
        <f>IF('Final Building Profile'!P88&lt;&gt;"", U738, 0) * T738</f>
        <v>0</v>
      </c>
      <c r="W738" s="266">
        <f t="shared" si="108"/>
        <v>0</v>
      </c>
      <c r="X738" s="266">
        <f t="shared" si="118"/>
        <v>0</v>
      </c>
      <c r="Y738" s="266" t="e">
        <f t="shared" si="109"/>
        <v>#DIV/0!</v>
      </c>
      <c r="Z738" s="266" t="e">
        <f t="shared" si="110"/>
        <v>#DIV/0!</v>
      </c>
      <c r="AA738" s="266" t="e">
        <f t="shared" si="111"/>
        <v>#DIV/0!</v>
      </c>
      <c r="AB738" s="65" t="e">
        <f t="shared" si="112"/>
        <v>#N/A</v>
      </c>
      <c r="AC738" s="65" t="e">
        <f t="shared" si="113"/>
        <v>#N/A</v>
      </c>
      <c r="AD738" s="65" t="e">
        <f t="shared" si="114"/>
        <v>#N/A</v>
      </c>
      <c r="AE738" s="65" t="e">
        <f t="shared" si="115"/>
        <v>#N/A</v>
      </c>
    </row>
    <row r="739" spans="1:31" ht="15" customHeight="1">
      <c r="A739">
        <f>'Final Building Profile'!A89</f>
        <v>86</v>
      </c>
      <c r="B739">
        <f>'Final Building Profile'!D89</f>
        <v>0</v>
      </c>
      <c r="C739">
        <f>'Final Building Profile'!E89</f>
        <v>0</v>
      </c>
      <c r="D739">
        <f>'Final Building Profile'!F89</f>
        <v>0</v>
      </c>
      <c r="E739" s="265">
        <f>'Final Building Profile'!G89</f>
        <v>0</v>
      </c>
      <c r="F739" s="265">
        <f>'Final Building Profile'!H89</f>
        <v>0</v>
      </c>
      <c r="G739" s="265">
        <f>'Final Building Profile'!I89</f>
        <v>0</v>
      </c>
      <c r="H739" s="197">
        <f t="shared" si="101"/>
        <v>0</v>
      </c>
      <c r="I739" s="197">
        <f t="shared" si="102"/>
        <v>0</v>
      </c>
      <c r="J739" s="137">
        <f t="shared" si="103"/>
        <v>0</v>
      </c>
      <c r="K739" s="66">
        <f>'Final Building Profile'!L89</f>
        <v>0</v>
      </c>
      <c r="L739" s="66">
        <f t="shared" si="116"/>
        <v>0</v>
      </c>
      <c r="M739">
        <f>'Final Building Profile'!M89</f>
        <v>0</v>
      </c>
      <c r="N739" s="66">
        <f t="shared" si="104"/>
        <v>0</v>
      </c>
      <c r="O739" s="66">
        <f t="shared" si="105"/>
        <v>0</v>
      </c>
      <c r="P739" s="66">
        <f t="shared" si="106"/>
        <v>0</v>
      </c>
      <c r="Q739" s="204">
        <f>'Final Building Profile'!K89</f>
        <v>0</v>
      </c>
      <c r="R739" s="66">
        <f t="shared" si="117"/>
        <v>0</v>
      </c>
      <c r="S739" s="65">
        <f>'Final Building Profile'!N89-'Final Building Profile'!O89</f>
        <v>0</v>
      </c>
      <c r="T739" s="65">
        <f t="shared" si="107"/>
        <v>0</v>
      </c>
      <c r="U739" s="204">
        <f>'Final Building Profile'!Q89</f>
        <v>0</v>
      </c>
      <c r="V739" s="65">
        <f>IF('Final Building Profile'!P89&lt;&gt;"", U739, 0) * T739</f>
        <v>0</v>
      </c>
      <c r="W739" s="266">
        <f t="shared" si="108"/>
        <v>0</v>
      </c>
      <c r="X739" s="266">
        <f t="shared" si="118"/>
        <v>0</v>
      </c>
      <c r="Y739" s="266" t="e">
        <f t="shared" si="109"/>
        <v>#DIV/0!</v>
      </c>
      <c r="Z739" s="266" t="e">
        <f t="shared" si="110"/>
        <v>#DIV/0!</v>
      </c>
      <c r="AA739" s="266" t="e">
        <f t="shared" si="111"/>
        <v>#DIV/0!</v>
      </c>
      <c r="AB739" s="65" t="e">
        <f t="shared" si="112"/>
        <v>#N/A</v>
      </c>
      <c r="AC739" s="65" t="e">
        <f t="shared" si="113"/>
        <v>#N/A</v>
      </c>
      <c r="AD739" s="65" t="e">
        <f t="shared" si="114"/>
        <v>#N/A</v>
      </c>
      <c r="AE739" s="65" t="e">
        <f t="shared" si="115"/>
        <v>#N/A</v>
      </c>
    </row>
    <row r="740" spans="1:31" ht="15" customHeight="1">
      <c r="A740">
        <f>'Final Building Profile'!A90</f>
        <v>87</v>
      </c>
      <c r="B740">
        <f>'Final Building Profile'!D90</f>
        <v>0</v>
      </c>
      <c r="C740">
        <f>'Final Building Profile'!E90</f>
        <v>0</v>
      </c>
      <c r="D740">
        <f>'Final Building Profile'!F90</f>
        <v>0</v>
      </c>
      <c r="E740" s="265">
        <f>'Final Building Profile'!G90</f>
        <v>0</v>
      </c>
      <c r="F740" s="265">
        <f>'Final Building Profile'!H90</f>
        <v>0</v>
      </c>
      <c r="G740" s="265">
        <f>'Final Building Profile'!I90</f>
        <v>0</v>
      </c>
      <c r="H740" s="197">
        <f t="shared" si="101"/>
        <v>0</v>
      </c>
      <c r="I740" s="197">
        <f t="shared" si="102"/>
        <v>0</v>
      </c>
      <c r="J740" s="137">
        <f t="shared" si="103"/>
        <v>0</v>
      </c>
      <c r="K740" s="66">
        <f>'Final Building Profile'!L90</f>
        <v>0</v>
      </c>
      <c r="L740" s="66">
        <f t="shared" si="116"/>
        <v>0</v>
      </c>
      <c r="M740">
        <f>'Final Building Profile'!M90</f>
        <v>0</v>
      </c>
      <c r="N740" s="66">
        <f t="shared" si="104"/>
        <v>0</v>
      </c>
      <c r="O740" s="66">
        <f t="shared" si="105"/>
        <v>0</v>
      </c>
      <c r="P740" s="66">
        <f t="shared" si="106"/>
        <v>0</v>
      </c>
      <c r="Q740" s="204">
        <f>'Final Building Profile'!K90</f>
        <v>0</v>
      </c>
      <c r="R740" s="66">
        <f t="shared" si="117"/>
        <v>0</v>
      </c>
      <c r="S740" s="65">
        <f>'Final Building Profile'!N90-'Final Building Profile'!O90</f>
        <v>0</v>
      </c>
      <c r="T740" s="65">
        <f t="shared" si="107"/>
        <v>0</v>
      </c>
      <c r="U740" s="204">
        <f>'Final Building Profile'!Q90</f>
        <v>0</v>
      </c>
      <c r="V740" s="65">
        <f>IF('Final Building Profile'!P90&lt;&gt;"", U740, 0) * T740</f>
        <v>0</v>
      </c>
      <c r="W740" s="266">
        <f t="shared" si="108"/>
        <v>0</v>
      </c>
      <c r="X740" s="266">
        <f t="shared" si="118"/>
        <v>0</v>
      </c>
      <c r="Y740" s="266" t="e">
        <f t="shared" si="109"/>
        <v>#DIV/0!</v>
      </c>
      <c r="Z740" s="266" t="e">
        <f t="shared" si="110"/>
        <v>#DIV/0!</v>
      </c>
      <c r="AA740" s="266" t="e">
        <f t="shared" si="111"/>
        <v>#DIV/0!</v>
      </c>
      <c r="AB740" s="65" t="e">
        <f t="shared" si="112"/>
        <v>#N/A</v>
      </c>
      <c r="AC740" s="65" t="e">
        <f t="shared" si="113"/>
        <v>#N/A</v>
      </c>
      <c r="AD740" s="65" t="e">
        <f t="shared" si="114"/>
        <v>#N/A</v>
      </c>
      <c r="AE740" s="65" t="e">
        <f t="shared" si="115"/>
        <v>#N/A</v>
      </c>
    </row>
    <row r="741" spans="1:31" ht="15" customHeight="1">
      <c r="A741">
        <f>'Final Building Profile'!A91</f>
        <v>88</v>
      </c>
      <c r="B741">
        <f>'Final Building Profile'!D91</f>
        <v>0</v>
      </c>
      <c r="C741">
        <f>'Final Building Profile'!E91</f>
        <v>0</v>
      </c>
      <c r="D741">
        <f>'Final Building Profile'!F91</f>
        <v>0</v>
      </c>
      <c r="E741" s="265">
        <f>'Final Building Profile'!G91</f>
        <v>0</v>
      </c>
      <c r="F741" s="265">
        <f>'Final Building Profile'!H91</f>
        <v>0</v>
      </c>
      <c r="G741" s="265">
        <f>'Final Building Profile'!I91</f>
        <v>0</v>
      </c>
      <c r="H741" s="197">
        <f t="shared" si="101"/>
        <v>0</v>
      </c>
      <c r="I741" s="197">
        <f t="shared" si="102"/>
        <v>0</v>
      </c>
      <c r="J741" s="137">
        <f t="shared" si="103"/>
        <v>0</v>
      </c>
      <c r="K741" s="66">
        <f>'Final Building Profile'!L91</f>
        <v>0</v>
      </c>
      <c r="L741" s="66">
        <f t="shared" si="116"/>
        <v>0</v>
      </c>
      <c r="M741">
        <f>'Final Building Profile'!M91</f>
        <v>0</v>
      </c>
      <c r="N741" s="66">
        <f t="shared" si="104"/>
        <v>0</v>
      </c>
      <c r="O741" s="66">
        <f t="shared" si="105"/>
        <v>0</v>
      </c>
      <c r="P741" s="66">
        <f t="shared" si="106"/>
        <v>0</v>
      </c>
      <c r="Q741" s="204">
        <f>'Final Building Profile'!K91</f>
        <v>0</v>
      </c>
      <c r="R741" s="66">
        <f t="shared" si="117"/>
        <v>0</v>
      </c>
      <c r="S741" s="65">
        <f>'Final Building Profile'!N91-'Final Building Profile'!O91</f>
        <v>0</v>
      </c>
      <c r="T741" s="65">
        <f t="shared" si="107"/>
        <v>0</v>
      </c>
      <c r="U741" s="204">
        <f>'Final Building Profile'!Q91</f>
        <v>0</v>
      </c>
      <c r="V741" s="65">
        <f>IF('Final Building Profile'!P91&lt;&gt;"", U741, 0) * T741</f>
        <v>0</v>
      </c>
      <c r="W741" s="266">
        <f t="shared" si="108"/>
        <v>0</v>
      </c>
      <c r="X741" s="266">
        <f t="shared" si="118"/>
        <v>0</v>
      </c>
      <c r="Y741" s="266" t="e">
        <f t="shared" si="109"/>
        <v>#DIV/0!</v>
      </c>
      <c r="Z741" s="266" t="e">
        <f t="shared" si="110"/>
        <v>#DIV/0!</v>
      </c>
      <c r="AA741" s="266" t="e">
        <f t="shared" si="111"/>
        <v>#DIV/0!</v>
      </c>
      <c r="AB741" s="65" t="e">
        <f t="shared" si="112"/>
        <v>#N/A</v>
      </c>
      <c r="AC741" s="65" t="e">
        <f t="shared" si="113"/>
        <v>#N/A</v>
      </c>
      <c r="AD741" s="65" t="e">
        <f t="shared" si="114"/>
        <v>#N/A</v>
      </c>
      <c r="AE741" s="65" t="e">
        <f t="shared" si="115"/>
        <v>#N/A</v>
      </c>
    </row>
    <row r="742" spans="1:31" ht="15" customHeight="1">
      <c r="A742">
        <f>'Final Building Profile'!A92</f>
        <v>89</v>
      </c>
      <c r="B742">
        <f>'Final Building Profile'!D92</f>
        <v>0</v>
      </c>
      <c r="C742">
        <f>'Final Building Profile'!E92</f>
        <v>0</v>
      </c>
      <c r="D742">
        <f>'Final Building Profile'!F92</f>
        <v>0</v>
      </c>
      <c r="E742" s="265">
        <f>'Final Building Profile'!G92</f>
        <v>0</v>
      </c>
      <c r="F742" s="265">
        <f>'Final Building Profile'!H92</f>
        <v>0</v>
      </c>
      <c r="G742" s="265">
        <f>'Final Building Profile'!I92</f>
        <v>0</v>
      </c>
      <c r="H742" s="197">
        <f t="shared" si="101"/>
        <v>0</v>
      </c>
      <c r="I742" s="197">
        <f t="shared" si="102"/>
        <v>0</v>
      </c>
      <c r="J742" s="137">
        <f t="shared" si="103"/>
        <v>0</v>
      </c>
      <c r="K742" s="66">
        <f>'Final Building Profile'!L92</f>
        <v>0</v>
      </c>
      <c r="L742" s="66">
        <f t="shared" si="116"/>
        <v>0</v>
      </c>
      <c r="M742">
        <f>'Final Building Profile'!M92</f>
        <v>0</v>
      </c>
      <c r="N742" s="66">
        <f t="shared" si="104"/>
        <v>0</v>
      </c>
      <c r="O742" s="66">
        <f t="shared" si="105"/>
        <v>0</v>
      </c>
      <c r="P742" s="66">
        <f t="shared" si="106"/>
        <v>0</v>
      </c>
      <c r="Q742" s="204">
        <f>'Final Building Profile'!K92</f>
        <v>0</v>
      </c>
      <c r="R742" s="66">
        <f t="shared" si="117"/>
        <v>0</v>
      </c>
      <c r="S742" s="65">
        <f>'Final Building Profile'!N92-'Final Building Profile'!O92</f>
        <v>0</v>
      </c>
      <c r="T742" s="65">
        <f t="shared" si="107"/>
        <v>0</v>
      </c>
      <c r="U742" s="204">
        <f>'Final Building Profile'!Q92</f>
        <v>0</v>
      </c>
      <c r="V742" s="65">
        <f>IF('Final Building Profile'!P92&lt;&gt;"", U742, 0) * T742</f>
        <v>0</v>
      </c>
      <c r="W742" s="266">
        <f t="shared" si="108"/>
        <v>0</v>
      </c>
      <c r="X742" s="266">
        <f t="shared" si="118"/>
        <v>0</v>
      </c>
      <c r="Y742" s="266" t="e">
        <f t="shared" si="109"/>
        <v>#DIV/0!</v>
      </c>
      <c r="Z742" s="266" t="e">
        <f t="shared" si="110"/>
        <v>#DIV/0!</v>
      </c>
      <c r="AA742" s="266" t="e">
        <f t="shared" si="111"/>
        <v>#DIV/0!</v>
      </c>
      <c r="AB742" s="65" t="e">
        <f t="shared" si="112"/>
        <v>#N/A</v>
      </c>
      <c r="AC742" s="65" t="e">
        <f t="shared" si="113"/>
        <v>#N/A</v>
      </c>
      <c r="AD742" s="65" t="e">
        <f t="shared" si="114"/>
        <v>#N/A</v>
      </c>
      <c r="AE742" s="65" t="e">
        <f t="shared" si="115"/>
        <v>#N/A</v>
      </c>
    </row>
    <row r="743" spans="1:31" ht="15" customHeight="1">
      <c r="A743">
        <f>'Final Building Profile'!A93</f>
        <v>90</v>
      </c>
      <c r="B743">
        <f>'Final Building Profile'!D93</f>
        <v>0</v>
      </c>
      <c r="C743">
        <f>'Final Building Profile'!E93</f>
        <v>0</v>
      </c>
      <c r="D743">
        <f>'Final Building Profile'!F93</f>
        <v>0</v>
      </c>
      <c r="E743" s="265">
        <f>'Final Building Profile'!G93</f>
        <v>0</v>
      </c>
      <c r="F743" s="265">
        <f>'Final Building Profile'!H93</f>
        <v>0</v>
      </c>
      <c r="G743" s="265">
        <f>'Final Building Profile'!I93</f>
        <v>0</v>
      </c>
      <c r="H743" s="197">
        <f t="shared" si="101"/>
        <v>0</v>
      </c>
      <c r="I743" s="197">
        <f t="shared" si="102"/>
        <v>0</v>
      </c>
      <c r="J743" s="137">
        <f t="shared" si="103"/>
        <v>0</v>
      </c>
      <c r="K743" s="66">
        <f>'Final Building Profile'!L93</f>
        <v>0</v>
      </c>
      <c r="L743" s="66">
        <f t="shared" si="116"/>
        <v>0</v>
      </c>
      <c r="M743">
        <f>'Final Building Profile'!M93</f>
        <v>0</v>
      </c>
      <c r="N743" s="66">
        <f t="shared" si="104"/>
        <v>0</v>
      </c>
      <c r="O743" s="66">
        <f t="shared" si="105"/>
        <v>0</v>
      </c>
      <c r="P743" s="66">
        <f t="shared" si="106"/>
        <v>0</v>
      </c>
      <c r="Q743" s="204">
        <f>'Final Building Profile'!K93</f>
        <v>0</v>
      </c>
      <c r="R743" s="66">
        <f t="shared" si="117"/>
        <v>0</v>
      </c>
      <c r="S743" s="65">
        <f>'Final Building Profile'!N93-'Final Building Profile'!O93</f>
        <v>0</v>
      </c>
      <c r="T743" s="65">
        <f t="shared" si="107"/>
        <v>0</v>
      </c>
      <c r="U743" s="204">
        <f>'Final Building Profile'!Q93</f>
        <v>0</v>
      </c>
      <c r="V743" s="65">
        <f>IF('Final Building Profile'!P93&lt;&gt;"", U743, 0) * T743</f>
        <v>0</v>
      </c>
      <c r="W743" s="266">
        <f t="shared" si="108"/>
        <v>0</v>
      </c>
      <c r="X743" s="266">
        <f t="shared" si="118"/>
        <v>0</v>
      </c>
      <c r="Y743" s="266" t="e">
        <f t="shared" si="109"/>
        <v>#DIV/0!</v>
      </c>
      <c r="Z743" s="266" t="e">
        <f t="shared" si="110"/>
        <v>#DIV/0!</v>
      </c>
      <c r="AA743" s="266" t="e">
        <f t="shared" si="111"/>
        <v>#DIV/0!</v>
      </c>
      <c r="AB743" s="65" t="e">
        <f t="shared" si="112"/>
        <v>#N/A</v>
      </c>
      <c r="AC743" s="65" t="e">
        <f t="shared" si="113"/>
        <v>#N/A</v>
      </c>
      <c r="AD743" s="65" t="e">
        <f t="shared" si="114"/>
        <v>#N/A</v>
      </c>
      <c r="AE743" s="65" t="e">
        <f t="shared" si="115"/>
        <v>#N/A</v>
      </c>
    </row>
    <row r="744" spans="1:31" ht="15" customHeight="1">
      <c r="A744">
        <f>'Final Building Profile'!A94</f>
        <v>91</v>
      </c>
      <c r="B744">
        <f>'Final Building Profile'!D94</f>
        <v>0</v>
      </c>
      <c r="C744">
        <f>'Final Building Profile'!E94</f>
        <v>0</v>
      </c>
      <c r="D744">
        <f>'Final Building Profile'!F94</f>
        <v>0</v>
      </c>
      <c r="E744" s="265">
        <f>'Final Building Profile'!G94</f>
        <v>0</v>
      </c>
      <c r="F744" s="265">
        <f>'Final Building Profile'!H94</f>
        <v>0</v>
      </c>
      <c r="G744" s="265">
        <f>'Final Building Profile'!I94</f>
        <v>0</v>
      </c>
      <c r="H744" s="197">
        <f t="shared" si="101"/>
        <v>0</v>
      </c>
      <c r="I744" s="197">
        <f t="shared" si="102"/>
        <v>0</v>
      </c>
      <c r="J744" s="137">
        <f t="shared" si="103"/>
        <v>0</v>
      </c>
      <c r="K744" s="66">
        <f>'Final Building Profile'!L94</f>
        <v>0</v>
      </c>
      <c r="L744" s="66">
        <f t="shared" si="116"/>
        <v>0</v>
      </c>
      <c r="M744">
        <f>'Final Building Profile'!M94</f>
        <v>0</v>
      </c>
      <c r="N744" s="66">
        <f t="shared" si="104"/>
        <v>0</v>
      </c>
      <c r="O744" s="66">
        <f t="shared" si="105"/>
        <v>0</v>
      </c>
      <c r="P744" s="66">
        <f t="shared" si="106"/>
        <v>0</v>
      </c>
      <c r="Q744" s="204">
        <f>'Final Building Profile'!K94</f>
        <v>0</v>
      </c>
      <c r="R744" s="66">
        <f t="shared" si="117"/>
        <v>0</v>
      </c>
      <c r="S744" s="65">
        <f>'Final Building Profile'!N94-'Final Building Profile'!O94</f>
        <v>0</v>
      </c>
      <c r="T744" s="65">
        <f t="shared" si="107"/>
        <v>0</v>
      </c>
      <c r="U744" s="204">
        <f>'Final Building Profile'!Q94</f>
        <v>0</v>
      </c>
      <c r="V744" s="65">
        <f>IF('Final Building Profile'!P94&lt;&gt;"", U744, 0) * T744</f>
        <v>0</v>
      </c>
      <c r="W744" s="266">
        <f t="shared" si="108"/>
        <v>0</v>
      </c>
      <c r="X744" s="266">
        <f t="shared" si="118"/>
        <v>0</v>
      </c>
      <c r="Y744" s="266" t="e">
        <f t="shared" si="109"/>
        <v>#DIV/0!</v>
      </c>
      <c r="Z744" s="266" t="e">
        <f t="shared" si="110"/>
        <v>#DIV/0!</v>
      </c>
      <c r="AA744" s="266" t="e">
        <f t="shared" si="111"/>
        <v>#DIV/0!</v>
      </c>
      <c r="AB744" s="65" t="e">
        <f t="shared" si="112"/>
        <v>#N/A</v>
      </c>
      <c r="AC744" s="65" t="e">
        <f t="shared" si="113"/>
        <v>#N/A</v>
      </c>
      <c r="AD744" s="65" t="e">
        <f t="shared" si="114"/>
        <v>#N/A</v>
      </c>
      <c r="AE744" s="65" t="e">
        <f t="shared" si="115"/>
        <v>#N/A</v>
      </c>
    </row>
    <row r="745" spans="1:31" ht="15" customHeight="1">
      <c r="A745">
        <f>'Final Building Profile'!A95</f>
        <v>92</v>
      </c>
      <c r="B745">
        <f>'Final Building Profile'!D95</f>
        <v>0</v>
      </c>
      <c r="C745">
        <f>'Final Building Profile'!E95</f>
        <v>0</v>
      </c>
      <c r="D745">
        <f>'Final Building Profile'!F95</f>
        <v>0</v>
      </c>
      <c r="E745" s="265">
        <f>'Final Building Profile'!G95</f>
        <v>0</v>
      </c>
      <c r="F745" s="265">
        <f>'Final Building Profile'!H95</f>
        <v>0</v>
      </c>
      <c r="G745" s="265">
        <f>'Final Building Profile'!I95</f>
        <v>0</v>
      </c>
      <c r="H745" s="197">
        <f t="shared" si="101"/>
        <v>0</v>
      </c>
      <c r="I745" s="197">
        <f t="shared" si="102"/>
        <v>0</v>
      </c>
      <c r="J745" s="137">
        <f t="shared" si="103"/>
        <v>0</v>
      </c>
      <c r="K745" s="66">
        <f>'Final Building Profile'!L95</f>
        <v>0</v>
      </c>
      <c r="L745" s="66">
        <f t="shared" si="116"/>
        <v>0</v>
      </c>
      <c r="M745">
        <f>'Final Building Profile'!M95</f>
        <v>0</v>
      </c>
      <c r="N745" s="66">
        <f t="shared" si="104"/>
        <v>0</v>
      </c>
      <c r="O745" s="66">
        <f t="shared" si="105"/>
        <v>0</v>
      </c>
      <c r="P745" s="66">
        <f t="shared" si="106"/>
        <v>0</v>
      </c>
      <c r="Q745" s="204">
        <f>'Final Building Profile'!K95</f>
        <v>0</v>
      </c>
      <c r="R745" s="66">
        <f t="shared" si="117"/>
        <v>0</v>
      </c>
      <c r="S745" s="65">
        <f>'Final Building Profile'!N95-'Final Building Profile'!O95</f>
        <v>0</v>
      </c>
      <c r="T745" s="65">
        <f t="shared" si="107"/>
        <v>0</v>
      </c>
      <c r="U745" s="204">
        <f>'Final Building Profile'!Q95</f>
        <v>0</v>
      </c>
      <c r="V745" s="65">
        <f>IF('Final Building Profile'!P95&lt;&gt;"", U745, 0) * T745</f>
        <v>0</v>
      </c>
      <c r="W745" s="266">
        <f t="shared" si="108"/>
        <v>0</v>
      </c>
      <c r="X745" s="266">
        <f t="shared" si="118"/>
        <v>0</v>
      </c>
      <c r="Y745" s="266" t="e">
        <f t="shared" si="109"/>
        <v>#DIV/0!</v>
      </c>
      <c r="Z745" s="266" t="e">
        <f t="shared" si="110"/>
        <v>#DIV/0!</v>
      </c>
      <c r="AA745" s="266" t="e">
        <f t="shared" si="111"/>
        <v>#DIV/0!</v>
      </c>
      <c r="AB745" s="65" t="e">
        <f t="shared" si="112"/>
        <v>#N/A</v>
      </c>
      <c r="AC745" s="65" t="e">
        <f t="shared" si="113"/>
        <v>#N/A</v>
      </c>
      <c r="AD745" s="65" t="e">
        <f t="shared" si="114"/>
        <v>#N/A</v>
      </c>
      <c r="AE745" s="65" t="e">
        <f t="shared" si="115"/>
        <v>#N/A</v>
      </c>
    </row>
    <row r="746" spans="1:31" ht="15" customHeight="1">
      <c r="A746">
        <f>'Final Building Profile'!A96</f>
        <v>93</v>
      </c>
      <c r="B746">
        <f>'Final Building Profile'!D96</f>
        <v>0</v>
      </c>
      <c r="C746">
        <f>'Final Building Profile'!E96</f>
        <v>0</v>
      </c>
      <c r="D746">
        <f>'Final Building Profile'!F96</f>
        <v>0</v>
      </c>
      <c r="E746" s="265">
        <f>'Final Building Profile'!G96</f>
        <v>0</v>
      </c>
      <c r="F746" s="265">
        <f>'Final Building Profile'!H96</f>
        <v>0</v>
      </c>
      <c r="G746" s="265">
        <f>'Final Building Profile'!I96</f>
        <v>0</v>
      </c>
      <c r="H746" s="197">
        <f t="shared" si="101"/>
        <v>0</v>
      </c>
      <c r="I746" s="197">
        <f t="shared" si="102"/>
        <v>0</v>
      </c>
      <c r="J746" s="137">
        <f t="shared" si="103"/>
        <v>0</v>
      </c>
      <c r="K746" s="66">
        <f>'Final Building Profile'!L96</f>
        <v>0</v>
      </c>
      <c r="L746" s="66">
        <f t="shared" si="116"/>
        <v>0</v>
      </c>
      <c r="M746">
        <f>'Final Building Profile'!M96</f>
        <v>0</v>
      </c>
      <c r="N746" s="66">
        <f t="shared" si="104"/>
        <v>0</v>
      </c>
      <c r="O746" s="66">
        <f t="shared" si="105"/>
        <v>0</v>
      </c>
      <c r="P746" s="66">
        <f t="shared" si="106"/>
        <v>0</v>
      </c>
      <c r="Q746" s="204">
        <f>'Final Building Profile'!K96</f>
        <v>0</v>
      </c>
      <c r="R746" s="66">
        <f t="shared" si="117"/>
        <v>0</v>
      </c>
      <c r="S746" s="65">
        <f>'Final Building Profile'!N96-'Final Building Profile'!O96</f>
        <v>0</v>
      </c>
      <c r="T746" s="65">
        <f t="shared" si="107"/>
        <v>0</v>
      </c>
      <c r="U746" s="204">
        <f>'Final Building Profile'!Q96</f>
        <v>0</v>
      </c>
      <c r="V746" s="65">
        <f>IF('Final Building Profile'!P96&lt;&gt;"", U746, 0) * T746</f>
        <v>0</v>
      </c>
      <c r="W746" s="266">
        <f t="shared" si="108"/>
        <v>0</v>
      </c>
      <c r="X746" s="266">
        <f t="shared" si="118"/>
        <v>0</v>
      </c>
      <c r="Y746" s="266" t="e">
        <f t="shared" si="109"/>
        <v>#DIV/0!</v>
      </c>
      <c r="Z746" s="266" t="e">
        <f t="shared" si="110"/>
        <v>#DIV/0!</v>
      </c>
      <c r="AA746" s="266" t="e">
        <f t="shared" si="111"/>
        <v>#DIV/0!</v>
      </c>
      <c r="AB746" s="65" t="e">
        <f t="shared" si="112"/>
        <v>#N/A</v>
      </c>
      <c r="AC746" s="65" t="e">
        <f t="shared" si="113"/>
        <v>#N/A</v>
      </c>
      <c r="AD746" s="65" t="e">
        <f t="shared" si="114"/>
        <v>#N/A</v>
      </c>
      <c r="AE746" s="65" t="e">
        <f t="shared" si="115"/>
        <v>#N/A</v>
      </c>
    </row>
    <row r="747" spans="1:31" ht="15" customHeight="1">
      <c r="A747">
        <f>'Final Building Profile'!A97</f>
        <v>94</v>
      </c>
      <c r="B747">
        <f>'Final Building Profile'!D97</f>
        <v>0</v>
      </c>
      <c r="C747">
        <f>'Final Building Profile'!E97</f>
        <v>0</v>
      </c>
      <c r="D747">
        <f>'Final Building Profile'!F97</f>
        <v>0</v>
      </c>
      <c r="E747" s="265">
        <f>'Final Building Profile'!G97</f>
        <v>0</v>
      </c>
      <c r="F747" s="265">
        <f>'Final Building Profile'!H97</f>
        <v>0</v>
      </c>
      <c r="G747" s="265">
        <f>'Final Building Profile'!I97</f>
        <v>0</v>
      </c>
      <c r="H747" s="197">
        <f t="shared" si="101"/>
        <v>0</v>
      </c>
      <c r="I747" s="197">
        <f t="shared" si="102"/>
        <v>0</v>
      </c>
      <c r="J747" s="137">
        <f t="shared" si="103"/>
        <v>0</v>
      </c>
      <c r="K747" s="66">
        <f>'Final Building Profile'!L97</f>
        <v>0</v>
      </c>
      <c r="L747" s="66">
        <f t="shared" si="116"/>
        <v>0</v>
      </c>
      <c r="M747">
        <f>'Final Building Profile'!M97</f>
        <v>0</v>
      </c>
      <c r="N747" s="66">
        <f t="shared" si="104"/>
        <v>0</v>
      </c>
      <c r="O747" s="66">
        <f t="shared" si="105"/>
        <v>0</v>
      </c>
      <c r="P747" s="66">
        <f t="shared" si="106"/>
        <v>0</v>
      </c>
      <c r="Q747" s="204">
        <f>'Final Building Profile'!K97</f>
        <v>0</v>
      </c>
      <c r="R747" s="66">
        <f t="shared" si="117"/>
        <v>0</v>
      </c>
      <c r="S747" s="65">
        <f>'Final Building Profile'!N97-'Final Building Profile'!O97</f>
        <v>0</v>
      </c>
      <c r="T747" s="65">
        <f t="shared" si="107"/>
        <v>0</v>
      </c>
      <c r="U747" s="204">
        <f>'Final Building Profile'!Q97</f>
        <v>0</v>
      </c>
      <c r="V747" s="65">
        <f>IF('Final Building Profile'!P97&lt;&gt;"", U747, 0) * T747</f>
        <v>0</v>
      </c>
      <c r="W747" s="266">
        <f t="shared" si="108"/>
        <v>0</v>
      </c>
      <c r="X747" s="266">
        <f t="shared" si="118"/>
        <v>0</v>
      </c>
      <c r="Y747" s="266" t="e">
        <f t="shared" si="109"/>
        <v>#DIV/0!</v>
      </c>
      <c r="Z747" s="266" t="e">
        <f t="shared" si="110"/>
        <v>#DIV/0!</v>
      </c>
      <c r="AA747" s="266" t="e">
        <f t="shared" si="111"/>
        <v>#DIV/0!</v>
      </c>
      <c r="AB747" s="65" t="e">
        <f t="shared" si="112"/>
        <v>#N/A</v>
      </c>
      <c r="AC747" s="65" t="e">
        <f t="shared" si="113"/>
        <v>#N/A</v>
      </c>
      <c r="AD747" s="65" t="e">
        <f t="shared" si="114"/>
        <v>#N/A</v>
      </c>
      <c r="AE747" s="65" t="e">
        <f t="shared" si="115"/>
        <v>#N/A</v>
      </c>
    </row>
    <row r="748" spans="1:31" ht="15" customHeight="1">
      <c r="A748">
        <f>'Final Building Profile'!A98</f>
        <v>95</v>
      </c>
      <c r="B748">
        <f>'Final Building Profile'!D98</f>
        <v>0</v>
      </c>
      <c r="C748">
        <f>'Final Building Profile'!E98</f>
        <v>0</v>
      </c>
      <c r="D748">
        <f>'Final Building Profile'!F98</f>
        <v>0</v>
      </c>
      <c r="E748" s="265">
        <f>'Final Building Profile'!G98</f>
        <v>0</v>
      </c>
      <c r="F748" s="265">
        <f>'Final Building Profile'!H98</f>
        <v>0</v>
      </c>
      <c r="G748" s="265">
        <f>'Final Building Profile'!I98</f>
        <v>0</v>
      </c>
      <c r="H748" s="197">
        <f t="shared" si="101"/>
        <v>0</v>
      </c>
      <c r="I748" s="197">
        <f t="shared" si="102"/>
        <v>0</v>
      </c>
      <c r="J748" s="137">
        <f t="shared" si="103"/>
        <v>0</v>
      </c>
      <c r="K748" s="66">
        <f>'Final Building Profile'!L98</f>
        <v>0</v>
      </c>
      <c r="L748" s="66">
        <f t="shared" si="116"/>
        <v>0</v>
      </c>
      <c r="M748">
        <f>'Final Building Profile'!M98</f>
        <v>0</v>
      </c>
      <c r="N748" s="66">
        <f t="shared" si="104"/>
        <v>0</v>
      </c>
      <c r="O748" s="66">
        <f t="shared" si="105"/>
        <v>0</v>
      </c>
      <c r="P748" s="66">
        <f t="shared" si="106"/>
        <v>0</v>
      </c>
      <c r="Q748" s="204">
        <f>'Final Building Profile'!K98</f>
        <v>0</v>
      </c>
      <c r="R748" s="66">
        <f t="shared" si="117"/>
        <v>0</v>
      </c>
      <c r="S748" s="65">
        <f>'Final Building Profile'!N98-'Final Building Profile'!O98</f>
        <v>0</v>
      </c>
      <c r="T748" s="65">
        <f t="shared" si="107"/>
        <v>0</v>
      </c>
      <c r="U748" s="204">
        <f>'Final Building Profile'!Q98</f>
        <v>0</v>
      </c>
      <c r="V748" s="65">
        <f>IF('Final Building Profile'!P98&lt;&gt;"", U748, 0) * T748</f>
        <v>0</v>
      </c>
      <c r="W748" s="266">
        <f t="shared" si="108"/>
        <v>0</v>
      </c>
      <c r="X748" s="266">
        <f t="shared" si="118"/>
        <v>0</v>
      </c>
      <c r="Y748" s="266" t="e">
        <f t="shared" si="109"/>
        <v>#DIV/0!</v>
      </c>
      <c r="Z748" s="266" t="e">
        <f t="shared" si="110"/>
        <v>#DIV/0!</v>
      </c>
      <c r="AA748" s="266" t="e">
        <f t="shared" si="111"/>
        <v>#DIV/0!</v>
      </c>
      <c r="AB748" s="65" t="e">
        <f t="shared" si="112"/>
        <v>#N/A</v>
      </c>
      <c r="AC748" s="65" t="e">
        <f t="shared" si="113"/>
        <v>#N/A</v>
      </c>
      <c r="AD748" s="65" t="e">
        <f t="shared" si="114"/>
        <v>#N/A</v>
      </c>
      <c r="AE748" s="65" t="e">
        <f t="shared" si="115"/>
        <v>#N/A</v>
      </c>
    </row>
    <row r="749" spans="1:31" ht="15" customHeight="1">
      <c r="A749">
        <f>'Final Building Profile'!A99</f>
        <v>96</v>
      </c>
      <c r="B749">
        <f>'Final Building Profile'!D99</f>
        <v>0</v>
      </c>
      <c r="C749">
        <f>'Final Building Profile'!E99</f>
        <v>0</v>
      </c>
      <c r="D749">
        <f>'Final Building Profile'!F99</f>
        <v>0</v>
      </c>
      <c r="E749" s="265">
        <f>'Final Building Profile'!G99</f>
        <v>0</v>
      </c>
      <c r="F749" s="265">
        <f>'Final Building Profile'!H99</f>
        <v>0</v>
      </c>
      <c r="G749" s="265">
        <f>'Final Building Profile'!I99</f>
        <v>0</v>
      </c>
      <c r="H749" s="197">
        <f t="shared" si="101"/>
        <v>0</v>
      </c>
      <c r="I749" s="197">
        <f t="shared" si="102"/>
        <v>0</v>
      </c>
      <c r="J749" s="137">
        <f t="shared" si="103"/>
        <v>0</v>
      </c>
      <c r="K749" s="66">
        <f>'Final Building Profile'!L99</f>
        <v>0</v>
      </c>
      <c r="L749" s="66">
        <f t="shared" si="116"/>
        <v>0</v>
      </c>
      <c r="M749">
        <f>'Final Building Profile'!M99</f>
        <v>0</v>
      </c>
      <c r="N749" s="66">
        <f t="shared" si="104"/>
        <v>0</v>
      </c>
      <c r="O749" s="66">
        <f t="shared" si="105"/>
        <v>0</v>
      </c>
      <c r="P749" s="66">
        <f t="shared" si="106"/>
        <v>0</v>
      </c>
      <c r="Q749" s="204">
        <f>'Final Building Profile'!K99</f>
        <v>0</v>
      </c>
      <c r="R749" s="66">
        <f t="shared" si="117"/>
        <v>0</v>
      </c>
      <c r="S749" s="65">
        <f>'Final Building Profile'!N99-'Final Building Profile'!O99</f>
        <v>0</v>
      </c>
      <c r="T749" s="65">
        <f t="shared" si="107"/>
        <v>0</v>
      </c>
      <c r="U749" s="204">
        <f>'Final Building Profile'!Q99</f>
        <v>0</v>
      </c>
      <c r="V749" s="65">
        <f>IF('Final Building Profile'!P99&lt;&gt;"", U749, 0) * T749</f>
        <v>0</v>
      </c>
      <c r="W749" s="266">
        <f t="shared" si="108"/>
        <v>0</v>
      </c>
      <c r="X749" s="266">
        <f t="shared" si="118"/>
        <v>0</v>
      </c>
      <c r="Y749" s="266" t="e">
        <f t="shared" si="109"/>
        <v>#DIV/0!</v>
      </c>
      <c r="Z749" s="266" t="e">
        <f t="shared" si="110"/>
        <v>#DIV/0!</v>
      </c>
      <c r="AA749" s="266" t="e">
        <f t="shared" si="111"/>
        <v>#DIV/0!</v>
      </c>
      <c r="AB749" s="65" t="e">
        <f t="shared" si="112"/>
        <v>#N/A</v>
      </c>
      <c r="AC749" s="65" t="e">
        <f t="shared" si="113"/>
        <v>#N/A</v>
      </c>
      <c r="AD749" s="65" t="e">
        <f t="shared" si="114"/>
        <v>#N/A</v>
      </c>
      <c r="AE749" s="65" t="e">
        <f t="shared" si="115"/>
        <v>#N/A</v>
      </c>
    </row>
    <row r="750" spans="1:31" ht="15" customHeight="1">
      <c r="A750">
        <f>'Final Building Profile'!A100</f>
        <v>97</v>
      </c>
      <c r="B750">
        <f>'Final Building Profile'!D100</f>
        <v>0</v>
      </c>
      <c r="C750">
        <f>'Final Building Profile'!E100</f>
        <v>0</v>
      </c>
      <c r="D750">
        <f>'Final Building Profile'!F100</f>
        <v>0</v>
      </c>
      <c r="E750" s="265">
        <f>'Final Building Profile'!G100</f>
        <v>0</v>
      </c>
      <c r="F750" s="265">
        <f>'Final Building Profile'!H100</f>
        <v>0</v>
      </c>
      <c r="G750" s="265">
        <f>'Final Building Profile'!I100</f>
        <v>0</v>
      </c>
      <c r="H750" s="197">
        <f t="shared" si="101"/>
        <v>0</v>
      </c>
      <c r="I750" s="197">
        <f t="shared" si="102"/>
        <v>0</v>
      </c>
      <c r="J750" s="137">
        <f t="shared" ref="J750:J752" si="119">MIN(H750, I750)</f>
        <v>0</v>
      </c>
      <c r="K750" s="66">
        <f>'Final Building Profile'!L100</f>
        <v>0</v>
      </c>
      <c r="L750" s="66">
        <f t="shared" si="116"/>
        <v>0</v>
      </c>
      <c r="M750">
        <f>'Final Building Profile'!M100</f>
        <v>0</v>
      </c>
      <c r="N750" s="66">
        <f t="shared" ref="N750:N752" si="120">M750*$B$645</f>
        <v>0</v>
      </c>
      <c r="O750" s="66">
        <f t="shared" ref="O750:O752" si="121">L750+N750</f>
        <v>0</v>
      </c>
      <c r="P750" s="66">
        <f t="shared" ref="P750:P752" si="122">O750*J750</f>
        <v>0</v>
      </c>
      <c r="Q750" s="204">
        <f>'Final Building Profile'!K100</f>
        <v>0</v>
      </c>
      <c r="R750" s="66">
        <f t="shared" si="117"/>
        <v>0</v>
      </c>
      <c r="S750" s="65">
        <f>'Final Building Profile'!N100-'Final Building Profile'!O100</f>
        <v>0</v>
      </c>
      <c r="T750" s="65">
        <f t="shared" ref="T750:T752" si="123">S750*J750</f>
        <v>0</v>
      </c>
      <c r="U750" s="204">
        <f>'Final Building Profile'!Q100</f>
        <v>0</v>
      </c>
      <c r="V750" s="65">
        <f>IF('Final Building Profile'!P100&lt;&gt;"", U750, 0) * T750</f>
        <v>0</v>
      </c>
      <c r="W750" s="266">
        <f t="shared" si="108"/>
        <v>0</v>
      </c>
      <c r="X750" s="266">
        <f t="shared" si="118"/>
        <v>0</v>
      </c>
      <c r="Y750" s="266" t="e">
        <f t="shared" si="109"/>
        <v>#DIV/0!</v>
      </c>
      <c r="Z750" s="266" t="e">
        <f t="shared" si="110"/>
        <v>#DIV/0!</v>
      </c>
      <c r="AA750" s="266" t="e">
        <f t="shared" ref="AA750:AA752" si="124">IF(I750=J750, Y750, Z750)</f>
        <v>#DIV/0!</v>
      </c>
      <c r="AB750" s="65" t="e">
        <f t="shared" si="112"/>
        <v>#N/A</v>
      </c>
      <c r="AC750" s="65" t="e">
        <f t="shared" si="113"/>
        <v>#N/A</v>
      </c>
      <c r="AD750" s="65" t="e">
        <f t="shared" si="114"/>
        <v>#N/A</v>
      </c>
      <c r="AE750" s="65" t="e">
        <f t="shared" si="115"/>
        <v>#N/A</v>
      </c>
    </row>
    <row r="751" spans="1:31" ht="15" customHeight="1">
      <c r="A751">
        <f>'Final Building Profile'!A101</f>
        <v>98</v>
      </c>
      <c r="B751">
        <f>'Final Building Profile'!D101</f>
        <v>0</v>
      </c>
      <c r="C751">
        <f>'Final Building Profile'!E101</f>
        <v>0</v>
      </c>
      <c r="D751">
        <f>'Final Building Profile'!F101</f>
        <v>0</v>
      </c>
      <c r="E751" s="265">
        <f>'Final Building Profile'!G101</f>
        <v>0</v>
      </c>
      <c r="F751" s="265">
        <f>'Final Building Profile'!H101</f>
        <v>0</v>
      </c>
      <c r="G751" s="265">
        <f>'Final Building Profile'!I101</f>
        <v>0</v>
      </c>
      <c r="H751" s="197">
        <f t="shared" si="101"/>
        <v>0</v>
      </c>
      <c r="I751" s="197">
        <f t="shared" si="102"/>
        <v>0</v>
      </c>
      <c r="J751" s="137">
        <f t="shared" si="119"/>
        <v>0</v>
      </c>
      <c r="K751" s="66">
        <f>'Final Building Profile'!L101</f>
        <v>0</v>
      </c>
      <c r="L751" s="66">
        <f t="shared" si="116"/>
        <v>0</v>
      </c>
      <c r="M751">
        <f>'Final Building Profile'!M101</f>
        <v>0</v>
      </c>
      <c r="N751" s="66">
        <f t="shared" si="120"/>
        <v>0</v>
      </c>
      <c r="O751" s="66">
        <f t="shared" si="121"/>
        <v>0</v>
      </c>
      <c r="P751" s="66">
        <f t="shared" si="122"/>
        <v>0</v>
      </c>
      <c r="Q751" s="204">
        <f>'Final Building Profile'!K101</f>
        <v>0</v>
      </c>
      <c r="R751" s="66">
        <f t="shared" si="117"/>
        <v>0</v>
      </c>
      <c r="S751" s="65">
        <f>'Final Building Profile'!N101-'Final Building Profile'!O101</f>
        <v>0</v>
      </c>
      <c r="T751" s="65">
        <f t="shared" si="123"/>
        <v>0</v>
      </c>
      <c r="U751" s="204">
        <f>'Final Building Profile'!Q101</f>
        <v>0</v>
      </c>
      <c r="V751" s="65">
        <f>IF('Final Building Profile'!P101&lt;&gt;"", U751, 0) * T751</f>
        <v>0</v>
      </c>
      <c r="W751" s="266">
        <f t="shared" si="108"/>
        <v>0</v>
      </c>
      <c r="X751" s="266">
        <f t="shared" si="118"/>
        <v>0</v>
      </c>
      <c r="Y751" s="266" t="e">
        <f t="shared" si="109"/>
        <v>#DIV/0!</v>
      </c>
      <c r="Z751" s="266" t="e">
        <f t="shared" si="110"/>
        <v>#DIV/0!</v>
      </c>
      <c r="AA751" s="266" t="e">
        <f t="shared" si="124"/>
        <v>#DIV/0!</v>
      </c>
      <c r="AB751" s="65" t="e">
        <f t="shared" si="112"/>
        <v>#N/A</v>
      </c>
      <c r="AC751" s="65" t="e">
        <f t="shared" si="113"/>
        <v>#N/A</v>
      </c>
      <c r="AD751" s="65" t="e">
        <f t="shared" si="114"/>
        <v>#N/A</v>
      </c>
      <c r="AE751" s="65" t="e">
        <f t="shared" si="115"/>
        <v>#N/A</v>
      </c>
    </row>
    <row r="752" spans="1:31" ht="15" customHeight="1" thickBot="1">
      <c r="A752">
        <f>'Final Building Profile'!A102</f>
        <v>99</v>
      </c>
      <c r="B752">
        <f>'Final Building Profile'!D102</f>
        <v>0</v>
      </c>
      <c r="C752">
        <f>'Final Building Profile'!E102</f>
        <v>0</v>
      </c>
      <c r="D752">
        <f>'Final Building Profile'!F102</f>
        <v>0</v>
      </c>
      <c r="E752" s="265">
        <f>'Final Building Profile'!G102</f>
        <v>0</v>
      </c>
      <c r="F752" s="265">
        <f>'Final Building Profile'!H102</f>
        <v>0</v>
      </c>
      <c r="G752" s="265">
        <f>'Final Building Profile'!I102</f>
        <v>0</v>
      </c>
      <c r="H752" s="197">
        <f t="shared" si="101"/>
        <v>0</v>
      </c>
      <c r="I752" s="197">
        <f t="shared" si="102"/>
        <v>0</v>
      </c>
      <c r="J752" s="137">
        <f t="shared" si="119"/>
        <v>0</v>
      </c>
      <c r="K752" s="66">
        <f>'Final Building Profile'!L102</f>
        <v>0</v>
      </c>
      <c r="L752" s="66">
        <f t="shared" si="116"/>
        <v>0</v>
      </c>
      <c r="M752">
        <f>'Final Building Profile'!M102</f>
        <v>0</v>
      </c>
      <c r="N752" s="66">
        <f t="shared" si="120"/>
        <v>0</v>
      </c>
      <c r="O752" s="66">
        <f t="shared" si="121"/>
        <v>0</v>
      </c>
      <c r="P752" s="66">
        <f t="shared" si="122"/>
        <v>0</v>
      </c>
      <c r="Q752" s="204">
        <f>'Final Building Profile'!K102</f>
        <v>0</v>
      </c>
      <c r="R752" s="66">
        <f t="shared" si="117"/>
        <v>0</v>
      </c>
      <c r="S752" s="65">
        <f>'Final Building Profile'!N102-'Final Building Profile'!O102</f>
        <v>0</v>
      </c>
      <c r="T752" s="65">
        <f t="shared" si="123"/>
        <v>0</v>
      </c>
      <c r="U752" s="204">
        <f>'Final Building Profile'!Q102</f>
        <v>0</v>
      </c>
      <c r="V752" s="65">
        <f>IF('Final Building Profile'!P102&lt;&gt;"", U752, 0) * T752</f>
        <v>0</v>
      </c>
      <c r="W752" s="266">
        <f t="shared" si="108"/>
        <v>0</v>
      </c>
      <c r="X752" s="266">
        <f t="shared" si="118"/>
        <v>0</v>
      </c>
      <c r="Y752" s="266" t="e">
        <f t="shared" si="109"/>
        <v>#DIV/0!</v>
      </c>
      <c r="Z752" s="266" t="e">
        <f t="shared" si="110"/>
        <v>#DIV/0!</v>
      </c>
      <c r="AA752" s="266" t="e">
        <f t="shared" si="124"/>
        <v>#DIV/0!</v>
      </c>
      <c r="AB752" s="65" t="e">
        <f t="shared" si="112"/>
        <v>#N/A</v>
      </c>
      <c r="AC752" s="65" t="e">
        <f t="shared" si="113"/>
        <v>#N/A</v>
      </c>
      <c r="AD752" s="65" t="e">
        <f t="shared" si="114"/>
        <v>#N/A</v>
      </c>
      <c r="AE752" s="65" t="e">
        <f t="shared" si="115"/>
        <v>#N/A</v>
      </c>
    </row>
    <row r="753" spans="1:31" ht="15.75" thickTop="1">
      <c r="A753" s="68" t="s">
        <v>391</v>
      </c>
      <c r="B753" s="71">
        <f>SUM(B654:B752)</f>
        <v>0</v>
      </c>
      <c r="C753" s="71">
        <f t="shared" ref="C753:M753" si="125">SUM(C654:C752)</f>
        <v>0</v>
      </c>
      <c r="D753" s="71">
        <f t="shared" si="125"/>
        <v>0</v>
      </c>
      <c r="E753" s="71">
        <f t="shared" si="125"/>
        <v>0</v>
      </c>
      <c r="F753" s="71">
        <f t="shared" si="125"/>
        <v>0</v>
      </c>
      <c r="G753" s="71">
        <f t="shared" si="125"/>
        <v>0</v>
      </c>
      <c r="H753" s="71">
        <f t="shared" si="125"/>
        <v>0</v>
      </c>
      <c r="I753" s="71">
        <f t="shared" si="125"/>
        <v>0</v>
      </c>
      <c r="J753" s="71">
        <f t="shared" si="125"/>
        <v>0</v>
      </c>
      <c r="K753" s="71">
        <f t="shared" si="125"/>
        <v>0</v>
      </c>
      <c r="L753" s="323">
        <f>ROUND(SUM(L654:L752), 0)</f>
        <v>0</v>
      </c>
      <c r="M753" s="71">
        <f t="shared" si="125"/>
        <v>0</v>
      </c>
      <c r="N753" s="323">
        <f>ROUND(SUM(N654:N752), 0)</f>
        <v>0</v>
      </c>
      <c r="O753" s="323">
        <f>ROUND(SUM(O654:O752), 0)</f>
        <v>0</v>
      </c>
      <c r="P753" s="324">
        <f>ROUND(SUM(P654:P752), 0)</f>
        <v>0</v>
      </c>
      <c r="Q753" s="66"/>
      <c r="R753" s="324">
        <f>ROUND(SUM(R654:R752), 0)</f>
        <v>0</v>
      </c>
      <c r="S753" s="450">
        <f t="shared" ref="S753" si="126">SUM(S654:S752)</f>
        <v>0</v>
      </c>
      <c r="T753" s="324">
        <f>ROUND(SUM(T654:T752), 0)</f>
        <v>0</v>
      </c>
      <c r="U753" s="66"/>
      <c r="V753" s="324">
        <f>ROUND(SUM(V654:V752), 0)</f>
        <v>0</v>
      </c>
      <c r="W753" s="401">
        <f>ROUND(SUM(W654:W752), 0)</f>
        <v>0</v>
      </c>
      <c r="X753" s="401">
        <f t="shared" ref="X753:AA753" si="127">ROUND(SUM(X654:X752), 0)</f>
        <v>0</v>
      </c>
      <c r="Y753" s="401" t="e">
        <f t="shared" si="127"/>
        <v>#DIV/0!</v>
      </c>
      <c r="Z753" s="401" t="e">
        <f t="shared" si="127"/>
        <v>#DIV/0!</v>
      </c>
      <c r="AA753" s="401" t="e">
        <f t="shared" si="127"/>
        <v>#DIV/0!</v>
      </c>
      <c r="AB753" s="324" t="e">
        <f>SUM(AB654:AB752)</f>
        <v>#N/A</v>
      </c>
      <c r="AC753" s="324" t="e">
        <f t="shared" ref="AC753:AE753" si="128">SUM(AC654:AC752)</f>
        <v>#N/A</v>
      </c>
      <c r="AD753" s="324" t="e">
        <f t="shared" si="128"/>
        <v>#N/A</v>
      </c>
      <c r="AE753" s="324" t="e">
        <f t="shared" si="128"/>
        <v>#N/A</v>
      </c>
    </row>
    <row r="754" spans="1:31">
      <c r="A754" s="1"/>
      <c r="B754" s="1"/>
      <c r="E754" s="22" t="s">
        <v>2983</v>
      </c>
      <c r="F754" s="92"/>
      <c r="G754" s="22" t="s">
        <v>2984</v>
      </c>
    </row>
    <row r="755" spans="1:31">
      <c r="B755" s="67" t="s">
        <v>2985</v>
      </c>
      <c r="C755" s="66">
        <f>O753</f>
        <v>0</v>
      </c>
      <c r="E755" t="str">
        <f>A451</f>
        <v>Eligible Basis</v>
      </c>
      <c r="F755" s="323" t="e">
        <f>B455</f>
        <v>#N/A</v>
      </c>
      <c r="G755" t="str">
        <f t="shared" ref="G755:G760" si="129">IF(B$4,IF(C755=F755,"","Mismatch between property-based values and building-based values"),"")</f>
        <v/>
      </c>
      <c r="H755" t="s">
        <v>2986</v>
      </c>
      <c r="I755" t="s">
        <v>2987</v>
      </c>
      <c r="R755" t="s">
        <v>2988</v>
      </c>
      <c r="V755" s="66">
        <f>R753+V753</f>
        <v>0</v>
      </c>
    </row>
    <row r="756" spans="1:31">
      <c r="B756" s="67" t="s">
        <v>2989</v>
      </c>
      <c r="C756" s="66">
        <f>P753</f>
        <v>0</v>
      </c>
      <c r="E756" t="str">
        <f>A457</f>
        <v>Qualified Basis</v>
      </c>
      <c r="F756" s="66" t="e">
        <f>B457</f>
        <v>#N/A</v>
      </c>
      <c r="G756" t="str">
        <f t="shared" si="129"/>
        <v/>
      </c>
    </row>
    <row r="757" spans="1:31">
      <c r="B757" s="67" t="s">
        <v>2990</v>
      </c>
      <c r="C757" s="66">
        <f>R753</f>
        <v>0</v>
      </c>
      <c r="E757" t="str">
        <f>A459</f>
        <v>Annual Credit</v>
      </c>
      <c r="F757" s="66" t="e">
        <f>B459</f>
        <v>#N/A</v>
      </c>
      <c r="G757" t="str">
        <f t="shared" si="129"/>
        <v/>
      </c>
    </row>
    <row r="758" spans="1:31">
      <c r="B758" s="67" t="s">
        <v>2970</v>
      </c>
      <c r="C758" s="66">
        <f>S753</f>
        <v>0</v>
      </c>
      <c r="E758" t="str">
        <f>A462</f>
        <v>Eligible Basis</v>
      </c>
      <c r="F758" s="66">
        <f>B462</f>
        <v>0</v>
      </c>
      <c r="G758" t="str">
        <f t="shared" si="129"/>
        <v/>
      </c>
    </row>
    <row r="759" spans="1:31">
      <c r="B759" s="67" t="s">
        <v>2991</v>
      </c>
      <c r="C759" s="66">
        <f>T753</f>
        <v>0</v>
      </c>
      <c r="E759" t="str">
        <f>A464</f>
        <v>Qualified Basis</v>
      </c>
      <c r="F759" s="66">
        <f>B464</f>
        <v>0</v>
      </c>
      <c r="G759" t="str">
        <f t="shared" si="129"/>
        <v/>
      </c>
    </row>
    <row r="760" spans="1:31">
      <c r="B760" s="67" t="s">
        <v>2992</v>
      </c>
      <c r="C760" s="66">
        <f>V753</f>
        <v>0</v>
      </c>
      <c r="E760" t="str">
        <f>A466</f>
        <v>Acquisition Credit</v>
      </c>
      <c r="F760" s="66">
        <f>B466</f>
        <v>0</v>
      </c>
      <c r="G760" t="str">
        <f t="shared" si="129"/>
        <v/>
      </c>
    </row>
    <row r="761" spans="1:31">
      <c r="B761" s="67" t="s">
        <v>2993</v>
      </c>
      <c r="C761" s="66" t="e">
        <f>B648</f>
        <v>#N/A</v>
      </c>
      <c r="F761" s="66"/>
    </row>
    <row r="762" spans="1:31">
      <c r="B762" s="67" t="s">
        <v>2994</v>
      </c>
      <c r="C762" s="66">
        <v>0</v>
      </c>
      <c r="F762" s="66"/>
    </row>
    <row r="763" spans="1:31">
      <c r="B763" s="67" t="s">
        <v>2995</v>
      </c>
      <c r="C763" s="66">
        <v>0</v>
      </c>
      <c r="F763" s="66"/>
    </row>
    <row r="764" spans="1:31">
      <c r="B764" s="67" t="s">
        <v>2996</v>
      </c>
      <c r="C764" s="66">
        <v>0</v>
      </c>
      <c r="F764" s="66"/>
    </row>
    <row r="765" spans="1:31">
      <c r="A765" s="1"/>
      <c r="B765" s="1"/>
      <c r="F765" s="92"/>
    </row>
    <row r="766" spans="1:31">
      <c r="A766" s="1"/>
      <c r="B766" s="1"/>
      <c r="F766" s="92"/>
    </row>
    <row r="768" spans="1:31">
      <c r="A768" t="s">
        <v>822</v>
      </c>
      <c r="B768" s="323" t="e">
        <f>B451</f>
        <v>#N/A</v>
      </c>
    </row>
    <row r="769" spans="1:13">
      <c r="A769" t="s">
        <v>2997</v>
      </c>
      <c r="B769" s="323">
        <f>B462</f>
        <v>0</v>
      </c>
    </row>
    <row r="772" spans="1:13">
      <c r="A772" s="99" t="s">
        <v>2505</v>
      </c>
      <c r="B772" s="99"/>
      <c r="C772" s="99"/>
      <c r="D772" s="99"/>
      <c r="E772" s="99"/>
      <c r="F772" s="99"/>
      <c r="G772" s="99"/>
      <c r="H772" s="71"/>
      <c r="I772" s="71"/>
      <c r="J772" s="71"/>
      <c r="K772" s="71"/>
      <c r="L772" s="71"/>
      <c r="M772" s="71"/>
    </row>
    <row r="774" spans="1:13">
      <c r="A774" t="s">
        <v>2875</v>
      </c>
      <c r="B774" s="66" t="e">
        <f>IF($B$4,$C$761,$B$505)</f>
        <v>#N/A</v>
      </c>
      <c r="C774" s="66"/>
    </row>
    <row r="775" spans="1:13">
      <c r="A775" t="s">
        <v>2905</v>
      </c>
      <c r="B775" s="66">
        <f>$B$555</f>
        <v>0</v>
      </c>
      <c r="C775" s="66"/>
    </row>
    <row r="776" spans="1:13">
      <c r="A776" t="s">
        <v>2998</v>
      </c>
      <c r="B776" s="92">
        <f>$H$40+$H$42</f>
        <v>0</v>
      </c>
      <c r="C776" s="66"/>
    </row>
    <row r="778" spans="1:13">
      <c r="A778" s="22" t="s">
        <v>2999</v>
      </c>
    </row>
    <row r="779" spans="1:13">
      <c r="A779" t="s">
        <v>2508</v>
      </c>
    </row>
    <row r="780" spans="1:13">
      <c r="A780" t="s">
        <v>3000</v>
      </c>
      <c r="B780" s="66">
        <f>Admin!B89</f>
        <v>10000</v>
      </c>
    </row>
    <row r="782" spans="1:13">
      <c r="A782" t="s">
        <v>2510</v>
      </c>
    </row>
    <row r="783" spans="1:13">
      <c r="A783" t="s">
        <v>3001</v>
      </c>
      <c r="B783" s="66" t="e">
        <f>($B$774*Admin!B90) + ($B$775*Admin!B91)</f>
        <v>#N/A</v>
      </c>
    </row>
    <row r="785" spans="1:8">
      <c r="A785" t="s">
        <v>2512</v>
      </c>
      <c r="F785" s="1" t="s">
        <v>927</v>
      </c>
      <c r="G785" s="1" t="s">
        <v>412</v>
      </c>
      <c r="H785" s="1" t="s">
        <v>3002</v>
      </c>
    </row>
    <row r="786" spans="1:8">
      <c r="A786" t="s">
        <v>3003</v>
      </c>
      <c r="B786" s="66" t="e">
        <f>($B$774*Admin!B92) + ($B$775*Admin!B93)</f>
        <v>#N/A</v>
      </c>
      <c r="E786" s="1" t="s">
        <v>3004</v>
      </c>
      <c r="F786" t="str">
        <f>IF($B$6,A779,A791)</f>
        <v>4%  Non Competitive Application Fee</v>
      </c>
      <c r="G786" s="149">
        <f>IF($B$6,B780,B794)</f>
        <v>10000</v>
      </c>
      <c r="H786" t="str">
        <f>IF($B$6,A780,A794)</f>
        <v>For Federal &amp; State Annual Credit (if applicable)</v>
      </c>
    </row>
    <row r="787" spans="1:8">
      <c r="E787" s="1" t="s">
        <v>3005</v>
      </c>
      <c r="F787" t="str">
        <f>IF($B$6,A782,A796)</f>
        <v>4%  Non Competitive Initial Determination Fee</v>
      </c>
      <c r="G787" s="149" t="e">
        <f>IF($B$6,B783,B797)</f>
        <v>#N/A</v>
      </c>
      <c r="H787" t="str">
        <f>IF($B$6,A783,A797)</f>
        <v>For Federal and State (if applicable)</v>
      </c>
    </row>
    <row r="788" spans="1:8">
      <c r="E788" s="1" t="s">
        <v>3006</v>
      </c>
      <c r="F788" t="str">
        <f>IF($B$6,A785,A799)</f>
        <v>4%  Non Competitive Final Application Fee</v>
      </c>
      <c r="G788" s="149" t="e">
        <f>IF($B$6,B786,B799)</f>
        <v>#N/A</v>
      </c>
      <c r="H788" t="str">
        <f>IF($B$6,A786,A800)</f>
        <v>(Not applicable to developments that received a Carryover Allocation and paid a Carryover Application Fee)</v>
      </c>
    </row>
    <row r="789" spans="1:8">
      <c r="E789" s="1" t="s">
        <v>3007</v>
      </c>
      <c r="F789" t="str">
        <f>A798</f>
        <v>State Milestone Fee</v>
      </c>
      <c r="G789" s="148" t="str">
        <f>IF(B798=0,"#N/A",B798)</f>
        <v>#N/A</v>
      </c>
    </row>
    <row r="790" spans="1:8">
      <c r="A790" s="22" t="s">
        <v>3008</v>
      </c>
      <c r="E790" s="1" t="s">
        <v>3009</v>
      </c>
      <c r="G790" s="149">
        <f>B804</f>
        <v>0</v>
      </c>
    </row>
    <row r="791" spans="1:8">
      <c r="A791" t="s">
        <v>3010</v>
      </c>
      <c r="E791" s="1" t="s">
        <v>3011</v>
      </c>
      <c r="G791" s="66" t="e">
        <f>SUM(G786:G790)</f>
        <v>#N/A</v>
      </c>
    </row>
    <row r="792" spans="1:8">
      <c r="A792" s="164" t="s">
        <v>3012</v>
      </c>
      <c r="B792" s="66">
        <f>Admin!B94</f>
        <v>10000</v>
      </c>
      <c r="E792" s="1"/>
      <c r="G792" s="66"/>
    </row>
    <row r="793" spans="1:8">
      <c r="A793" s="164" t="s">
        <v>3013</v>
      </c>
      <c r="B793" s="66">
        <f>IF($B$10, Admin!B95, 0)</f>
        <v>0</v>
      </c>
      <c r="E793" s="1"/>
      <c r="G793" s="66"/>
    </row>
    <row r="794" spans="1:8">
      <c r="A794" t="s">
        <v>3014</v>
      </c>
      <c r="B794" s="66">
        <f>SUM(B792:B793)</f>
        <v>10000</v>
      </c>
    </row>
    <row r="796" spans="1:8">
      <c r="A796" t="s">
        <v>3015</v>
      </c>
    </row>
    <row r="797" spans="1:8">
      <c r="A797" t="s">
        <v>3016</v>
      </c>
      <c r="B797" s="66" t="e">
        <f>($B$774*Admin!B96) + IF($B$10,MAX(($B$775*Admin!B97), Admin!B98),0)</f>
        <v>#N/A</v>
      </c>
    </row>
    <row r="798" spans="1:8">
      <c r="A798" t="s">
        <v>2515</v>
      </c>
      <c r="B798" s="149">
        <f>IF($B$10,Admin!B104,0)</f>
        <v>0</v>
      </c>
    </row>
    <row r="799" spans="1:8">
      <c r="A799" t="s">
        <v>3017</v>
      </c>
      <c r="B799" s="66" t="e">
        <f>($B$774*Admin!B99) + IF($B$10,MAX(($B$775*Admin!B100), Admin!B101),0)</f>
        <v>#N/A</v>
      </c>
    </row>
    <row r="800" spans="1:8">
      <c r="A800" t="s">
        <v>3018</v>
      </c>
    </row>
    <row r="803" spans="1:13">
      <c r="A803" s="22" t="s">
        <v>3019</v>
      </c>
    </row>
    <row r="804" spans="1:13">
      <c r="A804" t="s">
        <v>2514</v>
      </c>
      <c r="B804" s="66">
        <f>B776*IF(Application!B5 &lt; 2016, Admin!B102, Admin!B103)</f>
        <v>0</v>
      </c>
    </row>
    <row r="805" spans="1:13">
      <c r="A805" t="s">
        <v>3020</v>
      </c>
    </row>
    <row r="806" spans="1:13">
      <c r="A806" s="1"/>
      <c r="B806" s="1"/>
    </row>
    <row r="807" spans="1:13">
      <c r="A807" s="1"/>
      <c r="B807" s="1"/>
    </row>
    <row r="808" spans="1:13">
      <c r="A808" s="99" t="s">
        <v>73</v>
      </c>
      <c r="B808" s="99"/>
      <c r="C808" s="99"/>
      <c r="D808" s="99"/>
      <c r="E808" s="99"/>
      <c r="F808" s="99"/>
      <c r="G808" s="99"/>
      <c r="H808" s="71"/>
      <c r="I808" s="71"/>
      <c r="J808" s="71"/>
      <c r="K808" s="71"/>
      <c r="L808" s="71"/>
      <c r="M808" s="71"/>
    </row>
    <row r="809" spans="1:13">
      <c r="A809" s="1"/>
      <c r="B809" s="1"/>
    </row>
    <row r="810" spans="1:13">
      <c r="A810" t="s">
        <v>3021</v>
      </c>
      <c r="B810">
        <f>_xlfn.IFNA(INDEX(Building_Construction_Table[],MATCH(Application!B59,Building_Construction_List,0),2),0)</f>
        <v>0</v>
      </c>
    </row>
    <row r="811" spans="1:13">
      <c r="A811" t="s">
        <v>3022</v>
      </c>
      <c r="B811">
        <f>_xlfn.IFNA(INDEX(Building_Construction_Table[],MATCH(Application!B59,Building_Construction_List,0),3),0)</f>
        <v>0</v>
      </c>
    </row>
    <row r="812" spans="1:13">
      <c r="A812" t="s">
        <v>917</v>
      </c>
      <c r="B812" t="str">
        <f>IF(SUM(L61:L67)=0,"",INDEX(K61:K67,MATCH(MAX(L61:L67),L61:L67,0)))</f>
        <v/>
      </c>
    </row>
    <row r="813" spans="1:13">
      <c r="A813" t="s">
        <v>2777</v>
      </c>
      <c r="B813" s="279">
        <f>Application!B140</f>
        <v>0</v>
      </c>
    </row>
    <row r="814" spans="1:13">
      <c r="A814" t="s">
        <v>3023</v>
      </c>
      <c r="B814" s="273">
        <f>IF(B813=0,0,'Cost Summary'!C8/B813)</f>
        <v>0</v>
      </c>
    </row>
    <row r="815" spans="1:13">
      <c r="B815" s="273"/>
    </row>
    <row r="816" spans="1:13">
      <c r="A816" s="99" t="s">
        <v>3024</v>
      </c>
      <c r="B816" s="99"/>
      <c r="C816" s="99"/>
      <c r="D816" s="99"/>
      <c r="E816" s="99"/>
      <c r="F816" s="99"/>
      <c r="G816" s="99"/>
      <c r="H816" s="71"/>
      <c r="I816" s="71"/>
      <c r="J816" s="71"/>
      <c r="K816" s="71"/>
      <c r="L816" s="71"/>
      <c r="M816" s="71"/>
    </row>
    <row r="817" spans="1:13">
      <c r="B817" s="273"/>
    </row>
    <row r="818" spans="1:13">
      <c r="A818" t="s">
        <v>3025</v>
      </c>
      <c r="B818" s="273" t="b">
        <f>Application!B73="CHFA"</f>
        <v>0</v>
      </c>
      <c r="K818" t="s">
        <v>3026</v>
      </c>
    </row>
    <row r="819" spans="1:13">
      <c r="A819" t="s">
        <v>2010</v>
      </c>
      <c r="B819" s="273">
        <f>SUM(Application!B74:B76)</f>
        <v>0</v>
      </c>
      <c r="C819" s="67" t="s">
        <v>948</v>
      </c>
    </row>
    <row r="820" spans="1:13">
      <c r="A820" t="s">
        <v>3027</v>
      </c>
      <c r="B820" s="273">
        <f>C288+B169</f>
        <v>0</v>
      </c>
      <c r="C820" s="395">
        <f>B820*0.55</f>
        <v>0</v>
      </c>
      <c r="E820" s="1" t="s">
        <v>924</v>
      </c>
      <c r="F820" s="1" t="s">
        <v>3028</v>
      </c>
      <c r="G820" s="1" t="s">
        <v>3029</v>
      </c>
      <c r="J820" s="396" t="s">
        <v>2778</v>
      </c>
    </row>
    <row r="821" spans="1:13">
      <c r="A821" t="s">
        <v>3030</v>
      </c>
      <c r="B821" s="397">
        <f>IF(B820=0,0,B819/B820)</f>
        <v>0</v>
      </c>
      <c r="E821">
        <f>H44</f>
        <v>0</v>
      </c>
      <c r="F821">
        <f>SUM(B44)+(C44*1)+(D44*2)+(E44*3)+(F44*4)+(G44*5)</f>
        <v>0</v>
      </c>
      <c r="G821" s="304">
        <f>SUM(M55-M53)</f>
        <v>0</v>
      </c>
      <c r="I821" t="b">
        <f>IF(AND(B821&gt;=0.5,B821&lt;=0.55),TRUE,FALSE)</f>
        <v>0</v>
      </c>
      <c r="J821" t="str">
        <f>IF(OR(NOT(B818),B819=0),"",INDEX(Comments_PAB_Requirements_table[],MATCH(I821,Comments_PAB_Requirements_table[PAB Requirements],0),2))</f>
        <v/>
      </c>
    </row>
    <row r="822" spans="1:13">
      <c r="B822" s="397"/>
      <c r="E822" t="s">
        <v>941</v>
      </c>
      <c r="F822" t="s">
        <v>942</v>
      </c>
      <c r="G822" t="s">
        <v>940</v>
      </c>
    </row>
    <row r="823" spans="1:13">
      <c r="A823" t="s">
        <v>939</v>
      </c>
      <c r="B823" s="398">
        <f>B288</f>
        <v>0</v>
      </c>
      <c r="D823" t="str">
        <f>A823</f>
        <v>Total Development Costs</v>
      </c>
      <c r="E823" s="66">
        <f>IF($E$821=0,0,$B823/$E$821)</f>
        <v>0</v>
      </c>
      <c r="F823" s="66">
        <f>IF($F$821=0,0,$B823/$F$821)</f>
        <v>0</v>
      </c>
      <c r="G823" s="66">
        <f>IF($G$821=0,0,$B823/$G$821)</f>
        <v>0</v>
      </c>
    </row>
    <row r="824" spans="1:13">
      <c r="A824" t="s">
        <v>3031</v>
      </c>
      <c r="B824" s="398">
        <f>B176+B192</f>
        <v>0</v>
      </c>
      <c r="D824" t="str">
        <f>A824</f>
        <v>Total Hard Costs</v>
      </c>
      <c r="E824" s="66">
        <f>IF($E$821=0,0,$B824/$E$821)</f>
        <v>0</v>
      </c>
      <c r="F824" s="66">
        <f>IF($F$821=0,0,$B824/$F$821)</f>
        <v>0</v>
      </c>
      <c r="G824" s="66">
        <f>IF($G$821=0,0,$B824/$G$821)</f>
        <v>0</v>
      </c>
    </row>
    <row r="825" spans="1:13">
      <c r="A825" t="s">
        <v>944</v>
      </c>
      <c r="B825" s="398">
        <f>B823-B824</f>
        <v>0</v>
      </c>
      <c r="D825" t="s">
        <v>944</v>
      </c>
      <c r="E825" s="66">
        <f>E823-E824</f>
        <v>0</v>
      </c>
      <c r="F825" s="66">
        <f t="shared" ref="F825:G825" si="130">F823-F824</f>
        <v>0</v>
      </c>
      <c r="G825" s="66">
        <f t="shared" si="130"/>
        <v>0</v>
      </c>
    </row>
    <row r="826" spans="1:13">
      <c r="A826" t="s">
        <v>495</v>
      </c>
      <c r="B826" s="398">
        <f>SUM(B272:B278)</f>
        <v>0</v>
      </c>
      <c r="D826" t="str">
        <f>A826</f>
        <v>Developer Fee</v>
      </c>
      <c r="E826" s="66">
        <f>IF($E$821=0,0,$B826/$E$821)</f>
        <v>0</v>
      </c>
      <c r="F826" s="66">
        <f>IF($F$821=0,0,$B826/$F$821)</f>
        <v>0</v>
      </c>
      <c r="G826" s="66">
        <f>IF($G$821=0,0,$B826/$G$821)</f>
        <v>0</v>
      </c>
    </row>
    <row r="827" spans="1:13">
      <c r="A827" t="s">
        <v>3032</v>
      </c>
      <c r="B827" s="398">
        <f>B287</f>
        <v>0</v>
      </c>
      <c r="D827" t="str">
        <f>A827</f>
        <v>Total Reserves</v>
      </c>
      <c r="E827" s="66">
        <f>IF($E$821=0,0,$B827/$E$821)</f>
        <v>0</v>
      </c>
      <c r="F827" s="66">
        <f>IF($F$821=0,0,$B827/$F$821)</f>
        <v>0</v>
      </c>
      <c r="G827" s="66">
        <f>IF($G$821=0,0,$B827/$G$821)</f>
        <v>0</v>
      </c>
    </row>
    <row r="828" spans="1:13">
      <c r="B828" s="397"/>
      <c r="D828" t="s">
        <v>943</v>
      </c>
      <c r="E828" s="66" t="e">
        <f>B169/E821</f>
        <v>#DIV/0!</v>
      </c>
      <c r="F828" s="66" t="e">
        <f>B169/F821</f>
        <v>#DIV/0!</v>
      </c>
      <c r="G828" s="66" t="e">
        <f>B169/G821</f>
        <v>#DIV/0!</v>
      </c>
    </row>
    <row r="829" spans="1:13">
      <c r="A829" t="s">
        <v>1344</v>
      </c>
      <c r="B829" s="397">
        <f>IF(B826=0,0,B139/B826)</f>
        <v>0</v>
      </c>
    </row>
    <row r="830" spans="1:13">
      <c r="B830" s="1"/>
    </row>
    <row r="831" spans="1:13">
      <c r="A831" s="99" t="s">
        <v>3033</v>
      </c>
      <c r="B831" s="99"/>
      <c r="C831" s="99"/>
      <c r="D831" s="99"/>
      <c r="E831" s="99"/>
      <c r="F831" s="99"/>
      <c r="G831" s="99"/>
      <c r="H831" s="71"/>
      <c r="I831" s="71"/>
      <c r="J831" s="71"/>
      <c r="K831" s="71"/>
      <c r="L831" s="71"/>
      <c r="M831" s="71"/>
    </row>
    <row r="832" spans="1:13" ht="30">
      <c r="A832" s="98" t="s">
        <v>373</v>
      </c>
      <c r="B832" s="98" t="s">
        <v>374</v>
      </c>
      <c r="C832" s="98" t="s">
        <v>375</v>
      </c>
      <c r="D832" s="98" t="s">
        <v>376</v>
      </c>
      <c r="E832" s="389" t="s">
        <v>377</v>
      </c>
      <c r="F832" s="389" t="s">
        <v>1055</v>
      </c>
      <c r="G832" s="389" t="s">
        <v>3034</v>
      </c>
      <c r="H832" s="389"/>
    </row>
    <row r="833" spans="1:16">
      <c r="A833" s="359">
        <f>'Unit Mix &amp; Rents'!A17</f>
        <v>0</v>
      </c>
      <c r="B833" s="360">
        <f>'Unit Mix &amp; Rents'!B17</f>
        <v>0</v>
      </c>
      <c r="C833" s="361">
        <f>'Unit Mix &amp; Rents'!C17</f>
        <v>0</v>
      </c>
      <c r="D833" s="361">
        <f>'Unit Mix &amp; Rents'!D17</f>
        <v>0</v>
      </c>
      <c r="E833" s="362">
        <f>'Unit Mix &amp; Rents'!E17</f>
        <v>0</v>
      </c>
      <c r="F833" s="362">
        <f>_xlfn.IFNA(INDEX($K$834:$P$840,MATCH(A833,$J$834:$J$840,0),MATCH(LEFT(B833,5),$K$833:$P$833,0)),0)</f>
        <v>0</v>
      </c>
      <c r="G833" s="362">
        <f>D833*E833*12</f>
        <v>0</v>
      </c>
      <c r="H833" s="123" t="str">
        <f>IF(E833&gt;F833,IF(F833&gt;0,"Adjusted rent exceeds allowable rent limit",""),"")</f>
        <v/>
      </c>
      <c r="J833" s="1" t="s">
        <v>2759</v>
      </c>
      <c r="K833" s="1" t="s">
        <v>2738</v>
      </c>
      <c r="L833" s="1" t="s">
        <v>2739</v>
      </c>
      <c r="M833" s="1" t="s">
        <v>2740</v>
      </c>
      <c r="N833" s="1" t="s">
        <v>2741</v>
      </c>
      <c r="O833" s="1" t="s">
        <v>2742</v>
      </c>
      <c r="P833" s="1" t="s">
        <v>2743</v>
      </c>
    </row>
    <row r="834" spans="1:16">
      <c r="A834" s="359">
        <f>'Unit Mix &amp; Rents'!A18</f>
        <v>0</v>
      </c>
      <c r="B834" s="360">
        <f>'Unit Mix &amp; Rents'!B18</f>
        <v>0</v>
      </c>
      <c r="C834" s="361">
        <f>'Unit Mix &amp; Rents'!C18</f>
        <v>0</v>
      </c>
      <c r="D834" s="361">
        <f>'Unit Mix &amp; Rents'!D18</f>
        <v>0</v>
      </c>
      <c r="E834" s="362">
        <f>'Unit Mix &amp; Rents'!E18</f>
        <v>0</v>
      </c>
      <c r="F834" s="362">
        <f t="shared" ref="F834:F892" si="131">_xlfn.IFNA(INDEX($K$834:$P$840,MATCH(A834,$J$834:$J$840,0),MATCH(LEFT(B834,5),$K$833:$P$833,0)),0)</f>
        <v>0</v>
      </c>
      <c r="G834" s="362">
        <f t="shared" ref="G834:G839" si="132">D834*E834*12</f>
        <v>0</v>
      </c>
      <c r="H834" t="str">
        <f t="shared" ref="H834:H892" si="133">IF(E834&gt;F834,IF(F834&gt;0,"Adjusted rent exceeds allowable rent limit",""),"")</f>
        <v/>
      </c>
      <c r="J834" s="371">
        <v>0.2</v>
      </c>
      <c r="K834" s="66">
        <f t="shared" ref="K834:M840" ca="1" si="134">B89</f>
        <v>330</v>
      </c>
      <c r="L834" s="66">
        <f t="shared" ca="1" si="134"/>
        <v>353</v>
      </c>
      <c r="M834" s="66">
        <f t="shared" ca="1" si="134"/>
        <v>424</v>
      </c>
      <c r="N834" s="66">
        <f t="shared" ref="N834:P840" ca="1" si="135">E89</f>
        <v>490</v>
      </c>
      <c r="O834" s="66">
        <f t="shared" ca="1" si="135"/>
        <v>546</v>
      </c>
      <c r="P834" s="66">
        <f t="shared" ca="1" si="135"/>
        <v>603</v>
      </c>
    </row>
    <row r="835" spans="1:16">
      <c r="A835" s="359">
        <f>'Unit Mix &amp; Rents'!A19</f>
        <v>0</v>
      </c>
      <c r="B835" s="360">
        <f>'Unit Mix &amp; Rents'!B19</f>
        <v>0</v>
      </c>
      <c r="C835" s="361">
        <f>'Unit Mix &amp; Rents'!C19</f>
        <v>0</v>
      </c>
      <c r="D835" s="361">
        <f>'Unit Mix &amp; Rents'!D19</f>
        <v>0</v>
      </c>
      <c r="E835" s="362">
        <f>'Unit Mix &amp; Rents'!E19</f>
        <v>0</v>
      </c>
      <c r="F835" s="362">
        <f t="shared" si="131"/>
        <v>0</v>
      </c>
      <c r="G835" s="362">
        <f t="shared" si="132"/>
        <v>0</v>
      </c>
      <c r="H835" t="str">
        <f t="shared" si="133"/>
        <v/>
      </c>
      <c r="J835" s="371">
        <v>0.3</v>
      </c>
      <c r="K835" s="66">
        <f t="shared" ca="1" si="134"/>
        <v>495</v>
      </c>
      <c r="L835" s="66">
        <f t="shared" ca="1" si="134"/>
        <v>530</v>
      </c>
      <c r="M835" s="66">
        <f t="shared" ca="1" si="134"/>
        <v>636</v>
      </c>
      <c r="N835" s="66">
        <f t="shared" ca="1" si="135"/>
        <v>735</v>
      </c>
      <c r="O835" s="66">
        <f t="shared" ca="1" si="135"/>
        <v>819</v>
      </c>
      <c r="P835" s="66">
        <f t="shared" ca="1" si="135"/>
        <v>905</v>
      </c>
    </row>
    <row r="836" spans="1:16">
      <c r="A836" s="359">
        <f>'Unit Mix &amp; Rents'!A20</f>
        <v>0</v>
      </c>
      <c r="B836" s="360">
        <f>'Unit Mix &amp; Rents'!B20</f>
        <v>0</v>
      </c>
      <c r="C836" s="361">
        <f>'Unit Mix &amp; Rents'!C20</f>
        <v>0</v>
      </c>
      <c r="D836" s="361">
        <f>'Unit Mix &amp; Rents'!D20</f>
        <v>0</v>
      </c>
      <c r="E836" s="362">
        <f>'Unit Mix &amp; Rents'!E20</f>
        <v>0</v>
      </c>
      <c r="F836" s="362">
        <f t="shared" si="131"/>
        <v>0</v>
      </c>
      <c r="G836" s="362">
        <f t="shared" si="132"/>
        <v>0</v>
      </c>
      <c r="H836" t="str">
        <f>IF(E836&gt;F836,IF(F836&gt;0,"Adjusted rent exceeds allowable rent limit",""),"")</f>
        <v/>
      </c>
      <c r="J836" s="371">
        <v>0.4</v>
      </c>
      <c r="K836" s="66">
        <f t="shared" ca="1" si="134"/>
        <v>660</v>
      </c>
      <c r="L836" s="66">
        <f t="shared" ca="1" si="134"/>
        <v>707</v>
      </c>
      <c r="M836" s="66">
        <f t="shared" ca="1" si="134"/>
        <v>848</v>
      </c>
      <c r="N836" s="66">
        <f t="shared" ca="1" si="135"/>
        <v>980</v>
      </c>
      <c r="O836" s="66">
        <f t="shared" ca="1" si="135"/>
        <v>1093</v>
      </c>
      <c r="P836" s="66">
        <f t="shared" ca="1" si="135"/>
        <v>1207</v>
      </c>
    </row>
    <row r="837" spans="1:16">
      <c r="A837" s="359">
        <f>'Unit Mix &amp; Rents'!A21</f>
        <v>0</v>
      </c>
      <c r="B837" s="360">
        <f>'Unit Mix &amp; Rents'!B21</f>
        <v>0</v>
      </c>
      <c r="C837" s="361">
        <f>'Unit Mix &amp; Rents'!C21</f>
        <v>0</v>
      </c>
      <c r="D837" s="361">
        <f>'Unit Mix &amp; Rents'!D21</f>
        <v>0</v>
      </c>
      <c r="E837" s="362">
        <f>'Unit Mix &amp; Rents'!E21</f>
        <v>0</v>
      </c>
      <c r="F837" s="362">
        <f t="shared" si="131"/>
        <v>0</v>
      </c>
      <c r="G837" s="362">
        <f t="shared" si="132"/>
        <v>0</v>
      </c>
      <c r="H837" t="str">
        <f t="shared" si="133"/>
        <v/>
      </c>
      <c r="J837" s="371">
        <v>0.5</v>
      </c>
      <c r="K837" s="66">
        <f t="shared" ca="1" si="134"/>
        <v>825</v>
      </c>
      <c r="L837" s="66">
        <f t="shared" ca="1" si="134"/>
        <v>883</v>
      </c>
      <c r="M837" s="66">
        <f t="shared" ca="1" si="134"/>
        <v>1060</v>
      </c>
      <c r="N837" s="66">
        <f t="shared" ca="1" si="135"/>
        <v>1225</v>
      </c>
      <c r="O837" s="66">
        <f t="shared" ca="1" si="135"/>
        <v>1366</v>
      </c>
      <c r="P837" s="66">
        <f t="shared" ca="1" si="135"/>
        <v>1508</v>
      </c>
    </row>
    <row r="838" spans="1:16">
      <c r="A838" s="359">
        <f>'Unit Mix &amp; Rents'!A22</f>
        <v>0</v>
      </c>
      <c r="B838" s="360">
        <f>'Unit Mix &amp; Rents'!B22</f>
        <v>0</v>
      </c>
      <c r="C838" s="361">
        <f>'Unit Mix &amp; Rents'!C22</f>
        <v>0</v>
      </c>
      <c r="D838" s="361">
        <f>'Unit Mix &amp; Rents'!D22</f>
        <v>0</v>
      </c>
      <c r="E838" s="362">
        <f>'Unit Mix &amp; Rents'!E22</f>
        <v>0</v>
      </c>
      <c r="F838" s="362">
        <f t="shared" si="131"/>
        <v>0</v>
      </c>
      <c r="G838" s="362">
        <f t="shared" si="132"/>
        <v>0</v>
      </c>
      <c r="H838" t="str">
        <f t="shared" si="133"/>
        <v/>
      </c>
      <c r="J838" s="371">
        <v>0.6</v>
      </c>
      <c r="K838" s="66">
        <f t="shared" ca="1" si="134"/>
        <v>990</v>
      </c>
      <c r="L838" s="66">
        <f t="shared" ca="1" si="134"/>
        <v>1060</v>
      </c>
      <c r="M838" s="66">
        <f t="shared" ca="1" si="134"/>
        <v>1272</v>
      </c>
      <c r="N838" s="66">
        <f t="shared" ca="1" si="135"/>
        <v>1470</v>
      </c>
      <c r="O838" s="66">
        <f t="shared" ca="1" si="135"/>
        <v>1639</v>
      </c>
      <c r="P838" s="66">
        <f t="shared" ca="1" si="135"/>
        <v>1810</v>
      </c>
    </row>
    <row r="839" spans="1:16">
      <c r="A839" s="359">
        <f>'Unit Mix &amp; Rents'!A23</f>
        <v>0</v>
      </c>
      <c r="B839" s="360">
        <f>'Unit Mix &amp; Rents'!B23</f>
        <v>0</v>
      </c>
      <c r="C839" s="361">
        <f>'Unit Mix &amp; Rents'!C23</f>
        <v>0</v>
      </c>
      <c r="D839" s="361">
        <f>'Unit Mix &amp; Rents'!D23</f>
        <v>0</v>
      </c>
      <c r="E839" s="362">
        <f>'Unit Mix &amp; Rents'!E23</f>
        <v>0</v>
      </c>
      <c r="F839" s="362">
        <f t="shared" si="131"/>
        <v>0</v>
      </c>
      <c r="G839" s="362">
        <f t="shared" si="132"/>
        <v>0</v>
      </c>
      <c r="H839" t="str">
        <f t="shared" si="133"/>
        <v/>
      </c>
      <c r="J839" s="371">
        <v>0.7</v>
      </c>
      <c r="K839" s="66">
        <f t="shared" ca="1" si="134"/>
        <v>1155</v>
      </c>
      <c r="L839" s="66">
        <f t="shared" ca="1" si="134"/>
        <v>1237</v>
      </c>
      <c r="M839" s="66">
        <f t="shared" ca="1" si="134"/>
        <v>1484</v>
      </c>
      <c r="N839" s="66">
        <f t="shared" ca="1" si="135"/>
        <v>1715</v>
      </c>
      <c r="O839" s="66">
        <f t="shared" ca="1" si="135"/>
        <v>1912</v>
      </c>
      <c r="P839" s="66">
        <f t="shared" ca="1" si="135"/>
        <v>2111</v>
      </c>
    </row>
    <row r="840" spans="1:16">
      <c r="A840" s="359">
        <f>'Unit Mix &amp; Rents'!A24</f>
        <v>0</v>
      </c>
      <c r="B840" s="360">
        <f>'Unit Mix &amp; Rents'!B24</f>
        <v>0</v>
      </c>
      <c r="C840" s="361">
        <f>'Unit Mix &amp; Rents'!C24</f>
        <v>0</v>
      </c>
      <c r="D840" s="361">
        <f>'Unit Mix &amp; Rents'!D24</f>
        <v>0</v>
      </c>
      <c r="E840" s="362">
        <f>'Unit Mix &amp; Rents'!E24</f>
        <v>0</v>
      </c>
      <c r="F840" s="362">
        <f t="shared" si="131"/>
        <v>0</v>
      </c>
      <c r="G840" s="362">
        <f t="shared" ref="G840:G843" si="136">D840*E840*12</f>
        <v>0</v>
      </c>
      <c r="H840" t="str">
        <f t="shared" si="133"/>
        <v/>
      </c>
      <c r="J840" s="371">
        <v>0.8</v>
      </c>
      <c r="K840" s="66">
        <f t="shared" ca="1" si="134"/>
        <v>1320</v>
      </c>
      <c r="L840" s="66">
        <f t="shared" ca="1" si="134"/>
        <v>1414</v>
      </c>
      <c r="M840" s="66">
        <f t="shared" ca="1" si="134"/>
        <v>1696</v>
      </c>
      <c r="N840" s="66">
        <f t="shared" ca="1" si="135"/>
        <v>1960</v>
      </c>
      <c r="O840" s="66">
        <f t="shared" ca="1" si="135"/>
        <v>2186</v>
      </c>
      <c r="P840" s="66">
        <f t="shared" ca="1" si="135"/>
        <v>2413</v>
      </c>
    </row>
    <row r="841" spans="1:16">
      <c r="A841" s="359">
        <f>'Unit Mix &amp; Rents'!A25</f>
        <v>0</v>
      </c>
      <c r="B841" s="360">
        <f>'Unit Mix &amp; Rents'!B25</f>
        <v>0</v>
      </c>
      <c r="C841" s="361">
        <f>'Unit Mix &amp; Rents'!C25</f>
        <v>0</v>
      </c>
      <c r="D841" s="361">
        <f>'Unit Mix &amp; Rents'!D25</f>
        <v>0</v>
      </c>
      <c r="E841" s="362">
        <f>'Unit Mix &amp; Rents'!E25</f>
        <v>0</v>
      </c>
      <c r="F841" s="362">
        <f t="shared" si="131"/>
        <v>0</v>
      </c>
      <c r="G841" s="362">
        <f t="shared" si="136"/>
        <v>0</v>
      </c>
      <c r="H841" t="str">
        <f t="shared" si="133"/>
        <v/>
      </c>
    </row>
    <row r="842" spans="1:16">
      <c r="A842" s="359">
        <f>'Unit Mix &amp; Rents'!A26</f>
        <v>0</v>
      </c>
      <c r="B842" s="360">
        <f>'Unit Mix &amp; Rents'!B26</f>
        <v>0</v>
      </c>
      <c r="C842" s="361">
        <f>'Unit Mix &amp; Rents'!C26</f>
        <v>0</v>
      </c>
      <c r="D842" s="361">
        <f>'Unit Mix &amp; Rents'!D26</f>
        <v>0</v>
      </c>
      <c r="E842" s="362">
        <f>'Unit Mix &amp; Rents'!E26</f>
        <v>0</v>
      </c>
      <c r="F842" s="362">
        <f t="shared" si="131"/>
        <v>0</v>
      </c>
      <c r="G842" s="362">
        <f t="shared" si="136"/>
        <v>0</v>
      </c>
      <c r="H842" t="str">
        <f t="shared" si="133"/>
        <v/>
      </c>
    </row>
    <row r="843" spans="1:16">
      <c r="A843" s="359">
        <f>'Unit Mix &amp; Rents'!A27</f>
        <v>0</v>
      </c>
      <c r="B843" s="360">
        <f>'Unit Mix &amp; Rents'!B27</f>
        <v>0</v>
      </c>
      <c r="C843" s="361">
        <f>'Unit Mix &amp; Rents'!C27</f>
        <v>0</v>
      </c>
      <c r="D843" s="361">
        <f>'Unit Mix &amp; Rents'!D27</f>
        <v>0</v>
      </c>
      <c r="E843" s="362">
        <f>'Unit Mix &amp; Rents'!E27</f>
        <v>0</v>
      </c>
      <c r="F843" s="362">
        <f t="shared" si="131"/>
        <v>0</v>
      </c>
      <c r="G843" s="362">
        <f t="shared" si="136"/>
        <v>0</v>
      </c>
      <c r="H843" t="str">
        <f t="shared" si="133"/>
        <v/>
      </c>
    </row>
    <row r="844" spans="1:16">
      <c r="A844" s="359">
        <f>'Unit Mix &amp; Rents'!A28</f>
        <v>0</v>
      </c>
      <c r="B844" s="360">
        <f>'Unit Mix &amp; Rents'!B28</f>
        <v>0</v>
      </c>
      <c r="C844" s="361">
        <f>'Unit Mix &amp; Rents'!C28</f>
        <v>0</v>
      </c>
      <c r="D844" s="361">
        <f>'Unit Mix &amp; Rents'!D28</f>
        <v>0</v>
      </c>
      <c r="E844" s="362">
        <f>'Unit Mix &amp; Rents'!E28</f>
        <v>0</v>
      </c>
      <c r="F844" s="362">
        <f t="shared" si="131"/>
        <v>0</v>
      </c>
      <c r="G844" s="362">
        <f t="shared" ref="G844:G892" si="137">D844*E844*12</f>
        <v>0</v>
      </c>
      <c r="H844" t="str">
        <f t="shared" si="133"/>
        <v/>
      </c>
    </row>
    <row r="845" spans="1:16">
      <c r="A845" s="359">
        <f>'Unit Mix &amp; Rents'!A29</f>
        <v>0</v>
      </c>
      <c r="B845" s="360">
        <f>'Unit Mix &amp; Rents'!B29</f>
        <v>0</v>
      </c>
      <c r="C845" s="361">
        <f>'Unit Mix &amp; Rents'!C29</f>
        <v>0</v>
      </c>
      <c r="D845" s="361">
        <f>'Unit Mix &amp; Rents'!D29</f>
        <v>0</v>
      </c>
      <c r="E845" s="362">
        <f>'Unit Mix &amp; Rents'!E29</f>
        <v>0</v>
      </c>
      <c r="F845" s="362">
        <f t="shared" si="131"/>
        <v>0</v>
      </c>
      <c r="G845" s="362">
        <f t="shared" si="137"/>
        <v>0</v>
      </c>
      <c r="H845" t="str">
        <f t="shared" si="133"/>
        <v/>
      </c>
    </row>
    <row r="846" spans="1:16">
      <c r="A846" s="359">
        <f>'Unit Mix &amp; Rents'!A30</f>
        <v>0</v>
      </c>
      <c r="B846" s="360">
        <f>'Unit Mix &amp; Rents'!B30</f>
        <v>0</v>
      </c>
      <c r="C846" s="361">
        <f>'Unit Mix &amp; Rents'!C30</f>
        <v>0</v>
      </c>
      <c r="D846" s="361">
        <f>'Unit Mix &amp; Rents'!D30</f>
        <v>0</v>
      </c>
      <c r="E846" s="362">
        <f>'Unit Mix &amp; Rents'!E30</f>
        <v>0</v>
      </c>
      <c r="F846" s="362">
        <f t="shared" si="131"/>
        <v>0</v>
      </c>
      <c r="G846" s="362">
        <f t="shared" si="137"/>
        <v>0</v>
      </c>
      <c r="H846" t="str">
        <f t="shared" si="133"/>
        <v/>
      </c>
    </row>
    <row r="847" spans="1:16">
      <c r="A847" s="359">
        <f>'Unit Mix &amp; Rents'!A31</f>
        <v>0</v>
      </c>
      <c r="B847" s="360">
        <f>'Unit Mix &amp; Rents'!B31</f>
        <v>0</v>
      </c>
      <c r="C847" s="361">
        <f>'Unit Mix &amp; Rents'!C31</f>
        <v>0</v>
      </c>
      <c r="D847" s="361">
        <f>'Unit Mix &amp; Rents'!D31</f>
        <v>0</v>
      </c>
      <c r="E847" s="362">
        <f>'Unit Mix &amp; Rents'!E31</f>
        <v>0</v>
      </c>
      <c r="F847" s="362">
        <f t="shared" si="131"/>
        <v>0</v>
      </c>
      <c r="G847" s="362">
        <f t="shared" si="137"/>
        <v>0</v>
      </c>
      <c r="H847" t="str">
        <f t="shared" si="133"/>
        <v/>
      </c>
    </row>
    <row r="848" spans="1:16">
      <c r="A848" s="359">
        <f>'Unit Mix &amp; Rents'!A32</f>
        <v>0</v>
      </c>
      <c r="B848" s="360">
        <f>'Unit Mix &amp; Rents'!B32</f>
        <v>0</v>
      </c>
      <c r="C848" s="361">
        <f>'Unit Mix &amp; Rents'!C32</f>
        <v>0</v>
      </c>
      <c r="D848" s="361">
        <f>'Unit Mix &amp; Rents'!D32</f>
        <v>0</v>
      </c>
      <c r="E848" s="362">
        <f>'Unit Mix &amp; Rents'!E32</f>
        <v>0</v>
      </c>
      <c r="F848" s="362">
        <f t="shared" si="131"/>
        <v>0</v>
      </c>
      <c r="G848" s="362">
        <f t="shared" si="137"/>
        <v>0</v>
      </c>
      <c r="H848" t="str">
        <f t="shared" si="133"/>
        <v/>
      </c>
    </row>
    <row r="849" spans="1:8">
      <c r="A849" s="359">
        <f>'Unit Mix &amp; Rents'!A33</f>
        <v>0</v>
      </c>
      <c r="B849" s="360">
        <f>'Unit Mix &amp; Rents'!B33</f>
        <v>0</v>
      </c>
      <c r="C849" s="361">
        <f>'Unit Mix &amp; Rents'!C33</f>
        <v>0</v>
      </c>
      <c r="D849" s="361">
        <f>'Unit Mix &amp; Rents'!D33</f>
        <v>0</v>
      </c>
      <c r="E849" s="362">
        <f>'Unit Mix &amp; Rents'!E33</f>
        <v>0</v>
      </c>
      <c r="F849" s="362">
        <f t="shared" si="131"/>
        <v>0</v>
      </c>
      <c r="G849" s="362">
        <f t="shared" si="137"/>
        <v>0</v>
      </c>
      <c r="H849" t="str">
        <f t="shared" si="133"/>
        <v/>
      </c>
    </row>
    <row r="850" spans="1:8">
      <c r="A850" s="359">
        <f>'Unit Mix &amp; Rents'!A34</f>
        <v>0</v>
      </c>
      <c r="B850" s="360">
        <f>'Unit Mix &amp; Rents'!B34</f>
        <v>0</v>
      </c>
      <c r="C850" s="361">
        <f>'Unit Mix &amp; Rents'!C34</f>
        <v>0</v>
      </c>
      <c r="D850" s="361">
        <f>'Unit Mix &amp; Rents'!D34</f>
        <v>0</v>
      </c>
      <c r="E850" s="362">
        <f>'Unit Mix &amp; Rents'!E34</f>
        <v>0</v>
      </c>
      <c r="F850" s="362">
        <f t="shared" si="131"/>
        <v>0</v>
      </c>
      <c r="G850" s="362">
        <f t="shared" si="137"/>
        <v>0</v>
      </c>
      <c r="H850" t="str">
        <f t="shared" si="133"/>
        <v/>
      </c>
    </row>
    <row r="851" spans="1:8">
      <c r="A851" s="359">
        <f>'Unit Mix &amp; Rents'!A35</f>
        <v>0</v>
      </c>
      <c r="B851" s="360">
        <f>'Unit Mix &amp; Rents'!B35</f>
        <v>0</v>
      </c>
      <c r="C851" s="361">
        <f>'Unit Mix &amp; Rents'!C35</f>
        <v>0</v>
      </c>
      <c r="D851" s="361">
        <f>'Unit Mix &amp; Rents'!D35</f>
        <v>0</v>
      </c>
      <c r="E851" s="362">
        <f>'Unit Mix &amp; Rents'!E35</f>
        <v>0</v>
      </c>
      <c r="F851" s="362">
        <f t="shared" si="131"/>
        <v>0</v>
      </c>
      <c r="G851" s="362">
        <f t="shared" si="137"/>
        <v>0</v>
      </c>
      <c r="H851" t="str">
        <f t="shared" si="133"/>
        <v/>
      </c>
    </row>
    <row r="852" spans="1:8">
      <c r="A852" s="359">
        <f>'Unit Mix &amp; Rents'!A36</f>
        <v>0</v>
      </c>
      <c r="B852" s="360">
        <f>'Unit Mix &amp; Rents'!B36</f>
        <v>0</v>
      </c>
      <c r="C852" s="361">
        <f>'Unit Mix &amp; Rents'!C36</f>
        <v>0</v>
      </c>
      <c r="D852" s="361">
        <f>'Unit Mix &amp; Rents'!D36</f>
        <v>0</v>
      </c>
      <c r="E852" s="362">
        <f>'Unit Mix &amp; Rents'!E36</f>
        <v>0</v>
      </c>
      <c r="F852" s="362">
        <f t="shared" si="131"/>
        <v>0</v>
      </c>
      <c r="G852" s="362">
        <f t="shared" si="137"/>
        <v>0</v>
      </c>
      <c r="H852" t="str">
        <f t="shared" si="133"/>
        <v/>
      </c>
    </row>
    <row r="853" spans="1:8">
      <c r="A853" s="359">
        <f>'Unit Mix &amp; Rents'!A37</f>
        <v>0</v>
      </c>
      <c r="B853" s="360">
        <f>'Unit Mix &amp; Rents'!B37</f>
        <v>0</v>
      </c>
      <c r="C853" s="361">
        <f>'Unit Mix &amp; Rents'!C37</f>
        <v>0</v>
      </c>
      <c r="D853" s="361">
        <f>'Unit Mix &amp; Rents'!D37</f>
        <v>0</v>
      </c>
      <c r="E853" s="362">
        <f>'Unit Mix &amp; Rents'!E37</f>
        <v>0</v>
      </c>
      <c r="F853" s="362">
        <f t="shared" si="131"/>
        <v>0</v>
      </c>
      <c r="G853" s="362">
        <f t="shared" si="137"/>
        <v>0</v>
      </c>
      <c r="H853" t="str">
        <f t="shared" si="133"/>
        <v/>
      </c>
    </row>
    <row r="854" spans="1:8">
      <c r="A854" s="359">
        <f>'Unit Mix &amp; Rents'!A38</f>
        <v>0</v>
      </c>
      <c r="B854" s="360">
        <f>'Unit Mix &amp; Rents'!B38</f>
        <v>0</v>
      </c>
      <c r="C854" s="361">
        <f>'Unit Mix &amp; Rents'!C38</f>
        <v>0</v>
      </c>
      <c r="D854" s="361">
        <f>'Unit Mix &amp; Rents'!D38</f>
        <v>0</v>
      </c>
      <c r="E854" s="362">
        <f>'Unit Mix &amp; Rents'!E38</f>
        <v>0</v>
      </c>
      <c r="F854" s="362">
        <f t="shared" si="131"/>
        <v>0</v>
      </c>
      <c r="G854" s="362">
        <f t="shared" si="137"/>
        <v>0</v>
      </c>
      <c r="H854" t="str">
        <f t="shared" si="133"/>
        <v/>
      </c>
    </row>
    <row r="855" spans="1:8">
      <c r="A855" s="359">
        <f>'Unit Mix &amp; Rents'!A39</f>
        <v>0</v>
      </c>
      <c r="B855" s="360">
        <f>'Unit Mix &amp; Rents'!B39</f>
        <v>0</v>
      </c>
      <c r="C855" s="361">
        <f>'Unit Mix &amp; Rents'!C39</f>
        <v>0</v>
      </c>
      <c r="D855" s="361">
        <f>'Unit Mix &amp; Rents'!D39</f>
        <v>0</v>
      </c>
      <c r="E855" s="362">
        <f>'Unit Mix &amp; Rents'!E39</f>
        <v>0</v>
      </c>
      <c r="F855" s="362">
        <f t="shared" si="131"/>
        <v>0</v>
      </c>
      <c r="G855" s="362">
        <f t="shared" si="137"/>
        <v>0</v>
      </c>
      <c r="H855" t="str">
        <f t="shared" si="133"/>
        <v/>
      </c>
    </row>
    <row r="856" spans="1:8">
      <c r="A856" s="359">
        <f>'Unit Mix &amp; Rents'!A40</f>
        <v>0</v>
      </c>
      <c r="B856" s="360">
        <f>'Unit Mix &amp; Rents'!B40</f>
        <v>0</v>
      </c>
      <c r="C856" s="361">
        <f>'Unit Mix &amp; Rents'!C40</f>
        <v>0</v>
      </c>
      <c r="D856" s="361">
        <f>'Unit Mix &amp; Rents'!D40</f>
        <v>0</v>
      </c>
      <c r="E856" s="362">
        <f>'Unit Mix &amp; Rents'!E40</f>
        <v>0</v>
      </c>
      <c r="F856" s="362">
        <f t="shared" si="131"/>
        <v>0</v>
      </c>
      <c r="G856" s="362">
        <f t="shared" si="137"/>
        <v>0</v>
      </c>
      <c r="H856" t="str">
        <f t="shared" si="133"/>
        <v/>
      </c>
    </row>
    <row r="857" spans="1:8">
      <c r="A857" s="359">
        <f>'Unit Mix &amp; Rents'!A41</f>
        <v>0</v>
      </c>
      <c r="B857" s="360">
        <f>'Unit Mix &amp; Rents'!B41</f>
        <v>0</v>
      </c>
      <c r="C857" s="361">
        <f>'Unit Mix &amp; Rents'!C41</f>
        <v>0</v>
      </c>
      <c r="D857" s="361">
        <f>'Unit Mix &amp; Rents'!D41</f>
        <v>0</v>
      </c>
      <c r="E857" s="362">
        <f>'Unit Mix &amp; Rents'!E41</f>
        <v>0</v>
      </c>
      <c r="F857" s="362">
        <f t="shared" si="131"/>
        <v>0</v>
      </c>
      <c r="G857" s="362">
        <f t="shared" si="137"/>
        <v>0</v>
      </c>
      <c r="H857" t="str">
        <f t="shared" si="133"/>
        <v/>
      </c>
    </row>
    <row r="858" spans="1:8">
      <c r="A858" s="359">
        <f>'Unit Mix &amp; Rents'!A42</f>
        <v>0</v>
      </c>
      <c r="B858" s="360">
        <f>'Unit Mix &amp; Rents'!B42</f>
        <v>0</v>
      </c>
      <c r="C858" s="361">
        <f>'Unit Mix &amp; Rents'!C42</f>
        <v>0</v>
      </c>
      <c r="D858" s="361">
        <f>'Unit Mix &amp; Rents'!D42</f>
        <v>0</v>
      </c>
      <c r="E858" s="362">
        <f>'Unit Mix &amp; Rents'!E42</f>
        <v>0</v>
      </c>
      <c r="F858" s="362">
        <f t="shared" si="131"/>
        <v>0</v>
      </c>
      <c r="G858" s="362">
        <f t="shared" si="137"/>
        <v>0</v>
      </c>
      <c r="H858" t="str">
        <f t="shared" si="133"/>
        <v/>
      </c>
    </row>
    <row r="859" spans="1:8">
      <c r="A859" s="359">
        <f>'Unit Mix &amp; Rents'!A43</f>
        <v>0</v>
      </c>
      <c r="B859" s="360">
        <f>'Unit Mix &amp; Rents'!B43</f>
        <v>0</v>
      </c>
      <c r="C859" s="361">
        <f>'Unit Mix &amp; Rents'!C43</f>
        <v>0</v>
      </c>
      <c r="D859" s="361">
        <f>'Unit Mix &amp; Rents'!D43</f>
        <v>0</v>
      </c>
      <c r="E859" s="362">
        <f>'Unit Mix &amp; Rents'!E43</f>
        <v>0</v>
      </c>
      <c r="F859" s="362">
        <f t="shared" si="131"/>
        <v>0</v>
      </c>
      <c r="G859" s="362">
        <f t="shared" si="137"/>
        <v>0</v>
      </c>
      <c r="H859" t="str">
        <f t="shared" si="133"/>
        <v/>
      </c>
    </row>
    <row r="860" spans="1:8">
      <c r="A860" s="359">
        <f>'Unit Mix &amp; Rents'!A44</f>
        <v>0</v>
      </c>
      <c r="B860" s="360">
        <f>'Unit Mix &amp; Rents'!B44</f>
        <v>0</v>
      </c>
      <c r="C860" s="361">
        <f>'Unit Mix &amp; Rents'!C44</f>
        <v>0</v>
      </c>
      <c r="D860" s="361">
        <f>'Unit Mix &amp; Rents'!D44</f>
        <v>0</v>
      </c>
      <c r="E860" s="362">
        <f>'Unit Mix &amp; Rents'!E44</f>
        <v>0</v>
      </c>
      <c r="F860" s="362">
        <f t="shared" si="131"/>
        <v>0</v>
      </c>
      <c r="G860" s="362">
        <f t="shared" si="137"/>
        <v>0</v>
      </c>
      <c r="H860" t="str">
        <f t="shared" si="133"/>
        <v/>
      </c>
    </row>
    <row r="861" spans="1:8">
      <c r="A861" s="359">
        <f>'Unit Mix &amp; Rents'!A45</f>
        <v>0</v>
      </c>
      <c r="B861" s="360">
        <f>'Unit Mix &amp; Rents'!B45</f>
        <v>0</v>
      </c>
      <c r="C861" s="361">
        <f>'Unit Mix &amp; Rents'!C45</f>
        <v>0</v>
      </c>
      <c r="D861" s="361">
        <f>'Unit Mix &amp; Rents'!D45</f>
        <v>0</v>
      </c>
      <c r="E861" s="362">
        <f>'Unit Mix &amp; Rents'!E45</f>
        <v>0</v>
      </c>
      <c r="F861" s="362">
        <f t="shared" si="131"/>
        <v>0</v>
      </c>
      <c r="G861" s="362">
        <f t="shared" si="137"/>
        <v>0</v>
      </c>
      <c r="H861" t="str">
        <f t="shared" si="133"/>
        <v/>
      </c>
    </row>
    <row r="862" spans="1:8">
      <c r="A862" s="359">
        <f>'Unit Mix &amp; Rents'!A46</f>
        <v>0</v>
      </c>
      <c r="B862" s="360">
        <f>'Unit Mix &amp; Rents'!B46</f>
        <v>0</v>
      </c>
      <c r="C862" s="361">
        <f>'Unit Mix &amp; Rents'!C46</f>
        <v>0</v>
      </c>
      <c r="D862" s="361">
        <f>'Unit Mix &amp; Rents'!D46</f>
        <v>0</v>
      </c>
      <c r="E862" s="362">
        <f>'Unit Mix &amp; Rents'!E46</f>
        <v>0</v>
      </c>
      <c r="F862" s="362">
        <f t="shared" si="131"/>
        <v>0</v>
      </c>
      <c r="G862" s="362">
        <f t="shared" si="137"/>
        <v>0</v>
      </c>
      <c r="H862" t="str">
        <f t="shared" si="133"/>
        <v/>
      </c>
    </row>
    <row r="863" spans="1:8">
      <c r="A863" s="359">
        <f>'Unit Mix &amp; Rents'!A47</f>
        <v>0</v>
      </c>
      <c r="B863" s="360">
        <f>'Unit Mix &amp; Rents'!B47</f>
        <v>0</v>
      </c>
      <c r="C863" s="361">
        <f>'Unit Mix &amp; Rents'!C47</f>
        <v>0</v>
      </c>
      <c r="D863" s="361">
        <f>'Unit Mix &amp; Rents'!D47</f>
        <v>0</v>
      </c>
      <c r="E863" s="362">
        <f>'Unit Mix &amp; Rents'!E47</f>
        <v>0</v>
      </c>
      <c r="F863" s="362">
        <f t="shared" si="131"/>
        <v>0</v>
      </c>
      <c r="G863" s="362">
        <f t="shared" si="137"/>
        <v>0</v>
      </c>
      <c r="H863" t="str">
        <f t="shared" si="133"/>
        <v/>
      </c>
    </row>
    <row r="864" spans="1:8">
      <c r="A864" s="359">
        <f>'Unit Mix &amp; Rents'!A48</f>
        <v>0</v>
      </c>
      <c r="B864" s="360">
        <f>'Unit Mix &amp; Rents'!B48</f>
        <v>0</v>
      </c>
      <c r="C864" s="361">
        <f>'Unit Mix &amp; Rents'!C48</f>
        <v>0</v>
      </c>
      <c r="D864" s="361">
        <f>'Unit Mix &amp; Rents'!D48</f>
        <v>0</v>
      </c>
      <c r="E864" s="362">
        <f>'Unit Mix &amp; Rents'!E48</f>
        <v>0</v>
      </c>
      <c r="F864" s="362">
        <f t="shared" si="131"/>
        <v>0</v>
      </c>
      <c r="G864" s="362">
        <f t="shared" si="137"/>
        <v>0</v>
      </c>
      <c r="H864" t="str">
        <f t="shared" si="133"/>
        <v/>
      </c>
    </row>
    <row r="865" spans="1:8">
      <c r="A865" s="359">
        <f>'Unit Mix &amp; Rents'!A49</f>
        <v>0</v>
      </c>
      <c r="B865" s="360">
        <f>'Unit Mix &amp; Rents'!B49</f>
        <v>0</v>
      </c>
      <c r="C865" s="361">
        <f>'Unit Mix &amp; Rents'!C49</f>
        <v>0</v>
      </c>
      <c r="D865" s="361">
        <f>'Unit Mix &amp; Rents'!D49</f>
        <v>0</v>
      </c>
      <c r="E865" s="362">
        <f>'Unit Mix &amp; Rents'!E49</f>
        <v>0</v>
      </c>
      <c r="F865" s="362">
        <f t="shared" si="131"/>
        <v>0</v>
      </c>
      <c r="G865" s="362">
        <f t="shared" si="137"/>
        <v>0</v>
      </c>
      <c r="H865" t="str">
        <f t="shared" si="133"/>
        <v/>
      </c>
    </row>
    <row r="866" spans="1:8">
      <c r="A866" s="359">
        <f>'Unit Mix &amp; Rents'!A50</f>
        <v>0</v>
      </c>
      <c r="B866" s="360">
        <f>'Unit Mix &amp; Rents'!B50</f>
        <v>0</v>
      </c>
      <c r="C866" s="361">
        <f>'Unit Mix &amp; Rents'!C50</f>
        <v>0</v>
      </c>
      <c r="D866" s="361">
        <f>'Unit Mix &amp; Rents'!D50</f>
        <v>0</v>
      </c>
      <c r="E866" s="362">
        <f>'Unit Mix &amp; Rents'!E50</f>
        <v>0</v>
      </c>
      <c r="F866" s="362">
        <f t="shared" si="131"/>
        <v>0</v>
      </c>
      <c r="G866" s="362">
        <f t="shared" si="137"/>
        <v>0</v>
      </c>
      <c r="H866" t="str">
        <f t="shared" si="133"/>
        <v/>
      </c>
    </row>
    <row r="867" spans="1:8">
      <c r="A867" s="359">
        <f>'Unit Mix &amp; Rents'!A51</f>
        <v>0</v>
      </c>
      <c r="B867" s="360">
        <f>'Unit Mix &amp; Rents'!B51</f>
        <v>0</v>
      </c>
      <c r="C867" s="361">
        <f>'Unit Mix &amp; Rents'!C51</f>
        <v>0</v>
      </c>
      <c r="D867" s="361">
        <f>'Unit Mix &amp; Rents'!D51</f>
        <v>0</v>
      </c>
      <c r="E867" s="362">
        <f>'Unit Mix &amp; Rents'!E51</f>
        <v>0</v>
      </c>
      <c r="F867" s="362">
        <f t="shared" si="131"/>
        <v>0</v>
      </c>
      <c r="G867" s="362">
        <f t="shared" si="137"/>
        <v>0</v>
      </c>
      <c r="H867" t="str">
        <f t="shared" si="133"/>
        <v/>
      </c>
    </row>
    <row r="868" spans="1:8">
      <c r="A868" s="359">
        <f>'Unit Mix &amp; Rents'!A52</f>
        <v>0</v>
      </c>
      <c r="B868" s="360">
        <f>'Unit Mix &amp; Rents'!B52</f>
        <v>0</v>
      </c>
      <c r="C868" s="361">
        <f>'Unit Mix &amp; Rents'!C52</f>
        <v>0</v>
      </c>
      <c r="D868" s="361">
        <f>'Unit Mix &amp; Rents'!D52</f>
        <v>0</v>
      </c>
      <c r="E868" s="362">
        <f>'Unit Mix &amp; Rents'!E52</f>
        <v>0</v>
      </c>
      <c r="F868" s="362">
        <f t="shared" si="131"/>
        <v>0</v>
      </c>
      <c r="G868" s="362">
        <f t="shared" si="137"/>
        <v>0</v>
      </c>
      <c r="H868" t="str">
        <f t="shared" si="133"/>
        <v/>
      </c>
    </row>
    <row r="869" spans="1:8">
      <c r="A869" s="359">
        <f>'Unit Mix &amp; Rents'!A53</f>
        <v>0</v>
      </c>
      <c r="B869" s="360">
        <f>'Unit Mix &amp; Rents'!B53</f>
        <v>0</v>
      </c>
      <c r="C869" s="361">
        <f>'Unit Mix &amp; Rents'!C53</f>
        <v>0</v>
      </c>
      <c r="D869" s="361">
        <f>'Unit Mix &amp; Rents'!D53</f>
        <v>0</v>
      </c>
      <c r="E869" s="362">
        <f>'Unit Mix &amp; Rents'!E53</f>
        <v>0</v>
      </c>
      <c r="F869" s="362">
        <f t="shared" si="131"/>
        <v>0</v>
      </c>
      <c r="G869" s="362">
        <f t="shared" si="137"/>
        <v>0</v>
      </c>
      <c r="H869" t="str">
        <f t="shared" si="133"/>
        <v/>
      </c>
    </row>
    <row r="870" spans="1:8">
      <c r="A870" s="359">
        <f>'Unit Mix &amp; Rents'!A54</f>
        <v>0</v>
      </c>
      <c r="B870" s="360">
        <f>'Unit Mix &amp; Rents'!B54</f>
        <v>0</v>
      </c>
      <c r="C870" s="361">
        <f>'Unit Mix &amp; Rents'!C54</f>
        <v>0</v>
      </c>
      <c r="D870" s="361">
        <f>'Unit Mix &amp; Rents'!D54</f>
        <v>0</v>
      </c>
      <c r="E870" s="362">
        <f>'Unit Mix &amp; Rents'!E54</f>
        <v>0</v>
      </c>
      <c r="F870" s="362">
        <f t="shared" si="131"/>
        <v>0</v>
      </c>
      <c r="G870" s="362">
        <f t="shared" si="137"/>
        <v>0</v>
      </c>
      <c r="H870" t="str">
        <f t="shared" si="133"/>
        <v/>
      </c>
    </row>
    <row r="871" spans="1:8">
      <c r="A871" s="359">
        <f>'Unit Mix &amp; Rents'!A55</f>
        <v>0</v>
      </c>
      <c r="B871" s="360">
        <f>'Unit Mix &amp; Rents'!B55</f>
        <v>0</v>
      </c>
      <c r="C871" s="361">
        <f>'Unit Mix &amp; Rents'!C55</f>
        <v>0</v>
      </c>
      <c r="D871" s="361">
        <f>'Unit Mix &amp; Rents'!D55</f>
        <v>0</v>
      </c>
      <c r="E871" s="362">
        <f>'Unit Mix &amp; Rents'!E55</f>
        <v>0</v>
      </c>
      <c r="F871" s="362">
        <f t="shared" si="131"/>
        <v>0</v>
      </c>
      <c r="G871" s="362">
        <f t="shared" si="137"/>
        <v>0</v>
      </c>
      <c r="H871" t="str">
        <f t="shared" si="133"/>
        <v/>
      </c>
    </row>
    <row r="872" spans="1:8">
      <c r="A872" s="359">
        <f>'Unit Mix &amp; Rents'!A56</f>
        <v>0</v>
      </c>
      <c r="B872" s="360">
        <f>'Unit Mix &amp; Rents'!B56</f>
        <v>0</v>
      </c>
      <c r="C872" s="361">
        <f>'Unit Mix &amp; Rents'!C56</f>
        <v>0</v>
      </c>
      <c r="D872" s="361">
        <f>'Unit Mix &amp; Rents'!D56</f>
        <v>0</v>
      </c>
      <c r="E872" s="362">
        <f>'Unit Mix &amp; Rents'!E56</f>
        <v>0</v>
      </c>
      <c r="F872" s="362">
        <f t="shared" si="131"/>
        <v>0</v>
      </c>
      <c r="G872" s="362">
        <f t="shared" si="137"/>
        <v>0</v>
      </c>
      <c r="H872" t="str">
        <f t="shared" si="133"/>
        <v/>
      </c>
    </row>
    <row r="873" spans="1:8">
      <c r="A873" s="359">
        <f>'Unit Mix &amp; Rents'!A57</f>
        <v>0</v>
      </c>
      <c r="B873" s="360">
        <f>'Unit Mix &amp; Rents'!B57</f>
        <v>0</v>
      </c>
      <c r="C873" s="361">
        <f>'Unit Mix &amp; Rents'!C57</f>
        <v>0</v>
      </c>
      <c r="D873" s="361">
        <f>'Unit Mix &amp; Rents'!D57</f>
        <v>0</v>
      </c>
      <c r="E873" s="362">
        <f>'Unit Mix &amp; Rents'!E57</f>
        <v>0</v>
      </c>
      <c r="F873" s="362">
        <f t="shared" si="131"/>
        <v>0</v>
      </c>
      <c r="G873" s="362">
        <f t="shared" si="137"/>
        <v>0</v>
      </c>
      <c r="H873" t="str">
        <f t="shared" si="133"/>
        <v/>
      </c>
    </row>
    <row r="874" spans="1:8">
      <c r="A874" s="359">
        <f>'Unit Mix &amp; Rents'!A58</f>
        <v>0</v>
      </c>
      <c r="B874" s="360">
        <f>'Unit Mix &amp; Rents'!B58</f>
        <v>0</v>
      </c>
      <c r="C874" s="361">
        <f>'Unit Mix &amp; Rents'!C58</f>
        <v>0</v>
      </c>
      <c r="D874" s="361">
        <f>'Unit Mix &amp; Rents'!D58</f>
        <v>0</v>
      </c>
      <c r="E874" s="362">
        <f>'Unit Mix &amp; Rents'!E58</f>
        <v>0</v>
      </c>
      <c r="F874" s="362">
        <f t="shared" si="131"/>
        <v>0</v>
      </c>
      <c r="G874" s="362">
        <f t="shared" si="137"/>
        <v>0</v>
      </c>
      <c r="H874" t="str">
        <f t="shared" si="133"/>
        <v/>
      </c>
    </row>
    <row r="875" spans="1:8">
      <c r="A875" s="359">
        <f>'Unit Mix &amp; Rents'!A59</f>
        <v>0</v>
      </c>
      <c r="B875" s="360">
        <f>'Unit Mix &amp; Rents'!B59</f>
        <v>0</v>
      </c>
      <c r="C875" s="361">
        <f>'Unit Mix &amp; Rents'!C59</f>
        <v>0</v>
      </c>
      <c r="D875" s="361">
        <f>'Unit Mix &amp; Rents'!D59</f>
        <v>0</v>
      </c>
      <c r="E875" s="362">
        <f>'Unit Mix &amp; Rents'!E59</f>
        <v>0</v>
      </c>
      <c r="F875" s="362">
        <f t="shared" si="131"/>
        <v>0</v>
      </c>
      <c r="G875" s="362">
        <f t="shared" si="137"/>
        <v>0</v>
      </c>
      <c r="H875" t="str">
        <f t="shared" si="133"/>
        <v/>
      </c>
    </row>
    <row r="876" spans="1:8">
      <c r="A876" s="359">
        <f>'Unit Mix &amp; Rents'!A60</f>
        <v>0</v>
      </c>
      <c r="B876" s="360">
        <f>'Unit Mix &amp; Rents'!B60</f>
        <v>0</v>
      </c>
      <c r="C876" s="361">
        <f>'Unit Mix &amp; Rents'!C60</f>
        <v>0</v>
      </c>
      <c r="D876" s="361">
        <f>'Unit Mix &amp; Rents'!D60</f>
        <v>0</v>
      </c>
      <c r="E876" s="362">
        <f>'Unit Mix &amp; Rents'!E60</f>
        <v>0</v>
      </c>
      <c r="F876" s="362">
        <f t="shared" si="131"/>
        <v>0</v>
      </c>
      <c r="G876" s="362">
        <f t="shared" si="137"/>
        <v>0</v>
      </c>
      <c r="H876" t="str">
        <f t="shared" si="133"/>
        <v/>
      </c>
    </row>
    <row r="877" spans="1:8">
      <c r="A877" s="359">
        <f>'Unit Mix &amp; Rents'!A61</f>
        <v>0</v>
      </c>
      <c r="B877" s="360">
        <f>'Unit Mix &amp; Rents'!B61</f>
        <v>0</v>
      </c>
      <c r="C877" s="361">
        <f>'Unit Mix &amp; Rents'!C61</f>
        <v>0</v>
      </c>
      <c r="D877" s="361">
        <f>'Unit Mix &amp; Rents'!D61</f>
        <v>0</v>
      </c>
      <c r="E877" s="362">
        <f>'Unit Mix &amp; Rents'!E61</f>
        <v>0</v>
      </c>
      <c r="F877" s="362">
        <f t="shared" si="131"/>
        <v>0</v>
      </c>
      <c r="G877" s="362">
        <f t="shared" si="137"/>
        <v>0</v>
      </c>
      <c r="H877" t="str">
        <f t="shared" si="133"/>
        <v/>
      </c>
    </row>
    <row r="878" spans="1:8">
      <c r="A878" s="359">
        <f>'Unit Mix &amp; Rents'!A62</f>
        <v>0</v>
      </c>
      <c r="B878" s="360">
        <f>'Unit Mix &amp; Rents'!B62</f>
        <v>0</v>
      </c>
      <c r="C878" s="361">
        <f>'Unit Mix &amp; Rents'!C62</f>
        <v>0</v>
      </c>
      <c r="D878" s="361">
        <f>'Unit Mix &amp; Rents'!D62</f>
        <v>0</v>
      </c>
      <c r="E878" s="362">
        <f>'Unit Mix &amp; Rents'!E62</f>
        <v>0</v>
      </c>
      <c r="F878" s="362">
        <f t="shared" si="131"/>
        <v>0</v>
      </c>
      <c r="G878" s="362">
        <f t="shared" si="137"/>
        <v>0</v>
      </c>
      <c r="H878" t="str">
        <f t="shared" si="133"/>
        <v/>
      </c>
    </row>
    <row r="879" spans="1:8">
      <c r="A879" s="359">
        <f>'Unit Mix &amp; Rents'!A63</f>
        <v>0</v>
      </c>
      <c r="B879" s="360">
        <f>'Unit Mix &amp; Rents'!B63</f>
        <v>0</v>
      </c>
      <c r="C879" s="361">
        <f>'Unit Mix &amp; Rents'!C63</f>
        <v>0</v>
      </c>
      <c r="D879" s="361">
        <f>'Unit Mix &amp; Rents'!D63</f>
        <v>0</v>
      </c>
      <c r="E879" s="362">
        <f>'Unit Mix &amp; Rents'!E63</f>
        <v>0</v>
      </c>
      <c r="F879" s="362">
        <f t="shared" si="131"/>
        <v>0</v>
      </c>
      <c r="G879" s="362">
        <f t="shared" si="137"/>
        <v>0</v>
      </c>
      <c r="H879" t="str">
        <f t="shared" si="133"/>
        <v/>
      </c>
    </row>
    <row r="880" spans="1:8">
      <c r="A880" s="359">
        <f>'Unit Mix &amp; Rents'!A64</f>
        <v>0</v>
      </c>
      <c r="B880" s="360">
        <f>'Unit Mix &amp; Rents'!B64</f>
        <v>0</v>
      </c>
      <c r="C880" s="361">
        <f>'Unit Mix &amp; Rents'!C64</f>
        <v>0</v>
      </c>
      <c r="D880" s="361">
        <f>'Unit Mix &amp; Rents'!D64</f>
        <v>0</v>
      </c>
      <c r="E880" s="362">
        <f>'Unit Mix &amp; Rents'!E64</f>
        <v>0</v>
      </c>
      <c r="F880" s="362">
        <f t="shared" si="131"/>
        <v>0</v>
      </c>
      <c r="G880" s="362">
        <f t="shared" si="137"/>
        <v>0</v>
      </c>
      <c r="H880" t="str">
        <f t="shared" si="133"/>
        <v/>
      </c>
    </row>
    <row r="881" spans="1:8">
      <c r="A881" s="359">
        <f>'Unit Mix &amp; Rents'!A65</f>
        <v>0</v>
      </c>
      <c r="B881" s="360">
        <f>'Unit Mix &amp; Rents'!B65</f>
        <v>0</v>
      </c>
      <c r="C881" s="361">
        <f>'Unit Mix &amp; Rents'!C65</f>
        <v>0</v>
      </c>
      <c r="D881" s="361">
        <f>'Unit Mix &amp; Rents'!D65</f>
        <v>0</v>
      </c>
      <c r="E881" s="362">
        <f>'Unit Mix &amp; Rents'!E65</f>
        <v>0</v>
      </c>
      <c r="F881" s="362">
        <f t="shared" si="131"/>
        <v>0</v>
      </c>
      <c r="G881" s="362">
        <f t="shared" si="137"/>
        <v>0</v>
      </c>
      <c r="H881" t="str">
        <f t="shared" si="133"/>
        <v/>
      </c>
    </row>
    <row r="882" spans="1:8">
      <c r="A882" s="359">
        <f>'Unit Mix &amp; Rents'!A66</f>
        <v>0</v>
      </c>
      <c r="B882" s="360">
        <f>'Unit Mix &amp; Rents'!B66</f>
        <v>0</v>
      </c>
      <c r="C882" s="361">
        <f>'Unit Mix &amp; Rents'!C66</f>
        <v>0</v>
      </c>
      <c r="D882" s="361">
        <f>'Unit Mix &amp; Rents'!D66</f>
        <v>0</v>
      </c>
      <c r="E882" s="362">
        <f>'Unit Mix &amp; Rents'!E66</f>
        <v>0</v>
      </c>
      <c r="F882" s="362">
        <f t="shared" si="131"/>
        <v>0</v>
      </c>
      <c r="G882" s="362">
        <f t="shared" si="137"/>
        <v>0</v>
      </c>
      <c r="H882" t="str">
        <f t="shared" si="133"/>
        <v/>
      </c>
    </row>
    <row r="883" spans="1:8">
      <c r="A883" s="359">
        <f>'Unit Mix &amp; Rents'!A67</f>
        <v>0</v>
      </c>
      <c r="B883" s="360">
        <f>'Unit Mix &amp; Rents'!B67</f>
        <v>0</v>
      </c>
      <c r="C883" s="361">
        <f>'Unit Mix &amp; Rents'!C67</f>
        <v>0</v>
      </c>
      <c r="D883" s="361">
        <f>'Unit Mix &amp; Rents'!D67</f>
        <v>0</v>
      </c>
      <c r="E883" s="362">
        <f>'Unit Mix &amp; Rents'!E67</f>
        <v>0</v>
      </c>
      <c r="F883" s="362">
        <f t="shared" si="131"/>
        <v>0</v>
      </c>
      <c r="G883" s="362">
        <f t="shared" si="137"/>
        <v>0</v>
      </c>
      <c r="H883" t="str">
        <f t="shared" si="133"/>
        <v/>
      </c>
    </row>
    <row r="884" spans="1:8">
      <c r="A884" s="359">
        <f>'Unit Mix &amp; Rents'!A68</f>
        <v>0</v>
      </c>
      <c r="B884" s="360">
        <f>'Unit Mix &amp; Rents'!B68</f>
        <v>0</v>
      </c>
      <c r="C884" s="361">
        <f>'Unit Mix &amp; Rents'!C68</f>
        <v>0</v>
      </c>
      <c r="D884" s="361">
        <f>'Unit Mix &amp; Rents'!D68</f>
        <v>0</v>
      </c>
      <c r="E884" s="362">
        <f>'Unit Mix &amp; Rents'!E68</f>
        <v>0</v>
      </c>
      <c r="F884" s="362">
        <f t="shared" si="131"/>
        <v>0</v>
      </c>
      <c r="G884" s="362">
        <f t="shared" si="137"/>
        <v>0</v>
      </c>
      <c r="H884" t="str">
        <f t="shared" si="133"/>
        <v/>
      </c>
    </row>
    <row r="885" spans="1:8">
      <c r="A885" s="359">
        <f>'Unit Mix &amp; Rents'!A69</f>
        <v>0</v>
      </c>
      <c r="B885" s="360">
        <f>'Unit Mix &amp; Rents'!B69</f>
        <v>0</v>
      </c>
      <c r="C885" s="361">
        <f>'Unit Mix &amp; Rents'!C69</f>
        <v>0</v>
      </c>
      <c r="D885" s="361">
        <f>'Unit Mix &amp; Rents'!D69</f>
        <v>0</v>
      </c>
      <c r="E885" s="362">
        <f>'Unit Mix &amp; Rents'!E69</f>
        <v>0</v>
      </c>
      <c r="F885" s="362">
        <f t="shared" si="131"/>
        <v>0</v>
      </c>
      <c r="G885" s="362">
        <f t="shared" si="137"/>
        <v>0</v>
      </c>
      <c r="H885" t="str">
        <f t="shared" si="133"/>
        <v/>
      </c>
    </row>
    <row r="886" spans="1:8">
      <c r="A886" s="359">
        <f>'Unit Mix &amp; Rents'!A70</f>
        <v>0</v>
      </c>
      <c r="B886" s="360">
        <f>'Unit Mix &amp; Rents'!B70</f>
        <v>0</v>
      </c>
      <c r="C886" s="361">
        <f>'Unit Mix &amp; Rents'!C70</f>
        <v>0</v>
      </c>
      <c r="D886" s="361">
        <f>'Unit Mix &amp; Rents'!D70</f>
        <v>0</v>
      </c>
      <c r="E886" s="362">
        <f>'Unit Mix &amp; Rents'!E70</f>
        <v>0</v>
      </c>
      <c r="F886" s="362">
        <f t="shared" si="131"/>
        <v>0</v>
      </c>
      <c r="G886" s="362">
        <f t="shared" si="137"/>
        <v>0</v>
      </c>
      <c r="H886" t="str">
        <f t="shared" si="133"/>
        <v/>
      </c>
    </row>
    <row r="887" spans="1:8">
      <c r="A887" s="359">
        <f>'Unit Mix &amp; Rents'!A71</f>
        <v>0</v>
      </c>
      <c r="B887" s="360">
        <f>'Unit Mix &amp; Rents'!B71</f>
        <v>0</v>
      </c>
      <c r="C887" s="361">
        <f>'Unit Mix &amp; Rents'!C71</f>
        <v>0</v>
      </c>
      <c r="D887" s="361">
        <f>'Unit Mix &amp; Rents'!D71</f>
        <v>0</v>
      </c>
      <c r="E887" s="362">
        <f>'Unit Mix &amp; Rents'!E71</f>
        <v>0</v>
      </c>
      <c r="F887" s="362">
        <f t="shared" si="131"/>
        <v>0</v>
      </c>
      <c r="G887" s="362">
        <f t="shared" si="137"/>
        <v>0</v>
      </c>
      <c r="H887" t="str">
        <f t="shared" si="133"/>
        <v/>
      </c>
    </row>
    <row r="888" spans="1:8">
      <c r="A888" s="359">
        <f>'Unit Mix &amp; Rents'!A72</f>
        <v>0</v>
      </c>
      <c r="B888" s="360">
        <f>'Unit Mix &amp; Rents'!B72</f>
        <v>0</v>
      </c>
      <c r="C888" s="361">
        <f>'Unit Mix &amp; Rents'!C72</f>
        <v>0</v>
      </c>
      <c r="D888" s="361">
        <f>'Unit Mix &amp; Rents'!D72</f>
        <v>0</v>
      </c>
      <c r="E888" s="362">
        <f>'Unit Mix &amp; Rents'!E72</f>
        <v>0</v>
      </c>
      <c r="F888" s="362">
        <f t="shared" si="131"/>
        <v>0</v>
      </c>
      <c r="G888" s="362">
        <f t="shared" si="137"/>
        <v>0</v>
      </c>
      <c r="H888" t="str">
        <f t="shared" si="133"/>
        <v/>
      </c>
    </row>
    <row r="889" spans="1:8">
      <c r="A889" s="359">
        <f>'Unit Mix &amp; Rents'!A73</f>
        <v>0</v>
      </c>
      <c r="B889" s="360">
        <f>'Unit Mix &amp; Rents'!B73</f>
        <v>0</v>
      </c>
      <c r="C889" s="361">
        <f>'Unit Mix &amp; Rents'!C73</f>
        <v>0</v>
      </c>
      <c r="D889" s="361">
        <f>'Unit Mix &amp; Rents'!D73</f>
        <v>0</v>
      </c>
      <c r="E889" s="362">
        <f>'Unit Mix &amp; Rents'!E73</f>
        <v>0</v>
      </c>
      <c r="F889" s="362">
        <f t="shared" si="131"/>
        <v>0</v>
      </c>
      <c r="G889" s="362">
        <f t="shared" si="137"/>
        <v>0</v>
      </c>
      <c r="H889" t="str">
        <f t="shared" si="133"/>
        <v/>
      </c>
    </row>
    <row r="890" spans="1:8">
      <c r="A890" s="359">
        <f>'Unit Mix &amp; Rents'!A74</f>
        <v>0</v>
      </c>
      <c r="B890" s="360">
        <f>'Unit Mix &amp; Rents'!B74</f>
        <v>0</v>
      </c>
      <c r="C890" s="361">
        <f>'Unit Mix &amp; Rents'!C74</f>
        <v>0</v>
      </c>
      <c r="D890" s="361">
        <f>'Unit Mix &amp; Rents'!D74</f>
        <v>0</v>
      </c>
      <c r="E890" s="362">
        <f>'Unit Mix &amp; Rents'!E74</f>
        <v>0</v>
      </c>
      <c r="F890" s="362">
        <f t="shared" si="131"/>
        <v>0</v>
      </c>
      <c r="G890" s="362">
        <f t="shared" si="137"/>
        <v>0</v>
      </c>
      <c r="H890" t="str">
        <f t="shared" si="133"/>
        <v/>
      </c>
    </row>
    <row r="891" spans="1:8">
      <c r="A891" s="359">
        <f>'Unit Mix &amp; Rents'!A75</f>
        <v>0</v>
      </c>
      <c r="B891" s="360">
        <f>'Unit Mix &amp; Rents'!B75</f>
        <v>0</v>
      </c>
      <c r="C891" s="361">
        <f>'Unit Mix &amp; Rents'!C75</f>
        <v>0</v>
      </c>
      <c r="D891" s="361">
        <f>'Unit Mix &amp; Rents'!D75</f>
        <v>0</v>
      </c>
      <c r="E891" s="362">
        <f>'Unit Mix &amp; Rents'!E75</f>
        <v>0</v>
      </c>
      <c r="F891" s="362">
        <f t="shared" si="131"/>
        <v>0</v>
      </c>
      <c r="G891" s="362">
        <f t="shared" si="137"/>
        <v>0</v>
      </c>
      <c r="H891" t="str">
        <f t="shared" si="133"/>
        <v/>
      </c>
    </row>
    <row r="892" spans="1:8">
      <c r="A892" s="359">
        <f>'Unit Mix &amp; Rents'!A76</f>
        <v>0</v>
      </c>
      <c r="B892" s="360">
        <f>'Unit Mix &amp; Rents'!B76</f>
        <v>0</v>
      </c>
      <c r="C892" s="361">
        <f>'Unit Mix &amp; Rents'!C76</f>
        <v>0</v>
      </c>
      <c r="D892" s="361">
        <f>'Unit Mix &amp; Rents'!D76</f>
        <v>0</v>
      </c>
      <c r="E892" s="362">
        <f>'Unit Mix &amp; Rents'!E76</f>
        <v>0</v>
      </c>
      <c r="F892" s="362">
        <f t="shared" si="131"/>
        <v>0</v>
      </c>
      <c r="G892" s="362">
        <f t="shared" si="137"/>
        <v>0</v>
      </c>
      <c r="H892" t="str">
        <f t="shared" si="133"/>
        <v/>
      </c>
    </row>
    <row r="894" spans="1:8">
      <c r="B894" s="134"/>
      <c r="C894" s="134"/>
      <c r="D894" s="134"/>
      <c r="E894" s="134"/>
    </row>
    <row r="896" spans="1:8"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7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345" spans="6:10">
      <c r="F4345" s="20"/>
      <c r="G4345" s="20"/>
      <c r="H4345" s="20"/>
      <c r="I4345" s="20"/>
      <c r="J4345" s="20"/>
    </row>
    <row r="4346" spans="6:10">
      <c r="F4346" s="20"/>
      <c r="G4346" s="20"/>
      <c r="H4346" s="20"/>
      <c r="I4346" s="20"/>
      <c r="J4346" s="20"/>
    </row>
    <row r="4347" spans="6:10">
      <c r="F4347" s="20"/>
      <c r="G4347" s="20"/>
      <c r="H4347" s="20"/>
      <c r="I4347" s="20"/>
      <c r="J4347" s="20"/>
    </row>
    <row r="4348" spans="6:10">
      <c r="F4348" s="20"/>
      <c r="G4348" s="20"/>
      <c r="H4348" s="20"/>
      <c r="I4348" s="20"/>
      <c r="J4348" s="20"/>
    </row>
    <row r="4349" spans="6:10">
      <c r="F4349" s="20"/>
      <c r="G4349" s="20"/>
      <c r="H4349" s="20"/>
      <c r="I4349" s="20"/>
      <c r="J4349" s="20"/>
    </row>
    <row r="4350" spans="6:10">
      <c r="F4350" s="20"/>
      <c r="G4350" s="20"/>
      <c r="H4350" s="20"/>
      <c r="I4350" s="20"/>
      <c r="J4350" s="20"/>
    </row>
    <row r="4351" spans="6:10">
      <c r="F4351" s="20"/>
      <c r="G4351" s="20"/>
      <c r="H4351" s="20"/>
      <c r="I4351" s="20"/>
      <c r="J4351" s="20"/>
    </row>
    <row r="4352" spans="6:10">
      <c r="F4352" s="20"/>
      <c r="G4352" s="20"/>
      <c r="H4352" s="20"/>
      <c r="I4352" s="20"/>
      <c r="J4352" s="20"/>
    </row>
    <row r="4353" spans="6:10">
      <c r="F4353" s="20"/>
      <c r="G4353" s="20"/>
      <c r="H4353" s="20"/>
      <c r="I4353" s="20"/>
      <c r="J4353" s="20"/>
    </row>
    <row r="4354" spans="6:10">
      <c r="F4354" s="20"/>
      <c r="G4354" s="20"/>
      <c r="H4354" s="20"/>
      <c r="I4354" s="20"/>
      <c r="J4354" s="20"/>
    </row>
    <row r="4355" spans="6:10">
      <c r="F4355" s="20"/>
      <c r="G4355" s="20"/>
      <c r="H4355" s="20"/>
      <c r="I4355" s="20"/>
      <c r="J4355" s="20"/>
    </row>
    <row r="4356" spans="6:10">
      <c r="F4356" s="20"/>
      <c r="G4356" s="20"/>
      <c r="H4356" s="20"/>
      <c r="I4356" s="20"/>
      <c r="J4356" s="20"/>
    </row>
    <row r="4357" spans="6:10">
      <c r="F4357" s="20"/>
      <c r="G4357" s="20"/>
      <c r="H4357" s="20"/>
      <c r="I4357" s="20"/>
      <c r="J4357" s="20"/>
    </row>
    <row r="4358" spans="6:10">
      <c r="F4358" s="20"/>
      <c r="G4358" s="20"/>
      <c r="H4358" s="20"/>
      <c r="I4358" s="20"/>
      <c r="J4358" s="20"/>
    </row>
    <row r="4359" spans="6:10">
      <c r="F4359" s="20"/>
      <c r="G4359" s="20"/>
      <c r="H4359" s="20"/>
      <c r="I4359" s="20"/>
      <c r="J4359" s="20"/>
    </row>
    <row r="4360" spans="6:10">
      <c r="F4360" s="20"/>
      <c r="G4360" s="20"/>
      <c r="H4360" s="20"/>
      <c r="I4360" s="20"/>
      <c r="J4360" s="20"/>
    </row>
    <row r="4361" spans="6:10">
      <c r="F4361" s="20"/>
      <c r="G4361" s="20"/>
      <c r="H4361" s="20"/>
      <c r="I4361" s="20"/>
      <c r="J4361" s="20"/>
    </row>
    <row r="4362" spans="6:10">
      <c r="F4362" s="20"/>
      <c r="G4362" s="20"/>
      <c r="H4362" s="20"/>
      <c r="I4362" s="20"/>
      <c r="J4362" s="20"/>
    </row>
    <row r="4363" spans="6:10">
      <c r="F4363" s="20"/>
      <c r="G4363" s="20"/>
      <c r="H4363" s="20"/>
      <c r="I4363" s="20"/>
      <c r="J4363" s="20"/>
    </row>
    <row r="4364" spans="6:10">
      <c r="F4364" s="20"/>
      <c r="G4364" s="20"/>
      <c r="H4364" s="20"/>
      <c r="I4364" s="20"/>
      <c r="J4364" s="20"/>
    </row>
    <row r="4365" spans="6:10">
      <c r="F4365" s="20"/>
      <c r="G4365" s="20"/>
      <c r="H4365" s="20"/>
      <c r="I4365" s="20"/>
      <c r="J4365" s="20"/>
    </row>
    <row r="4366" spans="6:10">
      <c r="F4366" s="20"/>
      <c r="G4366" s="20"/>
      <c r="H4366" s="20"/>
      <c r="I4366" s="20"/>
      <c r="J4366" s="20"/>
    </row>
    <row r="4367" spans="6:10">
      <c r="F4367" s="20"/>
      <c r="G4367" s="20"/>
      <c r="H4367" s="20"/>
      <c r="I4367" s="20"/>
      <c r="J4367" s="20"/>
    </row>
    <row r="4368" spans="6:10">
      <c r="F4368" s="20"/>
      <c r="G4368" s="20"/>
      <c r="H4368" s="20"/>
      <c r="I4368" s="20"/>
      <c r="J4368" s="20"/>
    </row>
    <row r="4369" spans="6:10">
      <c r="F4369" s="20"/>
      <c r="G4369" s="20"/>
      <c r="H4369" s="20"/>
      <c r="I4369" s="20"/>
      <c r="J4369" s="20"/>
    </row>
    <row r="4370" spans="6:10">
      <c r="F4370" s="20"/>
      <c r="G4370" s="20"/>
      <c r="H4370" s="20"/>
      <c r="I4370" s="20"/>
      <c r="J4370" s="20"/>
    </row>
    <row r="4371" spans="6:10">
      <c r="F4371" s="20"/>
      <c r="G4371" s="20"/>
      <c r="H4371" s="20"/>
      <c r="I4371" s="20"/>
      <c r="J4371" s="20"/>
    </row>
    <row r="4372" spans="6:10">
      <c r="F4372" s="20"/>
      <c r="G4372" s="20"/>
      <c r="H4372" s="20"/>
      <c r="I4372" s="20"/>
      <c r="J4372" s="20"/>
    </row>
    <row r="4373" spans="6:10">
      <c r="F4373" s="20"/>
      <c r="G4373" s="20"/>
      <c r="H4373" s="20"/>
      <c r="I4373" s="20"/>
      <c r="J4373" s="20"/>
    </row>
    <row r="4374" spans="6:10">
      <c r="F4374" s="20"/>
      <c r="G4374" s="20"/>
      <c r="H4374" s="20"/>
      <c r="I4374" s="20"/>
      <c r="J4374" s="20"/>
    </row>
    <row r="4375" spans="6:10">
      <c r="F4375" s="20"/>
      <c r="G4375" s="20"/>
      <c r="H4375" s="20"/>
      <c r="I4375" s="20"/>
      <c r="J4375" s="20"/>
    </row>
    <row r="4376" spans="6:10">
      <c r="F4376" s="20"/>
      <c r="G4376" s="20"/>
      <c r="H4376" s="20"/>
      <c r="I4376" s="20"/>
      <c r="J4376" s="20"/>
    </row>
    <row r="4377" spans="6:10">
      <c r="F4377" s="20"/>
      <c r="G4377" s="20"/>
      <c r="H4377" s="20"/>
      <c r="I4377" s="20"/>
      <c r="J4377" s="20"/>
    </row>
    <row r="4378" spans="6:10">
      <c r="F4378" s="20"/>
      <c r="G4378" s="20"/>
      <c r="H4378" s="20"/>
      <c r="I4378" s="20"/>
      <c r="J4378" s="20"/>
    </row>
    <row r="4379" spans="6:10">
      <c r="F4379" s="20"/>
      <c r="G4379" s="20"/>
      <c r="H4379" s="20"/>
      <c r="I4379" s="20"/>
      <c r="J4379" s="20"/>
    </row>
    <row r="4380" spans="6:10">
      <c r="F4380" s="20"/>
      <c r="G4380" s="20"/>
      <c r="H4380" s="20"/>
      <c r="I4380" s="20"/>
      <c r="J4380" s="20"/>
    </row>
    <row r="4381" spans="6:10">
      <c r="F4381" s="20"/>
      <c r="G4381" s="20"/>
      <c r="H4381" s="20"/>
      <c r="I4381" s="20"/>
      <c r="J4381" s="20"/>
    </row>
    <row r="4382" spans="6:10">
      <c r="F4382" s="20"/>
      <c r="G4382" s="20"/>
      <c r="H4382" s="20"/>
      <c r="I4382" s="20"/>
      <c r="J4382" s="20"/>
    </row>
    <row r="4383" spans="6:10">
      <c r="F4383" s="20"/>
      <c r="G4383" s="20"/>
      <c r="H4383" s="20"/>
      <c r="I4383" s="20"/>
      <c r="J4383" s="20"/>
    </row>
    <row r="4384" spans="6:10">
      <c r="F4384" s="20"/>
      <c r="G4384" s="20"/>
      <c r="H4384" s="20"/>
      <c r="I4384" s="20"/>
      <c r="J4384" s="20"/>
    </row>
    <row r="4385" spans="6:10">
      <c r="F4385" s="20"/>
      <c r="G4385" s="20"/>
      <c r="H4385" s="20"/>
      <c r="I4385" s="20"/>
      <c r="J4385" s="20"/>
    </row>
    <row r="4386" spans="6:10">
      <c r="F4386" s="20"/>
      <c r="G4386" s="20"/>
      <c r="H4386" s="20"/>
      <c r="I4386" s="20"/>
      <c r="J4386" s="20"/>
    </row>
    <row r="4387" spans="6:10">
      <c r="F4387" s="20"/>
      <c r="G4387" s="20"/>
      <c r="H4387" s="20"/>
      <c r="I4387" s="20"/>
      <c r="J4387" s="20"/>
    </row>
    <row r="4388" spans="6:10">
      <c r="F4388" s="20"/>
      <c r="G4388" s="20"/>
      <c r="H4388" s="20"/>
      <c r="I4388" s="20"/>
      <c r="J4388" s="20"/>
    </row>
    <row r="4389" spans="6:10">
      <c r="F4389" s="20"/>
      <c r="G4389" s="20"/>
      <c r="H4389" s="20"/>
      <c r="I4389" s="20"/>
      <c r="J4389" s="20"/>
    </row>
    <row r="4390" spans="6:10">
      <c r="F4390" s="20"/>
      <c r="G4390" s="20"/>
      <c r="H4390" s="20"/>
      <c r="I4390" s="20"/>
      <c r="J4390" s="20"/>
    </row>
    <row r="4391" spans="6:10">
      <c r="F4391" s="20"/>
      <c r="G4391" s="20"/>
      <c r="H4391" s="20"/>
      <c r="I4391" s="20"/>
      <c r="J4391" s="20"/>
    </row>
    <row r="4392" spans="6:10">
      <c r="F4392" s="20"/>
      <c r="G4392" s="20"/>
      <c r="H4392" s="20"/>
      <c r="I4392" s="20"/>
      <c r="J4392" s="20"/>
    </row>
    <row r="4393" spans="6:10">
      <c r="F4393" s="20"/>
      <c r="G4393" s="20"/>
      <c r="H4393" s="20"/>
      <c r="I4393" s="20"/>
      <c r="J4393" s="20"/>
    </row>
    <row r="4394" spans="6:10">
      <c r="F4394" s="20"/>
      <c r="G4394" s="20"/>
      <c r="H4394" s="20"/>
      <c r="I4394" s="20"/>
      <c r="J4394" s="20"/>
    </row>
    <row r="4395" spans="6:10">
      <c r="F4395" s="20"/>
      <c r="G4395" s="20"/>
      <c r="H4395" s="20"/>
      <c r="I4395" s="20"/>
      <c r="J4395" s="20"/>
    </row>
    <row r="4396" spans="6:10">
      <c r="F4396" s="20"/>
      <c r="G4396" s="20"/>
      <c r="H4396" s="20"/>
      <c r="I4396" s="20"/>
      <c r="J4396" s="20"/>
    </row>
    <row r="4397" spans="6:10">
      <c r="F4397" s="20"/>
      <c r="G4397" s="20"/>
      <c r="H4397" s="20"/>
      <c r="I4397" s="20"/>
      <c r="J4397" s="20"/>
    </row>
    <row r="4398" spans="6:10">
      <c r="F4398" s="20"/>
      <c r="G4398" s="20"/>
      <c r="H4398" s="20"/>
      <c r="I4398" s="20"/>
      <c r="J4398" s="20"/>
    </row>
    <row r="4399" spans="6:10">
      <c r="F4399" s="20"/>
      <c r="G4399" s="20"/>
      <c r="H4399" s="20"/>
      <c r="I4399" s="20"/>
      <c r="J4399" s="20"/>
    </row>
    <row r="4400" spans="6:10">
      <c r="F4400" s="20"/>
      <c r="G4400" s="20"/>
      <c r="H4400" s="20"/>
      <c r="I4400" s="20"/>
      <c r="J4400" s="20"/>
    </row>
    <row r="4401" spans="1:10">
      <c r="F4401" s="20"/>
      <c r="G4401" s="20"/>
      <c r="H4401" s="20"/>
      <c r="I4401" s="20"/>
      <c r="J4401" s="20"/>
    </row>
    <row r="4402" spans="1:10">
      <c r="F4402" s="20"/>
      <c r="G4402" s="20"/>
      <c r="H4402" s="20"/>
      <c r="I4402" s="20"/>
      <c r="J4402" s="20"/>
    </row>
    <row r="4403" spans="1:10">
      <c r="F4403" s="20"/>
      <c r="G4403" s="20"/>
      <c r="H4403" s="20"/>
      <c r="I4403" s="20"/>
      <c r="J4403" s="20"/>
    </row>
    <row r="4404" spans="1:10">
      <c r="F4404" s="20"/>
      <c r="G4404" s="20"/>
      <c r="H4404" s="20"/>
      <c r="I4404" s="20"/>
      <c r="J4404" s="20"/>
    </row>
    <row r="4405" spans="1:10">
      <c r="F4405" s="20"/>
      <c r="G4405" s="20"/>
      <c r="H4405" s="20"/>
      <c r="I4405" s="20"/>
      <c r="J4405" s="20"/>
    </row>
    <row r="4406" spans="1:10">
      <c r="A4406" s="20"/>
      <c r="B4406" s="20"/>
      <c r="C4406" s="20"/>
      <c r="D4406" s="20"/>
      <c r="E4406" s="20"/>
      <c r="F4406" s="20"/>
      <c r="G4406" s="20"/>
      <c r="H4406" s="20"/>
      <c r="I4406" s="20"/>
      <c r="J4406" s="20"/>
    </row>
    <row r="4407" spans="1:10">
      <c r="A4407" s="20"/>
      <c r="B4407" s="20"/>
      <c r="C4407" s="20"/>
      <c r="D4407" s="20"/>
      <c r="E4407" s="20"/>
      <c r="F4407" s="20"/>
      <c r="G4407" s="20"/>
      <c r="H4407" s="20"/>
      <c r="I4407" s="20"/>
      <c r="J4407" s="20"/>
    </row>
    <row r="4408" spans="1:10">
      <c r="A4408" s="20"/>
      <c r="B4408" s="20"/>
      <c r="C4408" s="20"/>
      <c r="D4408" s="20"/>
      <c r="E4408" s="20"/>
      <c r="F4408" s="20"/>
      <c r="G4408" s="20"/>
      <c r="H4408" s="20"/>
      <c r="I4408" s="20"/>
      <c r="J4408" s="20"/>
    </row>
    <row r="4409" spans="1:10">
      <c r="A4409" s="20"/>
      <c r="B4409" s="20"/>
      <c r="C4409" s="20"/>
      <c r="D4409" s="20"/>
      <c r="E4409" s="20"/>
      <c r="F4409" s="20"/>
      <c r="G4409" s="20"/>
      <c r="H4409" s="20"/>
      <c r="I4409" s="20"/>
      <c r="J4409" s="20"/>
    </row>
    <row r="4410" spans="1:10">
      <c r="A4410" s="20"/>
      <c r="B4410" s="20"/>
      <c r="C4410" s="20"/>
      <c r="D4410" s="20"/>
      <c r="E4410" s="20"/>
      <c r="F4410" s="20"/>
      <c r="G4410" s="20"/>
      <c r="H4410" s="20"/>
      <c r="I4410" s="20"/>
      <c r="J4410" s="20"/>
    </row>
    <row r="4411" spans="1:10">
      <c r="A4411" s="20"/>
      <c r="B4411" s="20"/>
      <c r="C4411" s="20"/>
      <c r="D4411" s="20"/>
      <c r="E4411" s="20"/>
      <c r="F4411" s="20"/>
      <c r="G4411" s="20"/>
      <c r="H4411" s="20"/>
      <c r="I4411" s="20"/>
      <c r="J4411" s="20"/>
    </row>
    <row r="4412" spans="1:10">
      <c r="A4412" s="20"/>
      <c r="B4412" s="20"/>
      <c r="C4412" s="20"/>
      <c r="D4412" s="20"/>
      <c r="E4412" s="20"/>
      <c r="F4412" s="20"/>
      <c r="G4412" s="20"/>
      <c r="H4412" s="20"/>
      <c r="I4412" s="20"/>
      <c r="J4412" s="20"/>
    </row>
    <row r="4413" spans="1:10">
      <c r="A4413" s="20"/>
      <c r="B4413" s="20"/>
      <c r="C4413" s="20"/>
      <c r="D4413" s="20"/>
      <c r="E4413" s="20"/>
      <c r="F4413" s="20"/>
      <c r="G4413" s="20"/>
      <c r="H4413" s="20"/>
      <c r="I4413" s="20"/>
      <c r="J4413" s="20"/>
    </row>
    <row r="4414" spans="1:10">
      <c r="A4414" s="20"/>
      <c r="B4414" s="20"/>
      <c r="C4414" s="20"/>
      <c r="D4414" s="20"/>
      <c r="E4414" s="20"/>
      <c r="F4414" s="20"/>
      <c r="G4414" s="20"/>
      <c r="H4414" s="20"/>
      <c r="I4414" s="20"/>
      <c r="J4414" s="20"/>
    </row>
    <row r="4415" spans="1:10">
      <c r="A4415" s="20"/>
      <c r="B4415" s="20"/>
      <c r="C4415" s="20"/>
      <c r="D4415" s="20"/>
      <c r="E4415" s="20"/>
      <c r="F4415" s="20"/>
      <c r="G4415" s="20"/>
      <c r="H4415" s="20"/>
      <c r="I4415" s="20"/>
      <c r="J4415" s="20"/>
    </row>
    <row r="4416" spans="1:10">
      <c r="A4416" s="20"/>
      <c r="B4416" s="20"/>
      <c r="C4416" s="20"/>
      <c r="D4416" s="20"/>
      <c r="E4416" s="20"/>
      <c r="F4416" s="20"/>
      <c r="G4416" s="20"/>
      <c r="H4416" s="20"/>
      <c r="I4416" s="20"/>
      <c r="J4416" s="20"/>
    </row>
    <row r="4417" spans="1:10">
      <c r="A4417" s="20"/>
      <c r="B4417" s="20"/>
      <c r="C4417" s="20"/>
      <c r="D4417" s="20"/>
      <c r="E4417" s="20"/>
      <c r="F4417" s="20"/>
      <c r="G4417" s="20"/>
      <c r="H4417" s="20"/>
      <c r="I4417" s="20"/>
      <c r="J4417" s="20"/>
    </row>
    <row r="4418" spans="1:10">
      <c r="A4418" s="20"/>
      <c r="B4418" s="20"/>
      <c r="C4418" s="20"/>
      <c r="D4418" s="20"/>
      <c r="E4418" s="20"/>
      <c r="F4418" s="20"/>
      <c r="G4418" s="20"/>
      <c r="H4418" s="20"/>
      <c r="I4418" s="20"/>
      <c r="J4418" s="20"/>
    </row>
    <row r="4419" spans="1:10">
      <c r="A4419" s="20"/>
      <c r="B4419" s="20"/>
      <c r="C4419" s="20"/>
      <c r="D4419" s="20"/>
      <c r="E4419" s="20"/>
      <c r="F4419" s="20"/>
      <c r="G4419" s="20"/>
      <c r="H4419" s="20"/>
      <c r="I4419" s="20"/>
      <c r="J4419" s="20"/>
    </row>
    <row r="4420" spans="1:10">
      <c r="A4420" s="20"/>
      <c r="B4420" s="20"/>
      <c r="C4420" s="20"/>
      <c r="D4420" s="20"/>
      <c r="E4420" s="20"/>
      <c r="F4420" s="20"/>
      <c r="G4420" s="20"/>
      <c r="H4420" s="20"/>
      <c r="I4420" s="20"/>
      <c r="J4420" s="20"/>
    </row>
    <row r="4421" spans="1:10">
      <c r="A4421" s="20"/>
      <c r="B4421" s="20"/>
      <c r="C4421" s="20"/>
      <c r="D4421" s="20"/>
      <c r="E4421" s="20"/>
      <c r="F4421" s="20"/>
      <c r="G4421" s="20"/>
      <c r="H4421" s="20"/>
      <c r="I4421" s="20"/>
      <c r="J4421" s="20"/>
    </row>
    <row r="4422" spans="1:10">
      <c r="A4422" s="20"/>
      <c r="B4422" s="20"/>
      <c r="C4422" s="20"/>
      <c r="D4422" s="20"/>
      <c r="E4422" s="20"/>
      <c r="F4422" s="20"/>
      <c r="G4422" s="20"/>
      <c r="H4422" s="20"/>
      <c r="I4422" s="20"/>
      <c r="J4422" s="20"/>
    </row>
    <row r="4423" spans="1:10">
      <c r="A4423" s="20"/>
      <c r="B4423" s="20"/>
      <c r="C4423" s="20"/>
      <c r="D4423" s="20"/>
      <c r="E4423" s="20"/>
      <c r="F4423" s="20"/>
      <c r="G4423" s="20"/>
      <c r="H4423" s="20"/>
      <c r="I4423" s="20"/>
      <c r="J4423" s="20"/>
    </row>
    <row r="4424" spans="1:10">
      <c r="A4424" s="20"/>
      <c r="B4424" s="20"/>
      <c r="C4424" s="20"/>
      <c r="D4424" s="20"/>
      <c r="E4424" s="20"/>
      <c r="F4424" s="20"/>
      <c r="G4424" s="20"/>
      <c r="H4424" s="20"/>
      <c r="I4424" s="20"/>
      <c r="J4424" s="20"/>
    </row>
    <row r="4425" spans="1:10">
      <c r="A4425" s="20"/>
      <c r="B4425" s="20"/>
      <c r="C4425" s="20"/>
      <c r="D4425" s="20"/>
      <c r="E4425" s="20"/>
    </row>
    <row r="4426" spans="1:10">
      <c r="A4426" s="20"/>
      <c r="B4426" s="20"/>
      <c r="C4426" s="20"/>
      <c r="D4426" s="20"/>
      <c r="E4426" s="20"/>
    </row>
    <row r="4427" spans="1:10">
      <c r="A4427" s="20"/>
      <c r="B4427" s="20"/>
      <c r="C4427" s="20"/>
      <c r="D4427" s="20"/>
      <c r="E4427" s="20"/>
    </row>
    <row r="4428" spans="1:10">
      <c r="A4428" s="20"/>
      <c r="B4428" s="20"/>
      <c r="C4428" s="20"/>
      <c r="D4428" s="20"/>
      <c r="E4428" s="20"/>
    </row>
    <row r="4429" spans="1:10">
      <c r="A4429" s="20"/>
      <c r="B4429" s="20"/>
      <c r="C4429" s="20"/>
      <c r="D4429" s="20"/>
      <c r="E4429" s="20"/>
    </row>
    <row r="4430" spans="1:10">
      <c r="A4430" s="20"/>
      <c r="B4430" s="20"/>
      <c r="C4430" s="20"/>
      <c r="D4430" s="20"/>
      <c r="E4430" s="20"/>
    </row>
    <row r="4431" spans="1:10">
      <c r="A4431" s="20"/>
      <c r="B4431" s="20"/>
      <c r="C4431" s="20"/>
      <c r="D4431" s="20"/>
      <c r="E4431" s="20"/>
    </row>
    <row r="4432" spans="1:10">
      <c r="A4432" s="20"/>
      <c r="B4432" s="20"/>
      <c r="C4432" s="20"/>
      <c r="D4432" s="20"/>
      <c r="E4432" s="20"/>
    </row>
    <row r="4433" spans="1:5">
      <c r="A4433" s="20"/>
      <c r="B4433" s="20"/>
      <c r="C4433" s="20"/>
      <c r="D4433" s="20"/>
      <c r="E4433" s="20"/>
    </row>
    <row r="4434" spans="1:5">
      <c r="A4434" s="20"/>
      <c r="B4434" s="20"/>
      <c r="C4434" s="20"/>
      <c r="D4434" s="20"/>
      <c r="E4434" s="20"/>
    </row>
    <row r="4435" spans="1:5">
      <c r="A4435" s="20"/>
      <c r="B4435" s="20"/>
      <c r="C4435" s="20"/>
      <c r="D4435" s="20"/>
      <c r="E4435" s="20"/>
    </row>
    <row r="4436" spans="1:5">
      <c r="A4436" s="20"/>
      <c r="B4436" s="20"/>
      <c r="C4436" s="20"/>
      <c r="D4436" s="20"/>
      <c r="E4436" s="20"/>
    </row>
    <row r="4437" spans="1:5">
      <c r="A4437" s="20"/>
      <c r="B4437" s="20"/>
      <c r="C4437" s="20"/>
      <c r="D4437" s="20"/>
      <c r="E4437" s="20"/>
    </row>
    <row r="4438" spans="1:5">
      <c r="A4438" s="20"/>
      <c r="B4438" s="20"/>
      <c r="C4438" s="20"/>
      <c r="D4438" s="20"/>
      <c r="E4438" s="20"/>
    </row>
    <row r="4439" spans="1:5">
      <c r="A4439" s="20"/>
      <c r="B4439" s="20"/>
      <c r="C4439" s="20"/>
      <c r="D4439" s="20"/>
      <c r="E4439" s="20"/>
    </row>
    <row r="4440" spans="1:5">
      <c r="A4440" s="20"/>
      <c r="B4440" s="20"/>
      <c r="C4440" s="20"/>
      <c r="D4440" s="20"/>
      <c r="E4440" s="20"/>
    </row>
    <row r="4441" spans="1:5">
      <c r="A4441" s="20"/>
      <c r="B4441" s="20"/>
      <c r="C4441" s="20"/>
      <c r="D4441" s="20"/>
      <c r="E4441" s="20"/>
    </row>
    <row r="4442" spans="1:5">
      <c r="A4442" s="20"/>
      <c r="B4442" s="20"/>
      <c r="C4442" s="20"/>
      <c r="D4442" s="20"/>
      <c r="E4442" s="20"/>
    </row>
    <row r="4443" spans="1:5">
      <c r="A4443" s="20"/>
      <c r="B4443" s="20"/>
      <c r="C4443" s="20"/>
      <c r="D4443" s="20"/>
      <c r="E4443" s="20"/>
    </row>
    <row r="4444" spans="1:5">
      <c r="A4444" s="20"/>
      <c r="B4444" s="20"/>
      <c r="C4444" s="20"/>
      <c r="D4444" s="20"/>
      <c r="E4444" s="20"/>
    </row>
    <row r="4445" spans="1:5">
      <c r="A4445" s="20"/>
      <c r="B4445" s="20"/>
      <c r="C4445" s="20"/>
      <c r="D4445" s="20"/>
      <c r="E4445" s="20"/>
    </row>
    <row r="4446" spans="1:5">
      <c r="A4446" s="20"/>
      <c r="B4446" s="20"/>
      <c r="C4446" s="20"/>
      <c r="D4446" s="20"/>
      <c r="E4446" s="20"/>
    </row>
    <row r="4447" spans="1:5">
      <c r="A4447" s="20"/>
      <c r="B4447" s="20"/>
      <c r="C4447" s="20"/>
      <c r="D4447" s="20"/>
      <c r="E4447" s="20"/>
    </row>
    <row r="4448" spans="1:5">
      <c r="A4448" s="20"/>
      <c r="B4448" s="20"/>
      <c r="C4448" s="20"/>
      <c r="D4448" s="20"/>
      <c r="E4448" s="20"/>
    </row>
    <row r="4449" spans="1:5">
      <c r="A4449" s="20"/>
      <c r="B4449" s="20"/>
      <c r="C4449" s="20"/>
      <c r="D4449" s="20"/>
      <c r="E4449" s="20"/>
    </row>
    <row r="4450" spans="1:5">
      <c r="A4450" s="20"/>
      <c r="B4450" s="20"/>
      <c r="C4450" s="20"/>
      <c r="D4450" s="20"/>
      <c r="E4450" s="20"/>
    </row>
    <row r="4451" spans="1:5">
      <c r="A4451" s="20"/>
      <c r="B4451" s="20"/>
      <c r="C4451" s="20"/>
      <c r="D4451" s="20"/>
      <c r="E4451" s="20"/>
    </row>
    <row r="4452" spans="1:5">
      <c r="A4452" s="20"/>
      <c r="B4452" s="20"/>
      <c r="C4452" s="20"/>
      <c r="D4452" s="20"/>
      <c r="E4452" s="20"/>
    </row>
    <row r="4453" spans="1:5">
      <c r="A4453" s="20"/>
      <c r="B4453" s="20"/>
      <c r="C4453" s="20"/>
      <c r="D4453" s="20"/>
      <c r="E4453" s="20"/>
    </row>
    <row r="4454" spans="1:5">
      <c r="A4454" s="20"/>
      <c r="B4454" s="20"/>
      <c r="C4454" s="20"/>
      <c r="D4454" s="20"/>
      <c r="E4454" s="20"/>
    </row>
    <row r="4455" spans="1:5">
      <c r="A4455" s="20"/>
      <c r="B4455" s="20"/>
      <c r="C4455" s="20"/>
      <c r="D4455" s="20"/>
      <c r="E4455" s="20"/>
    </row>
    <row r="4456" spans="1:5">
      <c r="A4456" s="20"/>
      <c r="B4456" s="20"/>
      <c r="C4456" s="20"/>
      <c r="D4456" s="20"/>
      <c r="E4456" s="20"/>
    </row>
    <row r="4457" spans="1:5">
      <c r="A4457" s="20"/>
      <c r="B4457" s="20"/>
      <c r="C4457" s="20"/>
      <c r="D4457" s="20"/>
      <c r="E4457" s="20"/>
    </row>
    <row r="4458" spans="1:5">
      <c r="A4458" s="20"/>
      <c r="B4458" s="20"/>
      <c r="C4458" s="20"/>
      <c r="D4458" s="20"/>
      <c r="E4458" s="20"/>
    </row>
    <row r="4459" spans="1:5">
      <c r="A4459" s="20"/>
      <c r="B4459" s="20"/>
      <c r="C4459" s="20"/>
      <c r="D4459" s="20"/>
      <c r="E4459" s="20"/>
    </row>
    <row r="4460" spans="1:5">
      <c r="A4460" s="20"/>
      <c r="B4460" s="20"/>
      <c r="C4460" s="20"/>
      <c r="D4460" s="20"/>
      <c r="E4460" s="20"/>
    </row>
    <row r="4461" spans="1:5">
      <c r="A4461" s="20"/>
      <c r="B4461" s="20"/>
      <c r="C4461" s="20"/>
      <c r="D4461" s="20"/>
      <c r="E4461" s="20"/>
    </row>
    <row r="4462" spans="1:5">
      <c r="A4462" s="20"/>
      <c r="B4462" s="20"/>
      <c r="C4462" s="20"/>
      <c r="D4462" s="20"/>
      <c r="E4462" s="20"/>
    </row>
    <row r="4463" spans="1:5">
      <c r="A4463" s="20"/>
      <c r="B4463" s="20"/>
      <c r="C4463" s="20"/>
      <c r="D4463" s="20"/>
      <c r="E4463" s="20"/>
    </row>
    <row r="4464" spans="1:5">
      <c r="A4464" s="20"/>
      <c r="B4464" s="20"/>
      <c r="C4464" s="20"/>
      <c r="D4464" s="20"/>
      <c r="E4464" s="20"/>
    </row>
    <row r="4465" spans="1:5">
      <c r="A4465" s="20"/>
      <c r="B4465" s="20"/>
      <c r="C4465" s="20"/>
      <c r="D4465" s="20"/>
      <c r="E4465" s="20"/>
    </row>
    <row r="4466" spans="1:5">
      <c r="A4466" s="20"/>
      <c r="B4466" s="20"/>
      <c r="C4466" s="20"/>
      <c r="D4466" s="20"/>
      <c r="E4466" s="20"/>
    </row>
    <row r="4467" spans="1:5">
      <c r="A4467" s="20"/>
      <c r="B4467" s="20"/>
      <c r="C4467" s="20"/>
      <c r="D4467" s="20"/>
      <c r="E4467" s="20"/>
    </row>
    <row r="4468" spans="1:5">
      <c r="A4468" s="20"/>
      <c r="B4468" s="20"/>
      <c r="C4468" s="20"/>
      <c r="D4468" s="20"/>
      <c r="E4468" s="20"/>
    </row>
    <row r="4469" spans="1:5">
      <c r="A4469" s="20"/>
      <c r="B4469" s="20"/>
      <c r="C4469" s="20"/>
      <c r="D4469" s="20"/>
      <c r="E4469" s="20"/>
    </row>
    <row r="4470" spans="1:5">
      <c r="A4470" s="20"/>
      <c r="B4470" s="20"/>
      <c r="C4470" s="20"/>
      <c r="D4470" s="20"/>
      <c r="E4470" s="20"/>
    </row>
    <row r="4471" spans="1:5">
      <c r="A4471" s="20"/>
      <c r="B4471" s="20"/>
      <c r="C4471" s="20"/>
      <c r="D4471" s="20"/>
      <c r="E4471" s="20"/>
    </row>
    <row r="4472" spans="1:5">
      <c r="A4472" s="20"/>
      <c r="B4472" s="20"/>
      <c r="C4472" s="20"/>
      <c r="D4472" s="20"/>
      <c r="E4472" s="20"/>
    </row>
    <row r="4473" spans="1:5">
      <c r="A4473" s="20"/>
      <c r="B4473" s="20"/>
      <c r="C4473" s="20"/>
      <c r="D4473" s="20"/>
      <c r="E4473" s="20"/>
    </row>
    <row r="4474" spans="1:5">
      <c r="A4474" s="20"/>
      <c r="B4474" s="20"/>
      <c r="C4474" s="20"/>
      <c r="D4474" s="20"/>
      <c r="E4474" s="20"/>
    </row>
    <row r="4475" spans="1:5">
      <c r="A4475" s="20"/>
      <c r="B4475" s="20"/>
      <c r="C4475" s="20"/>
      <c r="D4475" s="20"/>
      <c r="E4475" s="20"/>
    </row>
    <row r="4476" spans="1:5">
      <c r="A4476" s="20"/>
      <c r="B4476" s="20"/>
      <c r="C4476" s="20"/>
      <c r="D4476" s="20"/>
      <c r="E4476" s="20"/>
    </row>
    <row r="4477" spans="1:5">
      <c r="A4477" s="20"/>
      <c r="B4477" s="20"/>
      <c r="C4477" s="20"/>
      <c r="D4477" s="20"/>
      <c r="E4477" s="20"/>
    </row>
    <row r="4478" spans="1:5">
      <c r="A4478" s="20"/>
      <c r="B4478" s="20"/>
      <c r="C4478" s="20"/>
      <c r="D4478" s="20"/>
      <c r="E4478" s="20"/>
    </row>
    <row r="4479" spans="1:5">
      <c r="A4479" s="20"/>
      <c r="B4479" s="20"/>
      <c r="C4479" s="20"/>
      <c r="D4479" s="20"/>
      <c r="E4479" s="20"/>
    </row>
    <row r="4480" spans="1:5">
      <c r="A4480" s="20"/>
      <c r="B4480" s="20"/>
      <c r="C4480" s="20"/>
      <c r="D4480" s="20"/>
      <c r="E4480" s="20"/>
    </row>
    <row r="4481" spans="1:5">
      <c r="A4481" s="20"/>
      <c r="B4481" s="20"/>
      <c r="C4481" s="20"/>
      <c r="D4481" s="20"/>
      <c r="E4481" s="20"/>
    </row>
    <row r="4482" spans="1:5">
      <c r="A4482" s="20"/>
      <c r="B4482" s="20"/>
      <c r="C4482" s="20"/>
      <c r="D4482" s="20"/>
      <c r="E4482" s="20"/>
    </row>
    <row r="4483" spans="1:5">
      <c r="A4483" s="20"/>
      <c r="B4483" s="20"/>
      <c r="C4483" s="20"/>
      <c r="D4483" s="20"/>
      <c r="E4483" s="20"/>
    </row>
    <row r="4484" spans="1:5">
      <c r="A4484" s="20"/>
      <c r="B4484" s="20"/>
      <c r="C4484" s="20"/>
      <c r="D4484" s="20"/>
      <c r="E4484" s="20"/>
    </row>
    <row r="4485" spans="1:5">
      <c r="A4485" s="20"/>
      <c r="B4485" s="20"/>
      <c r="C4485" s="20"/>
      <c r="D4485" s="20"/>
      <c r="E4485" s="20"/>
    </row>
  </sheetData>
  <sheetProtection algorithmName="SHA-512" hashValue="s3TiKY2kYvGm2R1VLt/3pXo+NwFcVruK/pMqFdlHI/AdiKmeSEuoMWm4xwUH2N6joZeb1ws5nJ4ZBIqiKUV/wA==" saltValue="Paa8CC/zqBPo2VAap7W9pQ==" spinCount="100000" sheet="1" objects="1" scenarios="1"/>
  <protectedRanges>
    <protectedRange sqref="B555" name="Range1" securityDescriptor="O:WDG:WDD:(A;;CC;;;S-1-5-21-422840099-141104626-1905203885-1918)"/>
    <protectedRange sqref="B472" name="Range2" securityDescriptor="O:WDG:WDD:(A;;CC;;;S-1-5-21-422840099-141104626-1905203885-1918)"/>
    <protectedRange sqref="B654:AE752" name="Range3" securityDescriptor="O:WDG:WDD:(A;;CC;;;S-1-5-21-422840099-141104626-1905203885-1918)"/>
  </protectedRanges>
  <sortState xmlns:xlrd2="http://schemas.microsoft.com/office/spreadsheetml/2017/richdata2" ref="A15:A292">
    <sortCondition ref="A15"/>
  </sortState>
  <mergeCells count="1">
    <mergeCell ref="A1:M1"/>
  </mergeCells>
  <conditionalFormatting sqref="B380:P380">
    <cfRule type="cellIs" dxfId="2" priority="6" operator="equal">
      <formula>"Loans Missing"</formula>
    </cfRule>
  </conditionalFormatting>
  <conditionalFormatting sqref="F38">
    <cfRule type="expression" dxfId="1" priority="1">
      <formula>$F$393=FALSE</formula>
    </cfRule>
    <cfRule type="expression" dxfId="0" priority="4">
      <formula>$F$393=FALSE</formula>
    </cfRule>
  </conditionalFormatting>
  <dataValidations disablePrompts="1" count="5">
    <dataValidation type="whole" allowBlank="1" showInputMessage="1" showErrorMessage="1" errorTitle="# of  Units" error="Please enter a whole number for number of units." sqref="W24:W25" xr:uid="{00000000-0002-0000-1600-000000000000}">
      <formula1>1</formula1>
      <formula2>1000</formula2>
    </dataValidation>
    <dataValidation type="whole" allowBlank="1" showInputMessage="1" showErrorMessage="1" errorTitle="Unit Size" error="Please enter a whole number in square feet for unit size." sqref="V24:V25"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33:C892"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33:D892"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33:E892" xr:uid="{00000000-0002-0000-1600-000004000000}">
      <formula1>0</formula1>
      <formula2>100000</formula2>
    </dataValidation>
  </dataValidations>
  <pageMargins left="0.7" right="0.7" top="0.75" bottom="0.75" header="0.3" footer="0.3"/>
  <pageSetup orientation="portrait" r:id="rId1"/>
  <ignoredErrors>
    <ignoredError sqref="B456"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AZ1000"/>
  <sheetViews>
    <sheetView topLeftCell="A5" zoomScale="130" zoomScaleNormal="130" workbookViewId="0">
      <selection activeCell="F24" sqref="F24"/>
    </sheetView>
  </sheetViews>
  <sheetFormatPr defaultRowHeight="15"/>
  <cols>
    <col min="1" max="1" width="35.140625" customWidth="1"/>
    <col min="2" max="2" width="17" customWidth="1"/>
    <col min="3" max="3" width="19.140625" customWidth="1"/>
    <col min="4" max="4" width="15" customWidth="1"/>
    <col min="5" max="5" width="14.42578125" customWidth="1"/>
    <col min="6" max="6" width="11.7109375" customWidth="1"/>
    <col min="9" max="9" width="11" customWidth="1"/>
  </cols>
  <sheetData>
    <row r="1" spans="1:3" ht="15.75" thickBot="1">
      <c r="A1" s="13"/>
      <c r="C1" s="1"/>
    </row>
    <row r="2" spans="1:3" ht="15.75" thickBot="1">
      <c r="A2" t="s">
        <v>3035</v>
      </c>
      <c r="B2" s="50">
        <v>44927</v>
      </c>
      <c r="C2" s="1"/>
    </row>
    <row r="3" spans="1:3" ht="15.75" thickBot="1">
      <c r="A3" t="s">
        <v>3036</v>
      </c>
      <c r="B3" s="50">
        <v>45597</v>
      </c>
      <c r="C3" s="1"/>
    </row>
    <row r="4" spans="1:3">
      <c r="A4" s="13"/>
      <c r="C4" s="1"/>
    </row>
    <row r="5" spans="1:3" ht="15.75" thickBot="1">
      <c r="A5" s="13"/>
      <c r="C5" s="1"/>
    </row>
    <row r="6" spans="1:3" ht="15.75" thickBot="1">
      <c r="A6" s="9" t="s">
        <v>3037</v>
      </c>
      <c r="B6" s="51">
        <v>0</v>
      </c>
    </row>
    <row r="7" spans="1:3" ht="30.75" thickBot="1">
      <c r="A7" s="9" t="s">
        <v>3038</v>
      </c>
      <c r="B7" s="51">
        <v>300</v>
      </c>
    </row>
    <row r="8" spans="1:3" ht="15.75" thickBot="1">
      <c r="A8" t="s">
        <v>3039</v>
      </c>
      <c r="B8" s="51">
        <v>4500</v>
      </c>
    </row>
    <row r="9" spans="1:3" ht="15.75" thickBot="1">
      <c r="A9" t="s">
        <v>3040</v>
      </c>
      <c r="B9" s="51">
        <v>1.1499999999999999</v>
      </c>
    </row>
    <row r="10" spans="1:3" ht="15.75" thickBot="1">
      <c r="A10" t="s">
        <v>3041</v>
      </c>
      <c r="B10" s="51">
        <v>130</v>
      </c>
    </row>
    <row r="11" spans="1:3" ht="15.75" thickBot="1">
      <c r="A11" s="9" t="s">
        <v>3042</v>
      </c>
      <c r="B11" s="51">
        <v>80</v>
      </c>
    </row>
    <row r="12" spans="1:3" ht="15.75" thickBot="1">
      <c r="A12" s="14"/>
    </row>
    <row r="13" spans="1:3" ht="15.75" thickBot="1">
      <c r="A13" s="14" t="s">
        <v>3043</v>
      </c>
      <c r="B13" s="57">
        <v>1450000</v>
      </c>
    </row>
    <row r="14" spans="1:3" ht="15.75" thickBot="1">
      <c r="A14" s="14" t="s">
        <v>3044</v>
      </c>
      <c r="B14" s="57">
        <v>1800000</v>
      </c>
    </row>
    <row r="15" spans="1:3" ht="15.75" thickBot="1">
      <c r="A15" s="14"/>
      <c r="B15" s="257"/>
    </row>
    <row r="16" spans="1:3" ht="15.75" thickBot="1">
      <c r="A16" s="14" t="s">
        <v>3045</v>
      </c>
      <c r="B16" s="57" t="b">
        <v>1</v>
      </c>
    </row>
    <row r="17" spans="1:3" ht="15.75" thickBot="1">
      <c r="A17" s="14" t="s">
        <v>3046</v>
      </c>
      <c r="B17" s="57" t="b">
        <v>1</v>
      </c>
    </row>
    <row r="18" spans="1:3" ht="15.75" thickBot="1">
      <c r="A18" s="14" t="s">
        <v>3047</v>
      </c>
      <c r="B18" s="57" t="b">
        <v>1</v>
      </c>
    </row>
    <row r="19" spans="1:3">
      <c r="A19" s="820" t="s">
        <v>3048</v>
      </c>
      <c r="B19" s="57"/>
      <c r="C19" s="820" t="s">
        <v>3049</v>
      </c>
    </row>
    <row r="20" spans="1:3" ht="15.75" thickBot="1">
      <c r="A20" s="14" t="s">
        <v>2908</v>
      </c>
      <c r="B20" s="57">
        <v>10000</v>
      </c>
    </row>
    <row r="21" spans="1:3" ht="15.75" thickBot="1">
      <c r="A21" s="14" t="s">
        <v>3050</v>
      </c>
      <c r="B21" s="57">
        <v>800000</v>
      </c>
    </row>
    <row r="22" spans="1:3" ht="15.75" thickBot="1">
      <c r="A22" s="14" t="s">
        <v>3051</v>
      </c>
      <c r="B22" s="57"/>
    </row>
    <row r="23" spans="1:3" ht="15.75" thickBot="1">
      <c r="A23" s="14" t="s">
        <v>3052</v>
      </c>
      <c r="B23" s="57"/>
    </row>
    <row r="24" spans="1:3" ht="27" thickBot="1">
      <c r="A24" s="854" t="s">
        <v>3053</v>
      </c>
      <c r="B24" s="57"/>
    </row>
    <row r="25" spans="1:3" ht="27" thickBot="1">
      <c r="A25" s="854" t="s">
        <v>3054</v>
      </c>
      <c r="B25" s="57"/>
    </row>
    <row r="26" spans="1:3" ht="15.75" thickBot="1">
      <c r="A26" s="855" t="s">
        <v>2946</v>
      </c>
      <c r="B26" s="57"/>
    </row>
    <row r="27" spans="1:3" ht="15.75" thickBot="1">
      <c r="A27" s="855" t="s">
        <v>3055</v>
      </c>
      <c r="B27" s="503"/>
      <c r="C27" t="s">
        <v>3056</v>
      </c>
    </row>
    <row r="28" spans="1:3">
      <c r="A28" s="855"/>
      <c r="B28" s="888"/>
    </row>
    <row r="29" spans="1:3" ht="15.75" thickBot="1">
      <c r="A29" s="96" t="s">
        <v>3057</v>
      </c>
    </row>
    <row r="30" spans="1:3" ht="15.75" thickBot="1">
      <c r="A30" t="s">
        <v>2165</v>
      </c>
      <c r="B30" s="97">
        <v>1</v>
      </c>
    </row>
    <row r="31" spans="1:3" ht="15.75" thickBot="1">
      <c r="A31" t="s">
        <v>2174</v>
      </c>
      <c r="B31" s="97">
        <v>5</v>
      </c>
    </row>
    <row r="32" spans="1:3" ht="15.75" thickBot="1">
      <c r="A32" t="s">
        <v>2177</v>
      </c>
      <c r="B32" s="97">
        <v>5</v>
      </c>
    </row>
    <row r="33" spans="1:10" ht="15.75" thickBot="1">
      <c r="A33" t="s">
        <v>2180</v>
      </c>
      <c r="B33" s="97">
        <v>5</v>
      </c>
    </row>
    <row r="34" spans="1:10" ht="15.75" thickBot="1">
      <c r="A34" t="s">
        <v>2183</v>
      </c>
      <c r="B34" s="97">
        <v>15</v>
      </c>
    </row>
    <row r="35" spans="1:10" ht="15.75" thickBot="1">
      <c r="A35" t="s">
        <v>2186</v>
      </c>
      <c r="B35" s="97">
        <v>1</v>
      </c>
    </row>
    <row r="36" spans="1:10" ht="15.75" thickBot="1">
      <c r="A36" t="s">
        <v>2801</v>
      </c>
      <c r="B36" s="504">
        <v>5</v>
      </c>
    </row>
    <row r="37" spans="1:10" ht="15.75" thickBot="1">
      <c r="A37" t="s">
        <v>550</v>
      </c>
      <c r="B37" s="97">
        <v>5</v>
      </c>
    </row>
    <row r="38" spans="1:10" ht="15.75" thickBot="1">
      <c r="A38" t="s">
        <v>3058</v>
      </c>
      <c r="B38" s="504">
        <v>15</v>
      </c>
    </row>
    <row r="39" spans="1:10" ht="15.75" thickBot="1">
      <c r="A39" t="s">
        <v>554</v>
      </c>
      <c r="B39" s="97">
        <v>2</v>
      </c>
    </row>
    <row r="40" spans="1:10">
      <c r="A40" s="14"/>
    </row>
    <row r="41" spans="1:10">
      <c r="A41" s="14"/>
    </row>
    <row r="42" spans="1:10" ht="15.75" thickBot="1">
      <c r="A42" s="96" t="s">
        <v>558</v>
      </c>
    </row>
    <row r="43" spans="1:10" ht="15.75" thickBot="1">
      <c r="A43" s="14" t="s">
        <v>3059</v>
      </c>
      <c r="B43" s="196">
        <v>7.0000000000000007E-2</v>
      </c>
    </row>
    <row r="44" spans="1:10" ht="30.75" thickBot="1">
      <c r="A44" s="855" t="s">
        <v>3060</v>
      </c>
      <c r="B44" s="196">
        <v>0.05</v>
      </c>
    </row>
    <row r="45" spans="1:10" ht="15.75" thickBot="1">
      <c r="A45" s="9" t="s">
        <v>2825</v>
      </c>
      <c r="B45" s="206">
        <v>1.02</v>
      </c>
    </row>
    <row r="46" spans="1:10" ht="15.75" thickBot="1">
      <c r="A46" s="9" t="s">
        <v>2826</v>
      </c>
      <c r="B46" s="206">
        <v>1.03</v>
      </c>
    </row>
    <row r="47" spans="1:10" s="321" customFormat="1" ht="15.75" thickBot="1">
      <c r="A47" s="9" t="s">
        <v>3061</v>
      </c>
      <c r="B47" s="196">
        <v>0.08</v>
      </c>
      <c r="C47"/>
      <c r="D47"/>
      <c r="E47"/>
      <c r="F47"/>
      <c r="G47"/>
      <c r="H47"/>
      <c r="I47"/>
      <c r="J47"/>
    </row>
    <row r="49" spans="1:4" ht="15.75" thickBot="1">
      <c r="A49" s="96" t="s">
        <v>1334</v>
      </c>
    </row>
    <row r="50" spans="1:4" ht="30.75" thickBot="1">
      <c r="A50" s="9" t="s">
        <v>3062</v>
      </c>
      <c r="B50" s="57">
        <v>20000</v>
      </c>
    </row>
    <row r="51" spans="1:4" ht="30.75" thickBot="1">
      <c r="A51" s="9" t="s">
        <v>3063</v>
      </c>
      <c r="B51" s="57">
        <v>5000</v>
      </c>
    </row>
    <row r="52" spans="1:4" ht="30.75" thickBot="1">
      <c r="A52" s="9" t="s">
        <v>3064</v>
      </c>
      <c r="B52" s="57">
        <v>4500</v>
      </c>
    </row>
    <row r="53" spans="1:4" ht="45.75" thickBot="1">
      <c r="A53" s="9" t="s">
        <v>3065</v>
      </c>
      <c r="B53" s="57">
        <v>250</v>
      </c>
    </row>
    <row r="54" spans="1:4" ht="30.75" thickBot="1">
      <c r="A54" s="9" t="s">
        <v>3066</v>
      </c>
      <c r="B54" s="57">
        <v>300</v>
      </c>
    </row>
    <row r="55" spans="1:4" ht="30.75" thickBot="1">
      <c r="A55" s="9" t="s">
        <v>3067</v>
      </c>
      <c r="B55" s="206">
        <v>0.33329999999999999</v>
      </c>
    </row>
    <row r="56" spans="1:4" ht="15.75" thickBot="1">
      <c r="A56" s="9"/>
    </row>
    <row r="57" spans="1:4" ht="30.75" thickBot="1">
      <c r="A57" s="9" t="s">
        <v>3068</v>
      </c>
      <c r="B57" s="196">
        <v>0.05</v>
      </c>
    </row>
    <row r="58" spans="1:4">
      <c r="A58" s="856"/>
    </row>
    <row r="59" spans="1:4" ht="15.75" thickBot="1">
      <c r="A59" s="9" t="s">
        <v>3069</v>
      </c>
      <c r="B59" t="s">
        <v>3070</v>
      </c>
      <c r="C59" t="s">
        <v>3071</v>
      </c>
    </row>
    <row r="60" spans="1:4" ht="15.75" thickBot="1">
      <c r="A60" t="s">
        <v>3072</v>
      </c>
      <c r="B60" s="97">
        <v>0</v>
      </c>
      <c r="C60" s="97">
        <v>30</v>
      </c>
    </row>
    <row r="61" spans="1:4" ht="15.75" thickBot="1">
      <c r="A61" t="s">
        <v>3073</v>
      </c>
      <c r="B61" s="97">
        <v>31</v>
      </c>
      <c r="C61" s="97">
        <v>73</v>
      </c>
    </row>
    <row r="62" spans="1:4" ht="15.75" thickBot="1">
      <c r="A62" t="s">
        <v>3074</v>
      </c>
      <c r="B62" s="97">
        <v>74</v>
      </c>
      <c r="C62" s="97">
        <v>9999</v>
      </c>
    </row>
    <row r="64" spans="1:4" ht="15.75" thickBot="1">
      <c r="A64" t="s">
        <v>3075</v>
      </c>
      <c r="B64" t="s">
        <v>3070</v>
      </c>
      <c r="C64" t="s">
        <v>3071</v>
      </c>
      <c r="D64" s="67" t="s">
        <v>3076</v>
      </c>
    </row>
    <row r="65" spans="1:9" ht="15.75" thickBot="1">
      <c r="A65" t="s">
        <v>3077</v>
      </c>
      <c r="B65" s="97">
        <v>0</v>
      </c>
      <c r="C65" s="97">
        <v>50</v>
      </c>
      <c r="D65" s="210">
        <v>0.15</v>
      </c>
    </row>
    <row r="66" spans="1:9" ht="15.75" thickBot="1">
      <c r="A66" t="s">
        <v>3078</v>
      </c>
      <c r="B66" s="97">
        <v>51</v>
      </c>
      <c r="C66" s="97">
        <v>9999</v>
      </c>
      <c r="D66" s="210">
        <v>0.12</v>
      </c>
    </row>
    <row r="67" spans="1:9" ht="15.75" thickBot="1"/>
    <row r="68" spans="1:9" ht="15.75" thickBot="1">
      <c r="A68" s="9" t="s">
        <v>3079</v>
      </c>
      <c r="B68" s="503">
        <f>Application!B83</f>
        <v>0</v>
      </c>
      <c r="C68" t="s">
        <v>3080</v>
      </c>
    </row>
    <row r="69" spans="1:9" ht="15.75" thickBot="1">
      <c r="A69" s="9" t="s">
        <v>3081</v>
      </c>
      <c r="B69" s="503">
        <f>Application!B85</f>
        <v>0</v>
      </c>
      <c r="C69" t="s">
        <v>3082</v>
      </c>
    </row>
    <row r="70" spans="1:9" ht="15.75" thickBot="1">
      <c r="A70" t="s">
        <v>3083</v>
      </c>
      <c r="B70" s="206">
        <v>1.3</v>
      </c>
    </row>
    <row r="71" spans="1:9" ht="15.75" thickBot="1">
      <c r="A71" t="s">
        <v>3084</v>
      </c>
      <c r="B71" s="206">
        <v>1.3</v>
      </c>
    </row>
    <row r="73" spans="1:9">
      <c r="A73" t="s">
        <v>3085</v>
      </c>
      <c r="B73" t="s">
        <v>3086</v>
      </c>
    </row>
    <row r="74" spans="1:9">
      <c r="A74" t="s">
        <v>3087</v>
      </c>
      <c r="B74" t="s">
        <v>3088</v>
      </c>
      <c r="C74" t="s">
        <v>3089</v>
      </c>
    </row>
    <row r="75" spans="1:9">
      <c r="A75" t="s">
        <v>366</v>
      </c>
      <c r="B75" s="92">
        <v>89067</v>
      </c>
      <c r="C75" s="92">
        <v>82771</v>
      </c>
      <c r="F75" s="92"/>
      <c r="I75" s="92"/>
    </row>
    <row r="76" spans="1:9">
      <c r="A76" t="s">
        <v>367</v>
      </c>
      <c r="B76" s="92">
        <v>102108</v>
      </c>
      <c r="C76" s="92">
        <v>93952</v>
      </c>
      <c r="F76" s="92"/>
      <c r="I76" s="92"/>
    </row>
    <row r="77" spans="1:9">
      <c r="A77" t="s">
        <v>368</v>
      </c>
      <c r="B77" s="92">
        <v>124155</v>
      </c>
      <c r="C77" s="92">
        <v>113563</v>
      </c>
      <c r="F77" s="92"/>
      <c r="I77" s="92"/>
    </row>
    <row r="78" spans="1:9">
      <c r="A78" t="s">
        <v>369</v>
      </c>
      <c r="B78" s="92">
        <v>160614</v>
      </c>
      <c r="C78" s="92">
        <v>142543</v>
      </c>
      <c r="F78" s="92"/>
      <c r="I78" s="92"/>
    </row>
    <row r="79" spans="1:9">
      <c r="A79" t="s">
        <v>370</v>
      </c>
      <c r="B79" s="92">
        <v>176308</v>
      </c>
      <c r="C79" s="92">
        <v>161521</v>
      </c>
      <c r="F79" s="92"/>
      <c r="I79" s="92"/>
    </row>
    <row r="80" spans="1:9">
      <c r="A80" t="s">
        <v>371</v>
      </c>
      <c r="B80" s="92">
        <v>192056</v>
      </c>
      <c r="C80" s="92">
        <v>177328</v>
      </c>
      <c r="F80" s="92"/>
      <c r="I80" s="92"/>
    </row>
    <row r="82" spans="1:3">
      <c r="A82" t="s">
        <v>3090</v>
      </c>
    </row>
    <row r="83" spans="1:3">
      <c r="A83" t="s">
        <v>2894</v>
      </c>
      <c r="B83" t="s">
        <v>2812</v>
      </c>
    </row>
    <row r="84" spans="1:3">
      <c r="A84" s="73">
        <v>1</v>
      </c>
      <c r="B84">
        <v>3.6</v>
      </c>
      <c r="C84" t="s">
        <v>3091</v>
      </c>
    </row>
    <row r="85" spans="1:3">
      <c r="A85" s="73">
        <v>2</v>
      </c>
      <c r="B85">
        <v>4</v>
      </c>
      <c r="C85" t="s">
        <v>3092</v>
      </c>
    </row>
    <row r="86" spans="1:3">
      <c r="A86" s="73">
        <v>3</v>
      </c>
      <c r="B86">
        <v>3.6</v>
      </c>
      <c r="C86" t="s">
        <v>3091</v>
      </c>
    </row>
    <row r="88" spans="1:3" ht="15.75" thickBot="1">
      <c r="A88" s="96" t="s">
        <v>2505</v>
      </c>
    </row>
    <row r="89" spans="1:3" ht="15.75" thickBot="1">
      <c r="A89" t="s">
        <v>3093</v>
      </c>
      <c r="B89" s="57">
        <v>10000</v>
      </c>
    </row>
    <row r="90" spans="1:3" ht="15.75" thickBot="1">
      <c r="A90" s="14" t="s">
        <v>3094</v>
      </c>
      <c r="B90" s="196">
        <v>0.04</v>
      </c>
    </row>
    <row r="91" spans="1:3" ht="15.75" thickBot="1">
      <c r="A91" s="14" t="s">
        <v>3095</v>
      </c>
      <c r="B91" s="196">
        <v>0.01</v>
      </c>
    </row>
    <row r="92" spans="1:3" ht="15.75" thickBot="1">
      <c r="A92" s="855" t="s">
        <v>3096</v>
      </c>
      <c r="B92" s="196">
        <v>0.03</v>
      </c>
    </row>
    <row r="93" spans="1:3" ht="15.75" thickBot="1">
      <c r="A93" s="14" t="s">
        <v>3097</v>
      </c>
      <c r="B93" s="196">
        <v>0.01</v>
      </c>
    </row>
    <row r="94" spans="1:3" ht="15.75" thickBot="1">
      <c r="A94" t="s">
        <v>3098</v>
      </c>
      <c r="B94" s="57">
        <v>10000</v>
      </c>
    </row>
    <row r="95" spans="1:3" ht="15.75" thickBot="1">
      <c r="A95" t="s">
        <v>3099</v>
      </c>
      <c r="B95" s="57">
        <v>1000</v>
      </c>
    </row>
    <row r="96" spans="1:3" ht="15.75" thickBot="1">
      <c r="A96" s="9" t="s">
        <v>3100</v>
      </c>
      <c r="B96" s="196">
        <v>3.5000000000000003E-2</v>
      </c>
    </row>
    <row r="97" spans="1:36" ht="15.75" thickBot="1">
      <c r="A97" t="s">
        <v>3101</v>
      </c>
      <c r="B97" s="196">
        <v>0.01</v>
      </c>
    </row>
    <row r="98" spans="1:36" ht="15.75" thickBot="1">
      <c r="A98" s="9" t="s">
        <v>3102</v>
      </c>
      <c r="B98" s="57">
        <v>5000</v>
      </c>
    </row>
    <row r="99" spans="1:36" ht="15.75" thickBot="1">
      <c r="A99" t="s">
        <v>3103</v>
      </c>
      <c r="B99" s="196">
        <v>0.03</v>
      </c>
    </row>
    <row r="100" spans="1:36" ht="15.75" thickBot="1">
      <c r="A100" t="s">
        <v>3104</v>
      </c>
      <c r="B100" s="196">
        <v>0.01</v>
      </c>
    </row>
    <row r="101" spans="1:36" ht="15.75" thickBot="1">
      <c r="A101" t="s">
        <v>3105</v>
      </c>
      <c r="B101" s="57">
        <v>5000</v>
      </c>
    </row>
    <row r="102" spans="1:36" ht="30.75" thickBot="1">
      <c r="A102" s="9" t="s">
        <v>3106</v>
      </c>
      <c r="B102" s="57">
        <v>300</v>
      </c>
    </row>
    <row r="103" spans="1:36" ht="30.75" thickBot="1">
      <c r="A103" s="9" t="s">
        <v>3107</v>
      </c>
      <c r="B103" s="57">
        <v>500</v>
      </c>
    </row>
    <row r="104" spans="1:36" ht="15.75" thickBot="1">
      <c r="A104" t="s">
        <v>2515</v>
      </c>
      <c r="B104" s="503">
        <v>3000</v>
      </c>
    </row>
    <row r="105" spans="1:36" ht="30">
      <c r="A105" s="860" t="s">
        <v>3108</v>
      </c>
      <c r="B105" s="52" t="s">
        <v>3109</v>
      </c>
      <c r="C105" s="52"/>
      <c r="F105" s="876" t="s">
        <v>3110</v>
      </c>
      <c r="G105" s="876"/>
      <c r="H105" s="876"/>
    </row>
    <row r="106" spans="1:36" ht="90">
      <c r="A106" t="s">
        <v>239</v>
      </c>
      <c r="B106" t="s">
        <v>2894</v>
      </c>
      <c r="C106" t="s">
        <v>3111</v>
      </c>
      <c r="D106" s="9" t="s">
        <v>3112</v>
      </c>
      <c r="E106" s="9" t="s">
        <v>882</v>
      </c>
      <c r="F106" t="s">
        <v>3113</v>
      </c>
      <c r="G106" t="s">
        <v>3114</v>
      </c>
    </row>
    <row r="107" spans="1:36">
      <c r="A107" s="52" t="s">
        <v>1265</v>
      </c>
      <c r="B107">
        <v>1</v>
      </c>
      <c r="C107">
        <v>0</v>
      </c>
      <c r="D107">
        <v>12</v>
      </c>
      <c r="E107">
        <v>4</v>
      </c>
      <c r="F107" t="b">
        <v>0</v>
      </c>
      <c r="G107" s="876">
        <v>78.010000000000005</v>
      </c>
      <c r="H107" s="876">
        <v>78.02</v>
      </c>
      <c r="I107" s="876">
        <v>79</v>
      </c>
      <c r="J107" s="876">
        <v>80</v>
      </c>
      <c r="K107" s="876">
        <v>81</v>
      </c>
      <c r="L107" s="876">
        <v>83.08</v>
      </c>
      <c r="M107" s="876">
        <v>83.09</v>
      </c>
      <c r="N107" s="876">
        <v>85.06</v>
      </c>
      <c r="O107" s="876">
        <v>86.03</v>
      </c>
      <c r="P107" s="876">
        <v>87.05</v>
      </c>
      <c r="Q107" s="876">
        <v>87.06</v>
      </c>
      <c r="R107" s="876">
        <v>87.09</v>
      </c>
      <c r="S107" s="876">
        <v>88.01</v>
      </c>
      <c r="T107" s="876">
        <v>88.02</v>
      </c>
      <c r="U107" s="876">
        <v>91.03</v>
      </c>
      <c r="V107" s="876">
        <v>92.02</v>
      </c>
      <c r="W107" s="876">
        <v>93.09</v>
      </c>
      <c r="X107" s="876">
        <v>93.16</v>
      </c>
      <c r="Y107" s="876">
        <v>93.18</v>
      </c>
      <c r="Z107" s="876">
        <v>93.19</v>
      </c>
      <c r="AA107" s="876">
        <v>93.2</v>
      </c>
      <c r="AB107" s="876">
        <v>93.21</v>
      </c>
      <c r="AC107" s="876">
        <v>93.22</v>
      </c>
      <c r="AD107" s="876">
        <v>95.01</v>
      </c>
      <c r="AE107" s="876">
        <v>96.03</v>
      </c>
      <c r="AF107" s="876">
        <v>96.04</v>
      </c>
      <c r="AG107" s="876">
        <v>96.06</v>
      </c>
      <c r="AH107" s="876">
        <v>96.07</v>
      </c>
      <c r="AI107" s="876">
        <v>97.51</v>
      </c>
      <c r="AJ107" s="876">
        <v>150</v>
      </c>
    </row>
    <row r="108" spans="1:36">
      <c r="A108" s="418" t="s">
        <v>1266</v>
      </c>
      <c r="B108">
        <v>2</v>
      </c>
      <c r="C108">
        <v>20</v>
      </c>
      <c r="D108">
        <v>13</v>
      </c>
      <c r="E108">
        <v>2</v>
      </c>
      <c r="F108" t="b">
        <v>0</v>
      </c>
      <c r="G108" s="876">
        <v>9603</v>
      </c>
    </row>
    <row r="109" spans="1:36">
      <c r="A109" s="52" t="s">
        <v>1267</v>
      </c>
      <c r="B109">
        <v>1</v>
      </c>
      <c r="C109">
        <v>0</v>
      </c>
      <c r="D109">
        <v>12</v>
      </c>
      <c r="E109">
        <v>5</v>
      </c>
      <c r="F109" t="b">
        <v>0</v>
      </c>
      <c r="G109" s="876">
        <v>55.51</v>
      </c>
      <c r="H109" s="876">
        <v>55.52</v>
      </c>
      <c r="I109" s="876">
        <v>59.51</v>
      </c>
      <c r="J109" s="876">
        <v>64</v>
      </c>
      <c r="K109" s="876">
        <v>66.010000000000005</v>
      </c>
      <c r="L109" s="876">
        <v>66.040000000000006</v>
      </c>
      <c r="M109" s="876">
        <v>71.11</v>
      </c>
      <c r="N109" s="876">
        <v>72.010000000000005</v>
      </c>
      <c r="O109" s="876">
        <v>72.02</v>
      </c>
      <c r="P109" s="876">
        <v>73.010000000000005</v>
      </c>
      <c r="Q109" s="876">
        <v>73.02</v>
      </c>
      <c r="R109" s="876">
        <v>74</v>
      </c>
      <c r="S109" s="876">
        <v>75</v>
      </c>
      <c r="T109" s="876">
        <v>76</v>
      </c>
      <c r="U109" s="876">
        <v>800</v>
      </c>
      <c r="V109" s="876">
        <v>801</v>
      </c>
      <c r="W109" s="876">
        <v>810.02</v>
      </c>
      <c r="X109" s="876">
        <v>811.01</v>
      </c>
      <c r="Y109" s="876">
        <v>811.02</v>
      </c>
      <c r="Z109" s="876">
        <v>812</v>
      </c>
      <c r="AA109" s="876">
        <v>815</v>
      </c>
      <c r="AB109" s="876">
        <v>818</v>
      </c>
      <c r="AC109" s="876">
        <v>819</v>
      </c>
      <c r="AD109" s="876">
        <v>820</v>
      </c>
      <c r="AE109" s="876">
        <v>824</v>
      </c>
    </row>
    <row r="110" spans="1:36">
      <c r="A110" t="s">
        <v>1268</v>
      </c>
      <c r="B110">
        <v>2</v>
      </c>
      <c r="C110">
        <v>20</v>
      </c>
      <c r="D110">
        <v>12</v>
      </c>
      <c r="E110">
        <v>2</v>
      </c>
      <c r="F110" s="876" t="b">
        <v>1</v>
      </c>
    </row>
    <row r="111" spans="1:36">
      <c r="A111" s="418" t="s">
        <v>1269</v>
      </c>
      <c r="B111">
        <v>1</v>
      </c>
      <c r="C111">
        <v>20</v>
      </c>
      <c r="D111">
        <v>6</v>
      </c>
      <c r="E111">
        <v>1</v>
      </c>
      <c r="F111" t="b">
        <v>0</v>
      </c>
      <c r="G111" s="876">
        <v>9647</v>
      </c>
    </row>
    <row r="112" spans="1:36">
      <c r="A112" s="418" t="s">
        <v>1270</v>
      </c>
      <c r="B112">
        <v>1</v>
      </c>
      <c r="C112">
        <v>20</v>
      </c>
      <c r="D112">
        <v>10</v>
      </c>
      <c r="E112">
        <v>2</v>
      </c>
      <c r="F112" t="b">
        <v>0</v>
      </c>
      <c r="G112" s="876">
        <v>9667.01</v>
      </c>
      <c r="H112" s="876">
        <v>9667.02</v>
      </c>
    </row>
    <row r="113" spans="1:52" s="418" customFormat="1">
      <c r="A113" s="52" t="s">
        <v>1271</v>
      </c>
      <c r="B113">
        <v>1</v>
      </c>
      <c r="C113">
        <v>0</v>
      </c>
      <c r="D113">
        <v>13</v>
      </c>
      <c r="E113">
        <v>4</v>
      </c>
      <c r="F113" s="321" t="b">
        <v>0</v>
      </c>
      <c r="G113" s="876">
        <v>122.01</v>
      </c>
      <c r="H113" s="876">
        <v>122.04</v>
      </c>
      <c r="I113" s="876">
        <v>122.05</v>
      </c>
      <c r="J113" s="876">
        <v>122.06</v>
      </c>
      <c r="K113" s="876">
        <v>123</v>
      </c>
      <c r="L113" s="876">
        <v>124.01</v>
      </c>
      <c r="M113" s="876">
        <v>126.05</v>
      </c>
      <c r="N113" s="876">
        <v>126.09</v>
      </c>
      <c r="O113" s="876">
        <v>126.1</v>
      </c>
      <c r="P113" s="876">
        <v>133.08000000000001</v>
      </c>
      <c r="Q113" s="876">
        <v>134.01</v>
      </c>
      <c r="R113" s="876">
        <v>135.03</v>
      </c>
      <c r="S113" s="876">
        <v>135.05000000000001</v>
      </c>
      <c r="T113" s="876">
        <v>608.02</v>
      </c>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row>
    <row r="114" spans="1:52">
      <c r="A114" s="52" t="s">
        <v>1272</v>
      </c>
      <c r="B114">
        <v>1</v>
      </c>
      <c r="C114">
        <v>0</v>
      </c>
      <c r="D114">
        <v>13</v>
      </c>
      <c r="E114">
        <v>4</v>
      </c>
      <c r="F114" t="b">
        <v>0</v>
      </c>
    </row>
    <row r="115" spans="1:52">
      <c r="A115" t="s">
        <v>1273</v>
      </c>
      <c r="B115">
        <v>2</v>
      </c>
      <c r="C115">
        <v>20</v>
      </c>
      <c r="D115">
        <v>11</v>
      </c>
      <c r="E115">
        <v>2</v>
      </c>
      <c r="F115" s="876" t="b">
        <v>1</v>
      </c>
    </row>
    <row r="116" spans="1:52">
      <c r="A116" t="s">
        <v>1274</v>
      </c>
      <c r="B116">
        <v>1</v>
      </c>
      <c r="C116">
        <v>20</v>
      </c>
      <c r="D116">
        <v>9</v>
      </c>
      <c r="E116">
        <v>1</v>
      </c>
      <c r="F116" t="b">
        <v>0</v>
      </c>
    </row>
    <row r="117" spans="1:52">
      <c r="A117" s="52" t="s">
        <v>1275</v>
      </c>
      <c r="B117">
        <v>2</v>
      </c>
      <c r="C117">
        <v>0</v>
      </c>
      <c r="D117">
        <v>14</v>
      </c>
      <c r="E117">
        <v>2</v>
      </c>
      <c r="F117" t="b">
        <v>0</v>
      </c>
      <c r="G117" s="876">
        <v>149</v>
      </c>
    </row>
    <row r="118" spans="1:52">
      <c r="A118" s="418" t="s">
        <v>1276</v>
      </c>
      <c r="B118">
        <v>2</v>
      </c>
      <c r="C118">
        <v>20</v>
      </c>
      <c r="D118">
        <v>8</v>
      </c>
      <c r="E118">
        <v>2</v>
      </c>
      <c r="F118" t="b">
        <v>0</v>
      </c>
      <c r="G118" s="876">
        <v>9748</v>
      </c>
      <c r="H118" s="876">
        <v>9749</v>
      </c>
    </row>
    <row r="119" spans="1:52">
      <c r="A119" s="418" t="s">
        <v>1277</v>
      </c>
      <c r="B119">
        <v>2</v>
      </c>
      <c r="C119">
        <v>20</v>
      </c>
      <c r="D119">
        <v>6</v>
      </c>
      <c r="E119">
        <v>1</v>
      </c>
      <c r="F119" t="b">
        <v>0</v>
      </c>
      <c r="G119" s="876">
        <v>9726</v>
      </c>
      <c r="H119" s="876">
        <v>9727</v>
      </c>
    </row>
    <row r="120" spans="1:52">
      <c r="A120" s="418" t="s">
        <v>1278</v>
      </c>
      <c r="B120">
        <v>1</v>
      </c>
      <c r="C120">
        <v>20</v>
      </c>
      <c r="D120">
        <v>10</v>
      </c>
      <c r="E120">
        <v>2</v>
      </c>
      <c r="F120" s="876" t="b">
        <v>1</v>
      </c>
      <c r="G120" s="876">
        <v>9696.01</v>
      </c>
      <c r="H120" s="876">
        <v>9696.02</v>
      </c>
    </row>
    <row r="121" spans="1:52">
      <c r="A121" t="s">
        <v>1279</v>
      </c>
      <c r="B121">
        <v>1</v>
      </c>
      <c r="C121">
        <v>20</v>
      </c>
      <c r="D121">
        <v>8</v>
      </c>
      <c r="E121">
        <v>1</v>
      </c>
      <c r="F121" s="876" t="b">
        <v>0</v>
      </c>
    </row>
    <row r="122" spans="1:52">
      <c r="A122" s="418" t="s">
        <v>1280</v>
      </c>
      <c r="B122">
        <v>3</v>
      </c>
      <c r="C122">
        <v>20</v>
      </c>
      <c r="D122">
        <v>12</v>
      </c>
      <c r="E122">
        <v>2</v>
      </c>
      <c r="F122" s="876" t="b">
        <v>0</v>
      </c>
      <c r="G122" s="876">
        <v>9652.01</v>
      </c>
    </row>
    <row r="123" spans="1:52">
      <c r="A123" s="52" t="s">
        <v>3115</v>
      </c>
      <c r="B123">
        <v>1</v>
      </c>
      <c r="C123">
        <v>0</v>
      </c>
      <c r="D123">
        <v>11</v>
      </c>
      <c r="E123">
        <v>6</v>
      </c>
      <c r="F123" t="b">
        <v>0</v>
      </c>
      <c r="G123" s="876">
        <v>5.03</v>
      </c>
      <c r="H123" s="876">
        <v>7.03</v>
      </c>
      <c r="I123" s="876">
        <v>8</v>
      </c>
      <c r="J123" s="876">
        <v>9.02</v>
      </c>
      <c r="K123" s="876">
        <v>9.0299999999999994</v>
      </c>
      <c r="L123" s="876">
        <v>9.0399999999999991</v>
      </c>
      <c r="M123" s="876">
        <v>10</v>
      </c>
      <c r="N123" s="876">
        <v>13.01</v>
      </c>
      <c r="O123" s="876">
        <v>13.02</v>
      </c>
      <c r="P123" s="876">
        <v>14.01</v>
      </c>
      <c r="Q123" s="876">
        <v>14.02</v>
      </c>
      <c r="R123" s="876">
        <v>15</v>
      </c>
      <c r="S123" s="876">
        <v>19.010000000000002</v>
      </c>
      <c r="T123" s="876">
        <v>26.04</v>
      </c>
      <c r="U123" s="876">
        <v>27.04</v>
      </c>
      <c r="V123" s="876">
        <v>35.01</v>
      </c>
      <c r="W123" s="876">
        <v>35.020000000000003</v>
      </c>
      <c r="X123" s="876">
        <v>36.020000000000003</v>
      </c>
      <c r="Y123" s="876">
        <v>41.01</v>
      </c>
      <c r="Z123" s="876">
        <v>43.07</v>
      </c>
      <c r="AA123" s="876">
        <v>44.04</v>
      </c>
      <c r="AB123" s="876">
        <v>45.03</v>
      </c>
      <c r="AC123" s="876">
        <v>45.04</v>
      </c>
      <c r="AD123" s="876">
        <v>45.05</v>
      </c>
      <c r="AE123" s="876">
        <v>45.06</v>
      </c>
      <c r="AF123" s="876">
        <v>46.02</v>
      </c>
      <c r="AG123" s="876">
        <v>50.03</v>
      </c>
      <c r="AH123" s="876">
        <v>50.04</v>
      </c>
      <c r="AI123" s="876">
        <v>70.06</v>
      </c>
      <c r="AJ123" s="876">
        <v>70.37</v>
      </c>
      <c r="AK123" s="876">
        <v>70.900000000000006</v>
      </c>
      <c r="AL123" s="876">
        <v>70.91</v>
      </c>
      <c r="AM123" s="876">
        <v>83.04</v>
      </c>
      <c r="AN123" s="876">
        <v>83.05</v>
      </c>
      <c r="AO123" s="876">
        <v>83.06</v>
      </c>
      <c r="AP123" s="876">
        <v>83.12</v>
      </c>
      <c r="AQ123" s="876">
        <v>155</v>
      </c>
      <c r="AR123" s="876">
        <v>158</v>
      </c>
      <c r="AS123" s="418"/>
      <c r="AT123" s="418"/>
      <c r="AU123" s="418"/>
      <c r="AV123" s="418"/>
      <c r="AW123" s="418"/>
      <c r="AX123" s="418"/>
      <c r="AY123" s="418"/>
      <c r="AZ123" s="418"/>
    </row>
    <row r="124" spans="1:52">
      <c r="A124" t="s">
        <v>1282</v>
      </c>
      <c r="B124">
        <v>3</v>
      </c>
      <c r="C124">
        <v>20</v>
      </c>
      <c r="D124">
        <v>11</v>
      </c>
      <c r="E124">
        <v>1</v>
      </c>
      <c r="F124" t="b">
        <v>0</v>
      </c>
    </row>
    <row r="125" spans="1:52">
      <c r="A125" s="52" t="s">
        <v>1283</v>
      </c>
      <c r="B125">
        <v>1</v>
      </c>
      <c r="C125">
        <v>0</v>
      </c>
      <c r="D125">
        <v>12</v>
      </c>
      <c r="E125">
        <v>2</v>
      </c>
      <c r="F125" t="b">
        <v>0</v>
      </c>
    </row>
    <row r="126" spans="1:52">
      <c r="A126" t="s">
        <v>1284</v>
      </c>
      <c r="B126">
        <v>2</v>
      </c>
      <c r="C126">
        <v>0</v>
      </c>
      <c r="D126">
        <v>12</v>
      </c>
      <c r="E126">
        <v>2</v>
      </c>
      <c r="F126" s="876" t="b">
        <v>1</v>
      </c>
    </row>
    <row r="127" spans="1:52">
      <c r="A127" s="52" t="s">
        <v>1285</v>
      </c>
      <c r="B127">
        <v>1</v>
      </c>
      <c r="C127">
        <v>0</v>
      </c>
      <c r="D127">
        <v>13</v>
      </c>
      <c r="E127">
        <v>6</v>
      </c>
      <c r="F127" s="321" t="b">
        <v>0</v>
      </c>
      <c r="G127" s="876">
        <v>3.02</v>
      </c>
      <c r="H127" s="876">
        <v>11.01</v>
      </c>
      <c r="I127" s="876">
        <v>16</v>
      </c>
      <c r="J127" s="876">
        <v>19.010000000000002</v>
      </c>
      <c r="K127" s="876">
        <v>19.02</v>
      </c>
      <c r="L127" s="876">
        <v>20</v>
      </c>
      <c r="M127" s="876">
        <v>21.02</v>
      </c>
      <c r="N127" s="876">
        <v>23</v>
      </c>
      <c r="O127" s="876">
        <v>28.01</v>
      </c>
      <c r="P127" s="876">
        <v>29.01</v>
      </c>
      <c r="Q127" s="876">
        <v>29.02</v>
      </c>
      <c r="R127" s="876">
        <v>44.05</v>
      </c>
      <c r="S127" s="876">
        <v>45.01</v>
      </c>
      <c r="T127" s="876">
        <v>52.01</v>
      </c>
      <c r="U127" s="876">
        <v>52.02</v>
      </c>
      <c r="V127" s="876">
        <v>54</v>
      </c>
      <c r="W127" s="876">
        <v>55.02</v>
      </c>
      <c r="X127" s="876">
        <v>60</v>
      </c>
      <c r="Y127" s="876">
        <v>61</v>
      </c>
      <c r="Z127" s="876">
        <v>63.02</v>
      </c>
      <c r="AA127" s="876">
        <v>64</v>
      </c>
    </row>
    <row r="128" spans="1:52">
      <c r="A128" s="52" t="s">
        <v>1286</v>
      </c>
      <c r="B128">
        <v>1</v>
      </c>
      <c r="C128">
        <v>0</v>
      </c>
      <c r="D128">
        <v>8</v>
      </c>
      <c r="E128">
        <v>2</v>
      </c>
      <c r="F128" t="b">
        <v>0</v>
      </c>
    </row>
    <row r="129" spans="1:16">
      <c r="A129" t="s">
        <v>1287</v>
      </c>
      <c r="B129">
        <v>1</v>
      </c>
      <c r="C129">
        <v>20</v>
      </c>
      <c r="D129">
        <v>11</v>
      </c>
      <c r="E129">
        <v>2</v>
      </c>
      <c r="F129" s="876" t="b">
        <v>0</v>
      </c>
    </row>
    <row r="130" spans="1:16">
      <c r="A130" t="s">
        <v>1288</v>
      </c>
      <c r="B130">
        <v>3</v>
      </c>
      <c r="C130">
        <v>0</v>
      </c>
      <c r="D130">
        <v>11</v>
      </c>
      <c r="E130">
        <v>3</v>
      </c>
      <c r="F130" s="876" t="b">
        <v>1</v>
      </c>
    </row>
    <row r="131" spans="1:16">
      <c r="A131" s="52" t="s">
        <v>1289</v>
      </c>
      <c r="B131">
        <v>2</v>
      </c>
      <c r="C131">
        <v>0</v>
      </c>
      <c r="D131">
        <v>13</v>
      </c>
      <c r="E131">
        <v>2</v>
      </c>
      <c r="F131" t="b">
        <v>0</v>
      </c>
    </row>
    <row r="132" spans="1:16">
      <c r="A132" t="s">
        <v>1290</v>
      </c>
      <c r="B132">
        <v>2</v>
      </c>
      <c r="C132">
        <v>0</v>
      </c>
      <c r="D132">
        <v>10</v>
      </c>
      <c r="E132">
        <v>2</v>
      </c>
      <c r="F132" s="876" t="b">
        <v>1</v>
      </c>
    </row>
    <row r="133" spans="1:16">
      <c r="A133" s="418" t="s">
        <v>1291</v>
      </c>
      <c r="B133">
        <v>2</v>
      </c>
      <c r="C133">
        <v>0</v>
      </c>
      <c r="D133">
        <v>13</v>
      </c>
      <c r="E133">
        <v>2</v>
      </c>
      <c r="F133" s="876" t="b">
        <v>1</v>
      </c>
      <c r="G133" s="876">
        <v>9637.02</v>
      </c>
    </row>
    <row r="134" spans="1:16">
      <c r="A134" t="s">
        <v>1292</v>
      </c>
      <c r="B134">
        <v>2</v>
      </c>
      <c r="C134">
        <v>0</v>
      </c>
      <c r="D134">
        <v>9</v>
      </c>
      <c r="E134">
        <v>1</v>
      </c>
      <c r="F134" t="b">
        <v>0</v>
      </c>
    </row>
    <row r="135" spans="1:16">
      <c r="A135" s="418" t="s">
        <v>1293</v>
      </c>
      <c r="B135">
        <v>1</v>
      </c>
      <c r="C135">
        <v>20</v>
      </c>
      <c r="D135">
        <v>9</v>
      </c>
      <c r="E135">
        <v>2</v>
      </c>
      <c r="F135" t="b">
        <v>0</v>
      </c>
      <c r="G135" s="876">
        <v>9606</v>
      </c>
    </row>
    <row r="136" spans="1:16">
      <c r="A136" t="s">
        <v>1294</v>
      </c>
      <c r="B136">
        <v>2</v>
      </c>
      <c r="C136">
        <v>20</v>
      </c>
      <c r="D136">
        <v>6</v>
      </c>
      <c r="E136">
        <v>1</v>
      </c>
      <c r="F136" s="321" t="b">
        <v>0</v>
      </c>
    </row>
    <row r="137" spans="1:16">
      <c r="A137" s="52" t="s">
        <v>1295</v>
      </c>
      <c r="B137">
        <v>1</v>
      </c>
      <c r="C137">
        <v>0</v>
      </c>
      <c r="D137">
        <v>13</v>
      </c>
      <c r="E137">
        <v>5</v>
      </c>
      <c r="F137" t="b">
        <v>0</v>
      </c>
      <c r="G137" s="876">
        <v>104.06</v>
      </c>
      <c r="H137" s="876">
        <v>111.02</v>
      </c>
      <c r="I137" s="876">
        <v>114.01</v>
      </c>
      <c r="J137" s="876">
        <v>114.02</v>
      </c>
      <c r="K137" s="876">
        <v>115.52</v>
      </c>
      <c r="L137" s="876">
        <v>116.02</v>
      </c>
      <c r="M137" s="876">
        <v>118.06</v>
      </c>
    </row>
    <row r="138" spans="1:16">
      <c r="A138" t="s">
        <v>1296</v>
      </c>
      <c r="B138">
        <v>1</v>
      </c>
      <c r="C138">
        <v>20</v>
      </c>
      <c r="D138">
        <v>7</v>
      </c>
      <c r="E138">
        <v>1</v>
      </c>
      <c r="F138" t="b">
        <v>0</v>
      </c>
    </row>
    <row r="139" spans="1:16">
      <c r="A139" t="s">
        <v>1297</v>
      </c>
      <c r="B139">
        <v>1</v>
      </c>
      <c r="C139">
        <v>20</v>
      </c>
      <c r="D139">
        <v>6</v>
      </c>
      <c r="E139">
        <v>2</v>
      </c>
      <c r="F139" s="876" t="b">
        <v>0</v>
      </c>
    </row>
    <row r="140" spans="1:16">
      <c r="A140" t="s">
        <v>1298</v>
      </c>
      <c r="B140">
        <v>3</v>
      </c>
      <c r="C140">
        <v>0</v>
      </c>
      <c r="D140">
        <v>11</v>
      </c>
      <c r="E140">
        <v>2</v>
      </c>
      <c r="F140" s="876" t="b">
        <v>1</v>
      </c>
    </row>
    <row r="141" spans="1:16">
      <c r="A141" t="s">
        <v>1299</v>
      </c>
      <c r="B141">
        <v>2</v>
      </c>
      <c r="C141">
        <v>0</v>
      </c>
      <c r="D141">
        <v>12</v>
      </c>
      <c r="E141">
        <v>2</v>
      </c>
      <c r="F141" t="b">
        <v>0</v>
      </c>
    </row>
    <row r="142" spans="1:16">
      <c r="A142" s="52" t="s">
        <v>1300</v>
      </c>
      <c r="B142">
        <v>1</v>
      </c>
      <c r="C142">
        <v>0</v>
      </c>
      <c r="D142">
        <v>13</v>
      </c>
      <c r="E142">
        <v>4</v>
      </c>
      <c r="F142" t="b">
        <v>0</v>
      </c>
      <c r="G142" s="876">
        <v>1</v>
      </c>
      <c r="H142" s="876">
        <v>2.0099999999999998</v>
      </c>
      <c r="I142" s="876">
        <v>5.03</v>
      </c>
      <c r="J142" s="876">
        <v>5.04</v>
      </c>
      <c r="K142" s="876">
        <v>5.05</v>
      </c>
      <c r="L142" s="876">
        <v>5.0599999999999996</v>
      </c>
      <c r="M142" s="876">
        <v>6</v>
      </c>
      <c r="N142" s="876">
        <v>11.11</v>
      </c>
      <c r="O142" s="876">
        <v>13.04</v>
      </c>
      <c r="P142" s="876">
        <v>13.05</v>
      </c>
    </row>
    <row r="143" spans="1:16">
      <c r="A143" s="418" t="s">
        <v>1301</v>
      </c>
      <c r="B143">
        <v>1</v>
      </c>
      <c r="C143">
        <v>20</v>
      </c>
      <c r="D143">
        <v>10</v>
      </c>
      <c r="E143">
        <v>2</v>
      </c>
      <c r="F143" t="b">
        <v>0</v>
      </c>
      <c r="G143" s="876">
        <v>1</v>
      </c>
      <c r="H143" s="876">
        <v>4</v>
      </c>
    </row>
    <row r="144" spans="1:16">
      <c r="A144" t="s">
        <v>1302</v>
      </c>
      <c r="B144">
        <v>1</v>
      </c>
      <c r="C144">
        <v>20</v>
      </c>
      <c r="D144">
        <v>8</v>
      </c>
      <c r="E144">
        <v>2</v>
      </c>
      <c r="F144" s="876" t="b">
        <v>0</v>
      </c>
    </row>
    <row r="145" spans="1:20">
      <c r="A145" s="418" t="s">
        <v>1303</v>
      </c>
      <c r="B145">
        <v>1</v>
      </c>
      <c r="C145">
        <v>20</v>
      </c>
      <c r="D145">
        <v>9</v>
      </c>
      <c r="E145">
        <v>2</v>
      </c>
      <c r="F145" t="b">
        <v>0</v>
      </c>
      <c r="G145" s="876">
        <v>9661.02</v>
      </c>
    </row>
    <row r="146" spans="1:20">
      <c r="A146" s="52" t="s">
        <v>1304</v>
      </c>
      <c r="B146">
        <v>3</v>
      </c>
      <c r="C146">
        <v>0</v>
      </c>
      <c r="D146">
        <v>11</v>
      </c>
      <c r="E146">
        <v>3</v>
      </c>
      <c r="F146" t="b">
        <v>0</v>
      </c>
      <c r="G146" s="876">
        <v>2</v>
      </c>
      <c r="H146" s="876">
        <v>5</v>
      </c>
      <c r="I146" s="876">
        <v>6.01</v>
      </c>
      <c r="J146" s="876">
        <v>6.02</v>
      </c>
      <c r="K146" s="876">
        <v>17.059999999999999</v>
      </c>
    </row>
    <row r="147" spans="1:20">
      <c r="A147" t="s">
        <v>1305</v>
      </c>
      <c r="B147">
        <v>2</v>
      </c>
      <c r="C147">
        <v>0</v>
      </c>
      <c r="D147">
        <v>11</v>
      </c>
      <c r="E147">
        <v>1</v>
      </c>
      <c r="F147" s="876" t="b">
        <v>1</v>
      </c>
    </row>
    <row r="148" spans="1:20">
      <c r="A148" t="s">
        <v>1306</v>
      </c>
      <c r="B148">
        <v>3</v>
      </c>
      <c r="C148">
        <v>0</v>
      </c>
      <c r="D148">
        <v>8</v>
      </c>
      <c r="E148">
        <v>2</v>
      </c>
      <c r="F148" s="876" t="b">
        <v>1</v>
      </c>
    </row>
    <row r="149" spans="1:20">
      <c r="A149" s="418" t="s">
        <v>1307</v>
      </c>
      <c r="B149">
        <v>3</v>
      </c>
      <c r="C149">
        <v>20</v>
      </c>
      <c r="D149">
        <v>12</v>
      </c>
      <c r="E149">
        <v>2</v>
      </c>
      <c r="F149" s="876" t="b">
        <v>1</v>
      </c>
      <c r="G149" s="876">
        <v>9411</v>
      </c>
      <c r="H149" s="876">
        <v>9694</v>
      </c>
    </row>
    <row r="150" spans="1:20">
      <c r="A150" s="418" t="s">
        <v>1308</v>
      </c>
      <c r="B150">
        <v>3</v>
      </c>
      <c r="C150">
        <v>20</v>
      </c>
      <c r="D150">
        <v>11</v>
      </c>
      <c r="E150">
        <v>2</v>
      </c>
      <c r="F150" s="876" t="b">
        <v>0</v>
      </c>
      <c r="G150" s="876">
        <v>9663.01</v>
      </c>
      <c r="H150" s="876">
        <v>9663.02</v>
      </c>
    </row>
    <row r="151" spans="1:20">
      <c r="A151" t="s">
        <v>1309</v>
      </c>
      <c r="B151">
        <v>1</v>
      </c>
      <c r="C151">
        <v>20</v>
      </c>
      <c r="D151">
        <v>12</v>
      </c>
      <c r="E151">
        <v>2</v>
      </c>
      <c r="F151" s="876" t="b">
        <v>1</v>
      </c>
    </row>
    <row r="152" spans="1:20">
      <c r="A152" s="418" t="s">
        <v>1310</v>
      </c>
      <c r="B152">
        <v>1</v>
      </c>
      <c r="C152">
        <v>20</v>
      </c>
      <c r="D152">
        <v>10</v>
      </c>
      <c r="E152">
        <v>2</v>
      </c>
      <c r="F152" t="b">
        <v>0</v>
      </c>
      <c r="G152" s="876">
        <v>9681</v>
      </c>
    </row>
    <row r="153" spans="1:20">
      <c r="A153" t="s">
        <v>1311</v>
      </c>
      <c r="B153">
        <v>2</v>
      </c>
      <c r="C153">
        <v>0</v>
      </c>
      <c r="D153">
        <v>8</v>
      </c>
      <c r="E153">
        <v>1</v>
      </c>
      <c r="F153" s="876" t="b">
        <v>1</v>
      </c>
    </row>
    <row r="154" spans="1:20">
      <c r="A154" s="52" t="s">
        <v>1312</v>
      </c>
      <c r="B154">
        <v>2</v>
      </c>
      <c r="C154">
        <v>0</v>
      </c>
      <c r="D154">
        <v>12</v>
      </c>
      <c r="E154">
        <v>2</v>
      </c>
      <c r="F154" t="b">
        <v>0</v>
      </c>
    </row>
    <row r="155" spans="1:20">
      <c r="A155" t="s">
        <v>1313</v>
      </c>
      <c r="B155">
        <v>1</v>
      </c>
      <c r="C155">
        <v>20</v>
      </c>
      <c r="D155">
        <v>7</v>
      </c>
      <c r="E155">
        <v>1</v>
      </c>
      <c r="F155" t="b">
        <v>0</v>
      </c>
    </row>
    <row r="156" spans="1:20">
      <c r="A156" t="s">
        <v>1314</v>
      </c>
      <c r="B156">
        <v>2</v>
      </c>
      <c r="C156">
        <v>0</v>
      </c>
      <c r="D156">
        <v>10</v>
      </c>
      <c r="E156">
        <v>2</v>
      </c>
      <c r="F156" s="876" t="b">
        <v>1</v>
      </c>
    </row>
    <row r="157" spans="1:20">
      <c r="A157" s="418" t="s">
        <v>1315</v>
      </c>
      <c r="B157">
        <v>1</v>
      </c>
      <c r="C157">
        <v>20</v>
      </c>
      <c r="D157">
        <v>8</v>
      </c>
      <c r="E157">
        <v>2</v>
      </c>
      <c r="F157" t="b">
        <v>0</v>
      </c>
      <c r="G157" s="876">
        <v>2</v>
      </c>
    </row>
    <row r="158" spans="1:20">
      <c r="A158" s="52" t="s">
        <v>3116</v>
      </c>
      <c r="B158">
        <v>1</v>
      </c>
      <c r="C158">
        <v>20</v>
      </c>
      <c r="D158">
        <v>11</v>
      </c>
      <c r="E158">
        <v>4</v>
      </c>
      <c r="F158" t="b">
        <v>0</v>
      </c>
      <c r="G158" s="876">
        <v>2</v>
      </c>
      <c r="H158" s="876">
        <v>6</v>
      </c>
      <c r="I158" s="876">
        <v>8</v>
      </c>
      <c r="J158" s="876">
        <v>11</v>
      </c>
      <c r="K158" s="876">
        <v>12</v>
      </c>
      <c r="L158" s="876">
        <v>14</v>
      </c>
      <c r="M158" s="876">
        <v>20</v>
      </c>
      <c r="N158" s="876">
        <v>21</v>
      </c>
      <c r="O158" s="876">
        <v>22</v>
      </c>
      <c r="P158" s="876">
        <v>24</v>
      </c>
      <c r="Q158" s="876">
        <v>26</v>
      </c>
      <c r="R158" s="876">
        <v>29.01</v>
      </c>
      <c r="S158" s="876">
        <v>35</v>
      </c>
      <c r="T158" s="876">
        <v>36</v>
      </c>
    </row>
    <row r="159" spans="1:20">
      <c r="A159" t="s">
        <v>1317</v>
      </c>
      <c r="B159">
        <v>3</v>
      </c>
      <c r="C159">
        <v>0</v>
      </c>
      <c r="D159">
        <v>8</v>
      </c>
      <c r="E159">
        <v>2</v>
      </c>
      <c r="F159" t="b">
        <v>0</v>
      </c>
    </row>
    <row r="160" spans="1:20">
      <c r="A160" s="418" t="s">
        <v>1318</v>
      </c>
      <c r="B160">
        <v>2</v>
      </c>
      <c r="C160">
        <v>20</v>
      </c>
      <c r="D160">
        <v>9</v>
      </c>
      <c r="E160">
        <v>2</v>
      </c>
      <c r="F160" t="b">
        <v>0</v>
      </c>
      <c r="G160" s="876">
        <v>9767</v>
      </c>
      <c r="H160" s="876">
        <v>9768</v>
      </c>
    </row>
    <row r="161" spans="1:18">
      <c r="A161" t="s">
        <v>1319</v>
      </c>
      <c r="B161">
        <v>2</v>
      </c>
      <c r="C161">
        <v>0</v>
      </c>
      <c r="D161">
        <v>12</v>
      </c>
      <c r="E161">
        <v>2</v>
      </c>
      <c r="F161" s="876" t="b">
        <v>1</v>
      </c>
    </row>
    <row r="162" spans="1:18">
      <c r="A162" t="s">
        <v>1320</v>
      </c>
      <c r="B162">
        <v>2</v>
      </c>
      <c r="C162">
        <v>20</v>
      </c>
      <c r="D162">
        <v>8</v>
      </c>
      <c r="E162">
        <v>2</v>
      </c>
      <c r="F162" t="b">
        <v>0</v>
      </c>
    </row>
    <row r="163" spans="1:18">
      <c r="A163" t="s">
        <v>1321</v>
      </c>
      <c r="B163">
        <v>3</v>
      </c>
      <c r="C163">
        <v>20</v>
      </c>
      <c r="D163">
        <v>5</v>
      </c>
      <c r="E163">
        <v>1</v>
      </c>
      <c r="F163" s="876" t="b">
        <v>1</v>
      </c>
    </row>
    <row r="164" spans="1:18">
      <c r="A164" t="s">
        <v>1322</v>
      </c>
      <c r="B164">
        <v>3</v>
      </c>
      <c r="C164">
        <v>0</v>
      </c>
      <c r="D164">
        <v>14</v>
      </c>
      <c r="E164">
        <v>2</v>
      </c>
      <c r="F164" s="876" t="b">
        <v>1</v>
      </c>
    </row>
    <row r="165" spans="1:18">
      <c r="A165" t="s">
        <v>1323</v>
      </c>
      <c r="B165">
        <v>1</v>
      </c>
      <c r="C165">
        <v>20</v>
      </c>
      <c r="D165">
        <v>6</v>
      </c>
      <c r="E165">
        <v>1</v>
      </c>
      <c r="F165" t="b">
        <v>0</v>
      </c>
    </row>
    <row r="166" spans="1:18">
      <c r="A166" s="418" t="s">
        <v>1324</v>
      </c>
      <c r="B166">
        <v>2</v>
      </c>
      <c r="C166">
        <v>0</v>
      </c>
      <c r="D166">
        <v>12</v>
      </c>
      <c r="E166">
        <v>2</v>
      </c>
      <c r="F166" s="876" t="b">
        <v>1</v>
      </c>
      <c r="G166" s="876">
        <v>2.0099999999999998</v>
      </c>
    </row>
    <row r="167" spans="1:18">
      <c r="A167" s="52" t="s">
        <v>1325</v>
      </c>
      <c r="B167">
        <v>1</v>
      </c>
      <c r="C167">
        <v>0</v>
      </c>
      <c r="D167">
        <v>13</v>
      </c>
      <c r="E167">
        <v>2</v>
      </c>
      <c r="F167" t="b">
        <v>0</v>
      </c>
    </row>
    <row r="168" spans="1:18">
      <c r="A168" t="s">
        <v>1326</v>
      </c>
      <c r="B168">
        <v>1</v>
      </c>
      <c r="C168">
        <v>20</v>
      </c>
      <c r="D168">
        <v>6</v>
      </c>
      <c r="E168">
        <v>2</v>
      </c>
      <c r="F168" t="b">
        <v>0</v>
      </c>
    </row>
    <row r="169" spans="1:18">
      <c r="A169" s="52" t="s">
        <v>1327</v>
      </c>
      <c r="B169">
        <v>1</v>
      </c>
      <c r="C169">
        <v>0</v>
      </c>
      <c r="D169">
        <v>13</v>
      </c>
      <c r="E169">
        <v>3</v>
      </c>
      <c r="F169" t="b">
        <v>0</v>
      </c>
      <c r="G169" s="876">
        <v>1</v>
      </c>
      <c r="H169" s="876">
        <v>2</v>
      </c>
      <c r="I169" s="876">
        <v>5.01</v>
      </c>
      <c r="J169" s="876">
        <v>5.0199999999999996</v>
      </c>
      <c r="K169" s="876">
        <v>6</v>
      </c>
      <c r="L169" s="876">
        <v>7.01</v>
      </c>
      <c r="M169" s="876">
        <v>7.03</v>
      </c>
      <c r="N169" s="876">
        <v>8</v>
      </c>
      <c r="O169" s="876">
        <v>10.029999999999999</v>
      </c>
      <c r="P169" s="876">
        <v>10.039999999999999</v>
      </c>
      <c r="Q169" s="876">
        <v>12.01</v>
      </c>
      <c r="R169" s="876">
        <v>13</v>
      </c>
    </row>
    <row r="170" spans="1:18">
      <c r="A170" t="s">
        <v>1328</v>
      </c>
      <c r="B170">
        <v>1</v>
      </c>
      <c r="C170">
        <v>20</v>
      </c>
      <c r="D170">
        <v>7</v>
      </c>
      <c r="E170">
        <v>2</v>
      </c>
      <c r="F170" s="876" t="b">
        <v>1</v>
      </c>
    </row>
    <row r="171" spans="1:18" s="321" customFormat="1"/>
    <row r="173" spans="1:18">
      <c r="A173" s="92"/>
      <c r="B173" s="92"/>
      <c r="C173" s="92"/>
    </row>
    <row r="174" spans="1:18">
      <c r="A174" s="877" t="s">
        <v>3117</v>
      </c>
      <c r="B174" s="92"/>
      <c r="C174" s="92"/>
    </row>
    <row r="175" spans="1:18">
      <c r="A175" t="s">
        <v>3118</v>
      </c>
    </row>
    <row r="176" spans="1:18">
      <c r="A176" s="876">
        <v>80007</v>
      </c>
      <c r="B176" s="92"/>
    </row>
    <row r="177" spans="1:2">
      <c r="A177" s="876">
        <v>80015</v>
      </c>
      <c r="B177" s="92"/>
    </row>
    <row r="178" spans="1:2">
      <c r="A178" s="876">
        <v>80018</v>
      </c>
      <c r="B178" s="92"/>
    </row>
    <row r="179" spans="1:2">
      <c r="A179" s="876">
        <v>80021</v>
      </c>
      <c r="B179" s="92"/>
    </row>
    <row r="180" spans="1:2">
      <c r="A180" s="876">
        <v>80023</v>
      </c>
      <c r="B180" s="92"/>
    </row>
    <row r="181" spans="1:2">
      <c r="A181" s="876">
        <v>80109</v>
      </c>
      <c r="B181" s="92"/>
    </row>
    <row r="182" spans="1:2">
      <c r="A182" s="876">
        <v>80111</v>
      </c>
      <c r="B182" s="92"/>
    </row>
    <row r="183" spans="1:2">
      <c r="A183" s="876">
        <v>80118</v>
      </c>
      <c r="B183" s="92"/>
    </row>
    <row r="184" spans="1:2">
      <c r="A184" s="876">
        <v>80124</v>
      </c>
      <c r="B184" s="92"/>
    </row>
    <row r="185" spans="1:2">
      <c r="A185" s="876">
        <v>80125</v>
      </c>
      <c r="B185" s="92"/>
    </row>
    <row r="186" spans="1:2">
      <c r="A186" s="876">
        <v>80126</v>
      </c>
      <c r="B186" s="92"/>
    </row>
    <row r="187" spans="1:2">
      <c r="A187" s="876">
        <v>80129</v>
      </c>
      <c r="B187" s="92"/>
    </row>
    <row r="188" spans="1:2">
      <c r="A188" s="876">
        <v>80130</v>
      </c>
      <c r="B188" s="92"/>
    </row>
    <row r="189" spans="1:2">
      <c r="A189" s="876">
        <v>80132</v>
      </c>
      <c r="B189" s="92"/>
    </row>
    <row r="190" spans="1:2">
      <c r="A190" s="876">
        <v>80134</v>
      </c>
      <c r="B190" s="92"/>
    </row>
    <row r="191" spans="1:2">
      <c r="A191" s="876">
        <v>80202</v>
      </c>
      <c r="B191" s="92"/>
    </row>
    <row r="192" spans="1:2">
      <c r="A192" s="876">
        <v>80203</v>
      </c>
      <c r="B192" s="92"/>
    </row>
    <row r="193" spans="1:2">
      <c r="A193" s="876">
        <v>80209</v>
      </c>
      <c r="B193" s="92"/>
    </row>
    <row r="194" spans="1:2">
      <c r="A194" s="876">
        <v>80238</v>
      </c>
      <c r="B194" s="92"/>
    </row>
    <row r="195" spans="1:2">
      <c r="A195" s="876">
        <v>80249</v>
      </c>
      <c r="B195" s="92"/>
    </row>
    <row r="196" spans="1:2">
      <c r="A196" s="876">
        <v>80439</v>
      </c>
      <c r="B196" s="92"/>
    </row>
    <row r="197" spans="1:2">
      <c r="A197" s="876">
        <v>80457</v>
      </c>
      <c r="B197" s="92"/>
    </row>
    <row r="198" spans="1:2">
      <c r="A198" s="876">
        <v>80504</v>
      </c>
      <c r="B198" s="92"/>
    </row>
    <row r="199" spans="1:2">
      <c r="A199" s="876">
        <v>80516</v>
      </c>
      <c r="B199" s="92"/>
    </row>
    <row r="200" spans="1:2">
      <c r="A200" s="876">
        <v>80534</v>
      </c>
      <c r="B200" s="92"/>
    </row>
    <row r="201" spans="1:2">
      <c r="A201" s="876">
        <v>80549</v>
      </c>
      <c r="B201" s="92"/>
    </row>
    <row r="202" spans="1:2">
      <c r="A202" s="876">
        <v>80602</v>
      </c>
      <c r="B202" s="92"/>
    </row>
    <row r="203" spans="1:2">
      <c r="A203" s="877">
        <v>80809</v>
      </c>
      <c r="B203" s="92"/>
    </row>
    <row r="204" spans="1:2">
      <c r="A204" s="877">
        <v>80817</v>
      </c>
      <c r="B204" s="92"/>
    </row>
    <row r="205" spans="1:2">
      <c r="A205" s="877">
        <v>80831</v>
      </c>
      <c r="B205" s="92"/>
    </row>
    <row r="206" spans="1:2">
      <c r="A206" s="876">
        <v>80840</v>
      </c>
      <c r="B206" s="92"/>
    </row>
    <row r="207" spans="1:2">
      <c r="A207" s="876">
        <v>80902</v>
      </c>
      <c r="B207" s="92"/>
    </row>
    <row r="208" spans="1:2">
      <c r="A208" s="876">
        <v>80908</v>
      </c>
      <c r="B208" s="92"/>
    </row>
    <row r="209" spans="1:2">
      <c r="A209" s="876">
        <v>80913</v>
      </c>
      <c r="B209" s="92"/>
    </row>
    <row r="210" spans="1:2">
      <c r="A210" s="876">
        <v>80914</v>
      </c>
      <c r="B210" s="92"/>
    </row>
    <row r="211" spans="1:2">
      <c r="A211" s="876">
        <v>80920</v>
      </c>
      <c r="B211" s="92"/>
    </row>
    <row r="212" spans="1:2">
      <c r="A212" s="876">
        <v>80921</v>
      </c>
      <c r="B212" s="92"/>
    </row>
    <row r="213" spans="1:2">
      <c r="A213" s="876">
        <v>80922</v>
      </c>
      <c r="B213" s="92"/>
    </row>
    <row r="214" spans="1:2">
      <c r="A214" s="876">
        <v>80923</v>
      </c>
      <c r="B214" s="92"/>
    </row>
    <row r="215" spans="1:2">
      <c r="A215" s="876">
        <v>80924</v>
      </c>
      <c r="B215" s="92"/>
    </row>
    <row r="216" spans="1:2">
      <c r="A216" s="876">
        <v>80925</v>
      </c>
      <c r="B216" s="92"/>
    </row>
    <row r="217" spans="1:2">
      <c r="A217" s="876">
        <v>80927</v>
      </c>
      <c r="B217" s="92"/>
    </row>
    <row r="218" spans="1:2">
      <c r="A218" s="876">
        <v>80929</v>
      </c>
    </row>
    <row r="219" spans="1:2">
      <c r="A219" s="876">
        <v>80930</v>
      </c>
    </row>
    <row r="220" spans="1:2">
      <c r="A220" s="876">
        <v>80951</v>
      </c>
    </row>
    <row r="221" spans="1:2">
      <c r="A221" s="92"/>
    </row>
    <row r="222" spans="1:2">
      <c r="A222" t="s">
        <v>238</v>
      </c>
      <c r="B222" t="s">
        <v>3119</v>
      </c>
    </row>
    <row r="223" spans="1:2">
      <c r="A223" t="s">
        <v>3120</v>
      </c>
      <c r="B223">
        <v>0</v>
      </c>
    </row>
    <row r="224" spans="1:2">
      <c r="A224" t="s">
        <v>3121</v>
      </c>
      <c r="B224">
        <v>0</v>
      </c>
    </row>
    <row r="225" spans="1:2">
      <c r="A225" t="s">
        <v>1266</v>
      </c>
      <c r="B225">
        <v>0</v>
      </c>
    </row>
    <row r="226" spans="1:2">
      <c r="A226" t="s">
        <v>3122</v>
      </c>
      <c r="B226">
        <v>0</v>
      </c>
    </row>
    <row r="227" spans="1:2">
      <c r="A227" t="s">
        <v>3123</v>
      </c>
      <c r="B227">
        <v>0</v>
      </c>
    </row>
    <row r="228" spans="1:2">
      <c r="A228" t="s">
        <v>3124</v>
      </c>
      <c r="B228">
        <v>0</v>
      </c>
    </row>
    <row r="229" spans="1:2">
      <c r="A229" t="s">
        <v>3125</v>
      </c>
      <c r="B229">
        <v>0</v>
      </c>
    </row>
    <row r="230" spans="1:2">
      <c r="A230" t="s">
        <v>3126</v>
      </c>
      <c r="B230">
        <v>0</v>
      </c>
    </row>
    <row r="231" spans="1:2">
      <c r="A231" t="s">
        <v>3127</v>
      </c>
      <c r="B231">
        <v>0</v>
      </c>
    </row>
    <row r="232" spans="1:2">
      <c r="A232" t="s">
        <v>3128</v>
      </c>
      <c r="B232">
        <v>3</v>
      </c>
    </row>
    <row r="233" spans="1:2">
      <c r="A233" t="s">
        <v>3129</v>
      </c>
      <c r="B233">
        <v>0</v>
      </c>
    </row>
    <row r="234" spans="1:2">
      <c r="A234" t="s">
        <v>3130</v>
      </c>
      <c r="B234">
        <v>0</v>
      </c>
    </row>
    <row r="235" spans="1:2">
      <c r="A235" t="s">
        <v>3131</v>
      </c>
      <c r="B235">
        <v>4</v>
      </c>
    </row>
    <row r="236" spans="1:2">
      <c r="A236" t="s">
        <v>3132</v>
      </c>
      <c r="B236">
        <v>0</v>
      </c>
    </row>
    <row r="237" spans="1:2">
      <c r="A237" t="s">
        <v>3133</v>
      </c>
      <c r="B237">
        <v>0</v>
      </c>
    </row>
    <row r="238" spans="1:2">
      <c r="A238" t="s">
        <v>3134</v>
      </c>
      <c r="B238">
        <v>0</v>
      </c>
    </row>
    <row r="239" spans="1:2">
      <c r="A239" t="s">
        <v>3135</v>
      </c>
      <c r="B239">
        <v>0</v>
      </c>
    </row>
    <row r="240" spans="1:2">
      <c r="A240" t="s">
        <v>3136</v>
      </c>
      <c r="B240">
        <v>0</v>
      </c>
    </row>
    <row r="241" spans="1:2">
      <c r="A241" t="s">
        <v>3137</v>
      </c>
      <c r="B241">
        <v>0</v>
      </c>
    </row>
    <row r="242" spans="1:2">
      <c r="A242" t="s">
        <v>3138</v>
      </c>
      <c r="B242">
        <v>0</v>
      </c>
    </row>
    <row r="243" spans="1:2">
      <c r="A243" t="s">
        <v>3139</v>
      </c>
      <c r="B243">
        <v>0</v>
      </c>
    </row>
    <row r="244" spans="1:2">
      <c r="A244" t="s">
        <v>3140</v>
      </c>
      <c r="B244">
        <v>0</v>
      </c>
    </row>
    <row r="245" spans="1:2">
      <c r="A245" t="s">
        <v>3141</v>
      </c>
      <c r="B245">
        <v>0</v>
      </c>
    </row>
    <row r="246" spans="1:2">
      <c r="A246" t="s">
        <v>3142</v>
      </c>
      <c r="B246">
        <v>0</v>
      </c>
    </row>
    <row r="247" spans="1:2">
      <c r="A247" t="s">
        <v>3143</v>
      </c>
      <c r="B247">
        <v>0</v>
      </c>
    </row>
    <row r="248" spans="1:2">
      <c r="A248" t="s">
        <v>3144</v>
      </c>
      <c r="B248">
        <v>0</v>
      </c>
    </row>
    <row r="249" spans="1:2">
      <c r="A249" t="s">
        <v>3145</v>
      </c>
      <c r="B249">
        <v>0</v>
      </c>
    </row>
    <row r="250" spans="1:2">
      <c r="A250" t="s">
        <v>1271</v>
      </c>
      <c r="B250">
        <v>3</v>
      </c>
    </row>
    <row r="251" spans="1:2">
      <c r="A251" t="s">
        <v>3146</v>
      </c>
      <c r="B251">
        <v>0</v>
      </c>
    </row>
    <row r="252" spans="1:2">
      <c r="A252" t="s">
        <v>3147</v>
      </c>
      <c r="B252">
        <v>0</v>
      </c>
    </row>
    <row r="253" spans="1:2">
      <c r="A253" t="s">
        <v>3148</v>
      </c>
      <c r="B253">
        <v>0</v>
      </c>
    </row>
    <row r="254" spans="1:2">
      <c r="A254" t="s">
        <v>3149</v>
      </c>
      <c r="B254">
        <v>0</v>
      </c>
    </row>
    <row r="255" spans="1:2">
      <c r="A255" t="s">
        <v>3150</v>
      </c>
      <c r="B255">
        <v>0</v>
      </c>
    </row>
    <row r="256" spans="1:2">
      <c r="A256" t="s">
        <v>1272</v>
      </c>
      <c r="B256">
        <v>0</v>
      </c>
    </row>
    <row r="257" spans="1:2">
      <c r="A257" t="s">
        <v>3151</v>
      </c>
      <c r="B257">
        <v>0</v>
      </c>
    </row>
    <row r="258" spans="1:2">
      <c r="A258" t="s">
        <v>3152</v>
      </c>
      <c r="B258">
        <v>0</v>
      </c>
    </row>
    <row r="259" spans="1:2">
      <c r="A259" t="s">
        <v>3153</v>
      </c>
      <c r="B259">
        <v>0</v>
      </c>
    </row>
    <row r="260" spans="1:2">
      <c r="A260" t="s">
        <v>3154</v>
      </c>
      <c r="B260">
        <v>0</v>
      </c>
    </row>
    <row r="261" spans="1:2">
      <c r="A261" t="s">
        <v>3155</v>
      </c>
      <c r="B261">
        <v>0</v>
      </c>
    </row>
    <row r="262" spans="1:2">
      <c r="A262" t="s">
        <v>3156</v>
      </c>
      <c r="B262">
        <v>0</v>
      </c>
    </row>
    <row r="263" spans="1:2">
      <c r="A263" t="s">
        <v>3157</v>
      </c>
      <c r="B263">
        <v>0</v>
      </c>
    </row>
    <row r="264" spans="1:2">
      <c r="A264" t="s">
        <v>3158</v>
      </c>
      <c r="B264">
        <v>0</v>
      </c>
    </row>
    <row r="265" spans="1:2">
      <c r="A265" t="s">
        <v>3159</v>
      </c>
      <c r="B265">
        <v>0</v>
      </c>
    </row>
    <row r="266" spans="1:2">
      <c r="A266" t="s">
        <v>3160</v>
      </c>
      <c r="B266">
        <v>0</v>
      </c>
    </row>
    <row r="267" spans="1:2">
      <c r="A267" t="s">
        <v>3161</v>
      </c>
      <c r="B267">
        <v>0</v>
      </c>
    </row>
    <row r="268" spans="1:2">
      <c r="A268" t="s">
        <v>3162</v>
      </c>
      <c r="B268">
        <v>0</v>
      </c>
    </row>
    <row r="269" spans="1:2">
      <c r="A269" t="s">
        <v>3163</v>
      </c>
      <c r="B269">
        <v>0</v>
      </c>
    </row>
    <row r="270" spans="1:2">
      <c r="A270" t="s">
        <v>3164</v>
      </c>
      <c r="B270">
        <v>0</v>
      </c>
    </row>
    <row r="271" spans="1:2">
      <c r="A271" t="s">
        <v>3165</v>
      </c>
      <c r="B271">
        <v>0</v>
      </c>
    </row>
    <row r="272" spans="1:2">
      <c r="A272" t="s">
        <v>3166</v>
      </c>
      <c r="B272">
        <v>0</v>
      </c>
    </row>
    <row r="273" spans="1:2">
      <c r="A273" t="s">
        <v>3167</v>
      </c>
      <c r="B273">
        <v>0</v>
      </c>
    </row>
    <row r="274" spans="1:2">
      <c r="A274" t="s">
        <v>3168</v>
      </c>
      <c r="B274">
        <v>0</v>
      </c>
    </row>
    <row r="275" spans="1:2">
      <c r="A275" t="s">
        <v>3169</v>
      </c>
      <c r="B275">
        <v>0</v>
      </c>
    </row>
    <row r="276" spans="1:2">
      <c r="A276" t="s">
        <v>3170</v>
      </c>
      <c r="B276">
        <v>0</v>
      </c>
    </row>
    <row r="277" spans="1:2">
      <c r="A277" t="s">
        <v>3171</v>
      </c>
      <c r="B277">
        <v>0</v>
      </c>
    </row>
    <row r="278" spans="1:2">
      <c r="A278" t="s">
        <v>3172</v>
      </c>
      <c r="B278">
        <v>0</v>
      </c>
    </row>
    <row r="279" spans="1:2">
      <c r="A279" t="s">
        <v>3173</v>
      </c>
      <c r="B279">
        <v>0</v>
      </c>
    </row>
    <row r="280" spans="1:2">
      <c r="A280" t="s">
        <v>3174</v>
      </c>
      <c r="B280">
        <v>0</v>
      </c>
    </row>
    <row r="281" spans="1:2">
      <c r="A281" t="s">
        <v>3175</v>
      </c>
      <c r="B281">
        <v>5</v>
      </c>
    </row>
    <row r="282" spans="1:2">
      <c r="A282" t="s">
        <v>3176</v>
      </c>
      <c r="B282">
        <v>0</v>
      </c>
    </row>
    <row r="283" spans="1:2">
      <c r="A283" t="s">
        <v>3177</v>
      </c>
      <c r="B283">
        <v>0</v>
      </c>
    </row>
    <row r="284" spans="1:2">
      <c r="A284" t="s">
        <v>3178</v>
      </c>
      <c r="B284">
        <v>0</v>
      </c>
    </row>
    <row r="285" spans="1:2">
      <c r="A285" t="s">
        <v>3179</v>
      </c>
      <c r="B285">
        <v>0</v>
      </c>
    </row>
    <row r="286" spans="1:2">
      <c r="A286" t="s">
        <v>3180</v>
      </c>
      <c r="B286">
        <v>0</v>
      </c>
    </row>
    <row r="287" spans="1:2">
      <c r="A287" t="s">
        <v>3181</v>
      </c>
      <c r="B287">
        <v>0</v>
      </c>
    </row>
    <row r="288" spans="1:2">
      <c r="A288" t="s">
        <v>3182</v>
      </c>
      <c r="B288">
        <v>0</v>
      </c>
    </row>
    <row r="289" spans="1:2">
      <c r="A289" t="s">
        <v>3183</v>
      </c>
      <c r="B289">
        <v>0</v>
      </c>
    </row>
    <row r="290" spans="1:2">
      <c r="A290" t="s">
        <v>3184</v>
      </c>
      <c r="B290">
        <v>0</v>
      </c>
    </row>
    <row r="291" spans="1:2">
      <c r="A291" t="s">
        <v>3185</v>
      </c>
      <c r="B291">
        <v>0</v>
      </c>
    </row>
    <row r="292" spans="1:2">
      <c r="A292" t="s">
        <v>3186</v>
      </c>
      <c r="B292">
        <v>0</v>
      </c>
    </row>
    <row r="293" spans="1:2">
      <c r="A293" t="s">
        <v>1278</v>
      </c>
      <c r="B293">
        <v>0</v>
      </c>
    </row>
    <row r="294" spans="1:2">
      <c r="A294" t="s">
        <v>3187</v>
      </c>
      <c r="B294">
        <v>0</v>
      </c>
    </row>
    <row r="295" spans="1:2">
      <c r="A295" t="s">
        <v>3188</v>
      </c>
      <c r="B295">
        <v>0</v>
      </c>
    </row>
    <row r="296" spans="1:2">
      <c r="A296" t="s">
        <v>3189</v>
      </c>
      <c r="B296">
        <v>0</v>
      </c>
    </row>
    <row r="297" spans="1:2">
      <c r="A297" t="s">
        <v>3190</v>
      </c>
      <c r="B297">
        <v>0</v>
      </c>
    </row>
    <row r="298" spans="1:2">
      <c r="A298" t="s">
        <v>3191</v>
      </c>
      <c r="B298">
        <v>0</v>
      </c>
    </row>
    <row r="299" spans="1:2">
      <c r="A299" t="s">
        <v>1280</v>
      </c>
      <c r="B299">
        <v>0</v>
      </c>
    </row>
    <row r="300" spans="1:2">
      <c r="A300" t="s">
        <v>3115</v>
      </c>
      <c r="B300">
        <v>6</v>
      </c>
    </row>
    <row r="301" spans="1:2">
      <c r="A301" t="s">
        <v>3192</v>
      </c>
      <c r="B301">
        <v>0</v>
      </c>
    </row>
    <row r="302" spans="1:2">
      <c r="A302" t="s">
        <v>3193</v>
      </c>
      <c r="B302">
        <v>0</v>
      </c>
    </row>
    <row r="303" spans="1:2">
      <c r="A303" t="s">
        <v>3194</v>
      </c>
      <c r="B303">
        <v>0</v>
      </c>
    </row>
    <row r="304" spans="1:2">
      <c r="A304" t="s">
        <v>1282</v>
      </c>
      <c r="B304">
        <v>0</v>
      </c>
    </row>
    <row r="305" spans="1:2">
      <c r="A305" t="s">
        <v>3195</v>
      </c>
      <c r="B305">
        <v>0</v>
      </c>
    </row>
    <row r="306" spans="1:2">
      <c r="A306" t="s">
        <v>3196</v>
      </c>
      <c r="B306">
        <v>0</v>
      </c>
    </row>
    <row r="307" spans="1:2">
      <c r="A307" t="s">
        <v>3197</v>
      </c>
      <c r="B307">
        <v>0</v>
      </c>
    </row>
    <row r="308" spans="1:2">
      <c r="A308" t="s">
        <v>3198</v>
      </c>
      <c r="B308">
        <v>0</v>
      </c>
    </row>
    <row r="309" spans="1:2">
      <c r="A309" t="s">
        <v>1284</v>
      </c>
      <c r="B309">
        <v>0</v>
      </c>
    </row>
    <row r="310" spans="1:2">
      <c r="A310" t="s">
        <v>3199</v>
      </c>
      <c r="B310">
        <v>0</v>
      </c>
    </row>
    <row r="311" spans="1:2">
      <c r="A311" t="s">
        <v>3200</v>
      </c>
      <c r="B311">
        <v>0</v>
      </c>
    </row>
    <row r="312" spans="1:2">
      <c r="A312" t="s">
        <v>3201</v>
      </c>
      <c r="B312">
        <v>0</v>
      </c>
    </row>
    <row r="313" spans="1:2">
      <c r="A313" t="s">
        <v>3202</v>
      </c>
      <c r="B313">
        <v>0</v>
      </c>
    </row>
    <row r="314" spans="1:2">
      <c r="A314" t="s">
        <v>3203</v>
      </c>
      <c r="B314">
        <v>0</v>
      </c>
    </row>
    <row r="315" spans="1:2">
      <c r="A315" t="s">
        <v>3204</v>
      </c>
      <c r="B315">
        <v>0</v>
      </c>
    </row>
    <row r="316" spans="1:2">
      <c r="A316" t="s">
        <v>3205</v>
      </c>
      <c r="B316">
        <v>0</v>
      </c>
    </row>
    <row r="317" spans="1:2">
      <c r="A317" t="s">
        <v>3206</v>
      </c>
      <c r="B317">
        <v>0</v>
      </c>
    </row>
    <row r="318" spans="1:2">
      <c r="A318" t="s">
        <v>3207</v>
      </c>
      <c r="B318">
        <v>0</v>
      </c>
    </row>
    <row r="319" spans="1:2">
      <c r="A319" t="s">
        <v>3208</v>
      </c>
      <c r="B319">
        <v>0</v>
      </c>
    </row>
    <row r="320" spans="1:2">
      <c r="A320" t="s">
        <v>3209</v>
      </c>
      <c r="B320">
        <v>0</v>
      </c>
    </row>
    <row r="321" spans="1:2">
      <c r="A321" t="s">
        <v>3210</v>
      </c>
      <c r="B321">
        <v>0</v>
      </c>
    </row>
    <row r="322" spans="1:2">
      <c r="A322" t="s">
        <v>3211</v>
      </c>
      <c r="B322">
        <v>0</v>
      </c>
    </row>
    <row r="323" spans="1:2">
      <c r="A323" t="s">
        <v>3212</v>
      </c>
      <c r="B323">
        <v>0</v>
      </c>
    </row>
    <row r="324" spans="1:2">
      <c r="A324" t="s">
        <v>3213</v>
      </c>
      <c r="B324">
        <v>0</v>
      </c>
    </row>
    <row r="325" spans="1:2">
      <c r="A325" t="s">
        <v>3214</v>
      </c>
      <c r="B325">
        <v>0</v>
      </c>
    </row>
    <row r="326" spans="1:2">
      <c r="A326" t="s">
        <v>3215</v>
      </c>
      <c r="B326">
        <v>0</v>
      </c>
    </row>
    <row r="327" spans="1:2">
      <c r="A327" t="s">
        <v>3216</v>
      </c>
      <c r="B327">
        <v>0</v>
      </c>
    </row>
    <row r="328" spans="1:2">
      <c r="A328" t="s">
        <v>3217</v>
      </c>
      <c r="B328">
        <v>0</v>
      </c>
    </row>
    <row r="329" spans="1:2">
      <c r="A329" t="s">
        <v>3218</v>
      </c>
      <c r="B329">
        <v>0</v>
      </c>
    </row>
    <row r="330" spans="1:2">
      <c r="A330" t="s">
        <v>3219</v>
      </c>
      <c r="B330">
        <v>0</v>
      </c>
    </row>
    <row r="331" spans="1:2">
      <c r="A331" t="s">
        <v>3220</v>
      </c>
      <c r="B331">
        <v>0</v>
      </c>
    </row>
    <row r="332" spans="1:2">
      <c r="A332" t="s">
        <v>3221</v>
      </c>
      <c r="B332">
        <v>3</v>
      </c>
    </row>
    <row r="333" spans="1:2">
      <c r="A333" t="s">
        <v>3222</v>
      </c>
      <c r="B333">
        <v>0</v>
      </c>
    </row>
    <row r="334" spans="1:2">
      <c r="A334" t="s">
        <v>3223</v>
      </c>
      <c r="B334">
        <v>0</v>
      </c>
    </row>
    <row r="335" spans="1:2">
      <c r="A335" t="s">
        <v>3224</v>
      </c>
      <c r="B335">
        <v>0</v>
      </c>
    </row>
    <row r="336" spans="1:2">
      <c r="A336" t="s">
        <v>3225</v>
      </c>
      <c r="B336">
        <v>0</v>
      </c>
    </row>
    <row r="337" spans="1:2">
      <c r="A337" t="s">
        <v>3226</v>
      </c>
      <c r="B337">
        <v>0</v>
      </c>
    </row>
    <row r="338" spans="1:2">
      <c r="A338" t="s">
        <v>3227</v>
      </c>
      <c r="B338">
        <v>0</v>
      </c>
    </row>
    <row r="339" spans="1:2">
      <c r="A339" t="s">
        <v>3228</v>
      </c>
      <c r="B339">
        <v>0</v>
      </c>
    </row>
    <row r="340" spans="1:2">
      <c r="A340" t="s">
        <v>3229</v>
      </c>
      <c r="B340">
        <v>0</v>
      </c>
    </row>
    <row r="341" spans="1:2">
      <c r="A341" t="s">
        <v>3230</v>
      </c>
      <c r="B341">
        <v>0</v>
      </c>
    </row>
    <row r="342" spans="1:2">
      <c r="A342" t="s">
        <v>3231</v>
      </c>
      <c r="B342">
        <v>0</v>
      </c>
    </row>
    <row r="343" spans="1:2">
      <c r="A343" t="s">
        <v>3232</v>
      </c>
      <c r="B343">
        <v>0</v>
      </c>
    </row>
    <row r="344" spans="1:2">
      <c r="A344" t="s">
        <v>3233</v>
      </c>
      <c r="B344">
        <v>0</v>
      </c>
    </row>
    <row r="345" spans="1:2">
      <c r="A345" t="s">
        <v>3234</v>
      </c>
      <c r="B345">
        <v>0</v>
      </c>
    </row>
    <row r="346" spans="1:2">
      <c r="A346" t="s">
        <v>3235</v>
      </c>
      <c r="B346">
        <v>0</v>
      </c>
    </row>
    <row r="347" spans="1:2">
      <c r="A347" t="s">
        <v>3236</v>
      </c>
      <c r="B347">
        <v>0</v>
      </c>
    </row>
    <row r="348" spans="1:2">
      <c r="A348" t="s">
        <v>3237</v>
      </c>
      <c r="B348">
        <v>0</v>
      </c>
    </row>
    <row r="349" spans="1:2">
      <c r="A349" t="s">
        <v>3238</v>
      </c>
      <c r="B349">
        <v>0</v>
      </c>
    </row>
    <row r="350" spans="1:2">
      <c r="A350" t="s">
        <v>3239</v>
      </c>
      <c r="B350">
        <v>0</v>
      </c>
    </row>
    <row r="351" spans="1:2">
      <c r="A351" t="s">
        <v>3240</v>
      </c>
      <c r="B351">
        <v>0</v>
      </c>
    </row>
    <row r="352" spans="1:2">
      <c r="A352" t="s">
        <v>3241</v>
      </c>
      <c r="B352">
        <v>0</v>
      </c>
    </row>
    <row r="353" spans="1:2">
      <c r="A353" t="s">
        <v>3242</v>
      </c>
      <c r="B353">
        <v>0</v>
      </c>
    </row>
    <row r="354" spans="1:2">
      <c r="A354" t="s">
        <v>3243</v>
      </c>
      <c r="B354">
        <v>0</v>
      </c>
    </row>
    <row r="355" spans="1:2">
      <c r="A355" t="s">
        <v>3244</v>
      </c>
      <c r="B355">
        <v>0</v>
      </c>
    </row>
    <row r="356" spans="1:2">
      <c r="A356" t="s">
        <v>1216</v>
      </c>
      <c r="B356">
        <v>0</v>
      </c>
    </row>
    <row r="357" spans="1:2">
      <c r="A357" t="s">
        <v>3245</v>
      </c>
      <c r="B357">
        <v>0</v>
      </c>
    </row>
    <row r="358" spans="1:2">
      <c r="A358" t="s">
        <v>3246</v>
      </c>
      <c r="B358">
        <v>0</v>
      </c>
    </row>
    <row r="359" spans="1:2">
      <c r="A359" t="s">
        <v>3247</v>
      </c>
      <c r="B359">
        <v>0</v>
      </c>
    </row>
    <row r="360" spans="1:2">
      <c r="A360" t="s">
        <v>1291</v>
      </c>
      <c r="B360">
        <v>0</v>
      </c>
    </row>
    <row r="361" spans="1:2">
      <c r="A361" t="s">
        <v>3248</v>
      </c>
      <c r="B361">
        <v>0</v>
      </c>
    </row>
    <row r="362" spans="1:2">
      <c r="A362" t="s">
        <v>3249</v>
      </c>
      <c r="B362">
        <v>0</v>
      </c>
    </row>
    <row r="363" spans="1:2">
      <c r="A363" t="s">
        <v>3250</v>
      </c>
      <c r="B363">
        <v>0</v>
      </c>
    </row>
    <row r="364" spans="1:2">
      <c r="A364" t="s">
        <v>3251</v>
      </c>
      <c r="B364">
        <v>0</v>
      </c>
    </row>
    <row r="365" spans="1:2">
      <c r="A365" t="s">
        <v>3252</v>
      </c>
      <c r="B365">
        <v>0</v>
      </c>
    </row>
    <row r="366" spans="1:2">
      <c r="A366" t="s">
        <v>3253</v>
      </c>
      <c r="B366">
        <v>0</v>
      </c>
    </row>
    <row r="367" spans="1:2">
      <c r="A367" t="s">
        <v>3254</v>
      </c>
      <c r="B367">
        <v>0</v>
      </c>
    </row>
    <row r="368" spans="1:2">
      <c r="A368" t="s">
        <v>3255</v>
      </c>
      <c r="B368">
        <v>0</v>
      </c>
    </row>
    <row r="369" spans="1:2">
      <c r="A369" t="s">
        <v>3256</v>
      </c>
      <c r="B369">
        <v>0</v>
      </c>
    </row>
    <row r="370" spans="1:2">
      <c r="A370" t="s">
        <v>3257</v>
      </c>
      <c r="B370">
        <v>0</v>
      </c>
    </row>
    <row r="371" spans="1:2">
      <c r="A371" t="s">
        <v>3258</v>
      </c>
      <c r="B371">
        <v>0</v>
      </c>
    </row>
    <row r="372" spans="1:2">
      <c r="A372" t="s">
        <v>3259</v>
      </c>
      <c r="B372">
        <v>0</v>
      </c>
    </row>
    <row r="373" spans="1:2">
      <c r="A373" t="s">
        <v>3260</v>
      </c>
      <c r="B373">
        <v>0</v>
      </c>
    </row>
    <row r="374" spans="1:2">
      <c r="A374" t="s">
        <v>3261</v>
      </c>
      <c r="B374">
        <v>0</v>
      </c>
    </row>
    <row r="375" spans="1:2">
      <c r="A375" t="s">
        <v>3262</v>
      </c>
      <c r="B375">
        <v>0</v>
      </c>
    </row>
    <row r="376" spans="1:2">
      <c r="A376" t="s">
        <v>3263</v>
      </c>
      <c r="B376">
        <v>0</v>
      </c>
    </row>
    <row r="377" spans="1:2">
      <c r="A377" t="s">
        <v>3264</v>
      </c>
      <c r="B377">
        <v>0</v>
      </c>
    </row>
    <row r="378" spans="1:2">
      <c r="A378" t="s">
        <v>3265</v>
      </c>
      <c r="B378">
        <v>0</v>
      </c>
    </row>
    <row r="379" spans="1:2">
      <c r="A379" t="s">
        <v>3266</v>
      </c>
      <c r="B379">
        <v>0</v>
      </c>
    </row>
    <row r="380" spans="1:2">
      <c r="A380" t="s">
        <v>3267</v>
      </c>
      <c r="B380">
        <v>0</v>
      </c>
    </row>
    <row r="381" spans="1:2">
      <c r="A381" t="s">
        <v>3268</v>
      </c>
      <c r="B381">
        <v>0</v>
      </c>
    </row>
    <row r="382" spans="1:2">
      <c r="A382" t="s">
        <v>3269</v>
      </c>
      <c r="B382">
        <v>0</v>
      </c>
    </row>
    <row r="383" spans="1:2">
      <c r="A383" t="s">
        <v>3270</v>
      </c>
      <c r="B383">
        <v>0</v>
      </c>
    </row>
    <row r="384" spans="1:2">
      <c r="A384" t="s">
        <v>3271</v>
      </c>
      <c r="B384">
        <v>0</v>
      </c>
    </row>
    <row r="385" spans="1:2">
      <c r="A385" t="s">
        <v>3272</v>
      </c>
      <c r="B385">
        <v>0</v>
      </c>
    </row>
    <row r="386" spans="1:2">
      <c r="A386" t="s">
        <v>3273</v>
      </c>
      <c r="B386">
        <v>0</v>
      </c>
    </row>
    <row r="387" spans="1:2">
      <c r="A387" t="s">
        <v>3274</v>
      </c>
      <c r="B387">
        <v>0</v>
      </c>
    </row>
    <row r="388" spans="1:2">
      <c r="A388" t="s">
        <v>3275</v>
      </c>
      <c r="B388">
        <v>0</v>
      </c>
    </row>
    <row r="389" spans="1:2">
      <c r="A389" t="s">
        <v>3276</v>
      </c>
      <c r="B389">
        <v>0</v>
      </c>
    </row>
    <row r="390" spans="1:2">
      <c r="A390" t="s">
        <v>1296</v>
      </c>
      <c r="B390">
        <v>0</v>
      </c>
    </row>
    <row r="391" spans="1:2">
      <c r="A391" t="s">
        <v>1297</v>
      </c>
      <c r="B391">
        <v>0</v>
      </c>
    </row>
    <row r="392" spans="1:2">
      <c r="A392" t="s">
        <v>3277</v>
      </c>
      <c r="B392">
        <v>0</v>
      </c>
    </row>
    <row r="393" spans="1:2">
      <c r="A393" t="s">
        <v>3278</v>
      </c>
      <c r="B393">
        <v>0</v>
      </c>
    </row>
    <row r="394" spans="1:2">
      <c r="A394" t="s">
        <v>3279</v>
      </c>
      <c r="B394">
        <v>0</v>
      </c>
    </row>
    <row r="395" spans="1:2">
      <c r="A395" t="s">
        <v>3280</v>
      </c>
      <c r="B395">
        <v>0</v>
      </c>
    </row>
    <row r="396" spans="1:2">
      <c r="A396" t="s">
        <v>3281</v>
      </c>
      <c r="B396">
        <v>0</v>
      </c>
    </row>
    <row r="397" spans="1:2">
      <c r="A397" t="s">
        <v>3282</v>
      </c>
      <c r="B397">
        <v>0</v>
      </c>
    </row>
    <row r="398" spans="1:2">
      <c r="A398" t="s">
        <v>3283</v>
      </c>
      <c r="B398">
        <v>0</v>
      </c>
    </row>
    <row r="399" spans="1:2">
      <c r="A399" t="s">
        <v>3284</v>
      </c>
      <c r="B399">
        <v>0</v>
      </c>
    </row>
    <row r="400" spans="1:2">
      <c r="A400" t="s">
        <v>3285</v>
      </c>
      <c r="B400">
        <v>3</v>
      </c>
    </row>
    <row r="401" spans="1:2">
      <c r="A401" t="s">
        <v>3286</v>
      </c>
      <c r="B401">
        <v>0</v>
      </c>
    </row>
    <row r="402" spans="1:2">
      <c r="A402" t="s">
        <v>3287</v>
      </c>
      <c r="B402">
        <v>0</v>
      </c>
    </row>
    <row r="403" spans="1:2">
      <c r="A403" t="s">
        <v>3288</v>
      </c>
      <c r="B403">
        <v>0</v>
      </c>
    </row>
    <row r="404" spans="1:2">
      <c r="A404" t="s">
        <v>1301</v>
      </c>
      <c r="B404">
        <v>0</v>
      </c>
    </row>
    <row r="405" spans="1:2">
      <c r="A405" t="s">
        <v>3289</v>
      </c>
      <c r="B405">
        <v>0</v>
      </c>
    </row>
    <row r="406" spans="1:2">
      <c r="A406" t="s">
        <v>3290</v>
      </c>
      <c r="B406">
        <v>0</v>
      </c>
    </row>
    <row r="407" spans="1:2">
      <c r="A407" t="s">
        <v>3291</v>
      </c>
      <c r="B407">
        <v>0</v>
      </c>
    </row>
    <row r="408" spans="1:2">
      <c r="A408" t="s">
        <v>3292</v>
      </c>
      <c r="B408">
        <v>0</v>
      </c>
    </row>
    <row r="409" spans="1:2">
      <c r="A409" t="s">
        <v>3293</v>
      </c>
      <c r="B409">
        <v>0</v>
      </c>
    </row>
    <row r="410" spans="1:2">
      <c r="A410" t="s">
        <v>3294</v>
      </c>
      <c r="B410">
        <v>3</v>
      </c>
    </row>
    <row r="411" spans="1:2">
      <c r="A411" t="s">
        <v>3295</v>
      </c>
      <c r="B411">
        <v>0</v>
      </c>
    </row>
    <row r="412" spans="1:2">
      <c r="A412" t="s">
        <v>3296</v>
      </c>
      <c r="B412">
        <v>0</v>
      </c>
    </row>
    <row r="413" spans="1:2">
      <c r="A413" t="s">
        <v>3297</v>
      </c>
      <c r="B413">
        <v>0</v>
      </c>
    </row>
    <row r="414" spans="1:2">
      <c r="A414" t="s">
        <v>3298</v>
      </c>
      <c r="B414">
        <v>0</v>
      </c>
    </row>
    <row r="415" spans="1:2">
      <c r="A415" t="s">
        <v>3299</v>
      </c>
      <c r="B415">
        <v>0</v>
      </c>
    </row>
    <row r="416" spans="1:2">
      <c r="A416" t="s">
        <v>3300</v>
      </c>
      <c r="B416">
        <v>0</v>
      </c>
    </row>
    <row r="417" spans="1:2">
      <c r="A417" t="s">
        <v>3301</v>
      </c>
      <c r="B417">
        <v>0</v>
      </c>
    </row>
    <row r="418" spans="1:2">
      <c r="A418" t="s">
        <v>3302</v>
      </c>
      <c r="B418">
        <v>3</v>
      </c>
    </row>
    <row r="419" spans="1:2">
      <c r="A419" t="s">
        <v>3303</v>
      </c>
      <c r="B419">
        <v>0</v>
      </c>
    </row>
    <row r="420" spans="1:2">
      <c r="A420" t="s">
        <v>3304</v>
      </c>
      <c r="B420">
        <v>0</v>
      </c>
    </row>
    <row r="421" spans="1:2">
      <c r="A421" t="s">
        <v>3305</v>
      </c>
      <c r="B421">
        <v>0</v>
      </c>
    </row>
    <row r="422" spans="1:2">
      <c r="A422" t="s">
        <v>3306</v>
      </c>
      <c r="B422">
        <v>0</v>
      </c>
    </row>
    <row r="423" spans="1:2">
      <c r="A423" t="s">
        <v>3307</v>
      </c>
      <c r="B423">
        <v>0</v>
      </c>
    </row>
    <row r="424" spans="1:2">
      <c r="A424" t="s">
        <v>3308</v>
      </c>
      <c r="B424">
        <v>0</v>
      </c>
    </row>
    <row r="425" spans="1:2">
      <c r="A425" t="s">
        <v>3309</v>
      </c>
      <c r="B425">
        <v>0</v>
      </c>
    </row>
    <row r="426" spans="1:2">
      <c r="A426" t="s">
        <v>3310</v>
      </c>
      <c r="B426">
        <v>0</v>
      </c>
    </row>
    <row r="427" spans="1:2">
      <c r="A427" t="s">
        <v>3311</v>
      </c>
      <c r="B427">
        <v>0</v>
      </c>
    </row>
    <row r="428" spans="1:2">
      <c r="A428" t="s">
        <v>3312</v>
      </c>
      <c r="B428">
        <v>0</v>
      </c>
    </row>
    <row r="429" spans="1:2">
      <c r="A429" t="s">
        <v>3313</v>
      </c>
      <c r="B429">
        <v>0</v>
      </c>
    </row>
    <row r="430" spans="1:2">
      <c r="A430" t="s">
        <v>3314</v>
      </c>
      <c r="B430">
        <v>0</v>
      </c>
    </row>
    <row r="431" spans="1:2">
      <c r="A431" t="s">
        <v>3315</v>
      </c>
      <c r="B431">
        <v>0</v>
      </c>
    </row>
    <row r="432" spans="1:2">
      <c r="A432" t="s">
        <v>3316</v>
      </c>
      <c r="B432">
        <v>0</v>
      </c>
    </row>
    <row r="433" spans="1:2">
      <c r="A433" t="s">
        <v>1304</v>
      </c>
      <c r="B433">
        <v>0</v>
      </c>
    </row>
    <row r="434" spans="1:2">
      <c r="A434" t="s">
        <v>3317</v>
      </c>
      <c r="B434">
        <v>0</v>
      </c>
    </row>
    <row r="435" spans="1:2">
      <c r="A435" t="s">
        <v>3318</v>
      </c>
      <c r="B435">
        <v>0</v>
      </c>
    </row>
    <row r="436" spans="1:2">
      <c r="A436" t="s">
        <v>3319</v>
      </c>
      <c r="B436">
        <v>0</v>
      </c>
    </row>
    <row r="437" spans="1:2">
      <c r="A437" t="s">
        <v>3320</v>
      </c>
      <c r="B437">
        <v>0</v>
      </c>
    </row>
    <row r="438" spans="1:2">
      <c r="A438" t="s">
        <v>1308</v>
      </c>
      <c r="B438">
        <v>0</v>
      </c>
    </row>
    <row r="439" spans="1:2">
      <c r="A439" t="s">
        <v>3321</v>
      </c>
      <c r="B439">
        <v>0</v>
      </c>
    </row>
    <row r="440" spans="1:2">
      <c r="A440" t="s">
        <v>3322</v>
      </c>
      <c r="B440">
        <v>0</v>
      </c>
    </row>
    <row r="441" spans="1:2">
      <c r="A441" t="s">
        <v>3323</v>
      </c>
      <c r="B441">
        <v>0</v>
      </c>
    </row>
    <row r="442" spans="1:2">
      <c r="A442" t="s">
        <v>3324</v>
      </c>
      <c r="B442">
        <v>0</v>
      </c>
    </row>
    <row r="443" spans="1:2">
      <c r="A443" t="s">
        <v>3325</v>
      </c>
      <c r="B443">
        <v>0</v>
      </c>
    </row>
    <row r="444" spans="1:2">
      <c r="A444" t="s">
        <v>3326</v>
      </c>
      <c r="B444">
        <v>0</v>
      </c>
    </row>
    <row r="445" spans="1:2">
      <c r="A445" t="s">
        <v>3327</v>
      </c>
      <c r="B445">
        <v>0</v>
      </c>
    </row>
    <row r="446" spans="1:2">
      <c r="A446" t="s">
        <v>3328</v>
      </c>
      <c r="B446">
        <v>0</v>
      </c>
    </row>
    <row r="447" spans="1:2">
      <c r="A447" t="s">
        <v>3329</v>
      </c>
      <c r="B447">
        <v>0</v>
      </c>
    </row>
    <row r="448" spans="1:2">
      <c r="A448" t="s">
        <v>3330</v>
      </c>
      <c r="B448">
        <v>2</v>
      </c>
    </row>
    <row r="449" spans="1:2">
      <c r="A449" t="s">
        <v>3331</v>
      </c>
      <c r="B449">
        <v>0</v>
      </c>
    </row>
    <row r="450" spans="1:2">
      <c r="A450" t="s">
        <v>3332</v>
      </c>
      <c r="B450">
        <v>0</v>
      </c>
    </row>
    <row r="451" spans="1:2">
      <c r="A451" t="s">
        <v>3333</v>
      </c>
      <c r="B451">
        <v>0</v>
      </c>
    </row>
    <row r="452" spans="1:2">
      <c r="A452" t="s">
        <v>3334</v>
      </c>
      <c r="B452">
        <v>0</v>
      </c>
    </row>
    <row r="453" spans="1:2">
      <c r="A453" t="s">
        <v>3335</v>
      </c>
      <c r="B453">
        <v>0</v>
      </c>
    </row>
    <row r="454" spans="1:2">
      <c r="A454" t="s">
        <v>3336</v>
      </c>
      <c r="B454">
        <v>0</v>
      </c>
    </row>
    <row r="455" spans="1:2">
      <c r="A455" t="s">
        <v>3337</v>
      </c>
      <c r="B455">
        <v>0</v>
      </c>
    </row>
    <row r="456" spans="1:2">
      <c r="A456" t="s">
        <v>3338</v>
      </c>
      <c r="B456">
        <v>0</v>
      </c>
    </row>
    <row r="457" spans="1:2">
      <c r="A457" t="s">
        <v>3339</v>
      </c>
      <c r="B457">
        <v>0</v>
      </c>
    </row>
    <row r="458" spans="1:2">
      <c r="A458" t="s">
        <v>3340</v>
      </c>
      <c r="B458">
        <v>0</v>
      </c>
    </row>
    <row r="459" spans="1:2">
      <c r="A459" t="s">
        <v>1311</v>
      </c>
      <c r="B459">
        <v>0</v>
      </c>
    </row>
    <row r="460" spans="1:2">
      <c r="A460" t="s">
        <v>3341</v>
      </c>
      <c r="B460">
        <v>0</v>
      </c>
    </row>
    <row r="461" spans="1:2">
      <c r="A461" t="s">
        <v>3342</v>
      </c>
      <c r="B461">
        <v>0</v>
      </c>
    </row>
    <row r="462" spans="1:2">
      <c r="A462" t="s">
        <v>3343</v>
      </c>
      <c r="B462">
        <v>0</v>
      </c>
    </row>
    <row r="463" spans="1:2">
      <c r="A463" t="s">
        <v>3344</v>
      </c>
      <c r="B463">
        <v>0</v>
      </c>
    </row>
    <row r="464" spans="1:2">
      <c r="A464" t="s">
        <v>3345</v>
      </c>
      <c r="B464">
        <v>0</v>
      </c>
    </row>
    <row r="465" spans="1:2">
      <c r="A465" t="s">
        <v>3346</v>
      </c>
      <c r="B465">
        <v>0</v>
      </c>
    </row>
    <row r="466" spans="1:2">
      <c r="A466" t="s">
        <v>3347</v>
      </c>
      <c r="B466">
        <v>0</v>
      </c>
    </row>
    <row r="467" spans="1:2">
      <c r="A467" t="s">
        <v>3348</v>
      </c>
      <c r="B467">
        <v>0</v>
      </c>
    </row>
    <row r="468" spans="1:2">
      <c r="A468" t="s">
        <v>3349</v>
      </c>
      <c r="B468">
        <v>0</v>
      </c>
    </row>
    <row r="469" spans="1:2">
      <c r="A469" t="s">
        <v>3350</v>
      </c>
      <c r="B469">
        <v>0</v>
      </c>
    </row>
    <row r="470" spans="1:2">
      <c r="A470" t="s">
        <v>3351</v>
      </c>
      <c r="B470">
        <v>0</v>
      </c>
    </row>
    <row r="471" spans="1:2">
      <c r="A471" t="s">
        <v>3352</v>
      </c>
      <c r="B471">
        <v>0</v>
      </c>
    </row>
    <row r="472" spans="1:2">
      <c r="A472" t="s">
        <v>1314</v>
      </c>
      <c r="B472">
        <v>0</v>
      </c>
    </row>
    <row r="473" spans="1:2">
      <c r="A473" t="s">
        <v>3353</v>
      </c>
      <c r="B473">
        <v>0</v>
      </c>
    </row>
    <row r="474" spans="1:2">
      <c r="A474" t="s">
        <v>3354</v>
      </c>
      <c r="B474">
        <v>0</v>
      </c>
    </row>
    <row r="475" spans="1:2">
      <c r="A475" t="s">
        <v>3355</v>
      </c>
      <c r="B475">
        <v>0</v>
      </c>
    </row>
    <row r="476" spans="1:2">
      <c r="A476" t="s">
        <v>3356</v>
      </c>
      <c r="B476">
        <v>0</v>
      </c>
    </row>
    <row r="477" spans="1:2">
      <c r="A477" t="s">
        <v>3116</v>
      </c>
      <c r="B477">
        <v>3</v>
      </c>
    </row>
    <row r="478" spans="1:2">
      <c r="A478" t="s">
        <v>3357</v>
      </c>
      <c r="B478">
        <v>0</v>
      </c>
    </row>
    <row r="479" spans="1:2">
      <c r="A479" t="s">
        <v>3358</v>
      </c>
      <c r="B479">
        <v>0</v>
      </c>
    </row>
    <row r="480" spans="1:2">
      <c r="A480" t="s">
        <v>3359</v>
      </c>
      <c r="B480">
        <v>0</v>
      </c>
    </row>
    <row r="481" spans="1:2">
      <c r="A481" t="s">
        <v>3360</v>
      </c>
      <c r="B481">
        <v>0</v>
      </c>
    </row>
    <row r="482" spans="1:2">
      <c r="A482" t="s">
        <v>3361</v>
      </c>
      <c r="B482">
        <v>0</v>
      </c>
    </row>
    <row r="483" spans="1:2">
      <c r="A483" t="s">
        <v>3362</v>
      </c>
      <c r="B483">
        <v>0</v>
      </c>
    </row>
    <row r="484" spans="1:2">
      <c r="A484" t="s">
        <v>3363</v>
      </c>
      <c r="B484">
        <v>0</v>
      </c>
    </row>
    <row r="485" spans="1:2">
      <c r="A485" t="s">
        <v>3364</v>
      </c>
      <c r="B485">
        <v>0</v>
      </c>
    </row>
    <row r="486" spans="1:2">
      <c r="A486" t="s">
        <v>3365</v>
      </c>
      <c r="B486">
        <v>0</v>
      </c>
    </row>
    <row r="487" spans="1:2">
      <c r="A487" t="s">
        <v>3366</v>
      </c>
      <c r="B487">
        <v>0</v>
      </c>
    </row>
    <row r="488" spans="1:2">
      <c r="A488" t="s">
        <v>3367</v>
      </c>
      <c r="B488">
        <v>0</v>
      </c>
    </row>
    <row r="489" spans="1:2">
      <c r="A489" t="s">
        <v>3368</v>
      </c>
      <c r="B489">
        <v>0</v>
      </c>
    </row>
    <row r="490" spans="1:2">
      <c r="A490" t="s">
        <v>3369</v>
      </c>
      <c r="B490">
        <v>0</v>
      </c>
    </row>
    <row r="491" spans="1:2">
      <c r="A491" t="s">
        <v>3370</v>
      </c>
      <c r="B491">
        <v>0</v>
      </c>
    </row>
    <row r="492" spans="1:2">
      <c r="A492" t="s">
        <v>3371</v>
      </c>
      <c r="B492">
        <v>0</v>
      </c>
    </row>
    <row r="493" spans="1:2">
      <c r="A493" t="s">
        <v>1320</v>
      </c>
      <c r="B493">
        <v>0</v>
      </c>
    </row>
    <row r="494" spans="1:2">
      <c r="A494" t="s">
        <v>3372</v>
      </c>
      <c r="B494">
        <v>0</v>
      </c>
    </row>
    <row r="495" spans="1:2">
      <c r="A495" t="s">
        <v>3373</v>
      </c>
      <c r="B495">
        <v>0</v>
      </c>
    </row>
    <row r="496" spans="1:2">
      <c r="A496" t="s">
        <v>3374</v>
      </c>
      <c r="B496">
        <v>0</v>
      </c>
    </row>
    <row r="497" spans="1:2">
      <c r="A497" t="s">
        <v>3375</v>
      </c>
      <c r="B497">
        <v>0</v>
      </c>
    </row>
    <row r="498" spans="1:2">
      <c r="A498" t="s">
        <v>608</v>
      </c>
      <c r="B498">
        <v>0</v>
      </c>
    </row>
    <row r="499" spans="1:2">
      <c r="A499" t="s">
        <v>3376</v>
      </c>
      <c r="B499">
        <v>0</v>
      </c>
    </row>
    <row r="500" spans="1:2">
      <c r="A500" t="s">
        <v>3377</v>
      </c>
      <c r="B500">
        <v>0</v>
      </c>
    </row>
    <row r="501" spans="1:2">
      <c r="A501" t="s">
        <v>3378</v>
      </c>
      <c r="B501">
        <v>0</v>
      </c>
    </row>
    <row r="502" spans="1:2">
      <c r="A502" t="s">
        <v>3379</v>
      </c>
      <c r="B502">
        <v>0</v>
      </c>
    </row>
    <row r="503" spans="1:2">
      <c r="A503" t="s">
        <v>3380</v>
      </c>
      <c r="B503">
        <v>0</v>
      </c>
    </row>
    <row r="504" spans="1:2">
      <c r="A504" t="s">
        <v>3381</v>
      </c>
      <c r="B504">
        <v>0</v>
      </c>
    </row>
    <row r="505" spans="1:2">
      <c r="A505" t="s">
        <v>3382</v>
      </c>
      <c r="B505">
        <v>0</v>
      </c>
    </row>
    <row r="506" spans="1:2">
      <c r="A506" t="s">
        <v>3383</v>
      </c>
      <c r="B506">
        <v>0</v>
      </c>
    </row>
    <row r="507" spans="1:2">
      <c r="A507" t="s">
        <v>3384</v>
      </c>
      <c r="B507">
        <v>0</v>
      </c>
    </row>
    <row r="508" spans="1:2">
      <c r="A508" t="s">
        <v>3385</v>
      </c>
      <c r="B508">
        <v>0</v>
      </c>
    </row>
    <row r="509" spans="1:2">
      <c r="A509" t="s">
        <v>3386</v>
      </c>
      <c r="B509">
        <v>0</v>
      </c>
    </row>
    <row r="510" spans="1:2">
      <c r="A510" t="s">
        <v>3387</v>
      </c>
      <c r="B510">
        <v>0</v>
      </c>
    </row>
    <row r="511" spans="1:2">
      <c r="A511" t="s">
        <v>3388</v>
      </c>
      <c r="B511">
        <v>0</v>
      </c>
    </row>
    <row r="512" spans="1:2">
      <c r="A512" t="s">
        <v>3389</v>
      </c>
      <c r="B512">
        <v>0</v>
      </c>
    </row>
    <row r="513" spans="1:2">
      <c r="A513" t="s">
        <v>3390</v>
      </c>
      <c r="B513">
        <v>0</v>
      </c>
    </row>
    <row r="514" spans="1:2">
      <c r="A514" t="s">
        <v>3391</v>
      </c>
      <c r="B514">
        <v>0</v>
      </c>
    </row>
    <row r="515" spans="1:2">
      <c r="A515" t="s">
        <v>3392</v>
      </c>
      <c r="B515">
        <v>0</v>
      </c>
    </row>
    <row r="516" spans="1:2">
      <c r="A516" t="s">
        <v>3393</v>
      </c>
      <c r="B516">
        <v>0</v>
      </c>
    </row>
    <row r="517" spans="1:2">
      <c r="A517" t="s">
        <v>3394</v>
      </c>
      <c r="B517">
        <v>0</v>
      </c>
    </row>
    <row r="518" spans="1:2">
      <c r="A518" t="s">
        <v>3395</v>
      </c>
      <c r="B518">
        <v>0</v>
      </c>
    </row>
    <row r="519" spans="1:2">
      <c r="A519" t="s">
        <v>3396</v>
      </c>
      <c r="B519">
        <v>3</v>
      </c>
    </row>
    <row r="520" spans="1:2">
      <c r="A520" t="s">
        <v>3397</v>
      </c>
      <c r="B520">
        <v>0</v>
      </c>
    </row>
    <row r="521" spans="1:2">
      <c r="A521" t="s">
        <v>3398</v>
      </c>
      <c r="B521">
        <v>0</v>
      </c>
    </row>
    <row r="522" spans="1:2">
      <c r="A522" t="s">
        <v>3399</v>
      </c>
      <c r="B522">
        <v>0</v>
      </c>
    </row>
    <row r="523" spans="1:2">
      <c r="A523" t="s">
        <v>3400</v>
      </c>
      <c r="B523">
        <v>0</v>
      </c>
    </row>
    <row r="524" spans="1:2">
      <c r="A524" t="s">
        <v>3401</v>
      </c>
      <c r="B524">
        <v>0</v>
      </c>
    </row>
    <row r="525" spans="1:2">
      <c r="A525" t="s">
        <v>3402</v>
      </c>
      <c r="B525">
        <v>0</v>
      </c>
    </row>
    <row r="526" spans="1:2">
      <c r="A526" t="s">
        <v>3403</v>
      </c>
      <c r="B526">
        <v>0</v>
      </c>
    </row>
    <row r="527" spans="1:2">
      <c r="A527" t="s">
        <v>3404</v>
      </c>
      <c r="B527">
        <v>0</v>
      </c>
    </row>
    <row r="528" spans="1:2">
      <c r="A528" t="s">
        <v>3405</v>
      </c>
      <c r="B528">
        <v>0</v>
      </c>
    </row>
    <row r="529" spans="1:2">
      <c r="A529" t="s">
        <v>3406</v>
      </c>
      <c r="B529">
        <v>0</v>
      </c>
    </row>
    <row r="530" spans="1:2">
      <c r="A530" t="s">
        <v>3407</v>
      </c>
      <c r="B530">
        <v>0</v>
      </c>
    </row>
    <row r="531" spans="1:2">
      <c r="A531" t="s">
        <v>3408</v>
      </c>
      <c r="B531">
        <v>0</v>
      </c>
    </row>
    <row r="532" spans="1:2">
      <c r="A532" t="s">
        <v>3409</v>
      </c>
      <c r="B532">
        <v>0</v>
      </c>
    </row>
    <row r="533" spans="1:2">
      <c r="A533" t="s">
        <v>3410</v>
      </c>
      <c r="B533">
        <v>0</v>
      </c>
    </row>
    <row r="534" spans="1:2">
      <c r="A534" t="s">
        <v>3411</v>
      </c>
      <c r="B534">
        <v>0</v>
      </c>
    </row>
    <row r="535" spans="1:2">
      <c r="A535" t="s">
        <v>3412</v>
      </c>
      <c r="B535">
        <v>0</v>
      </c>
    </row>
    <row r="536" spans="1:2">
      <c r="A536" t="s">
        <v>3413</v>
      </c>
      <c r="B536">
        <v>3</v>
      </c>
    </row>
    <row r="537" spans="1:2">
      <c r="A537" t="s">
        <v>3414</v>
      </c>
      <c r="B537">
        <v>0</v>
      </c>
    </row>
    <row r="538" spans="1:2">
      <c r="A538" t="s">
        <v>3415</v>
      </c>
      <c r="B538">
        <v>3</v>
      </c>
    </row>
    <row r="539" spans="1:2">
      <c r="A539" t="s">
        <v>3416</v>
      </c>
      <c r="B539">
        <v>0</v>
      </c>
    </row>
    <row r="540" spans="1:2">
      <c r="A540" t="s">
        <v>3417</v>
      </c>
      <c r="B540">
        <v>0</v>
      </c>
    </row>
    <row r="541" spans="1:2">
      <c r="A541" t="s">
        <v>3418</v>
      </c>
      <c r="B541">
        <v>0</v>
      </c>
    </row>
    <row r="542" spans="1:2">
      <c r="A542" t="s">
        <v>3419</v>
      </c>
      <c r="B542">
        <v>0</v>
      </c>
    </row>
    <row r="543" spans="1:2">
      <c r="A543" t="s">
        <v>3420</v>
      </c>
      <c r="B543">
        <v>0</v>
      </c>
    </row>
    <row r="544" spans="1:2">
      <c r="A544" t="s">
        <v>3421</v>
      </c>
      <c r="B544">
        <v>0</v>
      </c>
    </row>
    <row r="545" spans="1:3">
      <c r="A545" t="s">
        <v>3422</v>
      </c>
      <c r="B545">
        <v>0</v>
      </c>
    </row>
    <row r="546" spans="1:3">
      <c r="A546" t="s">
        <v>3423</v>
      </c>
      <c r="B546">
        <v>0</v>
      </c>
    </row>
    <row r="547" spans="1:3">
      <c r="A547" t="s">
        <v>3424</v>
      </c>
      <c r="B547">
        <v>0</v>
      </c>
    </row>
    <row r="548" spans="1:3">
      <c r="A548" t="s">
        <v>3425</v>
      </c>
      <c r="B548">
        <v>0</v>
      </c>
    </row>
    <row r="549" spans="1:3">
      <c r="A549" t="s">
        <v>3426</v>
      </c>
      <c r="B549">
        <v>0</v>
      </c>
    </row>
    <row r="550" spans="1:3">
      <c r="A550" t="s">
        <v>1328</v>
      </c>
      <c r="B550">
        <v>0</v>
      </c>
    </row>
    <row r="553" spans="1:3" ht="15.75" thickBot="1"/>
    <row r="554" spans="1:3" ht="15.75" thickBot="1">
      <c r="A554" s="258" t="s">
        <v>737</v>
      </c>
      <c r="B554" s="259" t="s">
        <v>429</v>
      </c>
      <c r="C554" s="260">
        <v>8.6817346484673763</v>
      </c>
    </row>
    <row r="555" spans="1:3" ht="15.75" thickBot="1">
      <c r="A555" s="258" t="s">
        <v>739</v>
      </c>
      <c r="B555" s="261" t="s">
        <v>740</v>
      </c>
      <c r="C555" s="260">
        <v>1.5896134694072646</v>
      </c>
    </row>
    <row r="556" spans="1:3" ht="15.75" thickBot="1">
      <c r="A556" s="258" t="s">
        <v>741</v>
      </c>
      <c r="B556" s="261" t="s">
        <v>742</v>
      </c>
      <c r="C556" s="260">
        <v>10.288703212226878</v>
      </c>
    </row>
    <row r="557" spans="1:3" ht="15.75" thickBot="1">
      <c r="A557" s="258" t="s">
        <v>743</v>
      </c>
      <c r="B557" s="261" t="s">
        <v>744</v>
      </c>
      <c r="C557" s="260">
        <v>4.2762293024083338</v>
      </c>
    </row>
    <row r="558" spans="1:3" ht="15.75" thickBot="1">
      <c r="A558" s="258" t="s">
        <v>745</v>
      </c>
      <c r="B558" s="261" t="s">
        <v>746</v>
      </c>
      <c r="C558" s="260">
        <v>3.1584752895401684</v>
      </c>
    </row>
    <row r="559" spans="1:3" ht="15.75" thickBot="1">
      <c r="A559" s="258" t="s">
        <v>747</v>
      </c>
      <c r="B559" s="261" t="s">
        <v>748</v>
      </c>
      <c r="C559" s="260">
        <v>25.393610171003605</v>
      </c>
    </row>
    <row r="560" spans="1:3" ht="15.75" thickBot="1">
      <c r="A560" s="258" t="s">
        <v>749</v>
      </c>
      <c r="B560" s="261" t="s">
        <v>750</v>
      </c>
      <c r="C560" s="260">
        <v>8.1222823300722506</v>
      </c>
    </row>
    <row r="561" spans="1:3" ht="15.75" thickBot="1">
      <c r="A561" s="258" t="s">
        <v>751</v>
      </c>
      <c r="B561" s="261" t="s">
        <v>752</v>
      </c>
      <c r="C561" s="260">
        <v>5.8683947335626732</v>
      </c>
    </row>
    <row r="562" spans="1:3" ht="15.75" thickBot="1">
      <c r="A562" s="258" t="s">
        <v>753</v>
      </c>
      <c r="B562" s="261" t="s">
        <v>754</v>
      </c>
      <c r="C562" s="260">
        <v>18.085170134420103</v>
      </c>
    </row>
    <row r="563" spans="1:3" ht="15.75" thickBot="1">
      <c r="A563" s="258" t="s">
        <v>755</v>
      </c>
      <c r="B563" s="259" t="s">
        <v>756</v>
      </c>
      <c r="C563" s="260">
        <v>1.0656362661067138</v>
      </c>
    </row>
    <row r="564" spans="1:3" ht="15.75" thickBot="1">
      <c r="A564" s="258" t="s">
        <v>757</v>
      </c>
      <c r="B564" s="261" t="s">
        <v>758</v>
      </c>
      <c r="C564" s="260">
        <v>2.8619081702102802</v>
      </c>
    </row>
    <row r="565" spans="1:3" ht="15.75" thickBot="1">
      <c r="A565" s="258" t="s">
        <v>759</v>
      </c>
      <c r="B565" s="261" t="s">
        <v>760</v>
      </c>
      <c r="C565" s="260">
        <v>2.4314722386620735</v>
      </c>
    </row>
    <row r="566" spans="1:3" ht="15.75" thickBot="1">
      <c r="A566" s="258" t="s">
        <v>761</v>
      </c>
      <c r="B566" s="262" t="s">
        <v>762</v>
      </c>
      <c r="C566" s="260">
        <v>0.53049941013446511</v>
      </c>
    </row>
    <row r="567" spans="1:3" ht="15.75" thickBot="1">
      <c r="A567" s="258" t="s">
        <v>763</v>
      </c>
      <c r="B567" s="261" t="s">
        <v>764</v>
      </c>
      <c r="C567" s="260">
        <v>1.4400365240210267</v>
      </c>
    </row>
    <row r="568" spans="1:3" ht="15.75" thickBot="1">
      <c r="A568" s="258" t="s">
        <v>765</v>
      </c>
      <c r="B568" s="261" t="s">
        <v>766</v>
      </c>
      <c r="C568" s="260">
        <v>3.0152444913917975</v>
      </c>
    </row>
    <row r="569" spans="1:3" ht="15.75" thickBot="1">
      <c r="A569" s="258" t="s">
        <v>767</v>
      </c>
      <c r="B569" s="261" t="s">
        <v>768</v>
      </c>
      <c r="C569" s="260">
        <v>13.63692754971138</v>
      </c>
    </row>
    <row r="570" spans="1:3" ht="15.75" thickBot="1">
      <c r="A570" s="258" t="s">
        <v>769</v>
      </c>
      <c r="B570" s="261" t="s">
        <v>770</v>
      </c>
      <c r="C570" s="260">
        <v>8.0824560481186474</v>
      </c>
    </row>
    <row r="571" spans="1:3" ht="15.75" thickBot="1">
      <c r="A571" s="258" t="s">
        <v>771</v>
      </c>
      <c r="B571" s="261" t="s">
        <v>772</v>
      </c>
      <c r="C571" s="260">
        <v>0</v>
      </c>
    </row>
    <row r="572" spans="1:3" ht="15.75" thickBot="1">
      <c r="A572" s="258" t="s">
        <v>773</v>
      </c>
      <c r="B572" s="261" t="s">
        <v>774</v>
      </c>
      <c r="C572" s="260">
        <v>13.702762949786916</v>
      </c>
    </row>
    <row r="573" spans="1:3" ht="15.75" thickBot="1">
      <c r="A573" s="258" t="s">
        <v>775</v>
      </c>
      <c r="B573" s="261" t="s">
        <v>776</v>
      </c>
      <c r="C573" s="260">
        <v>0.41048747799423546</v>
      </c>
    </row>
    <row r="574" spans="1:3" ht="15.75" thickBot="1">
      <c r="A574" s="258" t="s">
        <v>777</v>
      </c>
      <c r="B574" s="261" t="s">
        <v>778</v>
      </c>
      <c r="C574" s="260">
        <v>0.57497083664727655</v>
      </c>
    </row>
    <row r="575" spans="1:3" ht="15.75" thickBot="1">
      <c r="A575" s="258" t="s">
        <v>779</v>
      </c>
      <c r="B575" s="261" t="s">
        <v>780</v>
      </c>
      <c r="C575" s="260">
        <v>4.119343089928222</v>
      </c>
    </row>
    <row r="576" spans="1:3" ht="15.75" thickBot="1">
      <c r="A576" s="258" t="s">
        <v>781</v>
      </c>
      <c r="B576" s="261" t="s">
        <v>782</v>
      </c>
      <c r="C576" s="260">
        <v>5.8842184374227982</v>
      </c>
    </row>
    <row r="577" spans="1:3" ht="15.75" thickBot="1">
      <c r="A577" s="258" t="s">
        <v>783</v>
      </c>
      <c r="B577" s="261" t="s">
        <v>717</v>
      </c>
      <c r="C577" s="260">
        <v>3.5556462625714897</v>
      </c>
    </row>
    <row r="578" spans="1:3" ht="15.75" thickBot="1">
      <c r="A578" s="258" t="s">
        <v>784</v>
      </c>
      <c r="B578" s="261" t="s">
        <v>785</v>
      </c>
      <c r="C578" s="260">
        <v>1.7179652777777776E-2</v>
      </c>
    </row>
    <row r="579" spans="1:3" ht="15.75" thickBot="1">
      <c r="A579" s="258"/>
      <c r="B579" s="263" t="s">
        <v>3427</v>
      </c>
      <c r="C579" s="260">
        <v>0.16715204924239649</v>
      </c>
    </row>
    <row r="580" spans="1:3" ht="15.75" thickBot="1">
      <c r="A580" s="258"/>
      <c r="B580" s="263" t="s">
        <v>3427</v>
      </c>
      <c r="C580" s="260">
        <v>0.25056748601748252</v>
      </c>
    </row>
    <row r="581" spans="1:3" ht="15.75" thickBot="1"/>
    <row r="582" spans="1:3" ht="15.75" thickBot="1">
      <c r="A582" s="264" t="s">
        <v>3428</v>
      </c>
      <c r="B582" s="259" t="s">
        <v>789</v>
      </c>
      <c r="C582" s="260">
        <v>0.16972499543009054</v>
      </c>
    </row>
    <row r="583" spans="1:3" ht="15.75" thickBot="1">
      <c r="A583" s="261"/>
      <c r="B583" s="263" t="s">
        <v>3427</v>
      </c>
      <c r="C583" s="260">
        <v>0.31684716533865287</v>
      </c>
    </row>
    <row r="584" spans="1:3" ht="15.75" thickBot="1">
      <c r="A584" s="261"/>
      <c r="B584" s="263" t="s">
        <v>3427</v>
      </c>
      <c r="C584" s="260">
        <v>1.4351063417966796E-2</v>
      </c>
    </row>
    <row r="585" spans="1:3" ht="15.75" thickBot="1">
      <c r="A585" s="261"/>
      <c r="B585" s="263" t="s">
        <v>3427</v>
      </c>
      <c r="C585" s="260">
        <v>6.0695918278226221E-3</v>
      </c>
    </row>
    <row r="586" spans="1:3" ht="15.75" thickBot="1"/>
    <row r="587" spans="1:3" ht="15.75" thickBot="1">
      <c r="A587" s="259" t="s">
        <v>3429</v>
      </c>
      <c r="B587" s="261" t="s">
        <v>791</v>
      </c>
      <c r="C587" s="260">
        <v>1.0079990413720277</v>
      </c>
    </row>
    <row r="588" spans="1:3" ht="15.75" thickBot="1">
      <c r="B588" s="261" t="s">
        <v>792</v>
      </c>
      <c r="C588" s="260">
        <v>0.31351678021098778</v>
      </c>
    </row>
    <row r="589" spans="1:3" ht="15.75" thickBot="1">
      <c r="A589" s="261"/>
      <c r="B589" s="261" t="s">
        <v>793</v>
      </c>
      <c r="C589" s="260">
        <v>0.88405110122993147</v>
      </c>
    </row>
    <row r="590" spans="1:3" ht="15.75" thickBot="1">
      <c r="A590" s="261"/>
      <c r="B590" s="261" t="s">
        <v>794</v>
      </c>
      <c r="C590" s="260">
        <v>0.34380732718628254</v>
      </c>
    </row>
    <row r="591" spans="1:3" ht="15.75" thickBot="1">
      <c r="A591" s="261"/>
      <c r="B591" s="263" t="s">
        <v>3427</v>
      </c>
      <c r="C591" s="260">
        <v>8.3013245313021081E-2</v>
      </c>
    </row>
    <row r="592" spans="1:3" ht="15.75" thickBot="1"/>
    <row r="593" spans="1:3" ht="15.75" thickBot="1">
      <c r="A593" s="259" t="s">
        <v>3430</v>
      </c>
      <c r="B593" s="261" t="s">
        <v>796</v>
      </c>
      <c r="C593" s="260">
        <v>4.6964038659794438</v>
      </c>
    </row>
    <row r="594" spans="1:3" ht="15.75" thickBot="1">
      <c r="A594" s="261"/>
      <c r="B594" s="261" t="s">
        <v>430</v>
      </c>
      <c r="C594" s="260">
        <v>3.397816351302013</v>
      </c>
    </row>
    <row r="595" spans="1:3" ht="15.75" thickBot="1">
      <c r="A595" s="261"/>
      <c r="B595" s="261" t="s">
        <v>431</v>
      </c>
      <c r="C595" s="260">
        <v>3.9598180424375298</v>
      </c>
    </row>
    <row r="596" spans="1:3" ht="15.75" thickBot="1">
      <c r="A596" s="261"/>
      <c r="B596" s="261" t="s">
        <v>797</v>
      </c>
      <c r="C596" s="260">
        <v>0.57001251121509944</v>
      </c>
    </row>
    <row r="597" spans="1:3" ht="15.75" thickBot="1">
      <c r="A597" s="261"/>
      <c r="B597" s="261" t="s">
        <v>798</v>
      </c>
      <c r="C597" s="260">
        <v>0.33469803799683517</v>
      </c>
    </row>
    <row r="598" spans="1:3" ht="15.75" thickBot="1">
      <c r="A598" s="261"/>
      <c r="B598" s="259" t="s">
        <v>3431</v>
      </c>
      <c r="C598" s="260">
        <v>1.6987537078850419</v>
      </c>
    </row>
    <row r="603" spans="1:3">
      <c r="A603" s="311" t="s">
        <v>3432</v>
      </c>
    </row>
    <row r="604" spans="1:3">
      <c r="A604" t="s">
        <v>3433</v>
      </c>
    </row>
    <row r="605" spans="1:3">
      <c r="A605" t="s">
        <v>3434</v>
      </c>
    </row>
    <row r="606" spans="1:3">
      <c r="A606" t="s">
        <v>3435</v>
      </c>
    </row>
    <row r="607" spans="1:3">
      <c r="A607" t="s">
        <v>3436</v>
      </c>
    </row>
    <row r="608" spans="1:3">
      <c r="A608" t="s">
        <v>3437</v>
      </c>
    </row>
    <row r="609" spans="1:1">
      <c r="A609" t="s">
        <v>3438</v>
      </c>
    </row>
    <row r="610" spans="1:1">
      <c r="A610" t="s">
        <v>3439</v>
      </c>
    </row>
    <row r="611" spans="1:1">
      <c r="A611" t="s">
        <v>3440</v>
      </c>
    </row>
    <row r="612" spans="1:1">
      <c r="A612" t="s">
        <v>3441</v>
      </c>
    </row>
    <row r="613" spans="1:1">
      <c r="A613" t="s">
        <v>3442</v>
      </c>
    </row>
    <row r="614" spans="1:1">
      <c r="A614" t="s">
        <v>3443</v>
      </c>
    </row>
    <row r="615" spans="1:1">
      <c r="A615" t="s">
        <v>3444</v>
      </c>
    </row>
    <row r="616" spans="1:1">
      <c r="A616" t="s">
        <v>3445</v>
      </c>
    </row>
    <row r="617" spans="1:1">
      <c r="A617" t="s">
        <v>3446</v>
      </c>
    </row>
    <row r="618" spans="1:1">
      <c r="A618" t="s">
        <v>3447</v>
      </c>
    </row>
    <row r="619" spans="1:1">
      <c r="A619" t="s">
        <v>3448</v>
      </c>
    </row>
    <row r="620" spans="1:1">
      <c r="A620" t="s">
        <v>3449</v>
      </c>
    </row>
    <row r="621" spans="1:1">
      <c r="A621" t="s">
        <v>3450</v>
      </c>
    </row>
    <row r="622" spans="1:1">
      <c r="A622" t="s">
        <v>3451</v>
      </c>
    </row>
    <row r="623" spans="1:1">
      <c r="A623" t="s">
        <v>3452</v>
      </c>
    </row>
    <row r="624" spans="1:1">
      <c r="A624" t="s">
        <v>3453</v>
      </c>
    </row>
    <row r="625" spans="1:1">
      <c r="A625" t="s">
        <v>3454</v>
      </c>
    </row>
    <row r="626" spans="1:1">
      <c r="A626" t="s">
        <v>3455</v>
      </c>
    </row>
    <row r="627" spans="1:1">
      <c r="A627" t="s">
        <v>3456</v>
      </c>
    </row>
    <row r="628" spans="1:1">
      <c r="A628" t="s">
        <v>3457</v>
      </c>
    </row>
    <row r="629" spans="1:1">
      <c r="A629" t="s">
        <v>3458</v>
      </c>
    </row>
    <row r="630" spans="1:1">
      <c r="A630" t="s">
        <v>3459</v>
      </c>
    </row>
    <row r="631" spans="1:1">
      <c r="A631" t="s">
        <v>3460</v>
      </c>
    </row>
    <row r="632" spans="1:1">
      <c r="A632" t="s">
        <v>3461</v>
      </c>
    </row>
    <row r="633" spans="1:1">
      <c r="A633" t="s">
        <v>3462</v>
      </c>
    </row>
    <row r="634" spans="1:1">
      <c r="A634" t="s">
        <v>3463</v>
      </c>
    </row>
    <row r="635" spans="1:1">
      <c r="A635" s="316" t="s">
        <v>3464</v>
      </c>
    </row>
    <row r="636" spans="1:1">
      <c r="A636" s="316" t="s">
        <v>3465</v>
      </c>
    </row>
    <row r="637" spans="1:1">
      <c r="A637" s="316" t="s">
        <v>3466</v>
      </c>
    </row>
    <row r="638" spans="1:1">
      <c r="A638" s="316" t="s">
        <v>3467</v>
      </c>
    </row>
    <row r="639" spans="1:1">
      <c r="A639" s="316" t="s">
        <v>3468</v>
      </c>
    </row>
    <row r="640" spans="1:1">
      <c r="A640" s="316" t="s">
        <v>3469</v>
      </c>
    </row>
    <row r="641" spans="1:1">
      <c r="A641" s="316" t="s">
        <v>3470</v>
      </c>
    </row>
    <row r="642" spans="1:1">
      <c r="A642" s="316" t="s">
        <v>3471</v>
      </c>
    </row>
    <row r="643" spans="1:1">
      <c r="A643" s="316" t="s">
        <v>3472</v>
      </c>
    </row>
    <row r="644" spans="1:1">
      <c r="A644" s="316" t="s">
        <v>3473</v>
      </c>
    </row>
    <row r="645" spans="1:1" ht="17.25" customHeight="1">
      <c r="A645" s="316" t="s">
        <v>3474</v>
      </c>
    </row>
    <row r="646" spans="1:1">
      <c r="A646" s="316" t="s">
        <v>3475</v>
      </c>
    </row>
    <row r="647" spans="1:1">
      <c r="A647" s="316" t="s">
        <v>3476</v>
      </c>
    </row>
    <row r="648" spans="1:1">
      <c r="A648" s="316" t="s">
        <v>3477</v>
      </c>
    </row>
    <row r="649" spans="1:1">
      <c r="A649" s="316" t="s">
        <v>3478</v>
      </c>
    </row>
    <row r="650" spans="1:1">
      <c r="A650" s="316" t="s">
        <v>3479</v>
      </c>
    </row>
    <row r="651" spans="1:1">
      <c r="A651" s="316" t="s">
        <v>3480</v>
      </c>
    </row>
    <row r="652" spans="1:1">
      <c r="A652" s="316" t="s">
        <v>3481</v>
      </c>
    </row>
    <row r="653" spans="1:1">
      <c r="A653" s="316" t="s">
        <v>3482</v>
      </c>
    </row>
    <row r="654" spans="1:1">
      <c r="A654" s="316" t="s">
        <v>3483</v>
      </c>
    </row>
    <row r="655" spans="1:1">
      <c r="A655" s="316" t="s">
        <v>3484</v>
      </c>
    </row>
    <row r="656" spans="1:1">
      <c r="A656" s="316" t="s">
        <v>3485</v>
      </c>
    </row>
    <row r="657" spans="1:1">
      <c r="A657" s="316" t="s">
        <v>3486</v>
      </c>
    </row>
    <row r="658" spans="1:1">
      <c r="A658" s="316" t="s">
        <v>3487</v>
      </c>
    </row>
    <row r="659" spans="1:1">
      <c r="A659" s="316" t="s">
        <v>3488</v>
      </c>
    </row>
    <row r="660" spans="1:1">
      <c r="A660" s="316" t="s">
        <v>3489</v>
      </c>
    </row>
    <row r="661" spans="1:1">
      <c r="A661" s="316" t="s">
        <v>3490</v>
      </c>
    </row>
    <row r="662" spans="1:1">
      <c r="A662" s="316" t="s">
        <v>3491</v>
      </c>
    </row>
    <row r="663" spans="1:1">
      <c r="A663" s="316" t="s">
        <v>3492</v>
      </c>
    </row>
    <row r="664" spans="1:1">
      <c r="A664" s="316" t="s">
        <v>3493</v>
      </c>
    </row>
    <row r="665" spans="1:1">
      <c r="A665" s="316" t="s">
        <v>3494</v>
      </c>
    </row>
    <row r="666" spans="1:1">
      <c r="A666" s="316" t="s">
        <v>3495</v>
      </c>
    </row>
    <row r="667" spans="1:1">
      <c r="A667" s="316" t="s">
        <v>3496</v>
      </c>
    </row>
    <row r="668" spans="1:1">
      <c r="A668" s="316" t="s">
        <v>3497</v>
      </c>
    </row>
    <row r="669" spans="1:1">
      <c r="A669" s="316" t="s">
        <v>3498</v>
      </c>
    </row>
    <row r="670" spans="1:1">
      <c r="A670" s="316" t="s">
        <v>3499</v>
      </c>
    </row>
    <row r="671" spans="1:1">
      <c r="A671" s="316" t="s">
        <v>3500</v>
      </c>
    </row>
    <row r="672" spans="1:1">
      <c r="A672" s="316" t="s">
        <v>3501</v>
      </c>
    </row>
    <row r="673" spans="1:1">
      <c r="A673" s="316" t="s">
        <v>3502</v>
      </c>
    </row>
    <row r="674" spans="1:1">
      <c r="A674" s="316" t="s">
        <v>3503</v>
      </c>
    </row>
    <row r="675" spans="1:1">
      <c r="A675" s="316" t="s">
        <v>3504</v>
      </c>
    </row>
    <row r="676" spans="1:1">
      <c r="A676" s="316" t="s">
        <v>3505</v>
      </c>
    </row>
    <row r="677" spans="1:1">
      <c r="A677" s="316" t="s">
        <v>3506</v>
      </c>
    </row>
    <row r="678" spans="1:1">
      <c r="A678" s="316" t="s">
        <v>3507</v>
      </c>
    </row>
    <row r="679" spans="1:1">
      <c r="A679" s="316" t="s">
        <v>3508</v>
      </c>
    </row>
    <row r="680" spans="1:1">
      <c r="A680" s="316" t="s">
        <v>3509</v>
      </c>
    </row>
    <row r="681" spans="1:1">
      <c r="A681" s="316" t="s">
        <v>3510</v>
      </c>
    </row>
    <row r="682" spans="1:1">
      <c r="A682" s="316" t="s">
        <v>3511</v>
      </c>
    </row>
    <row r="683" spans="1:1">
      <c r="A683" s="316" t="s">
        <v>3512</v>
      </c>
    </row>
    <row r="684" spans="1:1">
      <c r="A684" s="316" t="s">
        <v>3513</v>
      </c>
    </row>
    <row r="685" spans="1:1">
      <c r="A685" s="316" t="s">
        <v>3514</v>
      </c>
    </row>
    <row r="686" spans="1:1">
      <c r="A686" s="316" t="s">
        <v>3515</v>
      </c>
    </row>
    <row r="687" spans="1:1">
      <c r="A687" s="316" t="s">
        <v>3516</v>
      </c>
    </row>
    <row r="688" spans="1:1">
      <c r="A688" s="316" t="s">
        <v>3517</v>
      </c>
    </row>
    <row r="689" spans="1:1">
      <c r="A689" s="316" t="s">
        <v>3518</v>
      </c>
    </row>
    <row r="690" spans="1:1">
      <c r="A690" s="316" t="s">
        <v>3519</v>
      </c>
    </row>
    <row r="691" spans="1:1">
      <c r="A691" s="316" t="s">
        <v>3520</v>
      </c>
    </row>
    <row r="692" spans="1:1">
      <c r="A692" s="316" t="s">
        <v>3521</v>
      </c>
    </row>
    <row r="693" spans="1:1">
      <c r="A693" s="316" t="s">
        <v>3522</v>
      </c>
    </row>
    <row r="694" spans="1:1">
      <c r="A694" s="316" t="s">
        <v>3523</v>
      </c>
    </row>
    <row r="695" spans="1:1">
      <c r="A695" s="316" t="s">
        <v>3524</v>
      </c>
    </row>
    <row r="696" spans="1:1">
      <c r="A696" s="316" t="s">
        <v>3525</v>
      </c>
    </row>
    <row r="697" spans="1:1">
      <c r="A697" s="316" t="s">
        <v>3526</v>
      </c>
    </row>
    <row r="698" spans="1:1">
      <c r="A698" s="316" t="s">
        <v>3527</v>
      </c>
    </row>
    <row r="699" spans="1:1">
      <c r="A699" s="316" t="s">
        <v>3528</v>
      </c>
    </row>
    <row r="700" spans="1:1">
      <c r="A700" s="316" t="s">
        <v>3529</v>
      </c>
    </row>
    <row r="701" spans="1:1">
      <c r="A701" s="316" t="s">
        <v>3530</v>
      </c>
    </row>
    <row r="702" spans="1:1">
      <c r="A702" s="316" t="s">
        <v>3531</v>
      </c>
    </row>
    <row r="703" spans="1:1">
      <c r="A703" s="316" t="s">
        <v>3532</v>
      </c>
    </row>
    <row r="704" spans="1:1">
      <c r="A704" s="316" t="s">
        <v>3533</v>
      </c>
    </row>
    <row r="705" spans="1:1">
      <c r="A705" s="316" t="s">
        <v>3534</v>
      </c>
    </row>
    <row r="706" spans="1:1">
      <c r="A706" s="316" t="s">
        <v>3535</v>
      </c>
    </row>
    <row r="707" spans="1:1">
      <c r="A707" s="316" t="s">
        <v>3536</v>
      </c>
    </row>
    <row r="708" spans="1:1">
      <c r="A708" s="316" t="s">
        <v>3537</v>
      </c>
    </row>
    <row r="709" spans="1:1">
      <c r="A709" s="316" t="s">
        <v>3538</v>
      </c>
    </row>
    <row r="710" spans="1:1">
      <c r="A710" s="316" t="s">
        <v>3539</v>
      </c>
    </row>
    <row r="711" spans="1:1">
      <c r="A711" s="316" t="s">
        <v>3540</v>
      </c>
    </row>
    <row r="712" spans="1:1">
      <c r="A712" s="316" t="s">
        <v>3541</v>
      </c>
    </row>
    <row r="713" spans="1:1">
      <c r="A713" s="316" t="s">
        <v>3542</v>
      </c>
    </row>
    <row r="714" spans="1:1">
      <c r="A714" s="316" t="s">
        <v>3543</v>
      </c>
    </row>
    <row r="715" spans="1:1">
      <c r="A715" s="316" t="s">
        <v>3544</v>
      </c>
    </row>
    <row r="716" spans="1:1">
      <c r="A716" s="316" t="s">
        <v>3545</v>
      </c>
    </row>
    <row r="717" spans="1:1">
      <c r="A717" s="316" t="s">
        <v>3546</v>
      </c>
    </row>
    <row r="718" spans="1:1">
      <c r="A718" s="316" t="s">
        <v>3547</v>
      </c>
    </row>
    <row r="719" spans="1:1">
      <c r="A719" s="316" t="s">
        <v>3548</v>
      </c>
    </row>
    <row r="720" spans="1:1">
      <c r="A720" s="316" t="s">
        <v>3549</v>
      </c>
    </row>
    <row r="721" spans="1:13">
      <c r="A721" s="316" t="s">
        <v>3550</v>
      </c>
    </row>
    <row r="722" spans="1:13">
      <c r="A722" s="316" t="s">
        <v>3551</v>
      </c>
    </row>
    <row r="723" spans="1:13">
      <c r="A723" s="316" t="s">
        <v>3552</v>
      </c>
    </row>
    <row r="724" spans="1:13">
      <c r="A724" s="316" t="s">
        <v>3553</v>
      </c>
    </row>
    <row r="725" spans="1:13">
      <c r="A725" s="316" t="s">
        <v>3554</v>
      </c>
    </row>
    <row r="726" spans="1:13">
      <c r="A726" s="316" t="s">
        <v>3555</v>
      </c>
    </row>
    <row r="727" spans="1:13">
      <c r="A727" s="316" t="s">
        <v>3556</v>
      </c>
    </row>
    <row r="728" spans="1:13">
      <c r="A728" s="316" t="s">
        <v>3557</v>
      </c>
    </row>
    <row r="729" spans="1:13">
      <c r="A729" s="316" t="s">
        <v>3558</v>
      </c>
    </row>
    <row r="730" spans="1:13">
      <c r="A730" s="316" t="s">
        <v>3559</v>
      </c>
    </row>
    <row r="731" spans="1:13">
      <c r="A731" s="316" t="s">
        <v>3560</v>
      </c>
    </row>
    <row r="732" spans="1:13">
      <c r="A732" s="316" t="s">
        <v>3561</v>
      </c>
    </row>
    <row r="733" spans="1:13" ht="27.75" customHeight="1">
      <c r="A733" s="957" t="s">
        <v>3562</v>
      </c>
      <c r="B733" s="957"/>
      <c r="C733" s="957"/>
      <c r="D733" s="957"/>
      <c r="E733" s="957"/>
      <c r="F733" s="957"/>
      <c r="G733" s="957"/>
      <c r="H733" s="957"/>
      <c r="I733" s="957"/>
      <c r="J733" s="957"/>
      <c r="K733" s="957"/>
      <c r="L733" s="957"/>
      <c r="M733" s="957"/>
    </row>
    <row r="734" spans="1:13">
      <c r="A734" s="316" t="s">
        <v>3563</v>
      </c>
    </row>
    <row r="735" spans="1:13">
      <c r="A735" s="316" t="s">
        <v>3564</v>
      </c>
    </row>
    <row r="736" spans="1:13">
      <c r="A736" s="316" t="s">
        <v>3565</v>
      </c>
    </row>
    <row r="737" spans="1:1">
      <c r="A737" s="316" t="s">
        <v>3566</v>
      </c>
    </row>
    <row r="738" spans="1:1">
      <c r="A738" s="316" t="s">
        <v>3567</v>
      </c>
    </row>
    <row r="739" spans="1:1">
      <c r="A739" s="316" t="s">
        <v>3568</v>
      </c>
    </row>
    <row r="740" spans="1:1">
      <c r="A740" s="316" t="s">
        <v>3569</v>
      </c>
    </row>
    <row r="741" spans="1:1">
      <c r="A741" s="316" t="s">
        <v>3570</v>
      </c>
    </row>
    <row r="742" spans="1:1">
      <c r="A742" s="316" t="s">
        <v>3571</v>
      </c>
    </row>
    <row r="743" spans="1:1">
      <c r="A743" s="316" t="s">
        <v>3572</v>
      </c>
    </row>
    <row r="744" spans="1:1">
      <c r="A744" s="316" t="s">
        <v>3573</v>
      </c>
    </row>
    <row r="745" spans="1:1">
      <c r="A745" s="316" t="s">
        <v>3574</v>
      </c>
    </row>
    <row r="746" spans="1:1">
      <c r="A746" s="316" t="s">
        <v>3575</v>
      </c>
    </row>
    <row r="747" spans="1:1">
      <c r="A747" s="316" t="s">
        <v>3576</v>
      </c>
    </row>
    <row r="748" spans="1:1">
      <c r="A748" s="316" t="s">
        <v>3577</v>
      </c>
    </row>
    <row r="749" spans="1:1">
      <c r="A749" s="316" t="s">
        <v>3578</v>
      </c>
    </row>
    <row r="750" spans="1:1">
      <c r="A750" s="316" t="s">
        <v>3579</v>
      </c>
    </row>
    <row r="751" spans="1:1">
      <c r="A751" s="316" t="s">
        <v>3580</v>
      </c>
    </row>
    <row r="752" spans="1:1">
      <c r="A752" s="316" t="s">
        <v>3581</v>
      </c>
    </row>
    <row r="753" spans="1:39">
      <c r="A753" s="316" t="s">
        <v>3582</v>
      </c>
    </row>
    <row r="754" spans="1:39">
      <c r="A754" s="316" t="s">
        <v>3583</v>
      </c>
    </row>
    <row r="755" spans="1:39">
      <c r="A755" s="316" t="s">
        <v>3584</v>
      </c>
    </row>
    <row r="756" spans="1:39">
      <c r="A756" s="316" t="s">
        <v>3585</v>
      </c>
      <c r="AF756" s="321"/>
      <c r="AG756" s="321"/>
      <c r="AH756" s="321"/>
      <c r="AI756" s="321"/>
      <c r="AJ756" s="321"/>
      <c r="AK756" s="321"/>
      <c r="AL756" s="321"/>
      <c r="AM756" s="321"/>
    </row>
    <row r="757" spans="1:39">
      <c r="A757" s="316" t="s">
        <v>3586</v>
      </c>
      <c r="AF757" s="321"/>
      <c r="AG757" s="321"/>
      <c r="AH757" s="321"/>
      <c r="AI757" s="321"/>
      <c r="AJ757" s="321"/>
      <c r="AK757" s="321"/>
      <c r="AL757" s="321"/>
      <c r="AM757" s="321"/>
    </row>
    <row r="758" spans="1:39" s="16" customFormat="1">
      <c r="A758" t="s">
        <v>3587</v>
      </c>
      <c r="B758"/>
      <c r="C758"/>
      <c r="D758"/>
      <c r="E758"/>
      <c r="F758"/>
      <c r="G758"/>
      <c r="H758"/>
      <c r="I758"/>
      <c r="J758"/>
      <c r="K758"/>
      <c r="L758"/>
      <c r="M758"/>
      <c r="N758"/>
      <c r="O758"/>
      <c r="P758"/>
      <c r="Q758"/>
      <c r="R758"/>
      <c r="S758"/>
      <c r="T758"/>
      <c r="U758"/>
      <c r="V758"/>
      <c r="W758"/>
      <c r="X758"/>
      <c r="Y758"/>
      <c r="Z758"/>
      <c r="AA758"/>
      <c r="AB758"/>
      <c r="AC758"/>
      <c r="AD758"/>
      <c r="AE758"/>
      <c r="AF758" s="321"/>
      <c r="AG758" s="321"/>
      <c r="AH758" s="321"/>
      <c r="AI758" s="321"/>
      <c r="AJ758" s="321"/>
      <c r="AK758" s="321"/>
      <c r="AL758" s="321"/>
      <c r="AM758" s="321"/>
    </row>
    <row r="759" spans="1:39">
      <c r="A759" t="s">
        <v>3588</v>
      </c>
      <c r="AF759" s="321"/>
      <c r="AG759" s="321"/>
      <c r="AH759" s="321"/>
      <c r="AI759" s="321"/>
      <c r="AJ759" s="321"/>
      <c r="AK759" s="321"/>
      <c r="AL759" s="321"/>
      <c r="AM759" s="321"/>
    </row>
    <row r="760" spans="1:39">
      <c r="A760" t="s">
        <v>3589</v>
      </c>
      <c r="AF760" s="321"/>
      <c r="AG760" s="321"/>
      <c r="AH760" s="321"/>
      <c r="AI760" s="321"/>
      <c r="AJ760" s="321"/>
      <c r="AK760" s="321"/>
      <c r="AL760" s="321"/>
      <c r="AM760" s="321"/>
    </row>
    <row r="761" spans="1:39">
      <c r="A761" t="s">
        <v>3590</v>
      </c>
      <c r="AF761" s="321"/>
      <c r="AG761" s="321"/>
      <c r="AH761" s="321"/>
      <c r="AI761" s="321"/>
      <c r="AJ761" s="321"/>
      <c r="AK761" s="321"/>
      <c r="AL761" s="321"/>
      <c r="AM761" s="321"/>
    </row>
    <row r="762" spans="1:39" s="16" customFormat="1">
      <c r="A762" t="s">
        <v>3591</v>
      </c>
      <c r="B762"/>
      <c r="C762"/>
      <c r="D762"/>
      <c r="E762"/>
      <c r="F762"/>
      <c r="G762"/>
      <c r="H762"/>
      <c r="I762"/>
      <c r="J762"/>
      <c r="K762"/>
      <c r="L762"/>
      <c r="M762"/>
      <c r="N762"/>
      <c r="O762"/>
      <c r="P762"/>
      <c r="Q762"/>
      <c r="R762"/>
      <c r="S762"/>
      <c r="T762"/>
      <c r="U762"/>
      <c r="V762"/>
      <c r="W762"/>
      <c r="X762"/>
      <c r="Y762"/>
      <c r="Z762"/>
      <c r="AA762"/>
      <c r="AB762"/>
      <c r="AC762"/>
      <c r="AD762"/>
      <c r="AE762"/>
      <c r="AF762" s="321"/>
      <c r="AG762" s="321"/>
      <c r="AH762" s="321"/>
      <c r="AI762" s="321"/>
      <c r="AJ762" s="321"/>
      <c r="AK762" s="321"/>
      <c r="AL762" s="321"/>
      <c r="AM762" s="321"/>
    </row>
    <row r="763" spans="1:39">
      <c r="A763" t="s">
        <v>3592</v>
      </c>
      <c r="AF763" s="321"/>
      <c r="AG763" s="321"/>
      <c r="AH763" s="321"/>
      <c r="AI763" s="321"/>
      <c r="AJ763" s="321"/>
      <c r="AK763" s="321"/>
      <c r="AL763" s="321"/>
      <c r="AM763" s="321"/>
    </row>
    <row r="764" spans="1:39">
      <c r="A764" s="422" t="s">
        <v>3593</v>
      </c>
    </row>
    <row r="765" spans="1:39">
      <c r="A765" t="s">
        <v>3594</v>
      </c>
    </row>
    <row r="766" spans="1:39">
      <c r="A766" t="s">
        <v>3595</v>
      </c>
    </row>
    <row r="767" spans="1:39">
      <c r="A767" t="s">
        <v>3596</v>
      </c>
    </row>
    <row r="768" spans="1:39">
      <c r="A768" t="s">
        <v>3597</v>
      </c>
    </row>
    <row r="769" spans="1:1">
      <c r="A769" t="s">
        <v>3598</v>
      </c>
    </row>
    <row r="770" spans="1:1">
      <c r="A770" t="s">
        <v>3599</v>
      </c>
    </row>
    <row r="771" spans="1:1">
      <c r="A771" t="s">
        <v>3600</v>
      </c>
    </row>
    <row r="772" spans="1:1">
      <c r="A772" t="s">
        <v>3600</v>
      </c>
    </row>
    <row r="773" spans="1:1">
      <c r="A773" t="s">
        <v>3601</v>
      </c>
    </row>
    <row r="774" spans="1:1">
      <c r="A774" t="s">
        <v>3602</v>
      </c>
    </row>
    <row r="775" spans="1:1">
      <c r="A775" t="s">
        <v>3603</v>
      </c>
    </row>
    <row r="776" spans="1:1">
      <c r="A776" t="s">
        <v>3604</v>
      </c>
    </row>
    <row r="777" spans="1:1">
      <c r="A777" t="s">
        <v>3605</v>
      </c>
    </row>
    <row r="778" spans="1:1">
      <c r="A778" t="s">
        <v>3606</v>
      </c>
    </row>
    <row r="779" spans="1:1">
      <c r="A779" t="s">
        <v>3607</v>
      </c>
    </row>
    <row r="780" spans="1:1">
      <c r="A780" t="s">
        <v>3608</v>
      </c>
    </row>
    <row r="781" spans="1:1">
      <c r="A781" s="316" t="s">
        <v>3609</v>
      </c>
    </row>
    <row r="782" spans="1:1">
      <c r="A782" s="316" t="s">
        <v>3610</v>
      </c>
    </row>
    <row r="783" spans="1:1">
      <c r="A783" s="316" t="s">
        <v>3611</v>
      </c>
    </row>
    <row r="784" spans="1:1">
      <c r="A784" s="316" t="s">
        <v>3612</v>
      </c>
    </row>
    <row r="785" spans="1:1">
      <c r="A785" s="316" t="s">
        <v>3613</v>
      </c>
    </row>
    <row r="786" spans="1:1">
      <c r="A786" s="316" t="s">
        <v>3614</v>
      </c>
    </row>
    <row r="787" spans="1:1">
      <c r="A787" s="316" t="s">
        <v>3615</v>
      </c>
    </row>
    <row r="788" spans="1:1">
      <c r="A788" s="316" t="s">
        <v>3616</v>
      </c>
    </row>
    <row r="789" spans="1:1">
      <c r="A789" s="316" t="s">
        <v>3617</v>
      </c>
    </row>
    <row r="790" spans="1:1">
      <c r="A790" s="316" t="s">
        <v>3618</v>
      </c>
    </row>
    <row r="791" spans="1:1">
      <c r="A791" s="316" t="s">
        <v>3619</v>
      </c>
    </row>
    <row r="792" spans="1:1">
      <c r="A792" s="316" t="s">
        <v>3620</v>
      </c>
    </row>
    <row r="793" spans="1:1">
      <c r="A793" s="316" t="s">
        <v>3621</v>
      </c>
    </row>
    <row r="794" spans="1:1">
      <c r="A794" s="316" t="s">
        <v>3622</v>
      </c>
    </row>
    <row r="795" spans="1:1">
      <c r="A795" s="316" t="s">
        <v>3623</v>
      </c>
    </row>
    <row r="796" spans="1:1">
      <c r="A796" s="316" t="s">
        <v>3624</v>
      </c>
    </row>
    <row r="797" spans="1:1">
      <c r="A797" s="316" t="s">
        <v>3625</v>
      </c>
    </row>
    <row r="798" spans="1:1">
      <c r="A798" s="316" t="s">
        <v>3626</v>
      </c>
    </row>
    <row r="799" spans="1:1">
      <c r="A799" s="316" t="s">
        <v>3627</v>
      </c>
    </row>
    <row r="800" spans="1:1">
      <c r="A800" s="316" t="s">
        <v>3628</v>
      </c>
    </row>
    <row r="801" spans="1:1">
      <c r="A801" s="316" t="s">
        <v>3629</v>
      </c>
    </row>
    <row r="802" spans="1:1">
      <c r="A802" s="316" t="s">
        <v>3630</v>
      </c>
    </row>
    <row r="803" spans="1:1">
      <c r="A803" t="s">
        <v>3631</v>
      </c>
    </row>
    <row r="804" spans="1:1">
      <c r="A804" s="316" t="s">
        <v>3632</v>
      </c>
    </row>
    <row r="805" spans="1:1">
      <c r="A805" s="484" t="s">
        <v>3633</v>
      </c>
    </row>
    <row r="806" spans="1:1">
      <c r="A806" s="316" t="s">
        <v>3634</v>
      </c>
    </row>
    <row r="807" spans="1:1">
      <c r="A807" s="484" t="s">
        <v>3635</v>
      </c>
    </row>
    <row r="808" spans="1:1">
      <c r="A808" s="484" t="s">
        <v>3636</v>
      </c>
    </row>
    <row r="809" spans="1:1">
      <c r="A809" s="316" t="s">
        <v>3637</v>
      </c>
    </row>
    <row r="810" spans="1:1">
      <c r="A810" s="316" t="s">
        <v>3638</v>
      </c>
    </row>
    <row r="811" spans="1:1">
      <c r="A811" s="316" t="s">
        <v>3639</v>
      </c>
    </row>
    <row r="812" spans="1:1">
      <c r="A812" s="316" t="s">
        <v>3640</v>
      </c>
    </row>
    <row r="813" spans="1:1">
      <c r="A813" s="316" t="s">
        <v>3641</v>
      </c>
    </row>
    <row r="814" spans="1:1">
      <c r="A814" s="316" t="s">
        <v>3642</v>
      </c>
    </row>
    <row r="815" spans="1:1">
      <c r="A815" s="316" t="s">
        <v>3643</v>
      </c>
    </row>
    <row r="816" spans="1:1">
      <c r="A816" s="316" t="s">
        <v>3644</v>
      </c>
    </row>
    <row r="817" spans="1:1">
      <c r="A817" s="316" t="s">
        <v>3645</v>
      </c>
    </row>
    <row r="818" spans="1:1">
      <c r="A818" s="316" t="s">
        <v>3646</v>
      </c>
    </row>
    <row r="819" spans="1:1">
      <c r="A819" s="316" t="s">
        <v>3647</v>
      </c>
    </row>
    <row r="820" spans="1:1">
      <c r="A820" s="484" t="s">
        <v>3648</v>
      </c>
    </row>
    <row r="821" spans="1:1">
      <c r="A821" s="484" t="s">
        <v>3648</v>
      </c>
    </row>
    <row r="822" spans="1:1">
      <c r="A822" s="316" t="s">
        <v>3649</v>
      </c>
    </row>
    <row r="823" spans="1:1">
      <c r="A823" s="316" t="s">
        <v>3650</v>
      </c>
    </row>
    <row r="824" spans="1:1">
      <c r="A824" s="484" t="s">
        <v>3651</v>
      </c>
    </row>
    <row r="825" spans="1:1">
      <c r="A825" s="484" t="s">
        <v>3652</v>
      </c>
    </row>
    <row r="826" spans="1:1">
      <c r="A826" s="484" t="s">
        <v>3653</v>
      </c>
    </row>
    <row r="827" spans="1:1">
      <c r="A827" s="484" t="s">
        <v>3654</v>
      </c>
    </row>
    <row r="828" spans="1:1">
      <c r="A828" s="484" t="s">
        <v>3654</v>
      </c>
    </row>
    <row r="829" spans="1:1">
      <c r="A829" s="316" t="s">
        <v>3655</v>
      </c>
    </row>
    <row r="830" spans="1:1">
      <c r="A830" s="316" t="s">
        <v>3656</v>
      </c>
    </row>
    <row r="831" spans="1:1">
      <c r="A831" s="485" t="s">
        <v>3657</v>
      </c>
    </row>
    <row r="832" spans="1:1">
      <c r="A832" t="s">
        <v>3658</v>
      </c>
    </row>
    <row r="833" spans="1:11">
      <c r="A833" t="s">
        <v>3659</v>
      </c>
    </row>
    <row r="834" spans="1:11">
      <c r="A834" t="s">
        <v>3660</v>
      </c>
    </row>
    <row r="835" spans="1:11" s="321" customFormat="1">
      <c r="A835" s="321" t="s">
        <v>3661</v>
      </c>
      <c r="D835" s="321" t="s">
        <v>3662</v>
      </c>
    </row>
    <row r="836" spans="1:11">
      <c r="A836" s="485" t="s">
        <v>3663</v>
      </c>
    </row>
    <row r="837" spans="1:11">
      <c r="A837" t="s">
        <v>3664</v>
      </c>
    </row>
    <row r="838" spans="1:11">
      <c r="A838" t="s">
        <v>3665</v>
      </c>
    </row>
    <row r="839" spans="1:11">
      <c r="A839" t="s">
        <v>3666</v>
      </c>
    </row>
    <row r="840" spans="1:11">
      <c r="A840" t="s">
        <v>3667</v>
      </c>
    </row>
    <row r="841" spans="1:11">
      <c r="A841" t="s">
        <v>3668</v>
      </c>
    </row>
    <row r="842" spans="1:11">
      <c r="A842" t="s">
        <v>3669</v>
      </c>
    </row>
    <row r="843" spans="1:11">
      <c r="A843" t="s">
        <v>3670</v>
      </c>
    </row>
    <row r="844" spans="1:11">
      <c r="A844" t="s">
        <v>3671</v>
      </c>
    </row>
    <row r="845" spans="1:11">
      <c r="A845" t="s">
        <v>3672</v>
      </c>
    </row>
    <row r="846" spans="1:11">
      <c r="A846" t="s">
        <v>3673</v>
      </c>
    </row>
    <row r="847" spans="1:11">
      <c r="A847" t="s">
        <v>3674</v>
      </c>
    </row>
    <row r="848" spans="1:11">
      <c r="A848" t="s">
        <v>3675</v>
      </c>
      <c r="K848" t="s">
        <v>3676</v>
      </c>
    </row>
    <row r="849" spans="1:1">
      <c r="A849" t="s">
        <v>3677</v>
      </c>
    </row>
    <row r="850" spans="1:1">
      <c r="A850" t="s">
        <v>3678</v>
      </c>
    </row>
    <row r="851" spans="1:1">
      <c r="A851" t="s">
        <v>3679</v>
      </c>
    </row>
    <row r="852" spans="1:1">
      <c r="A852" t="s">
        <v>3680</v>
      </c>
    </row>
    <row r="853" spans="1:1">
      <c r="A853" t="s">
        <v>3681</v>
      </c>
    </row>
    <row r="854" spans="1:1">
      <c r="A854" t="s">
        <v>3682</v>
      </c>
    </row>
    <row r="855" spans="1:1">
      <c r="A855" t="s">
        <v>3683</v>
      </c>
    </row>
    <row r="856" spans="1:1">
      <c r="A856" t="s">
        <v>3684</v>
      </c>
    </row>
    <row r="857" spans="1:1">
      <c r="A857" t="s">
        <v>3685</v>
      </c>
    </row>
    <row r="858" spans="1:1">
      <c r="A858" t="s">
        <v>3686</v>
      </c>
    </row>
    <row r="859" spans="1:1">
      <c r="A859" t="s">
        <v>3687</v>
      </c>
    </row>
    <row r="860" spans="1:1">
      <c r="A860" t="s">
        <v>3688</v>
      </c>
    </row>
    <row r="861" spans="1:1">
      <c r="A861" t="s">
        <v>3689</v>
      </c>
    </row>
    <row r="862" spans="1:1">
      <c r="A862" t="s">
        <v>3690</v>
      </c>
    </row>
    <row r="863" spans="1:1">
      <c r="A863" t="s">
        <v>3691</v>
      </c>
    </row>
    <row r="864" spans="1:1">
      <c r="A864" t="s">
        <v>3692</v>
      </c>
    </row>
    <row r="865" spans="1:1">
      <c r="A865" t="s">
        <v>3693</v>
      </c>
    </row>
    <row r="866" spans="1:1">
      <c r="A866" t="s">
        <v>3694</v>
      </c>
    </row>
    <row r="867" spans="1:1">
      <c r="A867" t="s">
        <v>3695</v>
      </c>
    </row>
    <row r="868" spans="1:1">
      <c r="A868" t="s">
        <v>3696</v>
      </c>
    </row>
    <row r="869" spans="1:1">
      <c r="A869" t="s">
        <v>3697</v>
      </c>
    </row>
    <row r="870" spans="1:1">
      <c r="A870" t="s">
        <v>3698</v>
      </c>
    </row>
    <row r="871" spans="1:1">
      <c r="A871" t="s">
        <v>3699</v>
      </c>
    </row>
    <row r="872" spans="1:1">
      <c r="A872" t="s">
        <v>3700</v>
      </c>
    </row>
    <row r="873" spans="1:1">
      <c r="A873" t="s">
        <v>3701</v>
      </c>
    </row>
    <row r="874" spans="1:1">
      <c r="A874" t="s">
        <v>3702</v>
      </c>
    </row>
    <row r="875" spans="1:1">
      <c r="A875" t="s">
        <v>3703</v>
      </c>
    </row>
    <row r="876" spans="1:1">
      <c r="A876" t="s">
        <v>3704</v>
      </c>
    </row>
    <row r="877" spans="1:1">
      <c r="A877" t="s">
        <v>3705</v>
      </c>
    </row>
    <row r="878" spans="1:1">
      <c r="A878" t="s">
        <v>3706</v>
      </c>
    </row>
    <row r="879" spans="1:1">
      <c r="A879" t="s">
        <v>3707</v>
      </c>
    </row>
    <row r="880" spans="1:1">
      <c r="A880" t="s">
        <v>3708</v>
      </c>
    </row>
    <row r="881" spans="1:1">
      <c r="A881" t="s">
        <v>3709</v>
      </c>
    </row>
    <row r="882" spans="1:1">
      <c r="A882" t="s">
        <v>3710</v>
      </c>
    </row>
    <row r="883" spans="1:1">
      <c r="A883" t="s">
        <v>3711</v>
      </c>
    </row>
    <row r="884" spans="1:1">
      <c r="A884" t="s">
        <v>3712</v>
      </c>
    </row>
    <row r="885" spans="1:1">
      <c r="A885" t="s">
        <v>3713</v>
      </c>
    </row>
    <row r="886" spans="1:1">
      <c r="A886" t="s">
        <v>3714</v>
      </c>
    </row>
    <row r="887" spans="1:1">
      <c r="A887" t="s">
        <v>3715</v>
      </c>
    </row>
    <row r="888" spans="1:1">
      <c r="A888" t="s">
        <v>3716</v>
      </c>
    </row>
    <row r="889" spans="1:1">
      <c r="A889" t="s">
        <v>3717</v>
      </c>
    </row>
    <row r="890" spans="1:1">
      <c r="A890" s="316" t="s">
        <v>3718</v>
      </c>
    </row>
    <row r="891" spans="1:1">
      <c r="A891" t="s">
        <v>3719</v>
      </c>
    </row>
    <row r="892" spans="1:1">
      <c r="A892" t="s">
        <v>3720</v>
      </c>
    </row>
    <row r="893" spans="1:1">
      <c r="A893" t="s">
        <v>3721</v>
      </c>
    </row>
    <row r="894" spans="1:1">
      <c r="A894" t="s">
        <v>3722</v>
      </c>
    </row>
    <row r="895" spans="1:1">
      <c r="A895" t="s">
        <v>3723</v>
      </c>
    </row>
    <row r="896" spans="1:1">
      <c r="A896" t="s">
        <v>3724</v>
      </c>
    </row>
    <row r="897" spans="1:1">
      <c r="A897" t="s">
        <v>3725</v>
      </c>
    </row>
    <row r="898" spans="1:1">
      <c r="A898" t="s">
        <v>3726</v>
      </c>
    </row>
    <row r="899" spans="1:1">
      <c r="A899" t="s">
        <v>3727</v>
      </c>
    </row>
    <row r="900" spans="1:1">
      <c r="A900" t="s">
        <v>3728</v>
      </c>
    </row>
    <row r="901" spans="1:1">
      <c r="A901" t="s">
        <v>3729</v>
      </c>
    </row>
    <row r="902" spans="1:1">
      <c r="A902" t="s">
        <v>3730</v>
      </c>
    </row>
    <row r="903" spans="1:1">
      <c r="A903" t="s">
        <v>3731</v>
      </c>
    </row>
    <row r="904" spans="1:1">
      <c r="A904" t="s">
        <v>3732</v>
      </c>
    </row>
    <row r="905" spans="1:1">
      <c r="A905" t="s">
        <v>3733</v>
      </c>
    </row>
    <row r="906" spans="1:1">
      <c r="A906" t="s">
        <v>3734</v>
      </c>
    </row>
    <row r="907" spans="1:1">
      <c r="A907" t="s">
        <v>3735</v>
      </c>
    </row>
    <row r="908" spans="1:1">
      <c r="A908" t="s">
        <v>3736</v>
      </c>
    </row>
    <row r="909" spans="1:1">
      <c r="A909" t="s">
        <v>3737</v>
      </c>
    </row>
    <row r="910" spans="1:1">
      <c r="A910" t="s">
        <v>3738</v>
      </c>
    </row>
    <row r="911" spans="1:1">
      <c r="A911" t="s">
        <v>3739</v>
      </c>
    </row>
    <row r="912" spans="1:1">
      <c r="A912" t="s">
        <v>3740</v>
      </c>
    </row>
    <row r="913" spans="1:1">
      <c r="A913" t="s">
        <v>3741</v>
      </c>
    </row>
    <row r="914" spans="1:1">
      <c r="A914" t="s">
        <v>3742</v>
      </c>
    </row>
    <row r="915" spans="1:1">
      <c r="A915" t="s">
        <v>3743</v>
      </c>
    </row>
    <row r="916" spans="1:1">
      <c r="A916" t="s">
        <v>3744</v>
      </c>
    </row>
    <row r="917" spans="1:1">
      <c r="A917" t="s">
        <v>3745</v>
      </c>
    </row>
    <row r="918" spans="1:1">
      <c r="A918" t="s">
        <v>3746</v>
      </c>
    </row>
    <row r="919" spans="1:1">
      <c r="A919" t="s">
        <v>3747</v>
      </c>
    </row>
    <row r="920" spans="1:1">
      <c r="A920" t="s">
        <v>3748</v>
      </c>
    </row>
    <row r="921" spans="1:1">
      <c r="A921" t="s">
        <v>3749</v>
      </c>
    </row>
    <row r="922" spans="1:1">
      <c r="A922" t="s">
        <v>3750</v>
      </c>
    </row>
    <row r="923" spans="1:1">
      <c r="A923" t="s">
        <v>3751</v>
      </c>
    </row>
    <row r="924" spans="1:1">
      <c r="A924" t="s">
        <v>3752</v>
      </c>
    </row>
    <row r="925" spans="1:1">
      <c r="A925" t="s">
        <v>3753</v>
      </c>
    </row>
    <row r="926" spans="1:1">
      <c r="A926" t="s">
        <v>3754</v>
      </c>
    </row>
    <row r="927" spans="1:1">
      <c r="A927" t="s">
        <v>3755</v>
      </c>
    </row>
    <row r="928" spans="1:1">
      <c r="A928" t="s">
        <v>3756</v>
      </c>
    </row>
    <row r="929" spans="1:1">
      <c r="A929" t="s">
        <v>3757</v>
      </c>
    </row>
    <row r="930" spans="1:1">
      <c r="A930" t="s">
        <v>3758</v>
      </c>
    </row>
    <row r="931" spans="1:1">
      <c r="A931" t="s">
        <v>3759</v>
      </c>
    </row>
    <row r="932" spans="1:1">
      <c r="A932" t="s">
        <v>3760</v>
      </c>
    </row>
    <row r="933" spans="1:1">
      <c r="A933" t="s">
        <v>3761</v>
      </c>
    </row>
    <row r="934" spans="1:1">
      <c r="A934" t="s">
        <v>3762</v>
      </c>
    </row>
    <row r="935" spans="1:1">
      <c r="A935" t="s">
        <v>3763</v>
      </c>
    </row>
    <row r="936" spans="1:1">
      <c r="A936" t="s">
        <v>3764</v>
      </c>
    </row>
    <row r="937" spans="1:1">
      <c r="A937" t="s">
        <v>3765</v>
      </c>
    </row>
    <row r="938" spans="1:1">
      <c r="A938" t="s">
        <v>3766</v>
      </c>
    </row>
    <row r="939" spans="1:1">
      <c r="A939" t="s">
        <v>3767</v>
      </c>
    </row>
    <row r="940" spans="1:1">
      <c r="A940" t="s">
        <v>3768</v>
      </c>
    </row>
    <row r="941" spans="1:1">
      <c r="A941" t="s">
        <v>3769</v>
      </c>
    </row>
    <row r="942" spans="1:1">
      <c r="A942" t="s">
        <v>3770</v>
      </c>
    </row>
    <row r="943" spans="1:1">
      <c r="A943" t="s">
        <v>3771</v>
      </c>
    </row>
    <row r="944" spans="1:1">
      <c r="A944" t="s">
        <v>3772</v>
      </c>
    </row>
    <row r="945" spans="1:1">
      <c r="A945" t="s">
        <v>3773</v>
      </c>
    </row>
    <row r="946" spans="1:1">
      <c r="A946" t="s">
        <v>3774</v>
      </c>
    </row>
    <row r="947" spans="1:1">
      <c r="A947" s="316" t="s">
        <v>3775</v>
      </c>
    </row>
    <row r="948" spans="1:1">
      <c r="A948" s="316" t="s">
        <v>3776</v>
      </c>
    </row>
    <row r="949" spans="1:1">
      <c r="A949" t="s">
        <v>3777</v>
      </c>
    </row>
    <row r="950" spans="1:1">
      <c r="A950" t="s">
        <v>3778</v>
      </c>
    </row>
    <row r="951" spans="1:1">
      <c r="A951" t="s">
        <v>3779</v>
      </c>
    </row>
    <row r="952" spans="1:1">
      <c r="A952" t="s">
        <v>3780</v>
      </c>
    </row>
    <row r="953" spans="1:1">
      <c r="A953" t="s">
        <v>3781</v>
      </c>
    </row>
    <row r="954" spans="1:1">
      <c r="A954" t="s">
        <v>3782</v>
      </c>
    </row>
    <row r="955" spans="1:1">
      <c r="A955" t="s">
        <v>3783</v>
      </c>
    </row>
    <row r="956" spans="1:1">
      <c r="A956" t="s">
        <v>3784</v>
      </c>
    </row>
    <row r="957" spans="1:1">
      <c r="A957" t="s">
        <v>3785</v>
      </c>
    </row>
    <row r="958" spans="1:1">
      <c r="A958" t="s">
        <v>3786</v>
      </c>
    </row>
    <row r="959" spans="1:1">
      <c r="A959" t="s">
        <v>3787</v>
      </c>
    </row>
    <row r="960" spans="1:1">
      <c r="A960" t="s">
        <v>3788</v>
      </c>
    </row>
    <row r="961" spans="1:1">
      <c r="A961" t="s">
        <v>3789</v>
      </c>
    </row>
    <row r="962" spans="1:1">
      <c r="A962" t="s">
        <v>3790</v>
      </c>
    </row>
    <row r="963" spans="1:1">
      <c r="A963" t="s">
        <v>3791</v>
      </c>
    </row>
    <row r="964" spans="1:1">
      <c r="A964" t="s">
        <v>3792</v>
      </c>
    </row>
    <row r="965" spans="1:1">
      <c r="A965" t="s">
        <v>3793</v>
      </c>
    </row>
    <row r="966" spans="1:1">
      <c r="A966" t="s">
        <v>3794</v>
      </c>
    </row>
    <row r="967" spans="1:1">
      <c r="A967" t="s">
        <v>3795</v>
      </c>
    </row>
    <row r="968" spans="1:1">
      <c r="A968" t="s">
        <v>3796</v>
      </c>
    </row>
    <row r="969" spans="1:1">
      <c r="A969" t="s">
        <v>3797</v>
      </c>
    </row>
    <row r="970" spans="1:1">
      <c r="A970" t="s">
        <v>3798</v>
      </c>
    </row>
    <row r="971" spans="1:1">
      <c r="A971" t="s">
        <v>3799</v>
      </c>
    </row>
    <row r="972" spans="1:1">
      <c r="A972" t="s">
        <v>3800</v>
      </c>
    </row>
    <row r="973" spans="1:1">
      <c r="A973" t="s">
        <v>3801</v>
      </c>
    </row>
    <row r="974" spans="1:1">
      <c r="A974" t="s">
        <v>3802</v>
      </c>
    </row>
    <row r="975" spans="1:1">
      <c r="A975" t="s">
        <v>3803</v>
      </c>
    </row>
    <row r="976" spans="1:1">
      <c r="A976" t="s">
        <v>3804</v>
      </c>
    </row>
    <row r="977" spans="1:1">
      <c r="A977" t="s">
        <v>3805</v>
      </c>
    </row>
    <row r="978" spans="1:1" ht="16.5" customHeight="1">
      <c r="A978" s="318" t="s">
        <v>3806</v>
      </c>
    </row>
    <row r="979" spans="1:1">
      <c r="A979" t="s">
        <v>3807</v>
      </c>
    </row>
    <row r="980" spans="1:1">
      <c r="A980" t="s">
        <v>3808</v>
      </c>
    </row>
    <row r="981" spans="1:1">
      <c r="A981" t="s">
        <v>3809</v>
      </c>
    </row>
    <row r="982" spans="1:1">
      <c r="A982" t="s">
        <v>3810</v>
      </c>
    </row>
    <row r="983" spans="1:1">
      <c r="A983" t="s">
        <v>3811</v>
      </c>
    </row>
    <row r="984" spans="1:1">
      <c r="A984" t="s">
        <v>3812</v>
      </c>
    </row>
    <row r="985" spans="1:1">
      <c r="A985" t="s">
        <v>3813</v>
      </c>
    </row>
    <row r="986" spans="1:1">
      <c r="A986" t="s">
        <v>3814</v>
      </c>
    </row>
    <row r="987" spans="1:1">
      <c r="A987" t="s">
        <v>3815</v>
      </c>
    </row>
    <row r="988" spans="1:1">
      <c r="A988" t="s">
        <v>3816</v>
      </c>
    </row>
    <row r="989" spans="1:1">
      <c r="A989" t="s">
        <v>3817</v>
      </c>
    </row>
    <row r="990" spans="1:1">
      <c r="A990" t="s">
        <v>3818</v>
      </c>
    </row>
    <row r="991" spans="1:1">
      <c r="A991" t="s">
        <v>3819</v>
      </c>
    </row>
    <row r="992" spans="1:1">
      <c r="A992" t="s">
        <v>3820</v>
      </c>
    </row>
    <row r="993" spans="1:1">
      <c r="A993" t="s">
        <v>3821</v>
      </c>
    </row>
    <row r="994" spans="1:1">
      <c r="A994" t="s">
        <v>3822</v>
      </c>
    </row>
    <row r="995" spans="1:1">
      <c r="A995" t="s">
        <v>3823</v>
      </c>
    </row>
    <row r="996" spans="1:1">
      <c r="A996" t="s">
        <v>3824</v>
      </c>
    </row>
    <row r="997" spans="1:1">
      <c r="A997" t="s">
        <v>3825</v>
      </c>
    </row>
    <row r="998" spans="1:1">
      <c r="A998" t="s">
        <v>3826</v>
      </c>
    </row>
    <row r="999" spans="1:1">
      <c r="A999" t="s">
        <v>3827</v>
      </c>
    </row>
    <row r="1000" spans="1:1">
      <c r="A1000" t="s">
        <v>3828</v>
      </c>
    </row>
  </sheetData>
  <mergeCells count="1">
    <mergeCell ref="A733:M733"/>
  </mergeCells>
  <phoneticPr fontId="91"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51"/>
  <sheetViews>
    <sheetView topLeftCell="A206" zoomScaleNormal="100" workbookViewId="0">
      <selection activeCell="A215" sqref="A215"/>
    </sheetView>
  </sheetViews>
  <sheetFormatPr defaultRowHeight="15"/>
  <cols>
    <col min="1" max="1" width="94.5703125" customWidth="1"/>
    <col min="3" max="3" width="52" customWidth="1"/>
    <col min="4" max="4" width="13" customWidth="1"/>
    <col min="5" max="5" width="26.85546875" customWidth="1"/>
    <col min="6" max="6" width="103.28515625" customWidth="1"/>
    <col min="7" max="7" width="52" customWidth="1"/>
    <col min="8" max="8" width="42" customWidth="1"/>
    <col min="13" max="13" width="12.7109375" customWidth="1"/>
  </cols>
  <sheetData>
    <row r="1" spans="1:13">
      <c r="A1" s="99"/>
      <c r="B1" s="99"/>
      <c r="C1" s="99"/>
      <c r="D1" s="99"/>
      <c r="E1" s="99"/>
      <c r="F1" s="99"/>
      <c r="G1" s="99"/>
      <c r="H1" s="71"/>
      <c r="I1" s="71"/>
      <c r="J1" s="71"/>
      <c r="K1" s="71"/>
      <c r="L1" s="71"/>
      <c r="M1" s="71"/>
    </row>
    <row r="2" spans="1:13">
      <c r="A2" s="19" t="s">
        <v>3829</v>
      </c>
      <c r="B2" s="19"/>
      <c r="C2" s="19"/>
      <c r="D2" s="19"/>
      <c r="E2" s="19"/>
      <c r="F2" s="19"/>
      <c r="G2" s="19"/>
      <c r="H2" s="19"/>
      <c r="I2" s="19"/>
      <c r="J2" s="19"/>
    </row>
    <row r="3" spans="1:13">
      <c r="A3" s="22" t="s">
        <v>101</v>
      </c>
      <c r="F3" s="49" t="s">
        <v>3830</v>
      </c>
    </row>
    <row r="4" spans="1:13">
      <c r="A4" s="53" t="s">
        <v>3831</v>
      </c>
      <c r="B4" s="53" t="s">
        <v>3832</v>
      </c>
      <c r="C4" s="53" t="s">
        <v>3833</v>
      </c>
      <c r="D4" s="53" t="s">
        <v>3834</v>
      </c>
      <c r="E4" s="53" t="s">
        <v>3835</v>
      </c>
      <c r="F4" s="53" t="s">
        <v>3836</v>
      </c>
      <c r="G4" s="54" t="s">
        <v>3837</v>
      </c>
      <c r="H4" s="53"/>
      <c r="I4" s="53"/>
      <c r="J4" s="53"/>
      <c r="K4" s="53"/>
    </row>
    <row r="5" spans="1:13" ht="15" customHeight="1">
      <c r="A5" t="str">
        <f ca="1">IF(E5="",F5, "")</f>
        <v xml:space="preserve">Enter a date for 'Application Date' in cell B4 between 01/01/2023 and 11/01/2024.
</v>
      </c>
      <c r="B5">
        <f>ROW(Application!A4)</f>
        <v>4</v>
      </c>
      <c r="C5" t="str">
        <f t="shared" ref="C5:C50" ca="1" si="0">INDIRECT($F$3 &amp; ADDRESS(B5, 1,4  ))</f>
        <v>Application Date</v>
      </c>
      <c r="D5" t="str">
        <f t="shared" ref="D5:D14" si="1">ADDRESS(B5, 2,4  )</f>
        <v>B4</v>
      </c>
      <c r="E5" t="str">
        <f t="shared" ref="E5:E50" ca="1" si="2">IF(ISBLANK( INDIRECT($F$3 &amp; D5)),"", INDIRECT($F$3 &amp; D5))</f>
        <v/>
      </c>
      <c r="F5" t="str">
        <f ca="1">CONCATENATE("Enter a date for '", C5, "' in cell ", D5, " between ", TEXT(Admin!B2,"mm/dd/yyyy")," and ", TEXT(Admin!B3,"mm/dd/yyyy"), ".", CHAR(10))</f>
        <v xml:space="preserve">Enter a date for 'Application Date' in cell B4 between 01/01/2023 and 11/01/2024.
</v>
      </c>
      <c r="G5" s="9" t="str">
        <f ca="1">A5</f>
        <v xml:space="preserve">Enter a date for 'Application Date' in cell B4 between 01/01/2023 and 11/01/2024.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1" ca="1" si="3">OFFSET(G6, -1, 0) &amp; A6</f>
        <v xml:space="preserve">Enter a date for 'Application Date' in cell B4 between 01/01/2023 and 11/01/2024.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01/01/2023 and 11/01/2024.
Select a value for 'Application Stage' in cell B6.
Select a value for 'Is Supplemental Credit being requested?' in cell B7.
</v>
      </c>
      <c r="L7" s="16" t="s">
        <v>3838</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01/01/2023 and 11/01/2024.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1" spans="1:13" ht="15" customHeight="1">
      <c r="A11" s="52" t="str">
        <f>IF(AND(Calculations!B20, Calculations!B21),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v>
      </c>
    </row>
    <row r="12" spans="1:13" ht="15" customHeight="1">
      <c r="A12" t="str">
        <f t="shared" ref="A12:A17"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19" ca="1" si="8">CONCATENATE("Select a value for '", C12, "' in cell ", D12, ".", CHAR(10))</f>
        <v xml:space="preserve">Select a value for 'Identity of Interest' in cell B9.
</v>
      </c>
      <c r="G12" s="9" t="str">
        <f t="shared" ref="G12" ca="1" si="9">OFFSET(G12, -1, 0) &amp; A12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'Project Type' in cell B12.
</v>
      </c>
      <c r="B14">
        <f>ROW(Application!A12)</f>
        <v>12</v>
      </c>
      <c r="C14" t="str">
        <f t="shared" ca="1" si="0"/>
        <v>Project Type</v>
      </c>
      <c r="D14" t="str">
        <f t="shared" si="1"/>
        <v>B12</v>
      </c>
      <c r="E14" t="str">
        <f t="shared" ca="1" si="2"/>
        <v/>
      </c>
      <c r="F14" t="str">
        <f t="shared" ca="1" si="8"/>
        <v xml:space="preserve">Select a value for 'Project Type' in cell B12.
</v>
      </c>
      <c r="G14"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v>
      </c>
    </row>
    <row r="15" spans="1:13" ht="15" customHeight="1">
      <c r="A15" t="str">
        <f t="shared" ca="1" si="4"/>
        <v xml:space="preserve">Select a value for 'Is this an existing LIHTC property' in cell B13.
</v>
      </c>
      <c r="B15">
        <f>ROW(Application!A13)</f>
        <v>13</v>
      </c>
      <c r="C15" t="str">
        <f t="shared" ca="1" si="0"/>
        <v>Is this an existing LIHTC property</v>
      </c>
      <c r="D15" t="str">
        <f>ADDRESS(B15, 2, 4)</f>
        <v>B13</v>
      </c>
      <c r="E15" t="str">
        <f t="shared" ca="1" si="2"/>
        <v/>
      </c>
      <c r="F15" t="str">
        <f t="shared" ca="1" si="8"/>
        <v xml:space="preserve">Select a value for 'Is this an existing LIHTC property' in cell B13.
</v>
      </c>
      <c r="G15"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v>
      </c>
    </row>
    <row r="16" spans="1:13" ht="15" customHeight="1">
      <c r="A16" t="str">
        <f t="shared" ca="1" si="4"/>
        <v xml:space="preserve">Select a value for 'Locking Applicable Percentage?' in cell B14.
</v>
      </c>
      <c r="B16">
        <f>ROW(Application!A14)</f>
        <v>14</v>
      </c>
      <c r="C16" t="str">
        <f t="shared" ca="1" si="0"/>
        <v>Locking Applicable Percentage?</v>
      </c>
      <c r="D16" t="str">
        <f t="shared" ref="D16:D50" si="10">ADDRESS(B16, 2,4  )</f>
        <v>B14</v>
      </c>
      <c r="E16" t="str">
        <f t="shared" ca="1" si="2"/>
        <v/>
      </c>
      <c r="F16" t="str">
        <f t="shared" ca="1" si="8"/>
        <v xml:space="preserve">Select a value for 'Locking Applicable Percentage?' in cell B14.
</v>
      </c>
      <c r="G16"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17" spans="1:8" ht="15" customHeight="1">
      <c r="A17" t="str">
        <f t="shared" ca="1" si="4"/>
        <v/>
      </c>
      <c r="B17">
        <f>ROW(Application!A15)</f>
        <v>15</v>
      </c>
      <c r="C17" t="str">
        <f t="shared" ca="1" si="0"/>
        <v>Federal Equity Factor</v>
      </c>
      <c r="D17" t="str">
        <f t="shared" si="10"/>
        <v>B15</v>
      </c>
      <c r="E17">
        <f t="shared" ca="1" si="2"/>
        <v>0</v>
      </c>
      <c r="F17" t="str">
        <f t="shared" ca="1" si="8"/>
        <v xml:space="preserve">Select a value for 'Federal Equity Factor' in cell B15.
</v>
      </c>
      <c r="G1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18" spans="1:8" ht="15" customHeight="1">
      <c r="A18" t="str">
        <f ca="1">IF(AND(Calculations!B10, E18=""),F18, "")</f>
        <v/>
      </c>
      <c r="B18">
        <f>ROW(Application!A16)</f>
        <v>16</v>
      </c>
      <c r="C18" t="str">
        <f t="shared" ca="1" si="0"/>
        <v>State Equity Factor</v>
      </c>
      <c r="D18" t="str">
        <f t="shared" si="10"/>
        <v>B16</v>
      </c>
      <c r="E18">
        <f t="shared" ca="1" si="2"/>
        <v>0</v>
      </c>
      <c r="F18" t="str">
        <f t="shared" ca="1" si="8"/>
        <v xml:space="preserve">Select a value for 'State Equity Factor' in cell B16.
</v>
      </c>
      <c r="G18"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19" spans="1:8" ht="15" customHeight="1">
      <c r="A19" t="str">
        <f ca="1">IF(AND(Calculations!B5, E19=""),F19, "")</f>
        <v/>
      </c>
      <c r="B19">
        <f>ROW(Application!A19)</f>
        <v>19</v>
      </c>
      <c r="C19" t="str">
        <f t="shared" ca="1" si="0"/>
        <v>Acquisition 4% Applicable Percentage Rates (APR)</v>
      </c>
      <c r="D19" t="str">
        <f t="shared" si="10"/>
        <v>B19</v>
      </c>
      <c r="E19">
        <f t="shared" ca="1" si="2"/>
        <v>0.04</v>
      </c>
      <c r="F19" t="str">
        <f t="shared" ca="1" si="8"/>
        <v xml:space="preserve">Select a value for 'Acquisition 4% Applicable Percentage Rates (APR)' in cell B19.
</v>
      </c>
      <c r="G1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20" spans="1:8" ht="15" customHeight="1">
      <c r="A20" s="52" t="str">
        <f ca="1">IF(AND(Calculations!B5, E20 &gt; 0.04), F20, "")</f>
        <v/>
      </c>
      <c r="B20">
        <f>ROW(Application!A19)</f>
        <v>19</v>
      </c>
      <c r="C20" t="str">
        <f t="shared" ca="1" si="0"/>
        <v>Acquisition 4% Applicable Percentage Rates (APR)</v>
      </c>
      <c r="D20" t="str">
        <f t="shared" si="10"/>
        <v>B19</v>
      </c>
      <c r="E20">
        <f t="shared" ca="1" si="2"/>
        <v>0.04</v>
      </c>
      <c r="F20" t="str">
        <f ca="1">CONCATENATE("The value for '", C20, "' in cell ", D20, " must be 4% or less for the type of tax credit selected.", CHAR(10))</f>
        <v xml:space="preserve">The value for 'Acquisition 4% Applicable Percentage Rates (APR)' in cell B19 must be 4% or less for the type of tax credit selected.
</v>
      </c>
      <c r="G2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c r="H20" t="s">
        <v>3839</v>
      </c>
    </row>
    <row r="21" spans="1:8" ht="15" customHeight="1">
      <c r="A21" t="str">
        <f ca="1">IF(AND(OR(Calculations!$B$3,Calculations!$B$4),E21=""),F21, "")</f>
        <v/>
      </c>
      <c r="B21">
        <f>ROW(Application!A22)</f>
        <v>22</v>
      </c>
      <c r="C21" t="str">
        <f t="shared" ca="1" si="0"/>
        <v>Lock-in gross rent floor</v>
      </c>
      <c r="D21" t="str">
        <f t="shared" si="10"/>
        <v>B22</v>
      </c>
      <c r="E21" t="str">
        <f t="shared" ca="1" si="2"/>
        <v/>
      </c>
      <c r="F21" t="str">
        <f ca="1">CONCATENATE("Select a value for '", C21, "' in cell ", D21, ".", CHAR(10))</f>
        <v xml:space="preserve">Select a value for 'Lock-in gross rent floor' in cell B22.
</v>
      </c>
      <c r="G2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22" spans="1:8" ht="15" customHeight="1">
      <c r="A22" t="str">
        <f ca="1">IF(AND(E22="",E21="Yes"),F22, "")</f>
        <v/>
      </c>
      <c r="B22">
        <f>ROW(Application!A23)</f>
        <v>23</v>
      </c>
      <c r="C22" t="str">
        <f t="shared" ca="1" si="0"/>
        <v>Lock-in gross rent floor Date</v>
      </c>
      <c r="D22" t="str">
        <f t="shared" si="10"/>
        <v>B23</v>
      </c>
      <c r="E22" t="str">
        <f t="shared" ca="1" si="2"/>
        <v/>
      </c>
      <c r="F22" t="str">
        <f ca="1">CONCATENATE("Enter a date for '", C22, "' in cell ", D22, ".", CHAR(10))</f>
        <v xml:space="preserve">Enter a date for 'Lock-in gross rent floor Date' in cell B23.
</v>
      </c>
      <c r="G2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23" spans="1:8" ht="15" customHeight="1">
      <c r="A23" t="str">
        <f ca="1">IF(AND(Calculations!$B$4,E23=""),F23, "")</f>
        <v/>
      </c>
      <c r="B23">
        <f>ROW(Application!A24)</f>
        <v>24</v>
      </c>
      <c r="C23" t="str">
        <f t="shared" ca="1" si="0"/>
        <v>Enter Last Building Placed in Service Date</v>
      </c>
      <c r="D23" t="str">
        <f t="shared" si="10"/>
        <v>B24</v>
      </c>
      <c r="E23" t="str">
        <f t="shared" ca="1" si="2"/>
        <v/>
      </c>
      <c r="F23" t="str">
        <f t="shared" ref="F23:F50" ca="1" si="11">CONCATENATE("Enter a value for '", C23, "' in cell ", D23, ".", CHAR(10))</f>
        <v xml:space="preserve">Enter a value for 'Enter Last Building Placed in Service Date' in cell B24.
</v>
      </c>
      <c r="G2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v>
      </c>
    </row>
    <row r="24" spans="1:8" ht="15" customHeight="1">
      <c r="A24" t="str">
        <f t="shared" ref="A24:A50" ca="1" si="12">IF(E24="",F24, "")</f>
        <v xml:space="preserve">Enter a value for 'Name' in cell B27.
</v>
      </c>
      <c r="B24">
        <f>ROW(Application!A27)</f>
        <v>27</v>
      </c>
      <c r="C24" t="str">
        <f t="shared" ca="1" si="0"/>
        <v>Name</v>
      </c>
      <c r="D24" t="str">
        <f t="shared" si="10"/>
        <v>B27</v>
      </c>
      <c r="E24" t="str">
        <f t="shared" ca="1" si="2"/>
        <v/>
      </c>
      <c r="F24" t="str">
        <f t="shared" ca="1" si="11"/>
        <v xml:space="preserve">Enter a value for 'Name' in cell B27.
</v>
      </c>
      <c r="G24"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v>
      </c>
    </row>
    <row r="25" spans="1:8" ht="15" customHeight="1">
      <c r="A25" t="str">
        <f t="shared" ca="1" si="12"/>
        <v xml:space="preserve">Enter a value for 'Address' in cell B28.
</v>
      </c>
      <c r="B25">
        <f>ROW(Application!A28)</f>
        <v>28</v>
      </c>
      <c r="C25" t="str">
        <f t="shared" ca="1" si="0"/>
        <v>Address</v>
      </c>
      <c r="D25" t="str">
        <f t="shared" si="10"/>
        <v>B28</v>
      </c>
      <c r="E25" t="str">
        <f t="shared" ca="1" si="2"/>
        <v/>
      </c>
      <c r="F25" t="str">
        <f t="shared" ca="1" si="11"/>
        <v xml:space="preserve">Enter a value for 'Address' in cell B28.
</v>
      </c>
      <c r="G25"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v>
      </c>
    </row>
    <row r="26" spans="1:8" ht="15" customHeight="1">
      <c r="A26" t="str">
        <f t="shared" ca="1" si="12"/>
        <v xml:space="preserve">Enter a value for 'City' in cell B29.
</v>
      </c>
      <c r="B26">
        <f>ROW(Application!A29)</f>
        <v>29</v>
      </c>
      <c r="C26" t="str">
        <f t="shared" ca="1" si="0"/>
        <v>City</v>
      </c>
      <c r="D26" t="str">
        <f t="shared" si="10"/>
        <v>B29</v>
      </c>
      <c r="E26" t="str">
        <f t="shared" ca="1" si="2"/>
        <v/>
      </c>
      <c r="F26" t="str">
        <f t="shared" ca="1" si="11"/>
        <v xml:space="preserve">Enter a value for 'City' in cell B29.
</v>
      </c>
      <c r="G26"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v>
      </c>
    </row>
    <row r="27" spans="1:8" ht="15" customHeight="1">
      <c r="A27" t="str">
        <f t="shared" ca="1" si="12"/>
        <v xml:space="preserve">Enter a value for 'Zip' in cell B30.
</v>
      </c>
      <c r="B27">
        <f>ROW(Application!A30)</f>
        <v>30</v>
      </c>
      <c r="C27" t="str">
        <f t="shared" ca="1" si="0"/>
        <v>Zip</v>
      </c>
      <c r="D27" t="str">
        <f t="shared" si="10"/>
        <v>B30</v>
      </c>
      <c r="E27" t="str">
        <f t="shared" ca="1" si="2"/>
        <v/>
      </c>
      <c r="F27" t="str">
        <f t="shared" ca="1" si="11"/>
        <v xml:space="preserve">Enter a value for 'Zip' in cell B30.
</v>
      </c>
      <c r="G2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v>
      </c>
    </row>
    <row r="28" spans="1:8" ht="15" customHeight="1">
      <c r="A28" t="str">
        <f t="shared" ca="1" si="12"/>
        <v xml:space="preserve">Enter a value for 'County' in cell B31.
</v>
      </c>
      <c r="B28">
        <f>ROW(Application!A31)</f>
        <v>31</v>
      </c>
      <c r="C28" t="str">
        <f t="shared" ca="1" si="0"/>
        <v>County</v>
      </c>
      <c r="D28" t="str">
        <f t="shared" si="10"/>
        <v>B31</v>
      </c>
      <c r="E28" t="str">
        <f t="shared" ca="1" si="2"/>
        <v/>
      </c>
      <c r="F28" t="str">
        <f t="shared" ca="1" si="11"/>
        <v xml:space="preserve">Enter a value for 'County' in cell B31.
</v>
      </c>
      <c r="G28"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v>
      </c>
    </row>
    <row r="29" spans="1:8" ht="15" customHeight="1">
      <c r="A29" t="str">
        <f t="shared" ca="1" si="12"/>
        <v xml:space="preserve">Enter a value for 'Census Tract' in cell B32.
</v>
      </c>
      <c r="B29">
        <f>ROW(Application!A32)</f>
        <v>32</v>
      </c>
      <c r="C29" t="str">
        <f t="shared" ca="1" si="0"/>
        <v>Census Tract</v>
      </c>
      <c r="D29" t="str">
        <f t="shared" si="10"/>
        <v>B32</v>
      </c>
      <c r="E29" t="str">
        <f t="shared" ca="1" si="2"/>
        <v/>
      </c>
      <c r="F29" t="str">
        <f t="shared" ca="1" si="11"/>
        <v xml:space="preserve">Enter a value for 'Census Tract' in cell B32.
</v>
      </c>
      <c r="G2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v>
      </c>
    </row>
    <row r="30" spans="1:8" ht="15" customHeight="1">
      <c r="A30" t="str">
        <f t="shared" ca="1" si="12"/>
        <v xml:space="preserve">Enter a value for 'State Senate District' in cell B33.
</v>
      </c>
      <c r="B30">
        <f>ROW(Application!A33)</f>
        <v>33</v>
      </c>
      <c r="C30" t="str">
        <f t="shared" ca="1" si="0"/>
        <v>State Senate District</v>
      </c>
      <c r="D30" t="str">
        <f t="shared" si="10"/>
        <v>B33</v>
      </c>
      <c r="E30" t="str">
        <f t="shared" ca="1" si="2"/>
        <v/>
      </c>
      <c r="F30" t="str">
        <f t="shared" ca="1" si="11"/>
        <v xml:space="preserve">Enter a value for 'State Senate District' in cell B33.
</v>
      </c>
      <c r="G3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v>
      </c>
    </row>
    <row r="31" spans="1:8" ht="15" customHeight="1">
      <c r="A31" t="str">
        <f t="shared" ca="1" si="12"/>
        <v xml:space="preserve">Enter a value for 'State House District' in cell B34.
</v>
      </c>
      <c r="B31">
        <f>ROW(Application!A34)</f>
        <v>34</v>
      </c>
      <c r="C31" t="str">
        <f t="shared" ca="1" si="0"/>
        <v>State House District</v>
      </c>
      <c r="D31" t="str">
        <f t="shared" si="10"/>
        <v>B34</v>
      </c>
      <c r="E31" t="str">
        <f t="shared" ca="1" si="2"/>
        <v/>
      </c>
      <c r="F31" t="str">
        <f t="shared" ca="1" si="11"/>
        <v xml:space="preserve">Enter a value for 'State House District' in cell B34.
</v>
      </c>
      <c r="G3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v>
      </c>
    </row>
    <row r="32" spans="1:8" ht="15" customHeight="1">
      <c r="A32" t="str">
        <f t="shared" ca="1" si="12"/>
        <v xml:space="preserve">Enter a value for 'Congressional District' in cell B35.
</v>
      </c>
      <c r="B32">
        <f>ROW(Application!A35)</f>
        <v>35</v>
      </c>
      <c r="C32" t="str">
        <f t="shared" ca="1" si="0"/>
        <v>Congressional District</v>
      </c>
      <c r="D32" t="str">
        <f t="shared" si="10"/>
        <v>B35</v>
      </c>
      <c r="E32" t="str">
        <f t="shared" ca="1" si="2"/>
        <v/>
      </c>
      <c r="F32" t="str">
        <f t="shared" ca="1" si="11"/>
        <v xml:space="preserve">Enter a value for 'Congressional District' in cell B35.
</v>
      </c>
      <c r="G3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v>
      </c>
    </row>
    <row r="33" spans="1:7" ht="15" customHeight="1">
      <c r="A33" t="str">
        <f t="shared" ca="1" si="12"/>
        <v xml:space="preserve">Enter a value for 'Site Control' in cell B36.
</v>
      </c>
      <c r="B33">
        <f>ROW(Application!A36)</f>
        <v>36</v>
      </c>
      <c r="C33" t="str">
        <f t="shared" ca="1" si="0"/>
        <v>Site Control</v>
      </c>
      <c r="D33" t="str">
        <f t="shared" si="10"/>
        <v>B36</v>
      </c>
      <c r="E33" t="str">
        <f t="shared" ca="1" si="2"/>
        <v/>
      </c>
      <c r="F33" t="str">
        <f t="shared" ca="1" si="11"/>
        <v xml:space="preserve">Enter a value for 'Site Control' in cell B36.
</v>
      </c>
      <c r="G33"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v>
      </c>
    </row>
    <row r="34" spans="1:7" ht="15" customHeight="1">
      <c r="A34" t="str">
        <f t="shared" ref="A34:A36" ca="1" si="13">IF(E34="",F34, "")</f>
        <v xml:space="preserve">Enter a value for 'Identify current Owner/Seller/Lessor ' in cell B37.
</v>
      </c>
      <c r="B34">
        <f>ROW(Application!A37)</f>
        <v>37</v>
      </c>
      <c r="C34" t="str">
        <f t="shared" ref="C34:C36" ca="1" si="14">INDIRECT($F$3 &amp; ADDRESS(B34, 1,4  ))</f>
        <v xml:space="preserve">Identify current Owner/Seller/Lessor </v>
      </c>
      <c r="D34" t="str">
        <f t="shared" ref="D34:D36" si="15">ADDRESS(B34, 2,4  )</f>
        <v>B37</v>
      </c>
      <c r="E34" t="str">
        <f t="shared" ref="E34:E36" ca="1" si="16">IF(ISBLANK( INDIRECT($F$3 &amp; D34)),"", INDIRECT($F$3 &amp; D34))</f>
        <v/>
      </c>
      <c r="F34" t="str">
        <f t="shared" ref="F34:F36" ca="1" si="17">CONCATENATE("Enter a value for '", C34, "' in cell ", D34, ".", CHAR(10))</f>
        <v xml:space="preserve">Enter a value for 'Identify current Owner/Seller/Lessor ' in cell B37.
</v>
      </c>
      <c r="G34" s="9" t="str">
        <f t="shared" ref="G34:G36" ca="1" si="18">OFFSET(G34, -1, 0) &amp; A34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v>
      </c>
    </row>
    <row r="35" spans="1:7" ht="15" customHeight="1">
      <c r="A35" t="str">
        <f t="shared" ca="1" si="13"/>
        <v xml:space="preserve">Enter a value for 'Related Party? ' in cell B38.
</v>
      </c>
      <c r="B35">
        <f>ROW(Application!A38)</f>
        <v>38</v>
      </c>
      <c r="C35" t="str">
        <f t="shared" ca="1" si="14"/>
        <v xml:space="preserve">Related Party? </v>
      </c>
      <c r="D35" t="str">
        <f t="shared" si="15"/>
        <v>B38</v>
      </c>
      <c r="E35" t="str">
        <f t="shared" ca="1" si="16"/>
        <v/>
      </c>
      <c r="F35" t="str">
        <f t="shared" ca="1" si="17"/>
        <v xml:space="preserve">Enter a value for 'Related Party? ' in cell B38.
</v>
      </c>
      <c r="G35" s="9" t="str">
        <f t="shared" ca="1" si="18"/>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v>
      </c>
    </row>
    <row r="36" spans="1:7" ht="15" customHeight="1">
      <c r="A36" t="str">
        <f t="shared" ca="1" si="13"/>
        <v xml:space="preserve">Enter a value for 'If yes please explain related party ' in cell B39.
</v>
      </c>
      <c r="B36">
        <f>ROW(Application!A39)</f>
        <v>39</v>
      </c>
      <c r="C36" t="str">
        <f t="shared" ca="1" si="14"/>
        <v xml:space="preserve">If yes please explain related party </v>
      </c>
      <c r="D36" t="str">
        <f t="shared" si="15"/>
        <v>B39</v>
      </c>
      <c r="E36" t="str">
        <f t="shared" ca="1" si="16"/>
        <v/>
      </c>
      <c r="F36" t="str">
        <f t="shared" ca="1" si="17"/>
        <v xml:space="preserve">Enter a value for 'If yes please explain related party ' in cell B39.
</v>
      </c>
      <c r="G36" s="9" t="str">
        <f t="shared" ca="1" si="18"/>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v>
      </c>
    </row>
    <row r="37" spans="1:7" ht="15" customHeight="1">
      <c r="A37" t="str">
        <f t="shared" ca="1" si="12"/>
        <v xml:space="preserve">Enter a value for 'Is the site properly zoned?' in cell B40.
</v>
      </c>
      <c r="B37">
        <f>ROW(Application!A40)</f>
        <v>40</v>
      </c>
      <c r="C37" t="str">
        <f t="shared" ca="1" si="0"/>
        <v>Is the site properly zoned?</v>
      </c>
      <c r="D37" t="str">
        <f t="shared" si="10"/>
        <v>B40</v>
      </c>
      <c r="E37" t="str">
        <f t="shared" ca="1" si="2"/>
        <v/>
      </c>
      <c r="F37" t="str">
        <f t="shared" ca="1" si="11"/>
        <v xml:space="preserve">Enter a value for 'Is the site properly zoned?' in cell B40.
</v>
      </c>
      <c r="G37"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v>
      </c>
    </row>
    <row r="38" spans="1:7" ht="15" customHeight="1">
      <c r="A38" t="str">
        <f t="shared" ref="A38" ca="1" si="19">IF(E38="",F38, "")</f>
        <v xml:space="preserve">Enter a value for 'Does Zoning meet parking ratio requirements?' in cell B41.
</v>
      </c>
      <c r="B38">
        <f>ROW(Application!A41)</f>
        <v>41</v>
      </c>
      <c r="C38" t="str">
        <f t="shared" ref="C38" ca="1" si="20">INDIRECT($F$3 &amp; ADDRESS(B38, 1,4  ))</f>
        <v>Does Zoning meet parking ratio requirements?</v>
      </c>
      <c r="D38" t="str">
        <f t="shared" ref="D38" si="21">ADDRESS(B38, 2,4  )</f>
        <v>B41</v>
      </c>
      <c r="E38" t="str">
        <f t="shared" ref="E38" ca="1" si="22">IF(ISBLANK( INDIRECT($F$3 &amp; D38)),"", INDIRECT($F$3 &amp; D38))</f>
        <v/>
      </c>
      <c r="F38" t="str">
        <f t="shared" ref="F38" ca="1" si="23">CONCATENATE("Enter a value for '", C38, "' in cell ", D38, ".", CHAR(10))</f>
        <v xml:space="preserve">Enter a value for 'Does Zoning meet parking ratio requirements?' in cell B41.
</v>
      </c>
      <c r="G38" s="9" t="str">
        <f t="shared" ref="G38" ca="1" si="24">OFFSET(G38, -1, 0) &amp; A38</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v>
      </c>
    </row>
    <row r="39" spans="1:7" ht="15" customHeight="1">
      <c r="A39" t="str">
        <f t="shared" ca="1" si="12"/>
        <v xml:space="preserve">Enter a value for 'Are all utilities available for the development?' in cell B43.
</v>
      </c>
      <c r="B39">
        <f>ROW(Application!A43)</f>
        <v>43</v>
      </c>
      <c r="C39" t="str">
        <f t="shared" ca="1" si="0"/>
        <v>Are all utilities available for the development?</v>
      </c>
      <c r="D39" t="str">
        <f t="shared" si="10"/>
        <v>B43</v>
      </c>
      <c r="E39" t="str">
        <f t="shared" ca="1" si="2"/>
        <v/>
      </c>
      <c r="F39" t="str">
        <f t="shared" ca="1" si="11"/>
        <v xml:space="preserve">Enter a value for 'Are all utilities available for the development?' in cell B43.
</v>
      </c>
      <c r="G3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v>
      </c>
    </row>
    <row r="40" spans="1:7" ht="15" customHeight="1">
      <c r="A40" t="str">
        <f t="shared" ca="1" si="12"/>
        <v xml:space="preserve">Enter a value for 'Heating Type In-Unit' in cell B44.
</v>
      </c>
      <c r="B40">
        <f>ROW(Application!A44)</f>
        <v>44</v>
      </c>
      <c r="C40" t="str">
        <f t="shared" ca="1" si="0"/>
        <v>Heating Type In-Unit</v>
      </c>
      <c r="D40" t="str">
        <f t="shared" si="10"/>
        <v>B44</v>
      </c>
      <c r="E40" t="str">
        <f t="shared" ca="1" si="2"/>
        <v/>
      </c>
      <c r="F40" t="str">
        <f t="shared" ca="1" si="11"/>
        <v xml:space="preserve">Enter a value for 'Heating Type In-Unit' in cell B44.
</v>
      </c>
      <c r="G4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v>
      </c>
    </row>
    <row r="41" spans="1:7" ht="15" customHeight="1">
      <c r="A41" t="str">
        <f t="shared" ref="A41" ca="1" si="25">IF(E41="",F41, "")</f>
        <v xml:space="preserve">Enter a value for 'Heating Type Common Area' in cell B45.
</v>
      </c>
      <c r="B41">
        <f>ROW(Application!A45)</f>
        <v>45</v>
      </c>
      <c r="C41" t="str">
        <f t="shared" ref="C41" ca="1" si="26">INDIRECT($F$3 &amp; ADDRESS(B41, 1,4  ))</f>
        <v>Heating Type Common Area</v>
      </c>
      <c r="D41" t="str">
        <f t="shared" ref="D41" si="27">ADDRESS(B41, 2,4  )</f>
        <v>B45</v>
      </c>
      <c r="E41" t="str">
        <f t="shared" ref="E41" ca="1" si="28">IF(ISBLANK( INDIRECT($F$3 &amp; D41)),"", INDIRECT($F$3 &amp; D41))</f>
        <v/>
      </c>
      <c r="F41" t="str">
        <f t="shared" ref="F41" ca="1" si="29">CONCATENATE("Enter a value for '", C41, "' in cell ", D41, ".", CHAR(10))</f>
        <v xml:space="preserve">Enter a value for 'Heating Type Common Area' in cell B45.
</v>
      </c>
      <c r="G41" s="9" t="str">
        <f t="shared" ref="G41" ca="1" si="30">OFFSET(G41, -1, 0) &amp; A41</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v>
      </c>
    </row>
    <row r="42" spans="1:7" ht="15.75" customHeight="1">
      <c r="A42" t="str">
        <f t="shared" ca="1" si="12"/>
        <v xml:space="preserve">Enter a value for 'Cooling Type In-Unit' in cell B46.
</v>
      </c>
      <c r="B42">
        <f>ROW(Application!A46)</f>
        <v>46</v>
      </c>
      <c r="C42" t="str">
        <f t="shared" ca="1" si="0"/>
        <v>Cooling Type In-Unit</v>
      </c>
      <c r="D42" t="str">
        <f t="shared" si="10"/>
        <v>B46</v>
      </c>
      <c r="E42" t="str">
        <f t="shared" ca="1" si="2"/>
        <v/>
      </c>
      <c r="F42" t="str">
        <f t="shared" ca="1" si="11"/>
        <v xml:space="preserve">Enter a value for 'Cooling Type In-Unit' in cell B46.
</v>
      </c>
      <c r="G42"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v>
      </c>
    </row>
    <row r="43" spans="1:7" ht="15.75" customHeight="1">
      <c r="A43" t="str">
        <f t="shared" ref="A43:A46" ca="1" si="31">IF(E43="",F43, "")</f>
        <v xml:space="preserve">Enter a value for 'Cooling Type Common Area' in cell B47.
</v>
      </c>
      <c r="B43">
        <f>ROW(Application!A47)</f>
        <v>47</v>
      </c>
      <c r="C43" t="str">
        <f t="shared" ref="C43:C46" ca="1" si="32">INDIRECT($F$3 &amp; ADDRESS(B43, 1,4  ))</f>
        <v>Cooling Type Common Area</v>
      </c>
      <c r="D43" t="str">
        <f t="shared" ref="D43:D46" si="33">ADDRESS(B43, 2,4  )</f>
        <v>B47</v>
      </c>
      <c r="E43" t="str">
        <f t="shared" ref="E43:E46" ca="1" si="34">IF(ISBLANK( INDIRECT($F$3 &amp; D43)),"", INDIRECT($F$3 &amp; D43))</f>
        <v/>
      </c>
      <c r="F43" t="str">
        <f t="shared" ref="F43:F46" ca="1" si="35">CONCATENATE("Enter a value for '", C43, "' in cell ", D43, ".", CHAR(10))</f>
        <v xml:space="preserve">Enter a value for 'Cooling Type Common Area' in cell B47.
</v>
      </c>
      <c r="G43" s="9" t="str">
        <f t="shared" ref="G43:G46" ca="1" si="36">OFFSET(G43, -1, 0) &amp; A43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v>
      </c>
    </row>
    <row r="44" spans="1:7" ht="15.75" customHeight="1">
      <c r="A44" t="str">
        <f t="shared" ca="1" si="31"/>
        <v xml:space="preserve">Enter a value for 'HVAC System In-Unit' in cell B48.
</v>
      </c>
      <c r="B44">
        <f>ROW(Application!A48)</f>
        <v>48</v>
      </c>
      <c r="C44" t="str">
        <f t="shared" ca="1" si="32"/>
        <v>HVAC System In-Unit</v>
      </c>
      <c r="D44" t="str">
        <f t="shared" si="33"/>
        <v>B48</v>
      </c>
      <c r="E44" t="str">
        <f t="shared" ca="1" si="34"/>
        <v/>
      </c>
      <c r="F44" t="str">
        <f t="shared" ca="1" si="35"/>
        <v xml:space="preserve">Enter a value for 'HVAC System In-Unit' in cell B48.
</v>
      </c>
      <c r="G44"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v>
      </c>
    </row>
    <row r="45" spans="1:7" ht="15.75" customHeight="1">
      <c r="A45" t="str">
        <f t="shared" ca="1" si="31"/>
        <v xml:space="preserve">Enter a value for 'Hot Water Heating Type' in cell B49.
</v>
      </c>
      <c r="B45">
        <f>ROW(Application!A49)</f>
        <v>49</v>
      </c>
      <c r="C45" t="str">
        <f t="shared" ca="1" si="32"/>
        <v>Hot Water Heating Type</v>
      </c>
      <c r="D45" t="str">
        <f t="shared" si="33"/>
        <v>B49</v>
      </c>
      <c r="E45" t="str">
        <f t="shared" ca="1" si="34"/>
        <v/>
      </c>
      <c r="F45" t="str">
        <f t="shared" ca="1" si="35"/>
        <v xml:space="preserve">Enter a value for 'Hot Water Heating Type' in cell B49.
</v>
      </c>
      <c r="G45"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v>
      </c>
    </row>
    <row r="46" spans="1:7" ht="15.75" customHeight="1">
      <c r="A46" t="str">
        <f t="shared" ca="1" si="31"/>
        <v xml:space="preserve">Enter a value for 'Ventalation System' in cell B50.
</v>
      </c>
      <c r="B46">
        <f>ROW(Application!A50)</f>
        <v>50</v>
      </c>
      <c r="C46" t="str">
        <f t="shared" ca="1" si="32"/>
        <v>Ventalation System</v>
      </c>
      <c r="D46" t="str">
        <f t="shared" si="33"/>
        <v>B50</v>
      </c>
      <c r="E46" t="str">
        <f t="shared" ca="1" si="34"/>
        <v/>
      </c>
      <c r="F46" t="str">
        <f t="shared" ca="1" si="35"/>
        <v xml:space="preserve">Enter a value for 'Ventalation System' in cell B50.
</v>
      </c>
      <c r="G46" s="9" t="str">
        <f t="shared" ca="1" si="36"/>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v>
      </c>
    </row>
    <row r="47" spans="1:7" ht="15" customHeight="1">
      <c r="A47" t="str">
        <f t="shared" ref="A47" ca="1" si="37">IF(E47="",F47, "")</f>
        <v xml:space="preserve">Enter a value for 'All-Electric Development' in cell B51.
</v>
      </c>
      <c r="B47">
        <f>ROW(Application!A51)</f>
        <v>51</v>
      </c>
      <c r="C47" t="str">
        <f t="shared" ref="C47" ca="1" si="38">INDIRECT($F$3 &amp; ADDRESS(B47, 1,4  ))</f>
        <v>All-Electric Development</v>
      </c>
      <c r="D47" t="str">
        <f t="shared" ref="D47" si="39">ADDRESS(B47, 2,4  )</f>
        <v>B51</v>
      </c>
      <c r="E47" t="str">
        <f t="shared" ref="E47" ca="1" si="40">IF(ISBLANK( INDIRECT($F$3 &amp; D47)),"", INDIRECT($F$3 &amp; D47))</f>
        <v/>
      </c>
      <c r="F47" t="str">
        <f t="shared" ref="F47" ca="1" si="41">CONCATENATE("Enter a value for '", C47, "' in cell ", D47, ".", CHAR(10))</f>
        <v xml:space="preserve">Enter a value for 'All-Electric Development' in cell B51.
</v>
      </c>
      <c r="G47" s="9" t="str">
        <f t="shared" ref="G47" ca="1" si="42">OFFSET(G47, -1, 0) &amp; A47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v>
      </c>
    </row>
    <row r="48" spans="1:7" ht="15" customHeight="1">
      <c r="A48" t="str">
        <f t="shared" ref="A48" ca="1" si="43">IF(E48="",F48, "")</f>
        <v xml:space="preserve">Enter a value for 'Electrification-Ready Development' in cell B52.
</v>
      </c>
      <c r="B48">
        <f>ROW(Application!A52)</f>
        <v>52</v>
      </c>
      <c r="C48" t="str">
        <f t="shared" ref="C48" ca="1" si="44">INDIRECT($F$3 &amp; ADDRESS(B48, 1,4  ))</f>
        <v>Electrification-Ready Development</v>
      </c>
      <c r="D48" t="str">
        <f t="shared" ref="D48" si="45">ADDRESS(B48, 2,4  )</f>
        <v>B52</v>
      </c>
      <c r="E48" t="str">
        <f t="shared" ref="E48" ca="1" si="46">IF(ISBLANK( INDIRECT($F$3 &amp; D48)),"", INDIRECT($F$3 &amp; D48))</f>
        <v/>
      </c>
      <c r="F48" t="str">
        <f t="shared" ref="F48" ca="1" si="47">CONCATENATE("Enter a value for '", C48, "' in cell ", D48, ".", CHAR(10))</f>
        <v xml:space="preserve">Enter a value for 'Electrification-Ready Development' in cell B52.
</v>
      </c>
      <c r="G48" s="9" t="str">
        <f t="shared" ref="G48" ca="1" si="48">OFFSET(G48, -1, 0) &amp; A48</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v>
      </c>
    </row>
    <row r="49" spans="1:13" ht="15" customHeight="1">
      <c r="A49" t="str">
        <f t="shared" ca="1" si="12"/>
        <v xml:space="preserve">Enter a value for 'Green Systems' in cell B53.
</v>
      </c>
      <c r="B49">
        <f>ROW(Application!A53)</f>
        <v>53</v>
      </c>
      <c r="C49" t="str">
        <f t="shared" ca="1" si="0"/>
        <v>Green Systems</v>
      </c>
      <c r="D49" t="str">
        <f t="shared" si="10"/>
        <v>B53</v>
      </c>
      <c r="E49" t="str">
        <f t="shared" ca="1" si="2"/>
        <v/>
      </c>
      <c r="F49" t="str">
        <f t="shared" ca="1" si="11"/>
        <v xml:space="preserve">Enter a value for 'Green Systems' in cell B53.
</v>
      </c>
      <c r="G49"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v>
      </c>
    </row>
    <row r="50" spans="1:13" ht="15" customHeight="1">
      <c r="A50" t="str">
        <f t="shared" ca="1" si="12"/>
        <v xml:space="preserve">Enter a value for 'Type of Energy Efficiency Certification' in cell B54.
</v>
      </c>
      <c r="B50">
        <f>ROW(Application!A54)</f>
        <v>54</v>
      </c>
      <c r="C50" t="str">
        <f t="shared" ca="1" si="0"/>
        <v>Type of Energy Efficiency Certification</v>
      </c>
      <c r="D50" t="str">
        <f t="shared" si="10"/>
        <v>B54</v>
      </c>
      <c r="E50" t="str">
        <f t="shared" ca="1" si="2"/>
        <v/>
      </c>
      <c r="F50" t="str">
        <f t="shared" ca="1" si="11"/>
        <v xml:space="preserve">Enter a value for 'Type of Energy Efficiency Certification' in cell B54.
</v>
      </c>
      <c r="G50"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v>
      </c>
    </row>
    <row r="51" spans="1:13" ht="15" customHeight="1">
      <c r="A51" t="str">
        <f t="shared" ref="A51" ca="1" si="49">IF(E51="",F51, "")</f>
        <v xml:space="preserve">Enter a value for 'Radon Mitigation' in cell B55.
</v>
      </c>
      <c r="B51">
        <f>ROW(Application!A55)</f>
        <v>55</v>
      </c>
      <c r="C51" t="str">
        <f t="shared" ref="C51" ca="1" si="50">INDIRECT($F$3 &amp; ADDRESS(B51, 1,4  ))</f>
        <v>Radon Mitigation</v>
      </c>
      <c r="D51" t="str">
        <f t="shared" ref="D51" si="51">ADDRESS(B51, 2,4  )</f>
        <v>B55</v>
      </c>
      <c r="E51" t="str">
        <f t="shared" ref="E51" ca="1" si="52">IF(ISBLANK( INDIRECT($F$3 &amp; D51)),"", INDIRECT($F$3 &amp; D51))</f>
        <v/>
      </c>
      <c r="F51" t="str">
        <f t="shared" ref="F51" ca="1" si="53">CONCATENATE("Enter a value for '", C51, "' in cell ", D51, ".", CHAR(10))</f>
        <v xml:space="preserve">Enter a value for 'Radon Mitigation' in cell B55.
</v>
      </c>
      <c r="G51" s="9" t="str">
        <f t="shared" ca="1" si="3"/>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v>
      </c>
    </row>
    <row r="52" spans="1:13" ht="15" customHeight="1">
      <c r="A52" t="str">
        <f t="shared" ref="A52" ca="1" si="54">IF(E52="",F52, "")</f>
        <v xml:space="preserve">Enter a value for 'Water-Wise Landscaping' in cell B56.
</v>
      </c>
      <c r="B52">
        <f>ROW(Application!A56)</f>
        <v>56</v>
      </c>
      <c r="C52" t="str">
        <f t="shared" ref="C52" ca="1" si="55">INDIRECT($F$3 &amp; ADDRESS(B52, 1,4  ))</f>
        <v>Water-Wise Landscaping</v>
      </c>
      <c r="D52" t="str">
        <f t="shared" ref="D52" si="56">ADDRESS(B52, 2,4  )</f>
        <v>B56</v>
      </c>
      <c r="E52" t="str">
        <f t="shared" ref="E52" ca="1" si="57">IF(ISBLANK( INDIRECT($F$3 &amp; D52)),"", INDIRECT($F$3 &amp; D52))</f>
        <v/>
      </c>
      <c r="F52" t="str">
        <f t="shared" ref="F52" ca="1" si="58">CONCATENATE("Enter a value for '", C52, "' in cell ", D52, ".", CHAR(10))</f>
        <v xml:space="preserve">Enter a value for 'Water-Wise Landscaping' in cell B56.
</v>
      </c>
      <c r="G52" s="9" t="str">
        <f t="shared" ref="G52" ca="1" si="59">OFFSET(G52, -1, 0) &amp; A52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v>
      </c>
    </row>
    <row r="53" spans="1:13" ht="15" customHeight="1">
      <c r="A53" t="str">
        <f t="shared" ref="A53:A60" ca="1" si="60">IF(E53="",F53, "")</f>
        <v xml:space="preserve">Enter a value for 'Number of Residential Building(s)' in cell B57.
</v>
      </c>
      <c r="B53">
        <f>ROW(Application!A57)</f>
        <v>57</v>
      </c>
      <c r="C53" t="str">
        <f t="shared" ref="C53:C96" ca="1" si="61">INDIRECT($F$3 &amp; ADDRESS(B53, 1,4  ))</f>
        <v>Number of Residential Building(s)</v>
      </c>
      <c r="D53" t="str">
        <f t="shared" ref="D53:D96" si="62">ADDRESS(B53, 2,4  )</f>
        <v>B57</v>
      </c>
      <c r="E53" t="str">
        <f t="shared" ref="E53:E96" ca="1" si="63">IF(ISBLANK( INDIRECT($F$3 &amp; D53)),"", INDIRECT($F$3 &amp; D53))</f>
        <v/>
      </c>
      <c r="F53" t="str">
        <f t="shared" ref="F53:F61" ca="1" si="64">CONCATENATE("Enter a value for '", C53, "' in cell ", D53, ".", CHAR(10))</f>
        <v xml:space="preserve">Enter a value for 'Number of Residential Building(s)' in cell B57.
</v>
      </c>
      <c r="G53" s="9" t="str">
        <f t="shared" ref="G53:G91" ca="1" si="65">OFFSET(G53, -1, 0) &amp; A53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v>
      </c>
    </row>
    <row r="54" spans="1:13" ht="15" customHeight="1">
      <c r="A54" t="str">
        <f t="shared" ref="A54" ca="1" si="66">IF(E54="",F54, "")</f>
        <v xml:space="preserve">Enter a value for 'Number of Floors in the Tallest Building' in cell B58.
</v>
      </c>
      <c r="B54">
        <f>ROW(Application!A58)</f>
        <v>58</v>
      </c>
      <c r="C54" t="str">
        <f t="shared" ref="C54" ca="1" si="67">INDIRECT($F$3 &amp; ADDRESS(B54, 1,4  ))</f>
        <v>Number of Floors in the Tallest Building</v>
      </c>
      <c r="D54" t="str">
        <f t="shared" ref="D54" si="68">ADDRESS(B54, 2,4  )</f>
        <v>B58</v>
      </c>
      <c r="E54" t="str">
        <f t="shared" ref="E54" ca="1" si="69">IF(ISBLANK( INDIRECT($F$3 &amp; D54)),"", INDIRECT($F$3 &amp; D54))</f>
        <v/>
      </c>
      <c r="F54" t="str">
        <f t="shared" ref="F54" ca="1" si="70">CONCATENATE("Enter a value for '", C54, "' in cell ", D54, ".", CHAR(10))</f>
        <v xml:space="preserve">Enter a value for 'Number of Floors in the Tallest Building' in cell B58.
</v>
      </c>
      <c r="G54" s="9" t="str">
        <f t="shared" ref="G54" ca="1" si="71">OFFSET(G54, -1, 0) &amp; A54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v>
      </c>
      <c r="H54" s="818" cm="1">
        <f t="array" aca="1" ref="H54" ca="1">SUMPRODUCT(--ISTEXT(INDIRECT(J54)))</f>
        <v>0</v>
      </c>
      <c r="I54" s="818" cm="1">
        <f t="array" aca="1" ref="I54" ca="1">SUMPRODUCT(--ISNUMBER(INDIRECT(J54)))</f>
        <v>0</v>
      </c>
      <c r="J54" s="819" t="s">
        <v>3840</v>
      </c>
      <c r="K54" s="820"/>
      <c r="L54" s="820"/>
      <c r="M54" s="821" t="s">
        <v>3841</v>
      </c>
    </row>
    <row r="55" spans="1:13" ht="15" customHeight="1">
      <c r="A55" t="str">
        <f t="shared" ca="1" si="60"/>
        <v xml:space="preserve">Enter a value for 'Building Construction' in cell B59.
</v>
      </c>
      <c r="B55">
        <f>ROW(Application!A59)</f>
        <v>59</v>
      </c>
      <c r="C55" t="str">
        <f t="shared" ca="1" si="61"/>
        <v>Building Construction</v>
      </c>
      <c r="D55" t="str">
        <f t="shared" si="62"/>
        <v>B59</v>
      </c>
      <c r="E55" t="str">
        <f t="shared" ca="1" si="63"/>
        <v/>
      </c>
      <c r="F55" t="str">
        <f t="shared" ca="1" si="64"/>
        <v xml:space="preserve">Enter a value for 'Building Construction' in cell B59.
</v>
      </c>
      <c r="G55"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v>
      </c>
    </row>
    <row r="56" spans="1:13" ht="15" customHeight="1">
      <c r="A56" t="str">
        <f t="shared" ca="1" si="60"/>
        <v xml:space="preserve">Enter a value for 'Building Type' in cell B60.
</v>
      </c>
      <c r="B56">
        <f>ROW(Application!A60)</f>
        <v>60</v>
      </c>
      <c r="C56" t="str">
        <f t="shared" ca="1" si="61"/>
        <v>Building Type</v>
      </c>
      <c r="D56" t="str">
        <f t="shared" si="62"/>
        <v>B60</v>
      </c>
      <c r="E56" t="str">
        <f t="shared" ca="1" si="63"/>
        <v/>
      </c>
      <c r="F56" t="str">
        <f t="shared" ca="1" si="64"/>
        <v xml:space="preserve">Enter a value for 'Building Type' in cell B60.
</v>
      </c>
      <c r="G56"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v>
      </c>
    </row>
    <row r="57" spans="1:13" ht="15" customHeight="1">
      <c r="A57" t="str">
        <f t="shared" ca="1" si="60"/>
        <v xml:space="preserve">Enter a value for 'Parcel Size (Site Acres)' in cell B61.
</v>
      </c>
      <c r="B57">
        <f>ROW(Application!A61)</f>
        <v>61</v>
      </c>
      <c r="C57" t="str">
        <f t="shared" ca="1" si="61"/>
        <v>Parcel Size (Site Acres)</v>
      </c>
      <c r="D57" t="str">
        <f t="shared" si="62"/>
        <v>B61</v>
      </c>
      <c r="E57" t="str">
        <f t="shared" ca="1" si="63"/>
        <v/>
      </c>
      <c r="F57" t="str">
        <f t="shared" ca="1" si="64"/>
        <v xml:space="preserve">Enter a value for 'Parcel Size (Site Acres)' in cell B61.
</v>
      </c>
      <c r="G57"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v>
      </c>
    </row>
    <row r="58" spans="1:13" ht="15" customHeight="1">
      <c r="A58" t="str">
        <f t="shared" ca="1" si="60"/>
        <v xml:space="preserve">Enter a value for 'Common Space Square Footage' in cell B62.
</v>
      </c>
      <c r="B58">
        <f>ROW(Application!A62)</f>
        <v>62</v>
      </c>
      <c r="C58" t="str">
        <f t="shared" ca="1" si="61"/>
        <v>Common Space Square Footage</v>
      </c>
      <c r="D58" t="str">
        <f t="shared" si="62"/>
        <v>B62</v>
      </c>
      <c r="E58" t="str">
        <f t="shared" ca="1" si="63"/>
        <v/>
      </c>
      <c r="F58" t="str">
        <f t="shared" ca="1" si="64"/>
        <v xml:space="preserve">Enter a value for 'Common Space Square Footage' in cell B62.
</v>
      </c>
      <c r="G5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v>
      </c>
    </row>
    <row r="59" spans="1:13" ht="15" customHeight="1">
      <c r="A59" t="str">
        <f t="shared" ca="1" si="60"/>
        <v xml:space="preserve">Enter a value for 'Commercial Space Square Footage' in cell B63.
</v>
      </c>
      <c r="B59">
        <f>ROW(Application!A63)</f>
        <v>63</v>
      </c>
      <c r="C59" t="str">
        <f t="shared" ca="1" si="61"/>
        <v>Commercial Space Square Footage</v>
      </c>
      <c r="D59" t="str">
        <f t="shared" si="62"/>
        <v>B63</v>
      </c>
      <c r="E59" t="str">
        <f t="shared" ca="1" si="63"/>
        <v/>
      </c>
      <c r="F59" t="str">
        <f t="shared" ca="1" si="64"/>
        <v xml:space="preserve">Enter a value for 'Commercial Space Square Footage' in cell B63.
</v>
      </c>
      <c r="G5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v>
      </c>
    </row>
    <row r="60" spans="1:13" ht="15" customHeight="1">
      <c r="A60" t="str">
        <f t="shared" ca="1" si="60"/>
        <v xml:space="preserve">Enter a value for 'Type of Units/Housing' in cell B64.
</v>
      </c>
      <c r="B60">
        <f>ROW(Application!A64)</f>
        <v>64</v>
      </c>
      <c r="C60" t="str">
        <f t="shared" ca="1" si="61"/>
        <v>Type of Units/Housing</v>
      </c>
      <c r="D60" t="str">
        <f t="shared" si="62"/>
        <v>B64</v>
      </c>
      <c r="E60" t="str">
        <f t="shared" ca="1" si="63"/>
        <v/>
      </c>
      <c r="F60" t="str">
        <f t="shared" ca="1" si="64"/>
        <v xml:space="preserve">Enter a value for 'Type of Units/Housing' in cell B64.
</v>
      </c>
      <c r="G6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v>
      </c>
    </row>
    <row r="61" spans="1:13" ht="15" customHeight="1">
      <c r="A61" t="str">
        <f ca="1">IF(E61="",F61, "")</f>
        <v xml:space="preserve">Enter a value for 'Federal Assistance' in cell B66.
</v>
      </c>
      <c r="B61">
        <f>ROW(Application!A66)</f>
        <v>66</v>
      </c>
      <c r="C61" t="str">
        <f t="shared" ca="1" si="61"/>
        <v>Federal Assistance</v>
      </c>
      <c r="D61" t="str">
        <f t="shared" si="62"/>
        <v>B66</v>
      </c>
      <c r="E61" t="str">
        <f t="shared" ca="1" si="63"/>
        <v/>
      </c>
      <c r="F61" t="str">
        <f t="shared" ca="1" si="64"/>
        <v xml:space="preserve">Enter a value for 'Federal Assistance' in cell B66.
</v>
      </c>
      <c r="G6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v>
      </c>
    </row>
    <row r="62" spans="1:13" ht="15" customHeight="1">
      <c r="A62" s="52" t="str">
        <f ca="1">IF(AND(E68 = "Yes", E62&lt;&gt;"Yes"),F62, "")</f>
        <v/>
      </c>
      <c r="B62">
        <f>ROW(Application!A66)</f>
        <v>66</v>
      </c>
      <c r="C62" t="str">
        <f t="shared" ca="1" si="61"/>
        <v>Federal Assistance</v>
      </c>
      <c r="D62" t="str">
        <f t="shared" si="62"/>
        <v>B66</v>
      </c>
      <c r="E62" t="str">
        <f ca="1">IF(ISBLANK( INDIRECT($F$3 &amp; D62)),"", INDIRECT($F$3 &amp; D62))</f>
        <v/>
      </c>
      <c r="F62" t="str">
        <f ca="1">CONCATENATE("Yes is requied for '", C62, "' in cell ", D62, " when using Tax Exempt Bond Financing.", CHAR(10))</f>
        <v xml:space="preserve">Yes is requied for 'Federal Assistance' in cell B66 when using Tax Exempt Bond Financing.
</v>
      </c>
      <c r="G62"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v>
      </c>
    </row>
    <row r="63" spans="1:13" ht="15" customHeight="1">
      <c r="A63" t="str">
        <f ca="1">IF(E63="",F63, "")</f>
        <v xml:space="preserve">Enter a value for 'USDA Rural Development Sect. 515' in cell B67.
</v>
      </c>
      <c r="B63">
        <f>ROW(Application!A67)</f>
        <v>67</v>
      </c>
      <c r="C63" t="str">
        <f t="shared" ca="1" si="61"/>
        <v>USDA Rural Development Sect. 515</v>
      </c>
      <c r="D63" t="str">
        <f t="shared" si="62"/>
        <v>B67</v>
      </c>
      <c r="E63" t="str">
        <f t="shared" ca="1" si="63"/>
        <v/>
      </c>
      <c r="F63" t="str">
        <f t="shared" ref="F63:F68" ca="1" si="72">CONCATENATE("Enter a value for '", C63, "' in cell ", D63, ".", CHAR(10))</f>
        <v xml:space="preserve">Enter a value for 'USDA Rural Development Sect. 515' in cell B67.
</v>
      </c>
      <c r="G63"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v>
      </c>
    </row>
    <row r="64" spans="1:13" ht="15" customHeight="1">
      <c r="A64" t="str">
        <f t="shared" ref="A64:A68" ca="1" si="73">IF(E64="",F64, "")</f>
        <v xml:space="preserve">Enter a value for 'USDA Rural Development Sect. 514 (Farmworker)' in cell B68.
</v>
      </c>
      <c r="B64">
        <f>ROW(Application!A68)</f>
        <v>68</v>
      </c>
      <c r="C64" t="str">
        <f t="shared" ca="1" si="61"/>
        <v>USDA Rural Development Sect. 514 (Farmworker)</v>
      </c>
      <c r="D64" t="str">
        <f t="shared" si="62"/>
        <v>B68</v>
      </c>
      <c r="E64" t="str">
        <f t="shared" ca="1" si="63"/>
        <v/>
      </c>
      <c r="F64" t="str">
        <f t="shared" ca="1" si="72"/>
        <v xml:space="preserve">Enter a value for 'USDA Rural Development Sect. 514 (Farmworker)' in cell B68.
</v>
      </c>
      <c r="G64"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v>
      </c>
    </row>
    <row r="65" spans="1:7" ht="15" customHeight="1">
      <c r="A65" t="str">
        <f t="shared" ca="1" si="73"/>
        <v xml:space="preserve">Enter a value for 'FHA Insurance-221(d)(4) ' in cell B69.
</v>
      </c>
      <c r="B65">
        <f>ROW(Application!A69)</f>
        <v>69</v>
      </c>
      <c r="C65" t="str">
        <f t="shared" ca="1" si="61"/>
        <v xml:space="preserve">FHA Insurance-221(d)(4) </v>
      </c>
      <c r="D65" t="str">
        <f t="shared" si="62"/>
        <v>B69</v>
      </c>
      <c r="E65" t="str">
        <f t="shared" ca="1" si="63"/>
        <v/>
      </c>
      <c r="F65" t="str">
        <f t="shared" ca="1" si="72"/>
        <v xml:space="preserve">Enter a value for 'FHA Insurance-221(d)(4) ' in cell B69.
</v>
      </c>
      <c r="G65"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v>
      </c>
    </row>
    <row r="66" spans="1:7" ht="15" customHeight="1">
      <c r="A66" t="str">
        <f t="shared" ca="1" si="73"/>
        <v xml:space="preserve">Enter a value for 'FHA Insurance 223 (f)' in cell B70.
</v>
      </c>
      <c r="B66">
        <f>ROW(Application!A70)</f>
        <v>70</v>
      </c>
      <c r="C66" t="str">
        <f t="shared" ca="1" si="61"/>
        <v>FHA Insurance 223 (f)</v>
      </c>
      <c r="D66" t="str">
        <f t="shared" si="62"/>
        <v>B70</v>
      </c>
      <c r="E66" t="str">
        <f t="shared" ca="1" si="63"/>
        <v/>
      </c>
      <c r="F66" t="str">
        <f t="shared" ca="1" si="72"/>
        <v xml:space="preserve">Enter a value for 'FHA Insurance 223 (f)' in cell B70.
</v>
      </c>
      <c r="G66"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v>
      </c>
    </row>
    <row r="67" spans="1:7" ht="15" customHeight="1">
      <c r="A67" t="str">
        <f t="shared" ca="1" si="73"/>
        <v xml:space="preserve">Enter a value for 'FHA Insurance-Risk-Sharing' in cell B71.
</v>
      </c>
      <c r="B67">
        <f>ROW(Application!A71)</f>
        <v>71</v>
      </c>
      <c r="C67" t="str">
        <f t="shared" ca="1" si="61"/>
        <v>FHA Insurance-Risk-Sharing</v>
      </c>
      <c r="D67" t="str">
        <f t="shared" si="62"/>
        <v>B71</v>
      </c>
      <c r="E67" t="str">
        <f t="shared" ca="1" si="63"/>
        <v/>
      </c>
      <c r="F67" t="str">
        <f t="shared" ca="1" si="72"/>
        <v xml:space="preserve">Enter a value for 'FHA Insurance-Risk-Sharing' in cell B71.
</v>
      </c>
      <c r="G67"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v>
      </c>
    </row>
    <row r="68" spans="1:7" ht="15" customHeight="1">
      <c r="A68" t="str">
        <f t="shared" ca="1" si="73"/>
        <v xml:space="preserve">Enter a value for 'Tax Exempt Bond Financing' in cell B72.
</v>
      </c>
      <c r="B68">
        <f>ROW(Application!A72)</f>
        <v>72</v>
      </c>
      <c r="C68" t="str">
        <f t="shared" ca="1" si="61"/>
        <v>Tax Exempt Bond Financing</v>
      </c>
      <c r="D68" t="str">
        <f t="shared" si="62"/>
        <v>B72</v>
      </c>
      <c r="E68" t="str">
        <f t="shared" ca="1" si="63"/>
        <v/>
      </c>
      <c r="F68" t="str">
        <f t="shared" ca="1" si="72"/>
        <v xml:space="preserve">Enter a value for 'Tax Exempt Bond Financing' in cell B72.
</v>
      </c>
      <c r="G6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69" spans="1:7" ht="15" customHeight="1">
      <c r="A69" t="str">
        <f ca="1">IF(AND(E68="Yes", E69=""),F69, "")</f>
        <v/>
      </c>
      <c r="B69">
        <f>ROW(Application!A73)</f>
        <v>73</v>
      </c>
      <c r="C69" t="str">
        <f ca="1">INDIRECT($F$3 &amp; ADDRESS(B69, 1,4  ))</f>
        <v>Bond Issuer Name</v>
      </c>
      <c r="D69" t="str">
        <f>ADDRESS(B69, 2,4  )</f>
        <v>B73</v>
      </c>
      <c r="E69" t="str">
        <f ca="1">IF(ISBLANK( INDIRECT($F$3 &amp; D69)),"", INDIRECT($F$3 &amp; D69))</f>
        <v/>
      </c>
      <c r="F69" t="str">
        <f ca="1">CONCATENATE("Enter a value for '", C69, "' in cell ", D69, ".", CHAR(10))</f>
        <v xml:space="preserve">Enter a value for 'Bond Issuer Name' in cell B73.
</v>
      </c>
      <c r="G69" s="9" t="str">
        <f ca="1">OFFSET(G69, -1, 0) &amp; A69</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70" spans="1:7" ht="15" customHeight="1">
      <c r="A70" t="str">
        <f ca="1">IF(AND(E68="Yes", E70=""),F70, "")</f>
        <v/>
      </c>
      <c r="B70">
        <f>ROW(Application!A74)</f>
        <v>74</v>
      </c>
      <c r="C70" t="str">
        <f t="shared" ca="1" si="61"/>
        <v xml:space="preserve">Enter the Total Amount of A Bonds being issued  </v>
      </c>
      <c r="D70" t="str">
        <f t="shared" si="62"/>
        <v>B74</v>
      </c>
      <c r="E70" t="str">
        <f t="shared" ca="1" si="63"/>
        <v/>
      </c>
      <c r="F70" t="str">
        <f t="shared" ref="F70:F93" ca="1" si="74">CONCATENATE("Enter a value for '", C70, "' in cell ", D70, ".", CHAR(10))</f>
        <v xml:space="preserve">Enter a value for 'Enter the Total Amount of A Bonds being issued  ' in cell B74.
</v>
      </c>
      <c r="G7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71" spans="1:7" ht="15" customHeight="1">
      <c r="A71" t="str">
        <f ca="1">IF(AND(E68="Yes", E71=""),F71, "")</f>
        <v/>
      </c>
      <c r="B71">
        <f>ROW(Application!A75)</f>
        <v>75</v>
      </c>
      <c r="C71" t="str">
        <f t="shared" ca="1" si="61"/>
        <v xml:space="preserve">Enter the Total Amount of B Bonds being issued  </v>
      </c>
      <c r="D71" t="str">
        <f t="shared" si="62"/>
        <v>B75</v>
      </c>
      <c r="E71">
        <f t="shared" ca="1" si="63"/>
        <v>0</v>
      </c>
      <c r="F71" t="str">
        <f t="shared" ca="1" si="74"/>
        <v xml:space="preserve">Enter a value for 'Enter the Total Amount of B Bonds being issued  ' in cell B75.
</v>
      </c>
      <c r="G7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72" spans="1:7" ht="15" customHeight="1">
      <c r="B72">
        <f>ROW(Application!A76)</f>
        <v>76</v>
      </c>
      <c r="C72" t="str">
        <f t="shared" ca="1" si="61"/>
        <v xml:space="preserve">Enter the Total Amount of C Bonds being issued </v>
      </c>
      <c r="D72" t="str">
        <f t="shared" si="62"/>
        <v>B76</v>
      </c>
      <c r="E72">
        <f t="shared" ca="1" si="63"/>
        <v>0</v>
      </c>
      <c r="F72" t="str">
        <f t="shared" ca="1" si="74"/>
        <v xml:space="preserve">Enter a value for 'Enter the Total Amount of C Bonds being issued ' in cell B76.
</v>
      </c>
      <c r="G72" s="9" t="str">
        <f ca="1">OFFSET(G72, -1, 0) &amp; A72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73" spans="1:7" ht="15" customHeight="1">
      <c r="B73">
        <f>ROW(Application!A77)</f>
        <v>77</v>
      </c>
      <c r="C73" t="str">
        <f t="shared" ca="1" si="61"/>
        <v>Enter the Total Amount of Recycled Bonds being issued</v>
      </c>
      <c r="D73" t="str">
        <f t="shared" si="62"/>
        <v>B77</v>
      </c>
      <c r="E73">
        <f t="shared" ca="1" si="63"/>
        <v>0</v>
      </c>
      <c r="F73" t="str">
        <f t="shared" ca="1" si="74"/>
        <v xml:space="preserve">Enter a value for 'Enter the Total Amount of Recycled Bonds being issued' in cell B77.
</v>
      </c>
      <c r="G73" s="9" t="str">
        <f t="shared" ref="G73:G77" ca="1" si="75">OFFSET(G73, -1, 0) &amp; A73</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v>
      </c>
    </row>
    <row r="74" spans="1:7" ht="15" customHeight="1">
      <c r="A74" t="str">
        <f t="shared" ref="A74:A75" ca="1" si="76">IF(E74="",F74, "")</f>
        <v xml:space="preserve">A value of Yes for 'Enter name of Entity Transferring Bond Cap ' in cell B78 is only available for 4% non-competetive.
</v>
      </c>
      <c r="B74">
        <f>ROW(Application!A78)</f>
        <v>78</v>
      </c>
      <c r="C74" t="str">
        <f t="shared" ref="C74:C75" ca="1" si="77">INDIRECT($F$3 &amp; ADDRESS(B74, 1,4  ))</f>
        <v xml:space="preserve">Enter name of Entity Transferring Bond Cap </v>
      </c>
      <c r="D74" t="str">
        <f t="shared" ref="D74:D75" si="78">ADDRESS(B74, 2,4  )</f>
        <v>B78</v>
      </c>
      <c r="E74" t="str">
        <f t="shared" ref="E74:E75" ca="1" si="79">IF(ISBLANK( INDIRECT($F$3 &amp; D74)),"", INDIRECT($F$3 &amp; D74))</f>
        <v/>
      </c>
      <c r="F74" t="str">
        <f t="shared" ref="F74:F75" ca="1" si="80">CONCATENATE("A value of Yes for '", C74, "' in cell ", D74, " is only available for 4% non-competetive.", CHAR(10))</f>
        <v xml:space="preserve">A value of Yes for 'Enter name of Entity Transferring Bond Cap ' in cell B78 is only available for 4% non-competetive.
</v>
      </c>
      <c r="G74" s="9" t="str">
        <f t="shared" ref="G74:G75" ca="1" si="81">OFFSET(G74, -1, 0) &amp; A74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v>
      </c>
    </row>
    <row r="75" spans="1:7" ht="15" customHeight="1">
      <c r="A75" t="str">
        <f t="shared" ca="1" si="76"/>
        <v/>
      </c>
      <c r="B75">
        <f>ROW(Application!A79)</f>
        <v>79</v>
      </c>
      <c r="C75" t="str">
        <f t="shared" ca="1" si="77"/>
        <v>Enter the Total Amount of Bond Cap Being Transferred</v>
      </c>
      <c r="D75" t="str">
        <f t="shared" si="78"/>
        <v>B79</v>
      </c>
      <c r="E75">
        <f t="shared" ca="1" si="79"/>
        <v>0</v>
      </c>
      <c r="F75" t="str">
        <f t="shared" ca="1" si="80"/>
        <v xml:space="preserve">A value of Yes for 'Enter the Total Amount of Bond Cap Being Transferred' in cell B79 is only available for 4% non-competetive.
</v>
      </c>
      <c r="G75" s="9" t="str">
        <f t="shared" ca="1" si="8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v>
      </c>
    </row>
    <row r="76" spans="1:7" ht="15" customHeight="1">
      <c r="A76" t="str">
        <f ca="1">IF(E76="",F76, "")</f>
        <v xml:space="preserve">Enter a value for 'Taxable Bond Financing' in cell B80.
</v>
      </c>
      <c r="B76">
        <f>ROW(Application!A80)</f>
        <v>80</v>
      </c>
      <c r="C76" t="str">
        <f t="shared" ca="1" si="61"/>
        <v>Taxable Bond Financing</v>
      </c>
      <c r="D76" t="str">
        <f t="shared" si="62"/>
        <v>B80</v>
      </c>
      <c r="E76" t="str">
        <f t="shared" ca="1" si="63"/>
        <v/>
      </c>
      <c r="F76" t="str">
        <f t="shared" ca="1" si="74"/>
        <v xml:space="preserve">Enter a value for 'Taxable Bond Financing' in cell B80.
</v>
      </c>
      <c r="G76" s="9" t="str">
        <f t="shared" ca="1" si="7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v>
      </c>
    </row>
    <row r="77" spans="1:7" ht="15" customHeight="1">
      <c r="B77">
        <f>ROW(Application!A81)</f>
        <v>81</v>
      </c>
      <c r="C77" t="str">
        <f t="shared" ca="1" si="61"/>
        <v xml:space="preserve">Enter the Total Amount of Taxable Bonds being issued  </v>
      </c>
      <c r="D77" t="str">
        <f t="shared" si="62"/>
        <v>B81</v>
      </c>
      <c r="E77" t="str">
        <f t="shared" ca="1" si="63"/>
        <v/>
      </c>
      <c r="F77" t="str">
        <f t="shared" ca="1" si="74"/>
        <v xml:space="preserve">Enter a value for 'Enter the Total Amount of Taxable Bonds being issued  ' in cell B81.
</v>
      </c>
      <c r="G77" s="9" t="str">
        <f t="shared" ca="1" si="7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v>
      </c>
    </row>
    <row r="78" spans="1:7" ht="15" customHeight="1">
      <c r="A78" t="str">
        <f ca="1">IF(E78="",F78, "")</f>
        <v xml:space="preserve">Enter a value for 'Federal Historic Rehabilitation Tax Credits' in cell B82.
</v>
      </c>
      <c r="B78">
        <f>ROW(Application!A82)</f>
        <v>82</v>
      </c>
      <c r="C78" t="str">
        <f t="shared" ca="1" si="61"/>
        <v>Federal Historic Rehabilitation Tax Credits</v>
      </c>
      <c r="D78" t="str">
        <f t="shared" si="62"/>
        <v>B82</v>
      </c>
      <c r="E78" t="str">
        <f t="shared" ca="1" si="63"/>
        <v/>
      </c>
      <c r="F78" t="str">
        <f t="shared" ca="1" si="74"/>
        <v xml:space="preserve">Enter a value for 'Federal Historic Rehabilitation Tax Credits' in cell B82.
</v>
      </c>
      <c r="G7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v>
      </c>
    </row>
    <row r="79" spans="1:7" ht="15" customHeight="1">
      <c r="A79" s="52" t="str">
        <f ca="1">IF(AND(E78="Yes", E79=""),F79, "")</f>
        <v/>
      </c>
      <c r="B79">
        <f>ROW(Application!A83)</f>
        <v>83</v>
      </c>
      <c r="C79" t="str">
        <f t="shared" ca="1" si="61"/>
        <v xml:space="preserve">Enter the federal historic credit amount  </v>
      </c>
      <c r="D79" t="str">
        <f t="shared" si="62"/>
        <v>B83</v>
      </c>
      <c r="E79">
        <f t="shared" ca="1" si="63"/>
        <v>0</v>
      </c>
      <c r="F79" t="str">
        <f t="shared" ca="1" si="74"/>
        <v xml:space="preserve">Enter a value for 'Enter the federal historic credit amount  ' in cell B83.
</v>
      </c>
      <c r="G7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v>
      </c>
    </row>
    <row r="80" spans="1:7" ht="15" customHeight="1">
      <c r="A80" t="str">
        <f ca="1">IF(E80="",F80, "")</f>
        <v xml:space="preserve">Enter a value for 'State Historic Rehabilitation Tax Credits' in cell B84.
</v>
      </c>
      <c r="B80">
        <f>ROW(Application!A84)</f>
        <v>84</v>
      </c>
      <c r="C80" t="str">
        <f t="shared" ca="1" si="61"/>
        <v>State Historic Rehabilitation Tax Credits</v>
      </c>
      <c r="D80" t="str">
        <f t="shared" si="62"/>
        <v>B84</v>
      </c>
      <c r="E80" t="str">
        <f t="shared" ca="1" si="63"/>
        <v/>
      </c>
      <c r="F80" t="str">
        <f t="shared" ca="1" si="74"/>
        <v xml:space="preserve">Enter a value for 'State Historic Rehabilitation Tax Credits' in cell B84.
</v>
      </c>
      <c r="G8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v>
      </c>
    </row>
    <row r="81" spans="1:7" ht="15" customHeight="1">
      <c r="A81" s="52" t="str">
        <f ca="1">IF(AND(E80="Yes", E81=""),F81, "")</f>
        <v/>
      </c>
      <c r="B81">
        <f>ROW(Application!A85)</f>
        <v>85</v>
      </c>
      <c r="C81" t="str">
        <f t="shared" ca="1" si="61"/>
        <v xml:space="preserve">Enter the state historic credit amount  </v>
      </c>
      <c r="D81" t="str">
        <f t="shared" si="62"/>
        <v>B85</v>
      </c>
      <c r="E81">
        <f t="shared" ca="1" si="63"/>
        <v>0</v>
      </c>
      <c r="F81" t="str">
        <f t="shared" ca="1" si="74"/>
        <v xml:space="preserve">Enter a value for 'Enter the state historic credit amount  ' in cell B85.
</v>
      </c>
      <c r="G8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v>
      </c>
    </row>
    <row r="82" spans="1:7" ht="15" customHeight="1">
      <c r="A82" t="str">
        <f t="shared" ref="A82:A93" ca="1" si="82">IF(E82="",F82, "")</f>
        <v xml:space="preserve">Enter a value for 'Solar Tax Credits/ETC' in cell B86.
</v>
      </c>
      <c r="B82">
        <f>ROW(Application!A86)</f>
        <v>86</v>
      </c>
      <c r="C82" t="str">
        <f t="shared" ca="1" si="61"/>
        <v>Solar Tax Credits/ETC</v>
      </c>
      <c r="D82" t="str">
        <f t="shared" si="62"/>
        <v>B86</v>
      </c>
      <c r="E82" t="str">
        <f t="shared" ca="1" si="63"/>
        <v/>
      </c>
      <c r="F82" t="str">
        <f t="shared" ca="1" si="74"/>
        <v xml:space="preserve">Enter a value for 'Solar Tax Credits/ETC' in cell B86.
</v>
      </c>
      <c r="G82"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v>
      </c>
    </row>
    <row r="83" spans="1:7" ht="15" customHeight="1">
      <c r="A83" t="str">
        <f t="shared" ca="1" si="82"/>
        <v/>
      </c>
      <c r="B83">
        <f>ROW(Application!A87)</f>
        <v>87</v>
      </c>
      <c r="C83" t="str">
        <f t="shared" ca="1" si="61"/>
        <v>Enter the Amount of the Solar Tax Credit</v>
      </c>
      <c r="D83" t="str">
        <f t="shared" si="62"/>
        <v>B87</v>
      </c>
      <c r="E83">
        <f t="shared" ca="1" si="63"/>
        <v>0</v>
      </c>
      <c r="F83" t="str">
        <f t="shared" ca="1" si="74"/>
        <v xml:space="preserve">Enter a value for 'Enter the Amount of the Solar Tax Credit' in cell B87.
</v>
      </c>
      <c r="G83"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v>
      </c>
    </row>
    <row r="84" spans="1:7" ht="15" customHeight="1">
      <c r="A84" t="str">
        <f t="shared" ref="A84" ca="1" si="83">IF(E84="",F84, "")</f>
        <v xml:space="preserve">Enter a value for '45L Energy Efficiency Home Credit' in cell B88.
</v>
      </c>
      <c r="B84">
        <f>ROW(Application!A88)</f>
        <v>88</v>
      </c>
      <c r="C84" t="str">
        <f t="shared" ref="C84" ca="1" si="84">INDIRECT($F$3 &amp; ADDRESS(B84, 1,4  ))</f>
        <v>45L Energy Efficiency Home Credit</v>
      </c>
      <c r="D84" t="str">
        <f t="shared" ref="D84" si="85">ADDRESS(B84, 2,4  )</f>
        <v>B88</v>
      </c>
      <c r="E84" t="str">
        <f t="shared" ref="E84" ca="1" si="86">IF(ISBLANK( INDIRECT($F$3 &amp; D84)),"", INDIRECT($F$3 &amp; D84))</f>
        <v/>
      </c>
      <c r="F84" t="str">
        <f t="shared" ref="F84" ca="1" si="87">CONCATENATE("Enter a value for '", C84, "' in cell ", D84, ".", CHAR(10))</f>
        <v xml:space="preserve">Enter a value for '45L Energy Efficiency Home Credit' in cell B88.
</v>
      </c>
      <c r="G84" s="9" t="str">
        <f t="shared" ref="G84" ca="1" si="88">OFFSET(G84, -1, 0) &amp; A84</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v>
      </c>
    </row>
    <row r="85" spans="1:7" ht="15" customHeight="1">
      <c r="A85" t="str">
        <f t="shared" ref="A85:A87" ca="1" si="89">IF(E85="",F85, "")</f>
        <v/>
      </c>
      <c r="B85">
        <f>ROW(Application!A89)</f>
        <v>89</v>
      </c>
      <c r="C85" t="str">
        <f t="shared" ref="C85:C87" ca="1" si="90">INDIRECT($F$3 &amp; ADDRESS(B85, 1,4  ))</f>
        <v>Enter the Amount of the 45L EEH Credit</v>
      </c>
      <c r="D85" t="str">
        <f t="shared" ref="D85:D87" si="91">ADDRESS(B85, 2,4  )</f>
        <v>B89</v>
      </c>
      <c r="E85">
        <f t="shared" ref="E85:E87" ca="1" si="92">IF(ISBLANK( INDIRECT($F$3 &amp; D85)),"", INDIRECT($F$3 &amp; D85))</f>
        <v>0</v>
      </c>
      <c r="F85" t="str">
        <f t="shared" ref="F85:F87" ca="1" si="93">CONCATENATE("Enter a value for '", C85, "' in cell ", D85, ".", CHAR(10))</f>
        <v xml:space="preserve">Enter a value for 'Enter the Amount of the 45L EEH Credit' in cell B89.
</v>
      </c>
      <c r="G85" s="9" t="str">
        <f t="shared" ref="G85:G87" ca="1" si="94">OFFSET(G85, -1, 0) &amp; A85</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v>
      </c>
    </row>
    <row r="86" spans="1:7" ht="15" customHeight="1">
      <c r="A86" t="str">
        <f t="shared" ca="1" si="89"/>
        <v xml:space="preserve">Enter a value for 'Investment Tax Credit (ITC)' in cell B90.
</v>
      </c>
      <c r="B86">
        <f>ROW(Application!A90)</f>
        <v>90</v>
      </c>
      <c r="C86" t="str">
        <f t="shared" ca="1" si="90"/>
        <v>Investment Tax Credit (ITC)</v>
      </c>
      <c r="D86" t="str">
        <f t="shared" si="91"/>
        <v>B90</v>
      </c>
      <c r="E86" t="str">
        <f t="shared" ca="1" si="92"/>
        <v/>
      </c>
      <c r="F86" t="str">
        <f t="shared" ca="1" si="93"/>
        <v xml:space="preserve">Enter a value for 'Investment Tax Credit (ITC)' in cell B90.
</v>
      </c>
      <c r="G86" s="9" t="str">
        <f t="shared" ca="1" si="94"/>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v>
      </c>
    </row>
    <row r="87" spans="1:7" ht="15" customHeight="1">
      <c r="A87" t="str">
        <f t="shared" ca="1" si="89"/>
        <v/>
      </c>
      <c r="B87">
        <f>ROW(Application!A91)</f>
        <v>91</v>
      </c>
      <c r="C87" t="str">
        <f t="shared" ca="1" si="90"/>
        <v>Enter the Amount of the ITC</v>
      </c>
      <c r="D87" t="str">
        <f t="shared" si="91"/>
        <v>B91</v>
      </c>
      <c r="E87">
        <f t="shared" ca="1" si="92"/>
        <v>0</v>
      </c>
      <c r="F87" t="str">
        <f t="shared" ca="1" si="93"/>
        <v xml:space="preserve">Enter a value for 'Enter the Amount of the ITC' in cell B91.
</v>
      </c>
      <c r="G87" s="9" t="str">
        <f t="shared" ca="1" si="94"/>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v>
      </c>
    </row>
    <row r="88" spans="1:7" ht="15" customHeight="1">
      <c r="A88" t="str">
        <f t="shared" ca="1" si="82"/>
        <v xml:space="preserve">Enter a value for '100% Project-based rental assistance (HAP Contract)' in cell B92.
</v>
      </c>
      <c r="B88">
        <f>ROW(Application!A92)</f>
        <v>92</v>
      </c>
      <c r="C88" t="str">
        <f t="shared" ref="C88:C89" ca="1" si="95">INDIRECT($F$3 &amp; ADDRESS(B88, 1,4  ))</f>
        <v>100% Project-based rental assistance (HAP Contract)</v>
      </c>
      <c r="D88" t="str">
        <f t="shared" ref="D88:D89" si="96">ADDRESS(B88, 2,4  )</f>
        <v>B92</v>
      </c>
      <c r="E88" t="str">
        <f t="shared" ref="E88:E89" ca="1" si="97">IF(ISBLANK( INDIRECT($F$3 &amp; D88)),"", INDIRECT($F$3 &amp; D88))</f>
        <v/>
      </c>
      <c r="F88" t="str">
        <f t="shared" ref="F88:F89" ca="1" si="98">CONCATENATE("Enter a value for '", C88, "' in cell ", D88, ".", CHAR(10))</f>
        <v xml:space="preserve">Enter a value for '100% Project-based rental assistance (HAP Contract)' in cell B92.
</v>
      </c>
      <c r="G88"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v>
      </c>
    </row>
    <row r="89" spans="1:7" ht="15" customHeight="1">
      <c r="A89" t="str">
        <f t="shared" ca="1" si="82"/>
        <v xml:space="preserve">Enter a value for 'McKinney Act Homeless Funding' in cell B93.
</v>
      </c>
      <c r="B89">
        <f>ROW(Application!A93)</f>
        <v>93</v>
      </c>
      <c r="C89" t="str">
        <f t="shared" ca="1" si="95"/>
        <v>McKinney Act Homeless Funding</v>
      </c>
      <c r="D89" t="str">
        <f t="shared" si="96"/>
        <v>B93</v>
      </c>
      <c r="E89" t="str">
        <f t="shared" ca="1" si="97"/>
        <v/>
      </c>
      <c r="F89" t="str">
        <f t="shared" ca="1" si="98"/>
        <v xml:space="preserve">Enter a value for 'McKinney Act Homeless Funding' in cell B93.
</v>
      </c>
      <c r="G89"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v>
      </c>
    </row>
    <row r="90" spans="1:7" ht="15" customHeight="1">
      <c r="A90" t="str">
        <f t="shared" ca="1" si="82"/>
        <v xml:space="preserve">Enter a value for 'HOME Funding' in cell B94.
</v>
      </c>
      <c r="B90">
        <f>ROW(Application!A94)</f>
        <v>94</v>
      </c>
      <c r="C90" t="str">
        <f t="shared" ca="1" si="61"/>
        <v>HOME Funding</v>
      </c>
      <c r="D90" t="str">
        <f t="shared" si="62"/>
        <v>B94</v>
      </c>
      <c r="E90" t="str">
        <f t="shared" ca="1" si="63"/>
        <v/>
      </c>
      <c r="F90" t="str">
        <f t="shared" ca="1" si="74"/>
        <v xml:space="preserve">Enter a value for 'HOME Funding' in cell B94.
</v>
      </c>
      <c r="G90"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v>
      </c>
    </row>
    <row r="91" spans="1:7" ht="15" customHeight="1">
      <c r="A91" t="str">
        <f t="shared" ca="1" si="82"/>
        <v xml:space="preserve">Enter a value for 'CDBG DR Funding' in cell B95.
</v>
      </c>
      <c r="B91">
        <f>ROW(Application!A95)</f>
        <v>95</v>
      </c>
      <c r="C91" t="str">
        <f t="shared" ca="1" si="61"/>
        <v>CDBG DR Funding</v>
      </c>
      <c r="D91" t="str">
        <f t="shared" si="62"/>
        <v>B95</v>
      </c>
      <c r="E91" t="str">
        <f t="shared" ca="1" si="63"/>
        <v/>
      </c>
      <c r="F91" t="str">
        <f t="shared" ca="1" si="74"/>
        <v xml:space="preserve">Enter a value for 'CDBG DR Funding' in cell B95.
</v>
      </c>
      <c r="G91" s="9" t="str">
        <f t="shared" ca="1" si="6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v>
      </c>
    </row>
    <row r="92" spans="1:7" ht="15" customHeight="1">
      <c r="A92" t="str">
        <f t="shared" ca="1" si="82"/>
        <v xml:space="preserve">Enter a value for 'FHLB Affordable Housing Program Funding' in cell B96.
</v>
      </c>
      <c r="B92">
        <f>ROW(Application!A96)</f>
        <v>96</v>
      </c>
      <c r="C92" t="str">
        <f t="shared" ca="1" si="61"/>
        <v>FHLB Affordable Housing Program Funding</v>
      </c>
      <c r="D92" t="str">
        <f t="shared" si="62"/>
        <v>B96</v>
      </c>
      <c r="E92" t="str">
        <f t="shared" ca="1" si="63"/>
        <v/>
      </c>
      <c r="F92" t="str">
        <f t="shared" ca="1" si="74"/>
        <v xml:space="preserve">Enter a value for 'FHLB Affordable Housing Program Funding' in cell B96.
</v>
      </c>
      <c r="G92" s="9" t="str">
        <f t="shared" ref="G92:G96" ca="1" si="99">OFFSET(G92, -1, 0) &amp; A92</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v>
      </c>
    </row>
    <row r="93" spans="1:7" ht="15" customHeight="1">
      <c r="A93" t="str">
        <f t="shared" ca="1" si="82"/>
        <v xml:space="preserve">Enter a value for 'CDBG Funding' in cell B97.
</v>
      </c>
      <c r="B93">
        <f>ROW(Application!A97)</f>
        <v>97</v>
      </c>
      <c r="C93" t="str">
        <f t="shared" ca="1" si="61"/>
        <v>CDBG Funding</v>
      </c>
      <c r="D93" t="str">
        <f t="shared" si="62"/>
        <v>B97</v>
      </c>
      <c r="E93" t="str">
        <f t="shared" ca="1" si="63"/>
        <v/>
      </c>
      <c r="F93" t="str">
        <f t="shared" ca="1" si="74"/>
        <v xml:space="preserve">Enter a value for 'CDBG Funding' in cell B97.
</v>
      </c>
      <c r="G93"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v>
      </c>
    </row>
    <row r="94" spans="1:7" ht="15" customHeight="1">
      <c r="A94" t="str">
        <f ca="1">IF(E94="",F94, "")</f>
        <v xml:space="preserve">Enter a value for 'Project-based Vouchers' in cell B98.
</v>
      </c>
      <c r="B94">
        <f>ROW(Application!A98)</f>
        <v>98</v>
      </c>
      <c r="C94" t="str">
        <f t="shared" ca="1" si="61"/>
        <v>Project-based Vouchers</v>
      </c>
      <c r="D94" t="str">
        <f t="shared" si="62"/>
        <v>B98</v>
      </c>
      <c r="E94" t="str">
        <f t="shared" ca="1" si="63"/>
        <v/>
      </c>
      <c r="F94" t="str">
        <f ca="1">CONCATENATE("Enter a value for '", C94, "' in cell ", D94, ".", CHAR(10))</f>
        <v xml:space="preserve">Enter a value for 'Project-based Vouchers' in cell B98.
</v>
      </c>
      <c r="G94"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v>
      </c>
    </row>
    <row r="95" spans="1:7" ht="15" customHeight="1">
      <c r="A95" t="str">
        <f ca="1">IF(E95="",F95, "")</f>
        <v/>
      </c>
      <c r="B95">
        <f>ROW(Application!A99)</f>
        <v>99</v>
      </c>
      <c r="C95" t="str">
        <f t="shared" ca="1" si="61"/>
        <v xml:space="preserve">Enter the Number of Project-based Vouchers  </v>
      </c>
      <c r="D95" t="str">
        <f t="shared" si="62"/>
        <v>B99</v>
      </c>
      <c r="E95">
        <f t="shared" ca="1" si="63"/>
        <v>0</v>
      </c>
      <c r="F95" t="str">
        <f ca="1">CONCATENATE("Enter a value for '", C95, "' in cell ", D95, ".", CHAR(10))</f>
        <v xml:space="preserve">Enter a value for 'Enter the Number of Project-based Vouchers  ' in cell B99.
</v>
      </c>
      <c r="G95"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v>
      </c>
    </row>
    <row r="96" spans="1:7" ht="15" customHeight="1">
      <c r="A96" t="str">
        <f ca="1">IF(E96="",F96, "")</f>
        <v xml:space="preserve">Enter a value for 'State Funds - HDG' in cell B100.
</v>
      </c>
      <c r="B96">
        <f>ROW(Application!A100)</f>
        <v>100</v>
      </c>
      <c r="C96" t="str">
        <f t="shared" ca="1" si="61"/>
        <v>State Funds - HDG</v>
      </c>
      <c r="D96" t="str">
        <f t="shared" si="62"/>
        <v>B100</v>
      </c>
      <c r="E96" t="str">
        <f t="shared" ca="1" si="63"/>
        <v/>
      </c>
      <c r="F96" t="str">
        <f ca="1">CONCATENATE("Enter a value for '", C96, "' in cell ", D96, ".", CHAR(10))</f>
        <v xml:space="preserve">Enter a value for 'State Funds - HDG' in cell B100.
</v>
      </c>
      <c r="G96" s="9" t="str">
        <f t="shared" ca="1" si="9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v>
      </c>
    </row>
    <row r="97" spans="1:8" ht="15" customHeight="1">
      <c r="A97" t="str">
        <f t="shared" ref="A97:A99" ca="1" si="100">IF(E97="",F97, "")</f>
        <v xml:space="preserve">Enter a value for 'State Funds - HSP' in cell B101.
</v>
      </c>
      <c r="B97">
        <f>ROW(Application!A101)</f>
        <v>101</v>
      </c>
      <c r="C97" t="str">
        <f t="shared" ref="C97:C100" ca="1" si="101">INDIRECT($F$3 &amp; ADDRESS(B97, 1,4  ))</f>
        <v>State Funds - HSP</v>
      </c>
      <c r="D97" t="str">
        <f t="shared" ref="D97:D100" si="102">ADDRESS(B97, 2,4  )</f>
        <v>B101</v>
      </c>
      <c r="E97" t="str">
        <f t="shared" ref="E97:E100" ca="1" si="103">IF(ISBLANK( INDIRECT($F$3 &amp; D97)),"", INDIRECT($F$3 &amp; D97))</f>
        <v/>
      </c>
      <c r="F97" t="str">
        <f t="shared" ref="F97:F99" ca="1" si="104">CONCATENATE("Enter a value for '", C97, "' in cell ", D97, ".", CHAR(10))</f>
        <v xml:space="preserve">Enter a value for 'State Funds - HSP' in cell B101.
</v>
      </c>
      <c r="G97" s="9" t="str">
        <f t="shared" ref="G97:G100" ca="1" si="105">OFFSET(G97, -1, 0) &amp; A97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v>
      </c>
    </row>
    <row r="98" spans="1:8" ht="15" customHeight="1">
      <c r="A98" t="str">
        <f t="shared" ca="1" si="100"/>
        <v xml:space="preserve">Enter a value for 'State Funds - DOH Vouchers' in cell B102.
</v>
      </c>
      <c r="B98">
        <f>ROW(Application!A102)</f>
        <v>102</v>
      </c>
      <c r="C98" t="str">
        <f t="shared" ca="1" si="101"/>
        <v>State Funds - DOH Vouchers</v>
      </c>
      <c r="D98" t="str">
        <f t="shared" si="102"/>
        <v>B102</v>
      </c>
      <c r="E98" t="str">
        <f t="shared" ca="1" si="103"/>
        <v/>
      </c>
      <c r="F98" t="str">
        <f t="shared" ca="1" si="104"/>
        <v xml:space="preserve">Enter a value for 'State Funds - DOH Vouchers' in cell B102.
</v>
      </c>
      <c r="G98" s="9"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v>
      </c>
    </row>
    <row r="99" spans="1:8" ht="15" customHeight="1">
      <c r="A99" t="str">
        <f t="shared" ca="1" si="100"/>
        <v xml:space="preserve">Enter a value for 'Additional 5% Developer Fee Boost for PSH Units' in cell B107.
</v>
      </c>
      <c r="B99">
        <f>ROW(Application!A107)</f>
        <v>107</v>
      </c>
      <c r="C99" t="str">
        <f t="shared" ca="1" si="101"/>
        <v>Additional 5% Developer Fee Boost for PSH Units</v>
      </c>
      <c r="D99" t="str">
        <f t="shared" si="102"/>
        <v>B107</v>
      </c>
      <c r="E99" t="str">
        <f t="shared" ca="1" si="103"/>
        <v/>
      </c>
      <c r="F99" t="str">
        <f t="shared" ca="1" si="104"/>
        <v xml:space="preserve">Enter a value for 'Additional 5% Developer Fee Boost for PSH Units' in cell B107.
</v>
      </c>
      <c r="G99"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0" spans="1:8" ht="15" customHeight="1">
      <c r="A100" t="str">
        <f ca="1">IF(AND(E100="Yes", E104=0),F100, "")</f>
        <v/>
      </c>
      <c r="B100">
        <f>ROW(Application!A107)</f>
        <v>107</v>
      </c>
      <c r="C100" t="str">
        <f t="shared" ca="1" si="101"/>
        <v>Additional 5% Developer Fee Boost for PSH Units</v>
      </c>
      <c r="D100" t="str">
        <f t="shared" si="102"/>
        <v>B107</v>
      </c>
      <c r="E100" t="str">
        <f t="shared" ca="1" si="103"/>
        <v/>
      </c>
      <c r="F100" t="str">
        <f ca="1">CONCATENATE("A 'Yes' value for '", C100, "' in cell ", D100, " is not permitted unless units are targeting Homeless in cell ", D107, ".", CHAR(10))</f>
        <v xml:space="preserve">A 'Yes' value for 'Additional 5% Developer Fee Boost for PSH Units' in cell B107 is not permitted unless units are targeting Homeless in cell B115.
</v>
      </c>
      <c r="G100" t="str">
        <f t="shared" ca="1" si="105"/>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1" spans="1:8" ht="15" customHeight="1">
      <c r="A101" t="str">
        <f t="shared" ref="A101:A122" ca="1" si="106">IF(E101="",F101, "")</f>
        <v/>
      </c>
      <c r="B101">
        <f>ROW(Application!A109)</f>
        <v>109</v>
      </c>
      <c r="C101" t="str">
        <f t="shared" ref="C101:C122" ca="1" si="107">INDIRECT($F$3 &amp; ADDRESS(B101, 1,4  ))</f>
        <v>Assisted Living</v>
      </c>
      <c r="D101" t="str">
        <f t="shared" ref="D101:D122" si="108">ADDRESS(B101, 2,4  )</f>
        <v>B109</v>
      </c>
      <c r="E101">
        <f t="shared" ref="E101:E126" ca="1" si="109">IF(ISBLANK( INDIRECT($F$3 &amp; D101)),"", INDIRECT($F$3 &amp; D101))</f>
        <v>0</v>
      </c>
      <c r="F101" t="str">
        <f t="shared" ref="F101:F106" ca="1" si="110">CONCATENATE("Enter a value for '", C101, "' in cell ", D101, ".", CHAR(10))</f>
        <v xml:space="preserve">Enter a value for 'Assisted Living' in cell B109.
</v>
      </c>
      <c r="G101" s="9" t="str">
        <f t="shared" ref="G101:G126" ca="1" si="111">OFFSET(G101, -1, 0) &amp; A101</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2" spans="1:8" ht="15" customHeight="1">
      <c r="A102" t="str">
        <f t="shared" ca="1" si="106"/>
        <v/>
      </c>
      <c r="B102">
        <f>ROW(Application!A110)</f>
        <v>110</v>
      </c>
      <c r="C102" t="str">
        <f t="shared" ca="1" si="107"/>
        <v>Special Populations</v>
      </c>
      <c r="D102" t="str">
        <f t="shared" si="108"/>
        <v>B110</v>
      </c>
      <c r="E102">
        <f t="shared" ca="1" si="109"/>
        <v>0</v>
      </c>
      <c r="F102" t="str">
        <f t="shared" ca="1" si="110"/>
        <v xml:space="preserve">Enter a value for 'Special Populations' in cell B110.
</v>
      </c>
      <c r="G10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3" spans="1:8" ht="15" customHeight="1">
      <c r="A103" t="str">
        <f t="shared" ca="1" si="106"/>
        <v/>
      </c>
      <c r="B103">
        <f>ROW(Application!A111)</f>
        <v>111</v>
      </c>
      <c r="C103" t="str">
        <f t="shared" ca="1" si="107"/>
        <v>Family</v>
      </c>
      <c r="D103" t="str">
        <f t="shared" si="108"/>
        <v>B111</v>
      </c>
      <c r="E103">
        <f t="shared" ca="1" si="109"/>
        <v>0</v>
      </c>
      <c r="F103" t="str">
        <f t="shared" ca="1" si="110"/>
        <v xml:space="preserve">Enter a value for 'Family' in cell B111.
</v>
      </c>
      <c r="G10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4" spans="1:8" ht="15" customHeight="1">
      <c r="A104" t="str">
        <f t="shared" ca="1" si="106"/>
        <v/>
      </c>
      <c r="B104">
        <f>ROW(Application!A112)</f>
        <v>112</v>
      </c>
      <c r="C104" t="str">
        <f t="shared" ca="1" si="107"/>
        <v>Homeless (not PSH)</v>
      </c>
      <c r="D104" t="str">
        <f t="shared" si="108"/>
        <v>B112</v>
      </c>
      <c r="E104">
        <f t="shared" ca="1" si="109"/>
        <v>0</v>
      </c>
      <c r="F104" t="str">
        <f t="shared" ca="1" si="110"/>
        <v xml:space="preserve">Enter a value for 'Homeless (not PSH)' in cell B112.
</v>
      </c>
      <c r="G10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5" spans="1:8" ht="15" customHeight="1">
      <c r="A105" t="str">
        <f t="shared" ca="1" si="106"/>
        <v/>
      </c>
      <c r="B105">
        <f>ROW(Application!A113)</f>
        <v>113</v>
      </c>
      <c r="C105" t="str">
        <f t="shared" ca="1" si="107"/>
        <v>Older Adult</v>
      </c>
      <c r="D105" t="str">
        <f t="shared" si="108"/>
        <v>B113</v>
      </c>
      <c r="E105">
        <f t="shared" ca="1" si="109"/>
        <v>0</v>
      </c>
      <c r="F105" t="str">
        <f t="shared" ca="1" si="110"/>
        <v xml:space="preserve">Enter a value for 'Older Adult' in cell B113.
</v>
      </c>
      <c r="G105"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6" spans="1:8" ht="15" customHeight="1">
      <c r="A106" t="str">
        <f t="shared" ca="1" si="106"/>
        <v/>
      </c>
      <c r="B106">
        <f>ROW(Application!A114)</f>
        <v>114</v>
      </c>
      <c r="C106" t="str">
        <f t="shared" ca="1" si="107"/>
        <v>Veterans</v>
      </c>
      <c r="D106" t="str">
        <f t="shared" si="108"/>
        <v>B114</v>
      </c>
      <c r="E106">
        <f t="shared" ca="1" si="109"/>
        <v>0</v>
      </c>
      <c r="F106" t="str">
        <f t="shared" ca="1" si="110"/>
        <v xml:space="preserve">Enter a value for 'Veterans' in cell B114.
</v>
      </c>
      <c r="G106"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7" spans="1:8" ht="15" customHeight="1">
      <c r="A107" t="str">
        <f t="shared" ref="A107" ca="1" si="112">IF(E107="",F107, "")</f>
        <v/>
      </c>
      <c r="B107">
        <f>ROW(Application!A115)</f>
        <v>115</v>
      </c>
      <c r="C107" t="str">
        <f t="shared" ref="C107" ca="1" si="113">INDIRECT($F$3 &amp; ADDRESS(B107, 1,4  ))</f>
        <v xml:space="preserve">Permanent Supportive Housing </v>
      </c>
      <c r="D107" t="str">
        <f t="shared" ref="D107" si="114">ADDRESS(B107, 2,4  )</f>
        <v>B115</v>
      </c>
      <c r="E107">
        <f t="shared" ref="E107" ca="1" si="115">IF(ISBLANK( INDIRECT($F$3 &amp; D107)),"", INDIRECT($F$3 &amp; D107))</f>
        <v>0</v>
      </c>
      <c r="F107" t="str">
        <f t="shared" ref="F107" ca="1" si="116">CONCATENATE("Enter a value for '", C107, "' in cell ", D107, ".", CHAR(10))</f>
        <v xml:space="preserve">Enter a value for 'Permanent Supportive Housing ' in cell B115.
</v>
      </c>
      <c r="G107" s="9" t="str">
        <f t="shared" ref="G107" ca="1" si="117">OFFSET(G107, -1, 0) &amp; A107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row>
    <row r="108" spans="1:8" ht="15" customHeight="1">
      <c r="A108" t="str">
        <f ca="1">IF(AND(OR(E108="", E108=0), H108),F108, "")</f>
        <v/>
      </c>
      <c r="B108">
        <v>116</v>
      </c>
      <c r="C108" t="str">
        <f ca="1">INDIRECT($F$3 &amp; ADDRESS(B108, 1,4  ))</f>
        <v>For Projects with both New Construction and Acq/Rehab or Rehab</v>
      </c>
      <c r="D108" t="str">
        <f>ADDRESS(B108, 2,4  )</f>
        <v>B116</v>
      </c>
      <c r="E108" t="str">
        <f ca="1">IF(ISBLANK( INDIRECT($F$3 &amp; D108)),"", INDIRECT($F$3 &amp; D108))</f>
        <v>Number of Units (must equal total units)</v>
      </c>
      <c r="F108" t="str">
        <f ca="1">CONCATENATE("Enter a value for '", C108, "' in cell ", D108, ".", CHAR(10))</f>
        <v xml:space="preserve">Enter a value for 'For Projects with both New Construction and Acq/Rehab or Rehab' in cell B116.
</v>
      </c>
      <c r="G108" s="9" t="str">
        <f ca="1">OFFSET(G108, -1, 0) &amp; A108</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c r="H108" t="b">
        <f>AND(Calculations!B8,Calculations!B9)</f>
        <v>0</v>
      </c>
    </row>
    <row r="109" spans="1:8" ht="15" customHeight="1">
      <c r="A109" t="str">
        <f ca="1">IF(AND(OR(E109="", E109=0), H109),F109, "")</f>
        <v/>
      </c>
      <c r="B109">
        <v>117</v>
      </c>
      <c r="C109" t="str">
        <f ca="1">INDIRECT($F$3 &amp; ADDRESS(B109, 1,4  ))</f>
        <v>New Construction</v>
      </c>
      <c r="D109" t="str">
        <f>ADDRESS(B109, 2,4  )</f>
        <v>B117</v>
      </c>
      <c r="E109">
        <f ca="1">IF(ISBLANK( INDIRECT($F$3 &amp; D109)),"", INDIRECT($F$3 &amp; D109))</f>
        <v>0</v>
      </c>
      <c r="F109" t="str">
        <f ca="1">CONCATENATE("Enter a value for '", C109, "' in cell ", D109, ".", CHAR(10))</f>
        <v xml:space="preserve">Enter a value for 'New Construction' in cell B117.
</v>
      </c>
      <c r="G109" s="9" t="str">
        <f ca="1">OFFSET(G109, -1, 0) &amp; A109</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v>
      </c>
      <c r="H109" t="b">
        <f>AND(Calculations!B8,Calculations!B9)</f>
        <v>0</v>
      </c>
    </row>
    <row r="110" spans="1:8" ht="15" customHeight="1">
      <c r="A110" t="str">
        <f t="shared" ca="1" si="106"/>
        <v xml:space="preserve">Enter a date for 'Letter of Intent &amp; Market Analyst Engagement Letter to CHFA' in cell B122.
</v>
      </c>
      <c r="B110">
        <f>ROW(Application!A122)</f>
        <v>122</v>
      </c>
      <c r="C110" t="str">
        <f t="shared" ca="1" si="107"/>
        <v>Letter of Intent &amp; Market Analyst Engagement Letter to CHFA</v>
      </c>
      <c r="D110" t="str">
        <f t="shared" si="108"/>
        <v>B122</v>
      </c>
      <c r="E110" t="str">
        <f t="shared" ca="1" si="109"/>
        <v/>
      </c>
      <c r="F110" t="str">
        <f t="shared" ref="F110:F124" ca="1" si="118">CONCATENATE("Enter a date for '", C110, "' in cell ", D110, ".", CHAR(10))</f>
        <v xml:space="preserve">Enter a date for 'Letter of Intent &amp; Market Analyst Engagement Letter to CHFA' in cell B122.
</v>
      </c>
      <c r="G110"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v>
      </c>
      <c r="H110" t="s">
        <v>3842</v>
      </c>
    </row>
    <row r="111" spans="1:8" ht="15" customHeight="1">
      <c r="A111" t="str">
        <f t="shared" ca="1" si="106"/>
        <v xml:space="preserve">Enter a date for 'Submit Housing Credit Application &amp; Market Study to CHFA' in cell B123.
</v>
      </c>
      <c r="B111">
        <f>ROW(Application!A123)</f>
        <v>123</v>
      </c>
      <c r="C111" t="str">
        <f t="shared" ca="1" si="107"/>
        <v>Submit Housing Credit Application &amp; Market Study to CHFA</v>
      </c>
      <c r="D111" t="str">
        <f t="shared" si="108"/>
        <v>B123</v>
      </c>
      <c r="E111" t="str">
        <f t="shared" ca="1" si="109"/>
        <v/>
      </c>
      <c r="F111" t="str">
        <f t="shared" ca="1" si="118"/>
        <v xml:space="preserve">Enter a date for 'Submit Housing Credit Application &amp; Market Study to CHFA' in cell B123.
</v>
      </c>
      <c r="G111"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v>
      </c>
      <c r="H111" t="b">
        <f>Application!B72="Yes"</f>
        <v>0</v>
      </c>
    </row>
    <row r="112" spans="1:8" ht="15" customHeight="1">
      <c r="A112" t="str">
        <f t="shared" ca="1" si="106"/>
        <v xml:space="preserve">Enter a date for 'Housing Credit Application Approval/Reservation' in cell B124.
</v>
      </c>
      <c r="B112">
        <f>ROW(Application!A124)</f>
        <v>124</v>
      </c>
      <c r="C112" t="str">
        <f t="shared" ca="1" si="107"/>
        <v>Housing Credit Application Approval/Reservation</v>
      </c>
      <c r="D112" t="str">
        <f t="shared" si="108"/>
        <v>B124</v>
      </c>
      <c r="E112" t="str">
        <f t="shared" ca="1" si="109"/>
        <v/>
      </c>
      <c r="F112" t="str">
        <f t="shared" ca="1" si="118"/>
        <v xml:space="preserve">Enter a date for 'Housing Credit Application Approval/Reservation' in cell B124.
</v>
      </c>
      <c r="G11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v>
      </c>
    </row>
    <row r="113" spans="1:8" ht="15" customHeight="1">
      <c r="A113" t="str">
        <f ca="1">IF(AND(E113="", $H$111),F113, "")</f>
        <v/>
      </c>
      <c r="B113">
        <f>ROW(Application!A126)</f>
        <v>126</v>
      </c>
      <c r="C113" t="str">
        <f t="shared" ca="1" si="107"/>
        <v>Inducement Resolution</v>
      </c>
      <c r="D113" t="str">
        <f t="shared" si="108"/>
        <v>B126</v>
      </c>
      <c r="E113" t="str">
        <f t="shared" ca="1" si="109"/>
        <v/>
      </c>
      <c r="F113" t="str">
        <f t="shared" ca="1" si="118"/>
        <v xml:space="preserve">Enter a date for 'Inducement Resolution' in cell B126.
</v>
      </c>
      <c r="G11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v>
      </c>
    </row>
    <row r="114" spans="1:8" ht="15" customHeight="1">
      <c r="A114" t="str">
        <f ca="1">IF(AND(E114="", $H$111),F114, "")</f>
        <v/>
      </c>
      <c r="B114">
        <f>ROW(Application!A127)</f>
        <v>127</v>
      </c>
      <c r="C114" t="str">
        <f t="shared" ca="1" si="107"/>
        <v>Final Authorizing Resolution</v>
      </c>
      <c r="D114" t="str">
        <f t="shared" si="108"/>
        <v>B127</v>
      </c>
      <c r="E114" t="str">
        <f t="shared" ca="1" si="109"/>
        <v/>
      </c>
      <c r="F114" t="str">
        <f t="shared" ca="1" si="118"/>
        <v xml:space="preserve">Enter a date for 'Final Authorizing Resolution' in cell B127.
</v>
      </c>
      <c r="G11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v>
      </c>
    </row>
    <row r="115" spans="1:8" ht="15" customHeight="1">
      <c r="A115" t="str">
        <f ca="1">IF(AND(E115="", $H$111),F115, "")</f>
        <v/>
      </c>
      <c r="B115">
        <f>ROW(Application!A128)</f>
        <v>128</v>
      </c>
      <c r="C115" t="str">
        <f t="shared" ca="1" si="107"/>
        <v>Construction Loan Closing</v>
      </c>
      <c r="D115" t="str">
        <f t="shared" si="108"/>
        <v>B128</v>
      </c>
      <c r="E115" t="str">
        <f t="shared" ca="1" si="109"/>
        <v/>
      </c>
      <c r="F115" t="str">
        <f t="shared" ca="1" si="118"/>
        <v xml:space="preserve">Enter a date for 'Construction Loan Closing' in cell B128.
</v>
      </c>
      <c r="G115"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v>
      </c>
    </row>
    <row r="116" spans="1:8" ht="15" customHeight="1">
      <c r="A116" t="str">
        <f t="shared" ca="1" si="106"/>
        <v xml:space="preserve">Enter a date for 'Close Acquisition (if applicable)' in cell B129.
</v>
      </c>
      <c r="B116">
        <f>ROW(Application!A129)</f>
        <v>129</v>
      </c>
      <c r="C116" t="str">
        <f t="shared" ca="1" si="107"/>
        <v>Close Acquisition (if applicable)</v>
      </c>
      <c r="D116" t="str">
        <f t="shared" si="108"/>
        <v>B129</v>
      </c>
      <c r="E116" t="str">
        <f t="shared" ca="1" si="109"/>
        <v/>
      </c>
      <c r="F116" t="str">
        <f t="shared" ca="1" si="118"/>
        <v xml:space="preserve">Enter a date for 'Close Acquisition (if applicable)' in cell B129.
</v>
      </c>
      <c r="G116"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v>
      </c>
    </row>
    <row r="117" spans="1:8" ht="15" customHeight="1">
      <c r="A117" t="str">
        <f t="shared" ca="1" si="106"/>
        <v xml:space="preserve">Enter a date for 'All Loans Closed' in cell B130.
</v>
      </c>
      <c r="B117">
        <f>ROW(Application!A130)</f>
        <v>130</v>
      </c>
      <c r="C117" t="str">
        <f t="shared" ca="1" si="107"/>
        <v>All Loans Closed</v>
      </c>
      <c r="D117" t="str">
        <f t="shared" si="108"/>
        <v>B130</v>
      </c>
      <c r="E117" t="str">
        <f t="shared" ca="1" si="109"/>
        <v/>
      </c>
      <c r="F117" t="str">
        <f t="shared" ca="1" si="118"/>
        <v xml:space="preserve">Enter a date for 'All Loans Closed' in cell B130.
</v>
      </c>
      <c r="G117"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v>
      </c>
    </row>
    <row r="118" spans="1:8" ht="15" customHeight="1">
      <c r="A118" t="str">
        <f t="shared" ca="1" si="106"/>
        <v xml:space="preserve">Enter a date for 'Execute Partnership Agreement' in cell B131.
</v>
      </c>
      <c r="B118">
        <f>ROW(Application!A131)</f>
        <v>131</v>
      </c>
      <c r="C118" t="str">
        <f t="shared" ca="1" si="107"/>
        <v>Execute Partnership Agreement</v>
      </c>
      <c r="D118" t="str">
        <f t="shared" si="108"/>
        <v>B131</v>
      </c>
      <c r="E118" t="str">
        <f t="shared" ca="1" si="109"/>
        <v/>
      </c>
      <c r="F118" t="str">
        <f t="shared" ca="1" si="118"/>
        <v xml:space="preserve">Enter a date for 'Execute Partnership Agreement' in cell B131.
</v>
      </c>
      <c r="G118"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v>
      </c>
    </row>
    <row r="119" spans="1:8" ht="15" customHeight="1">
      <c r="A119" t="str">
        <f ca="1">IF(AND(E119="",$H$111=FALSE),F119, "")</f>
        <v xml:space="preserve">Enter a date for 'Submit Carryover Application for 9% Project' in cell B132.
</v>
      </c>
      <c r="B119">
        <f>ROW(Application!A132)</f>
        <v>132</v>
      </c>
      <c r="C119" t="str">
        <f t="shared" ca="1" si="107"/>
        <v>Submit Carryover Application for 9% Project</v>
      </c>
      <c r="D119" t="str">
        <f t="shared" si="108"/>
        <v>B132</v>
      </c>
      <c r="E119" t="str">
        <f t="shared" ca="1" si="109"/>
        <v/>
      </c>
      <c r="F119" t="str">
        <f t="shared" ca="1" si="118"/>
        <v xml:space="preserve">Enter a date for 'Submit Carryover Application for 9% Project' in cell B132.
</v>
      </c>
      <c r="G119"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v>
      </c>
    </row>
    <row r="120" spans="1:8" s="366" customFormat="1" ht="15" customHeight="1">
      <c r="A120" s="366" t="str">
        <f ca="1">IF(AND(E120="",Calculations!B10),F120, "")</f>
        <v/>
      </c>
      <c r="B120" s="366">
        <f>ROW(Application!A133)</f>
        <v>133</v>
      </c>
      <c r="C120" s="366" t="str">
        <f t="shared" ref="C120" ca="1" si="119">INDIRECT($F$3 &amp; ADDRESS(B120, 1,4  ))</f>
        <v>Submit Milestone Documention for State AHTC</v>
      </c>
      <c r="D120" s="366" t="str">
        <f t="shared" ref="D120" si="120">ADDRESS(B120, 2,4  )</f>
        <v>B133</v>
      </c>
      <c r="E120" s="366" t="str">
        <f t="shared" ca="1" si="109"/>
        <v/>
      </c>
      <c r="F120" s="366" t="str">
        <f t="shared" ca="1" si="118"/>
        <v xml:space="preserve">Enter a date for 'Submit Milestone Documention for State AHTC' in cell B133.
</v>
      </c>
      <c r="G120" s="861"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v>
      </c>
      <c r="H120" s="366" t="s">
        <v>3843</v>
      </c>
    </row>
    <row r="121" spans="1:8" ht="15" customHeight="1">
      <c r="A121" t="str">
        <f t="shared" ca="1" si="106"/>
        <v xml:space="preserve">Enter a date for 'Complete Construction Drawings approved by Planning/Building Dept.' in cell B135.
</v>
      </c>
      <c r="B121">
        <f>ROW(Application!A135)</f>
        <v>135</v>
      </c>
      <c r="C121" t="str">
        <f t="shared" ca="1" si="107"/>
        <v>Complete Construction Drawings approved by Planning/Building Dept.</v>
      </c>
      <c r="D121" t="str">
        <f t="shared" si="108"/>
        <v>B135</v>
      </c>
      <c r="E121" t="str">
        <f t="shared" ca="1" si="109"/>
        <v/>
      </c>
      <c r="F121" t="str">
        <f t="shared" ca="1" si="118"/>
        <v xml:space="preserve">Enter a date for 'Complete Construction Drawings approved by Planning/Building Dept.' in cell B135.
</v>
      </c>
      <c r="G121"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v>
      </c>
    </row>
    <row r="122" spans="1:8" ht="15" customHeight="1">
      <c r="A122" t="str">
        <f t="shared" ca="1" si="106"/>
        <v xml:space="preserve">Enter a date for 'Final Site Plan Approval' in cell B136.
</v>
      </c>
      <c r="B122">
        <f>ROW(Application!A136)</f>
        <v>136</v>
      </c>
      <c r="C122" t="str">
        <f t="shared" ca="1" si="107"/>
        <v>Final Site Plan Approval</v>
      </c>
      <c r="D122" t="str">
        <f t="shared" si="108"/>
        <v>B136</v>
      </c>
      <c r="E122" t="str">
        <f t="shared" ca="1" si="109"/>
        <v/>
      </c>
      <c r="F122" t="str">
        <f t="shared" ca="1" si="118"/>
        <v xml:space="preserve">Enter a date for 'Final Site Plan Approval' in cell B136.
</v>
      </c>
      <c r="G122"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v>
      </c>
    </row>
    <row r="123" spans="1:8" ht="15" customHeight="1">
      <c r="A123" t="str">
        <f t="shared" ref="A123:A126" ca="1" si="121">IF(E123="",F123, "")</f>
        <v xml:space="preserve">Enter a date for 'Groundbreaking Ceremony (if planned)' in cell B137.
</v>
      </c>
      <c r="B123">
        <f>ROW(Application!A137)</f>
        <v>137</v>
      </c>
      <c r="C123" t="str">
        <f t="shared" ref="C123:C126" ca="1" si="122">INDIRECT($F$3 &amp; ADDRESS(B123, 1,4  ))</f>
        <v>Groundbreaking Ceremony (if planned)</v>
      </c>
      <c r="D123" t="str">
        <f t="shared" ref="D123:D126" si="123">ADDRESS(B123, 2,4  )</f>
        <v>B137</v>
      </c>
      <c r="E123" t="str">
        <f t="shared" ca="1" si="109"/>
        <v/>
      </c>
      <c r="F123" t="str">
        <f t="shared" ca="1" si="118"/>
        <v xml:space="preserve">Enter a date for 'Groundbreaking Ceremony (if planned)' in cell B137.
</v>
      </c>
      <c r="G123"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v>
      </c>
    </row>
    <row r="124" spans="1:8" ht="15" customHeight="1">
      <c r="A124" t="str">
        <f t="shared" ca="1" si="121"/>
        <v xml:space="preserve">Enter a date for 'Building Permit(s) Issued' in cell B138.
</v>
      </c>
      <c r="B124">
        <f>ROW(Application!A138)</f>
        <v>138</v>
      </c>
      <c r="C124" t="str">
        <f t="shared" ca="1" si="122"/>
        <v>Building Permit(s) Issued</v>
      </c>
      <c r="D124" t="str">
        <f t="shared" si="123"/>
        <v>B138</v>
      </c>
      <c r="E124" t="str">
        <f t="shared" ca="1" si="109"/>
        <v/>
      </c>
      <c r="F124" t="str">
        <f t="shared" ca="1" si="118"/>
        <v xml:space="preserve">Enter a date for 'Building Permit(s) Issued' in cell B138.
</v>
      </c>
      <c r="G124"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v>
      </c>
    </row>
    <row r="125" spans="1:8" ht="15" customHeight="1">
      <c r="A125" t="str">
        <f t="shared" ca="1" si="121"/>
        <v xml:space="preserve">Enter a value for 'Complete Construction &amp; Anticipated Place-In-Service
(Obtain Certificates of Occupancy)' in cell B139.
</v>
      </c>
      <c r="B125">
        <f>ROW(Application!A139)</f>
        <v>139</v>
      </c>
      <c r="C125" t="str">
        <f t="shared" ca="1" si="122"/>
        <v>Complete Construction &amp; Anticipated Place-In-Service
(Obtain Certificates of Occupancy)</v>
      </c>
      <c r="D125" t="str">
        <f t="shared" si="123"/>
        <v>B139</v>
      </c>
      <c r="E125" t="str">
        <f t="shared" ca="1" si="109"/>
        <v/>
      </c>
      <c r="F125" t="str">
        <f ca="1">CONCATENATE("Enter a value for '", C125, "' in cell ", D125, ".", CHAR(10))</f>
        <v xml:space="preserve">Enter a value for 'Complete Construction &amp; Anticipated Place-In-Service
(Obtain Certificates of Occupancy)' in cell B139.
</v>
      </c>
      <c r="G125"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v>
      </c>
    </row>
    <row r="126" spans="1:8" ht="15" customHeight="1">
      <c r="A126" t="str">
        <f t="shared" ca="1" si="121"/>
        <v xml:space="preserve">Enter a date for 'Enter Estimated Construction Period (Months)' in cell B140.
</v>
      </c>
      <c r="B126">
        <f>ROW(Application!A140)</f>
        <v>140</v>
      </c>
      <c r="C126" t="str">
        <f t="shared" ca="1" si="122"/>
        <v>Enter Estimated Construction Period (Months)</v>
      </c>
      <c r="D126" t="str">
        <f t="shared" si="123"/>
        <v>B140</v>
      </c>
      <c r="E126" t="str">
        <f t="shared" ca="1" si="109"/>
        <v/>
      </c>
      <c r="F126" t="str">
        <f ca="1">CONCATENATE("Enter a date for '", C126, "' in cell ", D126, ".", CHAR(10))</f>
        <v xml:space="preserve">Enter a date for 'Enter Estimated Construction Period (Months)' in cell B140.
</v>
      </c>
      <c r="G126" s="9" t="str">
        <f t="shared" ca="1" si="111"/>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v>
      </c>
    </row>
    <row r="127" spans="1:8" ht="15" customHeight="1">
      <c r="A127" t="str">
        <f t="shared" ref="A127:A130" ca="1" si="124">IF(E127="",F127, "")</f>
        <v xml:space="preserve">Enter a date for 'Place-In-Service Application for LURA to CHFA (must submit within 45 days of first building placing in service)' in cell B142.
</v>
      </c>
      <c r="B127">
        <f>ROW(Application!A142)</f>
        <v>142</v>
      </c>
      <c r="C127" t="str">
        <f t="shared" ref="C127:C130" ca="1" si="125">INDIRECT($F$3 &amp; ADDRESS(B127, 1,4  ))</f>
        <v>Place-In-Service Application for LURA to CHFA (must submit within 45 days of first building placing in service)</v>
      </c>
      <c r="D127" t="str">
        <f t="shared" ref="D127:D130" si="126">ADDRESS(B127, 2,4  )</f>
        <v>B142</v>
      </c>
      <c r="E127" t="str">
        <f t="shared" ref="E127:E130" ca="1" si="127">IF(ISBLANK( INDIRECT($F$3 &amp; D127)),"", INDIRECT($F$3 &amp; D127))</f>
        <v/>
      </c>
      <c r="F127" t="str">
        <f t="shared" ref="F127:F130" ca="1" si="128">CONCATENATE("Enter a date for '", C127, "' in cell ", D127, ".", CHAR(10))</f>
        <v xml:space="preserve">Enter a date for 'Place-In-Service Application for LURA to CHFA (must submit within 45 days of first building placing in service)' in cell B142.
</v>
      </c>
      <c r="G127" s="9" t="str">
        <f t="shared" ref="G127:G130" ca="1" si="129">OFFSET(G127, -1, 0) &amp; A127</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v>
      </c>
    </row>
    <row r="128" spans="1:8" ht="15" customHeight="1">
      <c r="A128" t="str">
        <f t="shared" ca="1" si="124"/>
        <v xml:space="preserve">Enter a date for 'Grand Opening (if planned)' in cell B143.
</v>
      </c>
      <c r="B128">
        <f>ROW(Application!A143)</f>
        <v>143</v>
      </c>
      <c r="C128" t="str">
        <f t="shared" ca="1" si="125"/>
        <v>Grand Opening (if planned)</v>
      </c>
      <c r="D128" t="str">
        <f t="shared" si="126"/>
        <v>B143</v>
      </c>
      <c r="E128" t="str">
        <f t="shared" ca="1" si="127"/>
        <v/>
      </c>
      <c r="F128" t="str">
        <f t="shared" ca="1" si="128"/>
        <v xml:space="preserve">Enter a date for 'Grand Opening (if planned)' in cell B143.
</v>
      </c>
      <c r="G128"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v>
      </c>
    </row>
    <row r="129" spans="1:7" ht="15" customHeight="1">
      <c r="A129" t="str">
        <f t="shared" ca="1" si="124"/>
        <v xml:space="preserve">Enter a date for 'Stabilization/Lease up' in cell B144.
</v>
      </c>
      <c r="B129">
        <f>ROW(Application!A144)</f>
        <v>144</v>
      </c>
      <c r="C129" t="str">
        <f t="shared" ca="1" si="125"/>
        <v>Stabilization/Lease up</v>
      </c>
      <c r="D129" t="str">
        <f t="shared" si="126"/>
        <v>B144</v>
      </c>
      <c r="E129" t="str">
        <f t="shared" ca="1" si="127"/>
        <v/>
      </c>
      <c r="F129" t="str">
        <f t="shared" ca="1" si="128"/>
        <v xml:space="preserve">Enter a date for 'Stabilization/Lease up' in cell B144.
</v>
      </c>
      <c r="G129"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Enter a date for 'Stabilization/Lease up' in cell B144.
</v>
      </c>
    </row>
    <row r="130" spans="1:7" ht="15" customHeight="1">
      <c r="A130" t="str">
        <f t="shared" ca="1" si="124"/>
        <v xml:space="preserve">Enter a date for 'Convert to Permanent Loan' in cell B145.
</v>
      </c>
      <c r="B130">
        <f>ROW(Application!A145)</f>
        <v>145</v>
      </c>
      <c r="C130" t="str">
        <f t="shared" ca="1" si="125"/>
        <v>Convert to Permanent Loan</v>
      </c>
      <c r="D130" t="str">
        <f t="shared" si="126"/>
        <v>B145</v>
      </c>
      <c r="E130" t="str">
        <f t="shared" ca="1" si="127"/>
        <v/>
      </c>
      <c r="F130" t="str">
        <f t="shared" ca="1" si="128"/>
        <v xml:space="preserve">Enter a date for 'Convert to Permanent Loan' in cell B145.
</v>
      </c>
      <c r="G130" s="9" t="str">
        <f t="shared" ca="1" si="129"/>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Enter a date for 'Stabilization/Lease up' in cell B144.
Enter a date for 'Convert to Permanent Loan' in cell B145.
</v>
      </c>
    </row>
    <row r="131" spans="1:7" ht="15" customHeight="1">
      <c r="A131" t="str">
        <f t="shared" ref="A131" ca="1" si="130">IF(E131="",F131, "")</f>
        <v xml:space="preserve">Enter a date for 'Final Application to CHFA' in cell B146.
</v>
      </c>
      <c r="B131">
        <f>ROW(Application!A146)</f>
        <v>146</v>
      </c>
      <c r="C131" t="str">
        <f t="shared" ref="C131" ca="1" si="131">INDIRECT($F$3 &amp; ADDRESS(B131, 1,4  ))</f>
        <v>Final Application to CHFA</v>
      </c>
      <c r="D131" t="str">
        <f t="shared" ref="D131" si="132">ADDRESS(B131, 2,4  )</f>
        <v>B146</v>
      </c>
      <c r="E131" t="str">
        <f t="shared" ref="E131" ca="1" si="133">IF(ISBLANK( INDIRECT($F$3 &amp; D131)),"", INDIRECT($F$3 &amp; D131))</f>
        <v/>
      </c>
      <c r="F131" t="str">
        <f t="shared" ref="F131" ca="1" si="134">CONCATENATE("Enter a date for '", C131, "' in cell ", D131, ".", CHAR(10))</f>
        <v xml:space="preserve">Enter a date for 'Final Application to CHFA' in cell B146.
</v>
      </c>
      <c r="G131" s="9" t="str">
        <f t="shared" ref="G131" ca="1" si="135">OFFSET(G131, -1, 0) &amp; A131</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Enter a date for 'Stabilization/Lease up' in cell B144.
Enter a date for 'Convert to Permanent Loan' in cell B145.
Enter a date for 'Final Application to CHFA' in cell B146.
</v>
      </c>
    </row>
    <row r="132" spans="1:7" ht="15" customHeight="1">
      <c r="A132" s="55" t="s">
        <v>3844</v>
      </c>
      <c r="B132" s="53"/>
      <c r="C132" s="53"/>
      <c r="D132" s="53"/>
      <c r="E132" s="53"/>
      <c r="F132" s="53"/>
      <c r="G132" s="56" t="str">
        <f ca="1">OFFSET(G132, -1, 0)</f>
        <v xml:space="preserve">Enter a date for 'Application Date' in cell B4 between 01/01/2023 and 11/01/2024.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'Project Type' in cell B12.
Select a value for 'Is this an existing LIHTC property' in cell B13.
Select a value for 'Locking Applicable Percentage?' in cell B14.
Enter a value for 'Name' in cell B27.
Enter a value for 'Address' in cell B28.
Enter a value for 'City' in cell B29.
Enter a value for 'Zip' in cell B30.
Enter a value for 'County' in cell B31.
Enter a value for 'Census Tract' in cell B32.
Enter a value for 'State Senate District' in cell B33.
Enter a value for 'State House District' in cell B34.
Enter a value for 'Congressional District' in cell B35.
Enter a value for 'Site Control' in cell B36.
Enter a value for 'Identify current Owner/Seller/Lessor ' in cell B37.
Enter a value for 'Related Party? ' in cell B38.
Enter a value for 'If yes please explain related party ' in cell B39.
Enter a value for 'Is the site properly zoned?' in cell B40.
Enter a value for 'Does Zoning meet parking ratio requirements?' in cell B41.
Enter a value for 'Are all utilities available for the development?' in cell B43.
Enter a value for 'Heating Type In-Unit' in cell B44.
Enter a value for 'Heating Type Common Area' in cell B45.
Enter a value for 'Cooling Type In-Unit' in cell B46.
Enter a value for 'Cooling Type Common Area' in cell B47.
Enter a value for 'HVAC System In-Unit' in cell B48.
Enter a value for 'Hot Water Heating Type' in cell B49.
Enter a value for 'Ventalation System' in cell B50.
Enter a value for 'All-Electric Development' in cell B51.
Enter a value for 'Electrification-Ready Development' in cell B52.
Enter a value for 'Green Systems' in cell B53.
Enter a value for 'Type of Energy Efficiency Certification' in cell B54.
Enter a value for 'Radon Mitigation' in cell B55.
Enter a value for 'Water-Wise Landscaping' in cell B56.
Enter a value for 'Number of Residential Building(s)' in cell B57.
Enter a value for 'Number of Floors in the Tallest Building' in cell B58.
Enter a value for 'Building Construction' in cell B59.
Enter a value for 'Building Type' in cell B60.
Enter a value for 'Parcel Size (Site Acres)' in cell B61.
Enter a value for 'Common Space Square Footage' in cell B62.
Enter a value for 'Commercial Space Square Footage' in cell B63.
Enter a value for 'Type of Units/Housing' in cell B64.
Enter a value for 'Federal Assistance' in cell B66.
Enter a value for 'USDA Rural Development Sect. 515' in cell B67.
Enter a value for 'USDA Rural Development Sect. 514 (Farmworker)' in cell B68.
Enter a value for 'FHA Insurance-221(d)(4) ' in cell B69.
Enter a value for 'FHA Insurance 223 (f)' in cell B70.
Enter a value for 'FHA Insurance-Risk-Sharing' in cell B71.
Enter a value for 'Tax Exempt Bond Financing' in cell B72.
A value of Yes for 'Enter name of Entity Transferring Bond Cap ' in cell B78 is only available for 4% non-competetive.
Enter a value for 'Taxable Bond Financing' in cell B80.
Enter a value for 'Federal Historic Rehabilitation Tax Credits' in cell B82.
Enter a value for 'State Historic Rehabilitation Tax Credits' in cell B84.
Enter a value for 'Solar Tax Credits/ETC' in cell B86.
Enter a value for '45L Energy Efficiency Home Credit' in cell B88.
Enter a value for 'Investment Tax Credit (ITC)' in cell B90.
Enter a value for '100% Project-based rental assistance (HAP Contract)' in cell B92.
Enter a value for 'McKinney Act Homeless Funding' in cell B93.
Enter a value for 'HOME Funding' in cell B94.
Enter a value for 'CDBG DR Funding' in cell B95.
Enter a value for 'FHLB Affordable Housing Program Funding' in cell B96.
Enter a value for 'CDBG Funding' in cell B97.
Enter a value for 'Project-based Vouchers' in cell B98.
Enter a value for 'State Funds - HDG' in cell B100.
Enter a value for 'State Funds - HSP' in cell B101.
Enter a value for 'State Funds - DOH Vouchers' in cell B102.
Enter a value for 'Additional 5% Developer Fee Boost for PSH Units' in cell B107.
Enter a date for 'Letter of Intent &amp; Market Analyst Engagement Letter to CHFA' in cell B122.
Enter a date for 'Submit Housing Credit Application &amp; Market Study to CHFA' in cell B123.
Enter a date for 'Housing Credit Application Approval/Reservation' in cell B124.
Enter a date for 'Close Acquisition (if applicable)' in cell B129.
Enter a date for 'All Loans Closed' in cell B130.
Enter a date for 'Execute Partnership Agreement' in cell B131.
Enter a date for 'Submit Carryover Application for 9% Project' in cell B132.
Enter a date for 'Complete Construction Drawings approved by Planning/Building Dept.' in cell B135.
Enter a date for 'Final Site Plan Approval' in cell B136.
Enter a date for 'Groundbreaking Ceremony (if planned)' in cell B137.
Enter a date for 'Building Permit(s) Issued' in cell B138.
Enter a value for 'Complete Construction &amp; Anticipated Place-In-Service
(Obtain Certificates of Occupancy)' in cell B139.
Enter a date for 'Enter Estimated Construction Period (Months)' in cell B140.
Enter a date for 'Place-In-Service Application for LURA to CHFA (must submit within 45 days of first building placing in service)' in cell B142.
Enter a date for 'Grand Opening (if planned)' in cell B143.
Enter a date for 'Stabilization/Lease up' in cell B144.
Enter a date for 'Convert to Permanent Loan' in cell B145.
Enter a date for 'Final Application to CHFA' in cell B146.
</v>
      </c>
    </row>
    <row r="133" spans="1:7" ht="15" customHeight="1">
      <c r="G133" t="s">
        <v>476</v>
      </c>
    </row>
    <row r="134" spans="1:7" ht="15" customHeight="1">
      <c r="A134" s="22" t="s">
        <v>102</v>
      </c>
      <c r="F134" s="49" t="s">
        <v>3845</v>
      </c>
    </row>
    <row r="135" spans="1:7" ht="15" customHeight="1">
      <c r="A135" s="53" t="s">
        <v>3831</v>
      </c>
      <c r="B135" s="53" t="s">
        <v>3832</v>
      </c>
      <c r="C135" s="53" t="s">
        <v>3833</v>
      </c>
      <c r="D135" s="53" t="s">
        <v>3834</v>
      </c>
      <c r="E135" s="53" t="s">
        <v>3835</v>
      </c>
      <c r="F135" s="53" t="s">
        <v>3836</v>
      </c>
      <c r="G135" s="54" t="s">
        <v>3837</v>
      </c>
    </row>
    <row r="136" spans="1:7" ht="15" customHeight="1">
      <c r="A136" t="str">
        <f t="shared" ref="A136:A143" ca="1" si="136">IF(E136="",F136, "")</f>
        <v xml:space="preserve">Enter a value for 'Total Number of Units' in cell B3.
</v>
      </c>
      <c r="B136">
        <f>ROW('Unit Mix &amp; Rents'!A3)</f>
        <v>3</v>
      </c>
      <c r="C136" t="str">
        <f t="shared" ref="C136:C143" ca="1" si="137">INDIRECT($F$134 &amp; ADDRESS(B136, 1,4  ))</f>
        <v>Total Number of Units</v>
      </c>
      <c r="D136" t="str">
        <f t="shared" ref="D136:D144" si="138">ADDRESS(B136, 2,4  )</f>
        <v>B3</v>
      </c>
      <c r="E136" t="str">
        <f t="shared" ref="E136:E143" ca="1" si="139">IF(ISBLANK( INDIRECT($F$134 &amp; D136)),"", INDIRECT($F$134 &amp; D136))</f>
        <v/>
      </c>
      <c r="F136" t="str">
        <f t="shared" ref="F136:F143" ca="1" si="140">CONCATENATE("Enter a value for '", C136, "' in cell ", D136, ".", CHAR(10))</f>
        <v xml:space="preserve">Enter a value for 'Total Number of Units' in cell B3.
</v>
      </c>
      <c r="G136" s="9" t="str">
        <f ca="1">A136</f>
        <v xml:space="preserve">Enter a value for 'Total Number of Units' in cell B3.
</v>
      </c>
    </row>
    <row r="137" spans="1:7" ht="15" customHeight="1">
      <c r="A137" t="str">
        <f t="shared" ca="1" si="136"/>
        <v/>
      </c>
      <c r="B137">
        <f>ROW('Unit Mix &amp; Rents'!A7)</f>
        <v>7</v>
      </c>
      <c r="C137" t="str">
        <f t="shared" ca="1" si="137"/>
        <v>0 bedroom</v>
      </c>
      <c r="D137" t="str">
        <f t="shared" si="138"/>
        <v>B7</v>
      </c>
      <c r="E137">
        <f t="shared" ca="1" si="139"/>
        <v>0</v>
      </c>
      <c r="F137" t="str">
        <f t="shared" ca="1" si="140"/>
        <v xml:space="preserve">Enter a value for '0 bedroom' in cell B7.
</v>
      </c>
      <c r="G137" s="9" t="str">
        <f t="shared" ref="G137:G168" ca="1" si="141">OFFSET(G137, -1, 0) &amp; A137</f>
        <v xml:space="preserve">Enter a value for 'Total Number of Units' in cell B3.
</v>
      </c>
    </row>
    <row r="138" spans="1:7" ht="15" customHeight="1">
      <c r="A138" t="str">
        <f t="shared" ca="1" si="136"/>
        <v/>
      </c>
      <c r="B138">
        <f>ROW('Unit Mix &amp; Rents'!A8)</f>
        <v>8</v>
      </c>
      <c r="C138" t="str">
        <f t="shared" ca="1" si="137"/>
        <v>1 bedroom</v>
      </c>
      <c r="D138" t="str">
        <f t="shared" si="138"/>
        <v>B8</v>
      </c>
      <c r="E138">
        <f t="shared" ca="1" si="139"/>
        <v>0</v>
      </c>
      <c r="F138" t="str">
        <f t="shared" ca="1" si="140"/>
        <v xml:space="preserve">Enter a value for '1 bedroom' in cell B8.
</v>
      </c>
      <c r="G138" s="9" t="str">
        <f t="shared" ca="1" si="141"/>
        <v xml:space="preserve">Enter a value for 'Total Number of Units' in cell B3.
</v>
      </c>
    </row>
    <row r="139" spans="1:7" ht="15" customHeight="1">
      <c r="A139" t="str">
        <f t="shared" ca="1" si="136"/>
        <v/>
      </c>
      <c r="B139">
        <f>ROW('Unit Mix &amp; Rents'!A9)</f>
        <v>9</v>
      </c>
      <c r="C139" t="str">
        <f t="shared" ca="1" si="137"/>
        <v>2 bedroom</v>
      </c>
      <c r="D139" t="str">
        <f t="shared" si="138"/>
        <v>B9</v>
      </c>
      <c r="E139">
        <f t="shared" ca="1" si="139"/>
        <v>0</v>
      </c>
      <c r="F139" t="str">
        <f t="shared" ca="1" si="140"/>
        <v xml:space="preserve">Enter a value for '2 bedroom' in cell B9.
</v>
      </c>
      <c r="G139" s="9" t="str">
        <f t="shared" ca="1" si="141"/>
        <v xml:space="preserve">Enter a value for 'Total Number of Units' in cell B3.
</v>
      </c>
    </row>
    <row r="140" spans="1:7" ht="15" customHeight="1">
      <c r="A140" t="str">
        <f t="shared" ca="1" si="136"/>
        <v/>
      </c>
      <c r="B140">
        <f>ROW('Unit Mix &amp; Rents'!A10)</f>
        <v>10</v>
      </c>
      <c r="C140" t="str">
        <f t="shared" ca="1" si="137"/>
        <v>3 bedroom</v>
      </c>
      <c r="D140" t="str">
        <f t="shared" si="138"/>
        <v>B10</v>
      </c>
      <c r="E140">
        <f t="shared" ca="1" si="139"/>
        <v>0</v>
      </c>
      <c r="F140" t="str">
        <f t="shared" ca="1" si="140"/>
        <v xml:space="preserve">Enter a value for '3 bedroom' in cell B10.
</v>
      </c>
      <c r="G140" s="9" t="str">
        <f t="shared" ca="1" si="141"/>
        <v xml:space="preserve">Enter a value for 'Total Number of Units' in cell B3.
</v>
      </c>
    </row>
    <row r="141" spans="1:7" ht="15" customHeight="1">
      <c r="A141" t="str">
        <f t="shared" ca="1" si="136"/>
        <v/>
      </c>
      <c r="B141">
        <f>ROW('Unit Mix &amp; Rents'!A11)</f>
        <v>11</v>
      </c>
      <c r="C141" t="str">
        <f t="shared" ca="1" si="137"/>
        <v>4 bedroom</v>
      </c>
      <c r="D141" t="str">
        <f t="shared" si="138"/>
        <v>B11</v>
      </c>
      <c r="E141">
        <f t="shared" ca="1" si="139"/>
        <v>0</v>
      </c>
      <c r="F141" t="str">
        <f t="shared" ca="1" si="140"/>
        <v xml:space="preserve">Enter a value for '4 bedroom' in cell B11.
</v>
      </c>
      <c r="G141" s="9" t="str">
        <f t="shared" ca="1" si="141"/>
        <v xml:space="preserve">Enter a value for 'Total Number of Units' in cell B3.
</v>
      </c>
    </row>
    <row r="142" spans="1:7" ht="15" customHeight="1">
      <c r="A142" t="str">
        <f t="shared" ca="1" si="136"/>
        <v/>
      </c>
      <c r="B142">
        <f>ROW('Unit Mix &amp; Rents'!A12)</f>
        <v>12</v>
      </c>
      <c r="C142" t="str">
        <f t="shared" ca="1" si="137"/>
        <v>5 bedroom</v>
      </c>
      <c r="D142" t="str">
        <f t="shared" si="138"/>
        <v>B12</v>
      </c>
      <c r="E142">
        <f t="shared" ca="1" si="139"/>
        <v>0</v>
      </c>
      <c r="F142" t="str">
        <f t="shared" ca="1" si="140"/>
        <v xml:space="preserve">Enter a value for '5 bedroom' in cell B12.
</v>
      </c>
      <c r="G142" s="9" t="str">
        <f t="shared" ca="1" si="141"/>
        <v xml:space="preserve">Enter a value for 'Total Number of Units' in cell B3.
</v>
      </c>
    </row>
    <row r="143" spans="1:7" ht="15" customHeight="1">
      <c r="A143" t="str">
        <f t="shared" ca="1" si="136"/>
        <v xml:space="preserve">Enter a value for 'Do Rents Include Utilities' in cell B4.
</v>
      </c>
      <c r="B143">
        <f>ROW('Unit Mix &amp; Rents'!A4)</f>
        <v>4</v>
      </c>
      <c r="C143" t="str">
        <f t="shared" ca="1" si="137"/>
        <v>Do Rents Include Utilities</v>
      </c>
      <c r="D143" t="str">
        <f t="shared" si="138"/>
        <v>B4</v>
      </c>
      <c r="E143" t="str">
        <f t="shared" ca="1" si="139"/>
        <v/>
      </c>
      <c r="F143" t="str">
        <f t="shared" ca="1" si="140"/>
        <v xml:space="preserve">Enter a value for 'Do Rents Include Utilities' in cell B4.
</v>
      </c>
      <c r="G143" s="9" t="str">
        <f t="shared" ca="1" si="141"/>
        <v xml:space="preserve">Enter a value for 'Total Number of Units' in cell B3.
Enter a value for 'Do Rents Include Utilities' in cell B4.
</v>
      </c>
    </row>
    <row r="144" spans="1:7" ht="15" customHeight="1">
      <c r="A144" s="52" t="str">
        <f ca="1">IF(AND(E136&lt;&gt;"", E144&lt;&gt;E136),F144, "")</f>
        <v/>
      </c>
      <c r="B144" s="52">
        <f>ROW('Unit Mix &amp; Rents'!A3)</f>
        <v>3</v>
      </c>
      <c r="C144" s="52"/>
      <c r="D144" s="52" t="str">
        <f t="shared" si="138"/>
        <v>B3</v>
      </c>
      <c r="E144" s="52">
        <f>Calculations!$H$44</f>
        <v>0</v>
      </c>
      <c r="F144" t="str">
        <f>CONCATENATE("Total number of units in the unit breakdown does not match the total units specified in cell ", D144, ".", CHAR(10))</f>
        <v xml:space="preserve">Total number of units in the unit breakdown does not match the total units specified in cell B3.
</v>
      </c>
      <c r="G144" s="9" t="str">
        <f t="shared" ca="1" si="141"/>
        <v xml:space="preserve">Enter a value for 'Total Number of Units' in cell B3.
Enter a value for 'Do Rents Include Utilities' in cell B4.
</v>
      </c>
    </row>
    <row r="145" spans="1:14" ht="15" customHeight="1">
      <c r="A145" s="52" t="str">
        <f>IF(E145=0, F145, "")</f>
        <v xml:space="preserve">Please enter at least one row of the Rental Income Table beginning on worksheet row 4.
</v>
      </c>
      <c r="B145" s="52">
        <f>ROW('Unit Mix &amp; Rents'!A17)</f>
        <v>17</v>
      </c>
      <c r="C145" s="52"/>
      <c r="D145" s="52"/>
      <c r="E145" s="52">
        <f>SUMPRODUCT(ISTEXT('Unit Mix &amp; Rents'!A17:E76) + ISNUMBER('Unit Mix &amp; Rents'!A17:E76))</f>
        <v>0</v>
      </c>
      <c r="F145" t="str">
        <f>CONCATENATE("Please enter at least one row of the Rental Income Table beginning on worksheet row ", B143, ".", CHAR(10))</f>
        <v xml:space="preserve">Please enter at least one row of the Rental Income Table beginning on worksheet row 4.
</v>
      </c>
      <c r="G145" s="9" t="str">
        <f t="shared" ca="1" si="141"/>
        <v xml:space="preserve">Enter a value for 'Total Number of Units' in cell B3.
Enter a value for 'Do Rents Include Utilities' in cell B4.
Please enter at least one row of the Rental Income Table beginning on worksheet row 4.
</v>
      </c>
    </row>
    <row r="146" spans="1:14" ht="15" customHeight="1">
      <c r="A146" s="52" t="str">
        <f>IF(AND(E146&gt;1,E146&lt;5), F146, "")</f>
        <v/>
      </c>
      <c r="B146" s="52">
        <f>ROW('Unit Mix &amp; Rents'!A17)</f>
        <v>17</v>
      </c>
      <c r="C146" s="52"/>
      <c r="D146" s="52"/>
      <c r="E146" s="52">
        <f>SUMPRODUCT(ISTEXT('Unit Mix &amp; Rents'!A17:E17) + ISNUMBER('Unit Mix &amp; Rents'!A17:E17))</f>
        <v>0</v>
      </c>
      <c r="F146" t="str">
        <f>CONCATENATE("Please enter all values in unit breakdown in worksheet row ", B144, ".", CHAR(10))</f>
        <v xml:space="preserve">Please enter all values in unit breakdown in worksheet row 3.
</v>
      </c>
      <c r="G146" s="9" t="str">
        <f t="shared" ca="1" si="141"/>
        <v xml:space="preserve">Enter a value for 'Total Number of Units' in cell B3.
Enter a value for 'Do Rents Include Utilities' in cell B4.
Please enter at least one row of the Rental Income Table beginning on worksheet row 4.
</v>
      </c>
    </row>
    <row r="147" spans="1:14" ht="15" customHeight="1">
      <c r="A147" t="str">
        <f ca="1">IF(AND(IF(ISNA(K147), FALSE, K147), E147 &gt; IF(ISNA(N147), E147, L147)), F147, "")</f>
        <v/>
      </c>
      <c r="B147">
        <f>B146</f>
        <v>17</v>
      </c>
      <c r="D147" s="52" t="str">
        <f>ADDRESS(B147,5,4)</f>
        <v>E17</v>
      </c>
      <c r="E147" t="str">
        <f ca="1">IF(ISBLANK( INDIRECT($F$134 &amp; D147)),"", INDIRECT($F$134 &amp; D147))</f>
        <v/>
      </c>
      <c r="F147" t="e">
        <f ca="1">CONCATENATE("Actual Rent per Unit exceeds maximum allowed rent of ", DOLLAR(N147), " in worksheet row ", B147, ".", CHAR(10))</f>
        <v>#N/A</v>
      </c>
      <c r="G147" s="9" t="str">
        <f t="shared" ca="1" si="141"/>
        <v xml:space="preserve">Enter a value for 'Total Number of Units' in cell B3.
Enter a value for 'Do Rents Include Utilities' in cell B4.
Please enter at least one row of the Rental Income Table beginning on worksheet row 4.
</v>
      </c>
      <c r="H147" s="52">
        <f ca="1">INDIRECT($F$134 &amp; ADDRESS(B147,1,4))</f>
        <v>0</v>
      </c>
      <c r="I147" s="52">
        <f ca="1">INDIRECT($F$134 &amp; ADDRESS(B147,2,4))</f>
        <v>0</v>
      </c>
      <c r="J147" s="52" t="e">
        <f ca="1">INDEX(Unit_Mix_Type_Table[Bedrooms], MATCH(Validation!I147,Unit_Mix_Type_Table[Unit Mix Type],0), 1)</f>
        <v>#N/A</v>
      </c>
      <c r="K147" s="52" t="e">
        <f ca="1">INDEX(Unit_Mix_Type_Table[Has Max Rent], MATCH(Validation!I147,Unit_Mix_Type_Table[Unit Mix Type],0), 1)</f>
        <v>#N/A</v>
      </c>
      <c r="L147" s="52" t="e">
        <f ca="1">INDEX(Calculations!$A$76:$G$83, MATCH(H147, Calculations!$A$76:$A$83),MATCH(J147,Calculations!$A$76:$G$76))</f>
        <v>#N/A</v>
      </c>
      <c r="M147" s="52" t="e">
        <f ca="1">INDEX(Calculations!$A$88:$G$95, MATCH(H147, Calculations!$A$76:$A$83),MATCH(J147,Calculations!$A$76:$G$76))</f>
        <v>#N/A</v>
      </c>
      <c r="N147" s="52" t="e">
        <f ca="1">IF('Unit Mix &amp; Rents'!B4="No", Validation!M147, Validation!L147)</f>
        <v>#N/A</v>
      </c>
    </row>
    <row r="148" spans="1:14" ht="15" customHeight="1">
      <c r="A148" s="52" t="str">
        <f>IF(AND(E148&gt;1,E148&lt;5), F148, "")</f>
        <v/>
      </c>
      <c r="B148" s="52">
        <f>ROW('Unit Mix &amp; Rents'!A18)</f>
        <v>18</v>
      </c>
      <c r="C148" s="52"/>
      <c r="D148" s="52"/>
      <c r="E148" s="52">
        <f>SUMPRODUCT(ISTEXT('Unit Mix &amp; Rents'!A18:E18) + ISNUMBER('Unit Mix &amp; Rents'!A18:E18))</f>
        <v>0</v>
      </c>
      <c r="F148" t="str">
        <f>CONCATENATE("Please enter all values in unit breakdown in worksheet row ", B146, ".", CHAR(10))</f>
        <v xml:space="preserve">Please enter all values in unit breakdown in worksheet row 17.
</v>
      </c>
      <c r="G148" s="9" t="str">
        <f t="shared" ca="1" si="141"/>
        <v xml:space="preserve">Enter a value for 'Total Number of Units' in cell B3.
Enter a value for 'Do Rents Include Utilities' in cell B4.
Please enter at least one row of the Rental Income Table beginning on worksheet row 4.
</v>
      </c>
    </row>
    <row r="149" spans="1:14" ht="15" customHeight="1">
      <c r="A149" t="str">
        <f ca="1">IF(AND(IF(ISNA(K149), FALSE, K149), E149 &gt; IF(ISNA(N149), E149, L149)), F149, "")</f>
        <v/>
      </c>
      <c r="B149">
        <f>B148</f>
        <v>18</v>
      </c>
      <c r="D149" s="52" t="str">
        <f>ADDRESS(B149,5,4)</f>
        <v>E18</v>
      </c>
      <c r="E149" t="str">
        <f ca="1">IF(ISBLANK( INDIRECT($F$134 &amp; D149)),"", INDIRECT($F$134 &amp; D149))</f>
        <v/>
      </c>
      <c r="F149" t="e">
        <f ca="1">CONCATENATE("Actual Rent per Unit exceeds maximum allowed rent of ", DOLLAR(N149), " in worksheet row ", B149, ".", CHAR(10))</f>
        <v>#N/A</v>
      </c>
      <c r="G149" s="9" t="str">
        <f t="shared" ref="G149" ca="1" si="142">OFFSET(G149, -1, 0) &amp; A149</f>
        <v xml:space="preserve">Enter a value for 'Total Number of Units' in cell B3.
Enter a value for 'Do Rents Include Utilities' in cell B4.
Please enter at least one row of the Rental Income Table beginning on worksheet row 4.
</v>
      </c>
      <c r="H149" s="52">
        <f ca="1">INDIRECT($F$134 &amp; ADDRESS(B149,1,4))</f>
        <v>0</v>
      </c>
      <c r="I149" s="52">
        <f ca="1">INDIRECT($F$134 &amp; ADDRESS(B149,2,4))</f>
        <v>0</v>
      </c>
      <c r="J149" s="52" t="e">
        <f ca="1">INDEX(Unit_Mix_Type_Table[Bedrooms], MATCH(Validation!I149,Unit_Mix_Type_Table[Unit Mix Type],0), 1)</f>
        <v>#N/A</v>
      </c>
      <c r="K149" s="52" t="e">
        <f ca="1">INDEX(Unit_Mix_Type_Table[Has Max Rent], MATCH(Validation!I149,Unit_Mix_Type_Table[Unit Mix Type],0), 1)</f>
        <v>#N/A</v>
      </c>
      <c r="L149" s="52" t="e">
        <f ca="1">INDEX(Calculations!$A$76:$G$83, MATCH(H149, Calculations!$A$76:$A$83),MATCH(J149,Calculations!$A$76:$G$76))</f>
        <v>#N/A</v>
      </c>
      <c r="M149" s="52" t="e">
        <f ca="1">INDEX(Calculations!$A$88:$G$93, MATCH(H149, Calculations!$A$76:$A$83),MATCH(J149,Calculations!$A$76:$G$76))</f>
        <v>#N/A</v>
      </c>
      <c r="N149" s="52" t="e">
        <f ca="1">IF('Unit Mix &amp; Rents'!B14="No", Validation!M149, Validation!L149)</f>
        <v>#N/A</v>
      </c>
    </row>
    <row r="150" spans="1:14" ht="15" customHeight="1">
      <c r="A150" s="52" t="str">
        <f>IF(AND(E150&gt;1,E150&lt;5), F150, "")</f>
        <v/>
      </c>
      <c r="B150" s="52">
        <f>ROW('Unit Mix &amp; Rents'!A39)</f>
        <v>39</v>
      </c>
      <c r="C150" s="52"/>
      <c r="D150" s="52"/>
      <c r="E150" s="52">
        <f>SUMPRODUCT(ISTEXT('Unit Mix &amp; Rents'!A39:E39) + ISNUMBER('Unit Mix &amp; Rents'!A39:E39))</f>
        <v>0</v>
      </c>
      <c r="F150" t="str">
        <f>CONCATENATE("Please enter all values in unit breakdown in worksheet row ", B148, ".", CHAR(10))</f>
        <v xml:space="preserve">Please enter all values in unit breakdown in worksheet row 18.
</v>
      </c>
      <c r="G150" s="9" t="str">
        <f t="shared" ca="1" si="141"/>
        <v xml:space="preserve">Enter a value for 'Total Number of Units' in cell B3.
Enter a value for 'Do Rents Include Utilities' in cell B4.
Please enter at least one row of the Rental Income Table beginning on worksheet row 4.
</v>
      </c>
    </row>
    <row r="151" spans="1:14" ht="15" customHeight="1">
      <c r="A151" t="str">
        <f ca="1">IF(AND(IF(ISNA(K151), FALSE, K151), E151 &gt; IF(ISNA(N151), E151, L151)), F151, "")</f>
        <v/>
      </c>
      <c r="B151">
        <f>B150</f>
        <v>39</v>
      </c>
      <c r="D151" s="52" t="str">
        <f>ADDRESS(B151,5,4)</f>
        <v>E39</v>
      </c>
      <c r="E151" t="str">
        <f ca="1">IF(ISBLANK( INDIRECT($F$134 &amp; D151)),"", INDIRECT($F$134 &amp; D151))</f>
        <v/>
      </c>
      <c r="F151" t="e">
        <f ca="1">CONCATENATE("Actual Rent per Unit exceeds maximum allowed rent of ", DOLLAR(N151), " in worksheet row ", B151, ".", CHAR(10))</f>
        <v>#N/A</v>
      </c>
      <c r="G151" s="9" t="str">
        <f t="shared" ref="G151" ca="1" si="143">OFFSET(G151, -1, 0) &amp; A151</f>
        <v xml:space="preserve">Enter a value for 'Total Number of Units' in cell B3.
Enter a value for 'Do Rents Include Utilities' in cell B4.
Please enter at least one row of the Rental Income Table beginning on worksheet row 4.
</v>
      </c>
      <c r="H151" s="52">
        <f ca="1">INDIRECT($F$134 &amp; ADDRESS(B151,1,4))</f>
        <v>0</v>
      </c>
      <c r="I151" s="52">
        <f ca="1">INDIRECT($F$134 &amp; ADDRESS(B151,2,4))</f>
        <v>0</v>
      </c>
      <c r="J151" s="52" t="e">
        <f ca="1">INDEX(Unit_Mix_Type_Table[Bedrooms], MATCH(Validation!I151,Unit_Mix_Type_Table[Unit Mix Type],0), 1)</f>
        <v>#N/A</v>
      </c>
      <c r="K151" s="52" t="e">
        <f ca="1">INDEX(Unit_Mix_Type_Table[Has Max Rent], MATCH(Validation!I151,Unit_Mix_Type_Table[Unit Mix Type],0), 1)</f>
        <v>#N/A</v>
      </c>
      <c r="L151" s="52" t="e">
        <f ca="1">INDEX(Calculations!$A$76:$G$83, MATCH(H151, Calculations!$A$76:$A$83),MATCH(J151,Calculations!$A$76:$G$76))</f>
        <v>#N/A</v>
      </c>
      <c r="M151" s="52" t="e">
        <f ca="1">INDEX(Calculations!$A$88:$G$93, MATCH(H151, Calculations!$A$76:$A$83),MATCH(J151,Calculations!$A$76:$G$76))</f>
        <v>#N/A</v>
      </c>
      <c r="N151" s="52" t="e">
        <f ca="1">IF('Unit Mix &amp; Rents'!B16="No", Validation!M151, Validation!L151)</f>
        <v>#N/A</v>
      </c>
    </row>
    <row r="152" spans="1:14" ht="15" customHeight="1">
      <c r="A152" s="52" t="str">
        <f>IF(AND(E152&gt;1,E152&lt;5), F152, "")</f>
        <v/>
      </c>
      <c r="B152" s="52">
        <f>ROW('Unit Mix &amp; Rents'!A40)</f>
        <v>40</v>
      </c>
      <c r="C152" s="52"/>
      <c r="D152" s="52"/>
      <c r="E152" s="52">
        <f>SUMPRODUCT(ISTEXT('Unit Mix &amp; Rents'!A40:E40) + ISNUMBER('Unit Mix &amp; Rents'!A40:E40))</f>
        <v>0</v>
      </c>
      <c r="F152" t="str">
        <f>CONCATENATE("Please enter all values in unit breakdown in worksheet row ", B150, ".", CHAR(10))</f>
        <v xml:space="preserve">Please enter all values in unit breakdown in worksheet row 39.
</v>
      </c>
      <c r="G152" s="9" t="str">
        <f t="shared" ca="1" si="141"/>
        <v xml:space="preserve">Enter a value for 'Total Number of Units' in cell B3.
Enter a value for 'Do Rents Include Utilities' in cell B4.
Please enter at least one row of the Rental Income Table beginning on worksheet row 4.
</v>
      </c>
    </row>
    <row r="153" spans="1:14" ht="15" customHeight="1">
      <c r="A153" t="str">
        <f ca="1">IF(AND(IF(ISNA(K153), FALSE, K153), E153 &gt; IF(ISNA(N153), E153, L153)), F153, "")</f>
        <v/>
      </c>
      <c r="B153">
        <f>B152</f>
        <v>40</v>
      </c>
      <c r="D153" s="52" t="str">
        <f>ADDRESS(B153,5,4)</f>
        <v>E40</v>
      </c>
      <c r="E153" t="str">
        <f ca="1">IF(ISBLANK( INDIRECT($F$134 &amp; D153)),"", INDIRECT($F$134 &amp; D153))</f>
        <v/>
      </c>
      <c r="F153" t="e">
        <f ca="1">CONCATENATE("Actual Rent per Unit exceeds maximum allowed rent of ", DOLLAR(N153), " in worksheet row ", B153, ".", CHAR(10))</f>
        <v>#N/A</v>
      </c>
      <c r="G153" s="9" t="str">
        <f t="shared" ref="G153" ca="1" si="144">OFFSET(G153, -1, 0) &amp; A153</f>
        <v xml:space="preserve">Enter a value for 'Total Number of Units' in cell B3.
Enter a value for 'Do Rents Include Utilities' in cell B4.
Please enter at least one row of the Rental Income Table beginning on worksheet row 4.
</v>
      </c>
      <c r="H153" s="52">
        <f ca="1">INDIRECT($F$134 &amp; ADDRESS(B153,1,4))</f>
        <v>0</v>
      </c>
      <c r="I153" s="52">
        <f ca="1">INDIRECT($F$134 &amp; ADDRESS(B153,2,4))</f>
        <v>0</v>
      </c>
      <c r="J153" s="52" t="e">
        <f ca="1">INDEX(Unit_Mix_Type_Table[Bedrooms], MATCH(Validation!I153,Unit_Mix_Type_Table[Unit Mix Type],0), 1)</f>
        <v>#N/A</v>
      </c>
      <c r="K153" s="52" t="e">
        <f ca="1">INDEX(Unit_Mix_Type_Table[Has Max Rent], MATCH(Validation!I153,Unit_Mix_Type_Table[Unit Mix Type],0), 1)</f>
        <v>#N/A</v>
      </c>
      <c r="L153" s="52" t="e">
        <f ca="1">INDEX(Calculations!$A$76:$G$83, MATCH(H153, Calculations!$A$76:$A$83),MATCH(J153,Calculations!$A$76:$G$76))</f>
        <v>#N/A</v>
      </c>
      <c r="M153" s="52" t="e">
        <f ca="1">INDEX(Calculations!$A$88:$G$93, MATCH(H153, Calculations!$A$76:$A$83),MATCH(J153,Calculations!$A$76:$G$76))</f>
        <v>#N/A</v>
      </c>
      <c r="N153" s="52" t="e">
        <f ca="1">IF('Unit Mix &amp; Rents'!B18="No", Validation!M153, Validation!L153)</f>
        <v>#N/A</v>
      </c>
    </row>
    <row r="154" spans="1:14" ht="15" customHeight="1">
      <c r="A154" s="52" t="str">
        <f>IF(AND(E154&gt;1,E154&lt;5), F154, "")</f>
        <v/>
      </c>
      <c r="B154" s="52">
        <f>ROW('Unit Mix &amp; Rents'!A41)</f>
        <v>41</v>
      </c>
      <c r="C154" s="52"/>
      <c r="D154" s="52"/>
      <c r="E154" s="52">
        <f>SUMPRODUCT(ISTEXT('Unit Mix &amp; Rents'!A41:E41) + ISNUMBER('Unit Mix &amp; Rents'!A41:E41))</f>
        <v>0</v>
      </c>
      <c r="F154" t="str">
        <f>CONCATENATE("Please enter all values in unit breakdown in worksheet row ", B152, ".", CHAR(10))</f>
        <v xml:space="preserve">Please enter all values in unit breakdown in worksheet row 40.
</v>
      </c>
      <c r="G154" s="9" t="str">
        <f t="shared" ca="1" si="141"/>
        <v xml:space="preserve">Enter a value for 'Total Number of Units' in cell B3.
Enter a value for 'Do Rents Include Utilities' in cell B4.
Please enter at least one row of the Rental Income Table beginning on worksheet row 4.
</v>
      </c>
    </row>
    <row r="155" spans="1:14" ht="15" customHeight="1">
      <c r="A155" t="str">
        <f ca="1">IF(AND(IF(ISNA(K155), FALSE, K155), E155 &gt; IF(ISNA(N155), E155, L155)), F155, "")</f>
        <v/>
      </c>
      <c r="B155">
        <f>B154</f>
        <v>41</v>
      </c>
      <c r="D155" s="52" t="str">
        <f>ADDRESS(B155,5,4)</f>
        <v>E41</v>
      </c>
      <c r="E155" t="str">
        <f ca="1">IF(ISBLANK( INDIRECT($F$134 &amp; D155)),"", INDIRECT($F$134 &amp; D155))</f>
        <v/>
      </c>
      <c r="F155" t="e">
        <f ca="1">CONCATENATE("Actual Rent per Unit exceeds maximum allowed rent of ", DOLLAR(N155), " in worksheet row ", B155, ".", CHAR(10))</f>
        <v>#N/A</v>
      </c>
      <c r="G155" s="9" t="str">
        <f t="shared" ref="G155" ca="1" si="145">OFFSET(G155, -1, 0) &amp; A155</f>
        <v xml:space="preserve">Enter a value for 'Total Number of Units' in cell B3.
Enter a value for 'Do Rents Include Utilities' in cell B4.
Please enter at least one row of the Rental Income Table beginning on worksheet row 4.
</v>
      </c>
      <c r="H155" s="52">
        <f ca="1">INDIRECT($F$134 &amp; ADDRESS(B155,1,4))</f>
        <v>0</v>
      </c>
      <c r="I155" s="52">
        <f ca="1">INDIRECT($F$134 &amp; ADDRESS(B155,2,4))</f>
        <v>0</v>
      </c>
      <c r="J155" s="52" t="e">
        <f ca="1">INDEX(Unit_Mix_Type_Table[Bedrooms], MATCH(Validation!I155,Unit_Mix_Type_Table[Unit Mix Type],0), 1)</f>
        <v>#N/A</v>
      </c>
      <c r="K155" s="52" t="e">
        <f ca="1">INDEX(Unit_Mix_Type_Table[Has Max Rent], MATCH(Validation!I155,Unit_Mix_Type_Table[Unit Mix Type],0), 1)</f>
        <v>#N/A</v>
      </c>
      <c r="L155" s="52" t="e">
        <f ca="1">INDEX(Calculations!$A$76:$G$83, MATCH(H155, Calculations!$A$76:$A$83),MATCH(J155,Calculations!$A$76:$G$76))</f>
        <v>#N/A</v>
      </c>
      <c r="M155" s="52" t="e">
        <f ca="1">INDEX(Calculations!$A$88:$G$93, MATCH(H155, Calculations!$A$76:$A$83),MATCH(J155,Calculations!$A$76:$G$76))</f>
        <v>#N/A</v>
      </c>
      <c r="N155" s="52" t="e">
        <f ca="1">IF('Unit Mix &amp; Rents'!B20="No", Validation!M155, Validation!L155)</f>
        <v>#N/A</v>
      </c>
    </row>
    <row r="156" spans="1:14" ht="15" customHeight="1">
      <c r="A156" s="52" t="str">
        <f>IF(AND(E156&gt;1,E156&lt;5), F156, "")</f>
        <v/>
      </c>
      <c r="B156" s="52">
        <f>ROW('Unit Mix &amp; Rents'!A42)</f>
        <v>42</v>
      </c>
      <c r="C156" s="52"/>
      <c r="D156" s="52"/>
      <c r="E156" s="52">
        <f>SUMPRODUCT(ISTEXT('Unit Mix &amp; Rents'!A42:E42) + ISNUMBER('Unit Mix &amp; Rents'!A42:E42))</f>
        <v>0</v>
      </c>
      <c r="F156" t="str">
        <f>CONCATENATE("Please enter all values in unit breakdown in worksheet row ", B154, ".", CHAR(10))</f>
        <v xml:space="preserve">Please enter all values in unit breakdown in worksheet row 41.
</v>
      </c>
      <c r="G156" s="9" t="str">
        <f t="shared" ca="1" si="141"/>
        <v xml:space="preserve">Enter a value for 'Total Number of Units' in cell B3.
Enter a value for 'Do Rents Include Utilities' in cell B4.
Please enter at least one row of the Rental Income Table beginning on worksheet row 4.
</v>
      </c>
    </row>
    <row r="157" spans="1:14" ht="15" customHeight="1">
      <c r="A157" t="str">
        <f ca="1">IF(AND(IF(ISNA(K157), FALSE, K157), E157 &gt; IF(ISNA(N157), E157, L157)), F157, "")</f>
        <v/>
      </c>
      <c r="B157">
        <f>B156</f>
        <v>42</v>
      </c>
      <c r="D157" s="52" t="str">
        <f>ADDRESS(B157,5,4)</f>
        <v>E42</v>
      </c>
      <c r="E157" t="str">
        <f ca="1">IF(ISBLANK( INDIRECT($F$134 &amp; D157)),"", INDIRECT($F$134 &amp; D157))</f>
        <v/>
      </c>
      <c r="F157" t="e">
        <f ca="1">CONCATENATE("Actual Rent per Unit exceeds maximum allowed rent of ", DOLLAR(N157), " in worksheet row ", B157, ".", CHAR(10))</f>
        <v>#N/A</v>
      </c>
      <c r="G157" s="9" t="str">
        <f t="shared" ref="G157" ca="1" si="146">OFFSET(G157, -1, 0) &amp; A157</f>
        <v xml:space="preserve">Enter a value for 'Total Number of Units' in cell B3.
Enter a value for 'Do Rents Include Utilities' in cell B4.
Please enter at least one row of the Rental Income Table beginning on worksheet row 4.
</v>
      </c>
      <c r="H157" s="52">
        <f ca="1">INDIRECT($F$134 &amp; ADDRESS(B157,1,4))</f>
        <v>0</v>
      </c>
      <c r="I157" s="52">
        <f ca="1">INDIRECT($F$134 &amp; ADDRESS(B157,2,4))</f>
        <v>0</v>
      </c>
      <c r="J157" s="52" t="e">
        <f ca="1">INDEX(Unit_Mix_Type_Table[Bedrooms], MATCH(Validation!I157,Unit_Mix_Type_Table[Unit Mix Type],0), 1)</f>
        <v>#N/A</v>
      </c>
      <c r="K157" s="52" t="e">
        <f ca="1">INDEX(Unit_Mix_Type_Table[Has Max Rent], MATCH(Validation!I157,Unit_Mix_Type_Table[Unit Mix Type],0), 1)</f>
        <v>#N/A</v>
      </c>
      <c r="L157" s="52" t="e">
        <f ca="1">INDEX(Calculations!$A$76:$G$83, MATCH(H157, Calculations!$A$76:$A$83),MATCH(J157,Calculations!$A$76:$G$76))</f>
        <v>#N/A</v>
      </c>
      <c r="M157" s="52" t="e">
        <f ca="1">INDEX(Calculations!$A$88:$G$93, MATCH(H157, Calculations!$A$76:$A$83),MATCH(J157,Calculations!$A$76:$G$76))</f>
        <v>#N/A</v>
      </c>
      <c r="N157" s="52" t="e">
        <f ca="1">IF('Unit Mix &amp; Rents'!B22="No", Validation!M157, Validation!L157)</f>
        <v>#N/A</v>
      </c>
    </row>
    <row r="158" spans="1:14" ht="15" customHeight="1">
      <c r="A158" s="52" t="str">
        <f>IF(AND(E158&gt;1,E158&lt;5), F158, "")</f>
        <v/>
      </c>
      <c r="B158" s="52">
        <f>ROW('Unit Mix &amp; Rents'!A43)</f>
        <v>43</v>
      </c>
      <c r="C158" s="52"/>
      <c r="D158" s="52"/>
      <c r="E158" s="52">
        <f>SUMPRODUCT(ISTEXT('Unit Mix &amp; Rents'!A43:E43) + ISNUMBER('Unit Mix &amp; Rents'!A43:E43))</f>
        <v>0</v>
      </c>
      <c r="F158" t="str">
        <f>CONCATENATE("Please enter all values in unit breakdown in worksheet row ", B156, ".", CHAR(10))</f>
        <v xml:space="preserve">Please enter all values in unit breakdown in worksheet row 42.
</v>
      </c>
      <c r="G158" s="9" t="str">
        <f t="shared" ca="1" si="141"/>
        <v xml:space="preserve">Enter a value for 'Total Number of Units' in cell B3.
Enter a value for 'Do Rents Include Utilities' in cell B4.
Please enter at least one row of the Rental Income Table beginning on worksheet row 4.
</v>
      </c>
    </row>
    <row r="159" spans="1:14" ht="15" customHeight="1">
      <c r="A159" t="str">
        <f ca="1">IF(AND(IF(ISNA(K159), FALSE, K159), E159 &gt; IF(ISNA(N159), E159, L159)), F159, "")</f>
        <v/>
      </c>
      <c r="B159">
        <f>B158</f>
        <v>43</v>
      </c>
      <c r="D159" s="52" t="str">
        <f>ADDRESS(B159,5,4)</f>
        <v>E43</v>
      </c>
      <c r="E159" t="str">
        <f ca="1">IF(ISBLANK( INDIRECT($F$134 &amp; D159)),"", INDIRECT($F$134 &amp; D159))</f>
        <v/>
      </c>
      <c r="F159" t="e">
        <f ca="1">CONCATENATE("Actual Rent per Unit exceeds maximum allowed rent of ", DOLLAR(N159), " in worksheet row ", B159, ".", CHAR(10))</f>
        <v>#N/A</v>
      </c>
      <c r="G159" s="9" t="str">
        <f t="shared" ref="G159" ca="1" si="147">OFFSET(G159, -1, 0) &amp; A159</f>
        <v xml:space="preserve">Enter a value for 'Total Number of Units' in cell B3.
Enter a value for 'Do Rents Include Utilities' in cell B4.
Please enter at least one row of the Rental Income Table beginning on worksheet row 4.
</v>
      </c>
      <c r="H159" s="52">
        <f ca="1">INDIRECT($F$134 &amp; ADDRESS(B159,1,4))</f>
        <v>0</v>
      </c>
      <c r="I159" s="52">
        <f ca="1">INDIRECT($F$134 &amp; ADDRESS(B159,2,4))</f>
        <v>0</v>
      </c>
      <c r="J159" s="52" t="e">
        <f ca="1">INDEX(Unit_Mix_Type_Table[Bedrooms], MATCH(Validation!I159,Unit_Mix_Type_Table[Unit Mix Type],0), 1)</f>
        <v>#N/A</v>
      </c>
      <c r="K159" s="52" t="e">
        <f ca="1">INDEX(Unit_Mix_Type_Table[Has Max Rent], MATCH(Validation!I159,Unit_Mix_Type_Table[Unit Mix Type],0), 1)</f>
        <v>#N/A</v>
      </c>
      <c r="L159" s="52" t="e">
        <f ca="1">INDEX(Calculations!$A$76:$G$83, MATCH(H159, Calculations!$A$76:$A$83),MATCH(J159,Calculations!$A$76:$G$76))</f>
        <v>#N/A</v>
      </c>
      <c r="M159" s="52" t="e">
        <f ca="1">INDEX(Calculations!$A$88:$G$93, MATCH(H159, Calculations!$A$76:$A$83),MATCH(J159,Calculations!$A$76:$G$76))</f>
        <v>#N/A</v>
      </c>
      <c r="N159" s="52" t="e">
        <f ca="1">IF('Unit Mix &amp; Rents'!B24="No", Validation!M159, Validation!L159)</f>
        <v>#N/A</v>
      </c>
    </row>
    <row r="160" spans="1:14" ht="15" customHeight="1">
      <c r="A160" s="52" t="str">
        <f>IF(AND(E160&gt;1,E160&lt;5), F160, "")</f>
        <v/>
      </c>
      <c r="B160" s="52">
        <f>ROW('Unit Mix &amp; Rents'!A44)</f>
        <v>44</v>
      </c>
      <c r="C160" s="52"/>
      <c r="D160" s="52"/>
      <c r="E160" s="52">
        <f>SUMPRODUCT(ISTEXT('Unit Mix &amp; Rents'!A44:E44) + ISNUMBER('Unit Mix &amp; Rents'!A44:E44))</f>
        <v>0</v>
      </c>
      <c r="F160" t="str">
        <f>CONCATENATE("Please enter all values in unit breakdown in worksheet row ", B158, ".", CHAR(10))</f>
        <v xml:space="preserve">Please enter all values in unit breakdown in worksheet row 43.
</v>
      </c>
      <c r="G160" s="9" t="str">
        <f t="shared" ca="1" si="141"/>
        <v xml:space="preserve">Enter a value for 'Total Number of Units' in cell B3.
Enter a value for 'Do Rents Include Utilities' in cell B4.
Please enter at least one row of the Rental Income Table beginning on worksheet row 4.
</v>
      </c>
    </row>
    <row r="161" spans="1:14" ht="15" customHeight="1">
      <c r="A161" t="str">
        <f ca="1">IF(AND(IF(ISNA(K161), FALSE, K161), E161 &gt; IF(ISNA(N161), E161, L161)), F161, "")</f>
        <v/>
      </c>
      <c r="B161">
        <f>B160</f>
        <v>44</v>
      </c>
      <c r="D161" s="52" t="str">
        <f>ADDRESS(B161,5,4)</f>
        <v>E44</v>
      </c>
      <c r="E161" t="str">
        <f ca="1">IF(ISBLANK( INDIRECT($F$134 &amp; D161)),"", INDIRECT($F$134 &amp; D161))</f>
        <v/>
      </c>
      <c r="F161" t="e">
        <f ca="1">CONCATENATE("Actual Rent per Unit exceeds maximum allowed rent of ", DOLLAR(N161), " in worksheet row ", B161, ".", CHAR(10))</f>
        <v>#N/A</v>
      </c>
      <c r="G161" s="9" t="str">
        <f t="shared" ref="G161" ca="1" si="148">OFFSET(G161, -1, 0) &amp; A161</f>
        <v xml:space="preserve">Enter a value for 'Total Number of Units' in cell B3.
Enter a value for 'Do Rents Include Utilities' in cell B4.
Please enter at least one row of the Rental Income Table beginning on worksheet row 4.
</v>
      </c>
      <c r="H161" s="52">
        <f ca="1">INDIRECT($F$134 &amp; ADDRESS(B161,1,4))</f>
        <v>0</v>
      </c>
      <c r="I161" s="52">
        <f ca="1">INDIRECT($F$134 &amp; ADDRESS(B161,2,4))</f>
        <v>0</v>
      </c>
      <c r="J161" s="52" t="e">
        <f ca="1">INDEX(Unit_Mix_Type_Table[Bedrooms], MATCH(Validation!I161,Unit_Mix_Type_Table[Unit Mix Type],0), 1)</f>
        <v>#N/A</v>
      </c>
      <c r="K161" s="52" t="e">
        <f ca="1">INDEX(Unit_Mix_Type_Table[Has Max Rent], MATCH(Validation!I161,Unit_Mix_Type_Table[Unit Mix Type],0), 1)</f>
        <v>#N/A</v>
      </c>
      <c r="L161" s="52" t="e">
        <f ca="1">INDEX(Calculations!$A$76:$G$83, MATCH(H161, Calculations!$A$76:$A$83),MATCH(J161,Calculations!$A$76:$G$76))</f>
        <v>#N/A</v>
      </c>
      <c r="M161" s="52" t="e">
        <f ca="1">INDEX(Calculations!$A$88:$G$93, MATCH(H161, Calculations!$A$76:$A$83),MATCH(J161,Calculations!$A$76:$G$76))</f>
        <v>#N/A</v>
      </c>
      <c r="N161" s="52" t="e">
        <f ca="1">IF('Unit Mix &amp; Rents'!B26="No", Validation!M161, Validation!L161)</f>
        <v>#N/A</v>
      </c>
    </row>
    <row r="162" spans="1:14" ht="15" customHeight="1">
      <c r="A162" s="52" t="str">
        <f>IF(AND(E162&gt;1,E162&lt;5), F162, "")</f>
        <v/>
      </c>
      <c r="B162" s="52">
        <f>ROW('Unit Mix &amp; Rents'!A45)</f>
        <v>45</v>
      </c>
      <c r="C162" s="52"/>
      <c r="D162" s="52"/>
      <c r="E162" s="52">
        <f>SUMPRODUCT(ISTEXT('Unit Mix &amp; Rents'!A45:E45) + ISNUMBER('Unit Mix &amp; Rents'!A45:E45))</f>
        <v>0</v>
      </c>
      <c r="F162" t="str">
        <f>CONCATENATE("Please enter all values in unit breakdown in worksheet row ", B160, ".", CHAR(10))</f>
        <v xml:space="preserve">Please enter all values in unit breakdown in worksheet row 44.
</v>
      </c>
      <c r="G162" s="9" t="str">
        <f t="shared" ca="1" si="141"/>
        <v xml:space="preserve">Enter a value for 'Total Number of Units' in cell B3.
Enter a value for 'Do Rents Include Utilities' in cell B4.
Please enter at least one row of the Rental Income Table beginning on worksheet row 4.
</v>
      </c>
    </row>
    <row r="163" spans="1:14" ht="15" customHeight="1">
      <c r="A163" t="str">
        <f ca="1">IF(AND(IF(ISNA(K163), FALSE, K163), E163 &gt; IF(ISNA(N163), E163, L163)), F163, "")</f>
        <v/>
      </c>
      <c r="B163">
        <f>B162</f>
        <v>45</v>
      </c>
      <c r="D163" s="52" t="str">
        <f>ADDRESS(B163,5,4)</f>
        <v>E45</v>
      </c>
      <c r="E163" t="str">
        <f ca="1">IF(ISBLANK( INDIRECT($F$134 &amp; D163)),"", INDIRECT($F$134 &amp; D163))</f>
        <v/>
      </c>
      <c r="F163" t="e">
        <f ca="1">CONCATENATE("Actual Rent per Unit exceeds maximum allowed rent of ", DOLLAR(N163), " in worksheet row ", B163, ".", CHAR(10))</f>
        <v>#N/A</v>
      </c>
      <c r="G163" s="9" t="str">
        <f t="shared" ref="G163" ca="1" si="149">OFFSET(G163, -1, 0) &amp; A163</f>
        <v xml:space="preserve">Enter a value for 'Total Number of Units' in cell B3.
Enter a value for 'Do Rents Include Utilities' in cell B4.
Please enter at least one row of the Rental Income Table beginning on worksheet row 4.
</v>
      </c>
      <c r="H163" s="52">
        <f ca="1">INDIRECT($F$134 &amp; ADDRESS(B163,1,4))</f>
        <v>0</v>
      </c>
      <c r="I163" s="52">
        <f ca="1">INDIRECT($F$134 &amp; ADDRESS(B163,2,4))</f>
        <v>0</v>
      </c>
      <c r="J163" s="52" t="e">
        <f ca="1">INDEX(Unit_Mix_Type_Table[Bedrooms], MATCH(Validation!I163,Unit_Mix_Type_Table[Unit Mix Type],0), 1)</f>
        <v>#N/A</v>
      </c>
      <c r="K163" s="52" t="e">
        <f ca="1">INDEX(Unit_Mix_Type_Table[Has Max Rent], MATCH(Validation!I163,Unit_Mix_Type_Table[Unit Mix Type],0), 1)</f>
        <v>#N/A</v>
      </c>
      <c r="L163" s="52" t="e">
        <f ca="1">INDEX(Calculations!$A$76:$G$83, MATCH(H163, Calculations!$A$76:$A$83),MATCH(J163,Calculations!$A$76:$G$76))</f>
        <v>#N/A</v>
      </c>
      <c r="M163" s="52" t="e">
        <f ca="1">INDEX(Calculations!$A$88:$G$93, MATCH(H163, Calculations!$A$76:$A$83),MATCH(J163,Calculations!$A$76:$G$76))</f>
        <v>#N/A</v>
      </c>
      <c r="N163" s="52" t="e">
        <f ca="1">IF('Unit Mix &amp; Rents'!B28="No", Validation!M163, Validation!L163)</f>
        <v>#N/A</v>
      </c>
    </row>
    <row r="164" spans="1:14" ht="15" customHeight="1">
      <c r="A164" s="52" t="str">
        <f>IF(AND(E164&gt;1,E164&lt;5), F164, "")</f>
        <v/>
      </c>
      <c r="B164" s="52">
        <f>ROW('Unit Mix &amp; Rents'!A46)</f>
        <v>46</v>
      </c>
      <c r="C164" s="52"/>
      <c r="D164" s="52"/>
      <c r="E164" s="52">
        <f>SUMPRODUCT(ISTEXT('Unit Mix &amp; Rents'!A46:E46) + ISNUMBER('Unit Mix &amp; Rents'!A46:E46))</f>
        <v>0</v>
      </c>
      <c r="F164" t="str">
        <f>CONCATENATE("Please enter all values in unit breakdown in worksheet row ", B162, ".", CHAR(10))</f>
        <v xml:space="preserve">Please enter all values in unit breakdown in worksheet row 45.
</v>
      </c>
      <c r="G164" s="9" t="str">
        <f t="shared" ca="1" si="141"/>
        <v xml:space="preserve">Enter a value for 'Total Number of Units' in cell B3.
Enter a value for 'Do Rents Include Utilities' in cell B4.
Please enter at least one row of the Rental Income Table beginning on worksheet row 4.
</v>
      </c>
    </row>
    <row r="165" spans="1:14" ht="15" customHeight="1">
      <c r="A165" t="str">
        <f ca="1">IF(AND(IF(ISNA(K165), FALSE, K165), E165 &gt; IF(ISNA(N165), E165, L165)), F165, "")</f>
        <v/>
      </c>
      <c r="B165">
        <f>B164</f>
        <v>46</v>
      </c>
      <c r="D165" s="52" t="str">
        <f>ADDRESS(B165,5,4)</f>
        <v>E46</v>
      </c>
      <c r="E165" t="str">
        <f ca="1">IF(ISBLANK( INDIRECT($F$134 &amp; D165)),"", INDIRECT($F$134 &amp; D165))</f>
        <v/>
      </c>
      <c r="F165" t="e">
        <f ca="1">CONCATENATE("Actual Rent per Unit exceeds maximum allowed rent of ", DOLLAR(N165), " in worksheet row ", B165, ".", CHAR(10))</f>
        <v>#N/A</v>
      </c>
      <c r="G165" s="9" t="str">
        <f t="shared" ref="G165" ca="1" si="150">OFFSET(G165, -1, 0) &amp; A165</f>
        <v xml:space="preserve">Enter a value for 'Total Number of Units' in cell B3.
Enter a value for 'Do Rents Include Utilities' in cell B4.
Please enter at least one row of the Rental Income Table beginning on worksheet row 4.
</v>
      </c>
      <c r="H165" s="52">
        <f ca="1">INDIRECT($F$134 &amp; ADDRESS(B165,1,4))</f>
        <v>0</v>
      </c>
      <c r="I165" s="52">
        <f ca="1">INDIRECT($F$134 &amp; ADDRESS(B165,2,4))</f>
        <v>0</v>
      </c>
      <c r="J165" s="52" t="e">
        <f ca="1">INDEX(Unit_Mix_Type_Table[Bedrooms], MATCH(Validation!I165,Unit_Mix_Type_Table[Unit Mix Type],0), 1)</f>
        <v>#N/A</v>
      </c>
      <c r="K165" s="52" t="e">
        <f ca="1">INDEX(Unit_Mix_Type_Table[Has Max Rent], MATCH(Validation!I165,Unit_Mix_Type_Table[Unit Mix Type],0), 1)</f>
        <v>#N/A</v>
      </c>
      <c r="L165" s="52" t="e">
        <f ca="1">INDEX(Calculations!$A$76:$G$83, MATCH(H165, Calculations!$A$76:$A$83),MATCH(J165,Calculations!$A$76:$G$76))</f>
        <v>#N/A</v>
      </c>
      <c r="M165" s="52" t="e">
        <f ca="1">INDEX(Calculations!$A$88:$G$93, MATCH(H165, Calculations!$A$76:$A$83),MATCH(J165,Calculations!$A$76:$G$76))</f>
        <v>#N/A</v>
      </c>
      <c r="N165" s="52" t="e">
        <f ca="1">IF('Unit Mix &amp; Rents'!B30="No", Validation!M165, Validation!L165)</f>
        <v>#N/A</v>
      </c>
    </row>
    <row r="166" spans="1:14" ht="15" customHeight="1">
      <c r="A166" s="52" t="str">
        <f>IF(AND(E166&gt;1,E166&lt;5), F166, "")</f>
        <v/>
      </c>
      <c r="B166" s="52">
        <f>ROW('Unit Mix &amp; Rents'!A47)</f>
        <v>47</v>
      </c>
      <c r="C166" s="52"/>
      <c r="D166" s="52"/>
      <c r="E166" s="52">
        <f>SUMPRODUCT(ISTEXT('Unit Mix &amp; Rents'!A47:E47) + ISNUMBER('Unit Mix &amp; Rents'!A47:E47))</f>
        <v>0</v>
      </c>
      <c r="F166" t="str">
        <f>CONCATENATE("Please enter all values in unit breakdown in worksheet row ", B164, ".", CHAR(10))</f>
        <v xml:space="preserve">Please enter all values in unit breakdown in worksheet row 46.
</v>
      </c>
      <c r="G166" s="9" t="str">
        <f t="shared" ca="1" si="141"/>
        <v xml:space="preserve">Enter a value for 'Total Number of Units' in cell B3.
Enter a value for 'Do Rents Include Utilities' in cell B4.
Please enter at least one row of the Rental Income Table beginning on worksheet row 4.
</v>
      </c>
    </row>
    <row r="167" spans="1:14" ht="15" customHeight="1">
      <c r="A167" t="str">
        <f ca="1">IF(AND(IF(ISNA(K167), FALSE, K167), E167 &gt; IF(ISNA(N167), E167, L167)), F167, "")</f>
        <v/>
      </c>
      <c r="B167">
        <f>B166</f>
        <v>47</v>
      </c>
      <c r="D167" s="52" t="str">
        <f>ADDRESS(B167,5,4)</f>
        <v>E47</v>
      </c>
      <c r="E167" t="str">
        <f ca="1">IF(ISBLANK( INDIRECT($F$134 &amp; D167)),"", INDIRECT($F$134 &amp; D167))</f>
        <v/>
      </c>
      <c r="F167" t="e">
        <f ca="1">CONCATENATE("Actual Rent per Unit exceeds maximum allowed rent of ", DOLLAR(N167), " in worksheet row ", B167, ".", CHAR(10))</f>
        <v>#N/A</v>
      </c>
      <c r="G167" s="9" t="str">
        <f t="shared" ref="G167" ca="1" si="151">OFFSET(G167, -1, 0) &amp; A167</f>
        <v xml:space="preserve">Enter a value for 'Total Number of Units' in cell B3.
Enter a value for 'Do Rents Include Utilities' in cell B4.
Please enter at least one row of the Rental Income Table beginning on worksheet row 4.
</v>
      </c>
      <c r="H167" s="52">
        <f ca="1">INDIRECT($F$134 &amp; ADDRESS(B167,1,4))</f>
        <v>0</v>
      </c>
      <c r="I167" s="52">
        <f ca="1">INDIRECT($F$134 &amp; ADDRESS(B167,2,4))</f>
        <v>0</v>
      </c>
      <c r="J167" s="52" t="e">
        <f ca="1">INDEX(Unit_Mix_Type_Table[Bedrooms], MATCH(Validation!I167,Unit_Mix_Type_Table[Unit Mix Type],0), 1)</f>
        <v>#N/A</v>
      </c>
      <c r="K167" s="52" t="e">
        <f ca="1">INDEX(Unit_Mix_Type_Table[Has Max Rent], MATCH(Validation!I167,Unit_Mix_Type_Table[Unit Mix Type],0), 1)</f>
        <v>#N/A</v>
      </c>
      <c r="L167" s="52" t="e">
        <f ca="1">INDEX(Calculations!$A$76:$G$83, MATCH(H167, Calculations!$A$76:$A$83),MATCH(J167,Calculations!$A$76:$G$76))</f>
        <v>#N/A</v>
      </c>
      <c r="M167" s="52" t="e">
        <f ca="1">INDEX(Calculations!$A$88:$G$93, MATCH(H167, Calculations!$A$76:$A$83),MATCH(J167,Calculations!$A$76:$G$76))</f>
        <v>#N/A</v>
      </c>
      <c r="N167" s="52" t="e">
        <f ca="1">IF('Unit Mix &amp; Rents'!B32="No", Validation!M167, Validation!L167)</f>
        <v>#N/A</v>
      </c>
    </row>
    <row r="168" spans="1:14" ht="15" customHeight="1">
      <c r="A168" s="52" t="str">
        <f>IF(AND(E168&gt;1,E168&lt;5), F168, "")</f>
        <v/>
      </c>
      <c r="B168" s="52">
        <f>ROW('Unit Mix &amp; Rents'!A48)</f>
        <v>48</v>
      </c>
      <c r="C168" s="52"/>
      <c r="D168" s="52"/>
      <c r="E168" s="52">
        <f>SUMPRODUCT(ISTEXT('Unit Mix &amp; Rents'!A48:E48) + ISNUMBER('Unit Mix &amp; Rents'!A48:E48))</f>
        <v>0</v>
      </c>
      <c r="F168" t="str">
        <f>CONCATENATE("Please enter all values in unit breakdown in worksheet row ", B166, ".", CHAR(10))</f>
        <v xml:space="preserve">Please enter all values in unit breakdown in worksheet row 47.
</v>
      </c>
      <c r="G168" s="9" t="str">
        <f t="shared" ca="1" si="141"/>
        <v xml:space="preserve">Enter a value for 'Total Number of Units' in cell B3.
Enter a value for 'Do Rents Include Utilities' in cell B4.
Please enter at least one row of the Rental Income Table beginning on worksheet row 4.
</v>
      </c>
    </row>
    <row r="169" spans="1:14" ht="15" customHeight="1">
      <c r="A169" t="str">
        <f ca="1">IF(AND(IF(ISNA(K169), FALSE, K169), E169 &gt; IF(ISNA(N169), E169, L169)), F169, "")</f>
        <v/>
      </c>
      <c r="B169">
        <f>B168</f>
        <v>48</v>
      </c>
      <c r="D169" s="52" t="str">
        <f>ADDRESS(B169,5,4)</f>
        <v>E48</v>
      </c>
      <c r="E169" t="str">
        <f ca="1">IF(ISBLANK( INDIRECT($F$134 &amp; D169)),"", INDIRECT($F$134 &amp; D169))</f>
        <v/>
      </c>
      <c r="F169" t="e">
        <f ca="1">CONCATENATE("Actual Rent per Unit exceeds maximum allowed rent of ", DOLLAR(N169), " in worksheet row ", B169, ".", CHAR(10))</f>
        <v>#N/A</v>
      </c>
      <c r="G169" s="9" t="str">
        <f t="shared" ref="G169" ca="1" si="152">OFFSET(G169, -1, 0) &amp; A169</f>
        <v xml:space="preserve">Enter a value for 'Total Number of Units' in cell B3.
Enter a value for 'Do Rents Include Utilities' in cell B4.
Please enter at least one row of the Rental Income Table beginning on worksheet row 4.
</v>
      </c>
      <c r="H169" s="52">
        <f ca="1">INDIRECT($F$134 &amp; ADDRESS(B169,1,4))</f>
        <v>0</v>
      </c>
      <c r="I169" s="52">
        <f ca="1">INDIRECT($F$134 &amp; ADDRESS(B169,2,4))</f>
        <v>0</v>
      </c>
      <c r="J169" s="52" t="e">
        <f ca="1">INDEX(Unit_Mix_Type_Table[Bedrooms], MATCH(Validation!I169,Unit_Mix_Type_Table[Unit Mix Type],0), 1)</f>
        <v>#N/A</v>
      </c>
      <c r="K169" s="52" t="e">
        <f ca="1">INDEX(Unit_Mix_Type_Table[Has Max Rent], MATCH(Validation!I169,Unit_Mix_Type_Table[Unit Mix Type],0), 1)</f>
        <v>#N/A</v>
      </c>
      <c r="L169" s="52" t="e">
        <f ca="1">INDEX(Calculations!$A$76:$G$83, MATCH(H169, Calculations!$A$76:$A$83),MATCH(J169,Calculations!$A$76:$G$76))</f>
        <v>#N/A</v>
      </c>
      <c r="M169" s="52" t="e">
        <f ca="1">INDEX(Calculations!$A$88:$G$93, MATCH(H169, Calculations!$A$76:$A$83),MATCH(J169,Calculations!$A$76:$G$76))</f>
        <v>#N/A</v>
      </c>
      <c r="N169" s="52" t="e">
        <f ca="1">IF('Unit Mix &amp; Rents'!B34="No", Validation!M169, Validation!L169)</f>
        <v>#N/A</v>
      </c>
    </row>
    <row r="170" spans="1:14" ht="15" customHeight="1">
      <c r="A170" s="52" t="str">
        <f>IF(AND(E170&gt;1,E170&lt;5), F170, "")</f>
        <v/>
      </c>
      <c r="B170" s="52">
        <f>ROW('Unit Mix &amp; Rents'!A49)</f>
        <v>49</v>
      </c>
      <c r="C170" s="52"/>
      <c r="D170" s="52"/>
      <c r="E170" s="52">
        <f>SUMPRODUCT(ISTEXT('Unit Mix &amp; Rents'!A49:E49) + ISNUMBER('Unit Mix &amp; Rents'!A49:E49))</f>
        <v>0</v>
      </c>
      <c r="F170" t="str">
        <f>CONCATENATE("Please enter all values in unit breakdown in worksheet row ", B168, ".", CHAR(10))</f>
        <v xml:space="preserve">Please enter all values in unit breakdown in worksheet row 48.
</v>
      </c>
      <c r="G170" s="9" t="str">
        <f t="shared" ref="G170:G201" ca="1" si="153">OFFSET(G170, -1, 0) &amp; A170</f>
        <v xml:space="preserve">Enter a value for 'Total Number of Units' in cell B3.
Enter a value for 'Do Rents Include Utilities' in cell B4.
Please enter at least one row of the Rental Income Table beginning on worksheet row 4.
</v>
      </c>
    </row>
    <row r="171" spans="1:14" ht="15" customHeight="1">
      <c r="A171" t="str">
        <f ca="1">IF(AND(IF(ISNA(K171), FALSE, K171), E171 &gt; IF(ISNA(N171), E171, L171)), F171, "")</f>
        <v/>
      </c>
      <c r="B171">
        <f>B170</f>
        <v>49</v>
      </c>
      <c r="D171" s="52" t="str">
        <f>ADDRESS(B171,5,4)</f>
        <v>E49</v>
      </c>
      <c r="E171" t="str">
        <f ca="1">IF(ISBLANK( INDIRECT($F$134 &amp; D171)),"", INDIRECT($F$134 &amp; D171))</f>
        <v/>
      </c>
      <c r="F171" t="e">
        <f ca="1">CONCATENATE("Actual Rent per Unit exceeds maximum allowed rent of ", DOLLAR(N171), " in worksheet row ", B171, ".", CHAR(10))</f>
        <v>#N/A</v>
      </c>
      <c r="G171" s="9" t="str">
        <f t="shared" ca="1" si="153"/>
        <v xml:space="preserve">Enter a value for 'Total Number of Units' in cell B3.
Enter a value for 'Do Rents Include Utilities' in cell B4.
Please enter at least one row of the Rental Income Table beginning on worksheet row 4.
</v>
      </c>
      <c r="H171" s="52">
        <f ca="1">INDIRECT($F$134 &amp; ADDRESS(B171,1,4))</f>
        <v>0</v>
      </c>
      <c r="I171" s="52">
        <f ca="1">INDIRECT($F$134 &amp; ADDRESS(B171,2,4))</f>
        <v>0</v>
      </c>
      <c r="J171" s="52" t="e">
        <f ca="1">INDEX(Unit_Mix_Type_Table[Bedrooms], MATCH(Validation!I171,Unit_Mix_Type_Table[Unit Mix Type],0), 1)</f>
        <v>#N/A</v>
      </c>
      <c r="K171" s="52" t="e">
        <f ca="1">INDEX(Unit_Mix_Type_Table[Has Max Rent], MATCH(Validation!I171,Unit_Mix_Type_Table[Unit Mix Type],0), 1)</f>
        <v>#N/A</v>
      </c>
      <c r="L171" s="52" t="e">
        <f ca="1">INDEX(Calculations!$A$76:$G$83, MATCH(H171, Calculations!$A$76:$A$83),MATCH(J171,Calculations!$A$76:$G$76))</f>
        <v>#N/A</v>
      </c>
      <c r="M171" s="52" t="e">
        <f ca="1">INDEX(Calculations!$A$88:$G$93, MATCH(H171, Calculations!$A$76:$A$83),MATCH(J171,Calculations!$A$76:$G$76))</f>
        <v>#N/A</v>
      </c>
      <c r="N171" s="52" t="e">
        <f ca="1">IF('Unit Mix &amp; Rents'!B36="No", Validation!M171, Validation!L171)</f>
        <v>#N/A</v>
      </c>
    </row>
    <row r="172" spans="1:14" ht="15" customHeight="1">
      <c r="A172" s="52" t="str">
        <f>IF(AND(E172&gt;1,E172&lt;5), F172, "")</f>
        <v/>
      </c>
      <c r="B172" s="52">
        <f>ROW('Unit Mix &amp; Rents'!A50)</f>
        <v>50</v>
      </c>
      <c r="C172" s="52"/>
      <c r="D172" s="52"/>
      <c r="E172" s="52">
        <f>SUMPRODUCT(ISTEXT('Unit Mix &amp; Rents'!A50:E50) + ISNUMBER('Unit Mix &amp; Rents'!A50:E50))</f>
        <v>0</v>
      </c>
      <c r="F172" t="str">
        <f>CONCATENATE("Please enter all values in unit breakdown in worksheet row ", B170, ".", CHAR(10))</f>
        <v xml:space="preserve">Please enter all values in unit breakdown in worksheet row 49.
</v>
      </c>
      <c r="G172" s="9" t="str">
        <f t="shared" ca="1" si="153"/>
        <v xml:space="preserve">Enter a value for 'Total Number of Units' in cell B3.
Enter a value for 'Do Rents Include Utilities' in cell B4.
Please enter at least one row of the Rental Income Table beginning on worksheet row 4.
</v>
      </c>
    </row>
    <row r="173" spans="1:14" ht="15" customHeight="1">
      <c r="A173" t="str">
        <f ca="1">IF(AND(IF(ISNA(K173), FALSE, K173), E173 &gt; IF(ISNA(N173), E173, L173)), F173, "")</f>
        <v/>
      </c>
      <c r="B173">
        <f>B172</f>
        <v>50</v>
      </c>
      <c r="D173" s="52" t="str">
        <f>ADDRESS(B173,5,4)</f>
        <v>E50</v>
      </c>
      <c r="E173" t="str">
        <f ca="1">IF(ISBLANK( INDIRECT($F$134 &amp; D173)),"", INDIRECT($F$134 &amp; D173))</f>
        <v/>
      </c>
      <c r="F173" t="e">
        <f ca="1">CONCATENATE("Actual Rent per Unit exceeds maximum allowed rent of ", DOLLAR(N173), " in worksheet row ", B173, ".", CHAR(10))</f>
        <v>#N/A</v>
      </c>
      <c r="G173" s="9" t="str">
        <f t="shared" ca="1" si="153"/>
        <v xml:space="preserve">Enter a value for 'Total Number of Units' in cell B3.
Enter a value for 'Do Rents Include Utilities' in cell B4.
Please enter at least one row of the Rental Income Table beginning on worksheet row 4.
</v>
      </c>
      <c r="H173" s="52">
        <f ca="1">INDIRECT($F$134 &amp; ADDRESS(B173,1,4))</f>
        <v>0</v>
      </c>
      <c r="I173" s="52">
        <f ca="1">INDIRECT($F$134 &amp; ADDRESS(B173,2,4))</f>
        <v>0</v>
      </c>
      <c r="J173" s="52" t="e">
        <f ca="1">INDEX(Unit_Mix_Type_Table[Bedrooms], MATCH(Validation!I173,Unit_Mix_Type_Table[Unit Mix Type],0), 1)</f>
        <v>#N/A</v>
      </c>
      <c r="K173" s="52" t="e">
        <f ca="1">INDEX(Unit_Mix_Type_Table[Has Max Rent], MATCH(Validation!I173,Unit_Mix_Type_Table[Unit Mix Type],0), 1)</f>
        <v>#N/A</v>
      </c>
      <c r="L173" s="52" t="e">
        <f ca="1">INDEX(Calculations!$A$76:$G$83, MATCH(H173, Calculations!$A$76:$A$83),MATCH(J173,Calculations!$A$76:$G$76))</f>
        <v>#N/A</v>
      </c>
      <c r="M173" s="52" t="e">
        <f ca="1">INDEX(Calculations!$A$88:$G$93, MATCH(H173, Calculations!$A$76:$A$83),MATCH(J173,Calculations!$A$76:$G$76))</f>
        <v>#N/A</v>
      </c>
      <c r="N173" s="52" t="e">
        <f ca="1">IF('Unit Mix &amp; Rents'!B38="No", Validation!M173, Validation!L173)</f>
        <v>#N/A</v>
      </c>
    </row>
    <row r="174" spans="1:14" ht="15" customHeight="1">
      <c r="A174" s="52" t="str">
        <f>IF(AND(E174&gt;1,E174&lt;5), F174, "")</f>
        <v/>
      </c>
      <c r="B174" s="52">
        <f>ROW('Unit Mix &amp; Rents'!A51)</f>
        <v>51</v>
      </c>
      <c r="C174" s="52"/>
      <c r="D174" s="52"/>
      <c r="E174" s="52">
        <f>SUMPRODUCT(ISTEXT('Unit Mix &amp; Rents'!A51:E51) + ISNUMBER('Unit Mix &amp; Rents'!A51:E51))</f>
        <v>0</v>
      </c>
      <c r="F174" t="str">
        <f>CONCATENATE("Please enter all values in unit breakdown in worksheet row ", B172, ".", CHAR(10))</f>
        <v xml:space="preserve">Please enter all values in unit breakdown in worksheet row 50.
</v>
      </c>
      <c r="G174" s="9" t="str">
        <f t="shared" ca="1" si="153"/>
        <v xml:space="preserve">Enter a value for 'Total Number of Units' in cell B3.
Enter a value for 'Do Rents Include Utilities' in cell B4.
Please enter at least one row of the Rental Income Table beginning on worksheet row 4.
</v>
      </c>
    </row>
    <row r="175" spans="1:14" ht="15" customHeight="1">
      <c r="A175" t="str">
        <f ca="1">IF(AND(IF(ISNA(K175), FALSE, K175), E175 &gt; IF(ISNA(N175), E175, L175)), F175, "")</f>
        <v/>
      </c>
      <c r="B175">
        <f>B174</f>
        <v>51</v>
      </c>
      <c r="D175" s="52" t="str">
        <f>ADDRESS(B175,5,4)</f>
        <v>E51</v>
      </c>
      <c r="E175" t="str">
        <f ca="1">IF(ISBLANK( INDIRECT($F$134 &amp; D175)),"", INDIRECT($F$134 &amp; D175))</f>
        <v/>
      </c>
      <c r="F175" t="e">
        <f ca="1">CONCATENATE("Actual Rent per Unit exceeds maximum allowed rent of ", DOLLAR(N175), " in worksheet row ", B175, ".", CHAR(10))</f>
        <v>#N/A</v>
      </c>
      <c r="G175" s="9" t="str">
        <f t="shared" ca="1" si="153"/>
        <v xml:space="preserve">Enter a value for 'Total Number of Units' in cell B3.
Enter a value for 'Do Rents Include Utilities' in cell B4.
Please enter at least one row of the Rental Income Table beginning on worksheet row 4.
</v>
      </c>
      <c r="H175" s="52">
        <f ca="1">INDIRECT($F$134 &amp; ADDRESS(B175,1,4))</f>
        <v>0</v>
      </c>
      <c r="I175" s="52">
        <f ca="1">INDIRECT($F$134 &amp; ADDRESS(B175,2,4))</f>
        <v>0</v>
      </c>
      <c r="J175" s="52" t="e">
        <f ca="1">INDEX(Unit_Mix_Type_Table[Bedrooms], MATCH(Validation!I175,Unit_Mix_Type_Table[Unit Mix Type],0), 1)</f>
        <v>#N/A</v>
      </c>
      <c r="K175" s="52" t="e">
        <f ca="1">INDEX(Unit_Mix_Type_Table[Has Max Rent], MATCH(Validation!I175,Unit_Mix_Type_Table[Unit Mix Type],0), 1)</f>
        <v>#N/A</v>
      </c>
      <c r="L175" s="52" t="e">
        <f ca="1">INDEX(Calculations!$A$76:$G$83, MATCH(H175, Calculations!$A$76:$A$83),MATCH(J175,Calculations!$A$76:$G$76))</f>
        <v>#N/A</v>
      </c>
      <c r="M175" s="52" t="e">
        <f ca="1">INDEX(Calculations!$A$88:$G$93, MATCH(H175, Calculations!$A$76:$A$83),MATCH(J175,Calculations!$A$76:$G$76))</f>
        <v>#N/A</v>
      </c>
      <c r="N175" s="52" t="e">
        <f ca="1">IF('Unit Mix &amp; Rents'!B40="No", Validation!M175, Validation!L175)</f>
        <v>#N/A</v>
      </c>
    </row>
    <row r="176" spans="1:14" ht="15" customHeight="1">
      <c r="A176" s="52" t="str">
        <f>IF(AND(E176&gt;1,E176&lt;5), F176, "")</f>
        <v/>
      </c>
      <c r="B176" s="52">
        <f>ROW('Unit Mix &amp; Rents'!A52)</f>
        <v>52</v>
      </c>
      <c r="C176" s="52"/>
      <c r="D176" s="52"/>
      <c r="E176" s="52">
        <f>SUMPRODUCT(ISTEXT('Unit Mix &amp; Rents'!A52:E52) + ISNUMBER('Unit Mix &amp; Rents'!A52:E52))</f>
        <v>0</v>
      </c>
      <c r="F176" t="str">
        <f>CONCATENATE("Please enter all values in unit breakdown in worksheet row ", B174, ".", CHAR(10))</f>
        <v xml:space="preserve">Please enter all values in unit breakdown in worksheet row 51.
</v>
      </c>
      <c r="G176" s="9" t="str">
        <f t="shared" ca="1" si="153"/>
        <v xml:space="preserve">Enter a value for 'Total Number of Units' in cell B3.
Enter a value for 'Do Rents Include Utilities' in cell B4.
Please enter at least one row of the Rental Income Table beginning on worksheet row 4.
</v>
      </c>
    </row>
    <row r="177" spans="1:14" ht="15" customHeight="1">
      <c r="A177" t="str">
        <f ca="1">IF(AND(IF(ISNA(K177), FALSE, K177), E177 &gt; IF(ISNA(N177), E177, L177)), F177, "")</f>
        <v/>
      </c>
      <c r="B177">
        <f>B176</f>
        <v>52</v>
      </c>
      <c r="D177" s="52" t="str">
        <f>ADDRESS(B177,5,4)</f>
        <v>E52</v>
      </c>
      <c r="E177" t="str">
        <f ca="1">IF(ISBLANK( INDIRECT($F$134 &amp; D177)),"", INDIRECT($F$134 &amp; D177))</f>
        <v/>
      </c>
      <c r="F177" t="e">
        <f ca="1">CONCATENATE("Actual Rent per Unit exceeds maximum allowed rent of ", DOLLAR(N177), " in worksheet row ", B177, ".", CHAR(10))</f>
        <v>#N/A</v>
      </c>
      <c r="G177" s="9" t="str">
        <f t="shared" ca="1" si="153"/>
        <v xml:space="preserve">Enter a value for 'Total Number of Units' in cell B3.
Enter a value for 'Do Rents Include Utilities' in cell B4.
Please enter at least one row of the Rental Income Table beginning on worksheet row 4.
</v>
      </c>
      <c r="H177" s="52">
        <f ca="1">INDIRECT($F$134 &amp; ADDRESS(B177,1,4))</f>
        <v>0</v>
      </c>
      <c r="I177" s="52">
        <f ca="1">INDIRECT($F$134 &amp; ADDRESS(B177,2,4))</f>
        <v>0</v>
      </c>
      <c r="J177" s="52" t="e">
        <f ca="1">INDEX(Unit_Mix_Type_Table[Bedrooms], MATCH(Validation!I177,Unit_Mix_Type_Table[Unit Mix Type],0), 1)</f>
        <v>#N/A</v>
      </c>
      <c r="K177" s="52" t="e">
        <f ca="1">INDEX(Unit_Mix_Type_Table[Has Max Rent], MATCH(Validation!I177,Unit_Mix_Type_Table[Unit Mix Type],0), 1)</f>
        <v>#N/A</v>
      </c>
      <c r="L177" s="52" t="e">
        <f ca="1">INDEX(Calculations!$A$76:$G$83, MATCH(H177, Calculations!$A$76:$A$83),MATCH(J177,Calculations!$A$76:$G$76))</f>
        <v>#N/A</v>
      </c>
      <c r="M177" s="52" t="e">
        <f ca="1">INDEX(Calculations!$A$88:$G$93, MATCH(H177, Calculations!$A$76:$A$83),MATCH(J177,Calculations!$A$76:$G$76))</f>
        <v>#N/A</v>
      </c>
      <c r="N177" s="52" t="e">
        <f ca="1">IF('Unit Mix &amp; Rents'!B42="No", Validation!M177, Validation!L177)</f>
        <v>#N/A</v>
      </c>
    </row>
    <row r="178" spans="1:14" ht="15" customHeight="1">
      <c r="A178" s="52" t="str">
        <f>IF(AND(E178&gt;1,E178&lt;5), F178, "")</f>
        <v/>
      </c>
      <c r="B178" s="52">
        <f>ROW('Unit Mix &amp; Rents'!A53)</f>
        <v>53</v>
      </c>
      <c r="C178" s="52"/>
      <c r="D178" s="52"/>
      <c r="E178" s="52">
        <f>SUMPRODUCT(ISTEXT('Unit Mix &amp; Rents'!A53:E53) + ISNUMBER('Unit Mix &amp; Rents'!A53:E53))</f>
        <v>0</v>
      </c>
      <c r="F178" t="str">
        <f>CONCATENATE("Please enter all values in unit breakdown in worksheet row ", B176, ".", CHAR(10))</f>
        <v xml:space="preserve">Please enter all values in unit breakdown in worksheet row 52.
</v>
      </c>
      <c r="G178" s="9" t="str">
        <f t="shared" ca="1" si="153"/>
        <v xml:space="preserve">Enter a value for 'Total Number of Units' in cell B3.
Enter a value for 'Do Rents Include Utilities' in cell B4.
Please enter at least one row of the Rental Income Table beginning on worksheet row 4.
</v>
      </c>
    </row>
    <row r="179" spans="1:14" ht="15" customHeight="1">
      <c r="A179" t="str">
        <f ca="1">IF(AND(IF(ISNA(K179), FALSE, K179), E179 &gt; IF(ISNA(N179), E179, L179)), F179, "")</f>
        <v/>
      </c>
      <c r="B179">
        <f>B178</f>
        <v>53</v>
      </c>
      <c r="D179" s="52" t="str">
        <f>ADDRESS(B179,5,4)</f>
        <v>E53</v>
      </c>
      <c r="E179" t="str">
        <f ca="1">IF(ISBLANK( INDIRECT($F$134 &amp; D179)),"", INDIRECT($F$134 &amp; D179))</f>
        <v/>
      </c>
      <c r="F179" t="e">
        <f ca="1">CONCATENATE("Actual Rent per Unit exceeds maximum allowed rent of ", DOLLAR(N179), " in worksheet row ", B179, ".", CHAR(10))</f>
        <v>#N/A</v>
      </c>
      <c r="G179" s="9" t="str">
        <f t="shared" ca="1" si="153"/>
        <v xml:space="preserve">Enter a value for 'Total Number of Units' in cell B3.
Enter a value for 'Do Rents Include Utilities' in cell B4.
Please enter at least one row of the Rental Income Table beginning on worksheet row 4.
</v>
      </c>
      <c r="H179" s="52">
        <f ca="1">INDIRECT($F$134 &amp; ADDRESS(B179,1,4))</f>
        <v>0</v>
      </c>
      <c r="I179" s="52">
        <f ca="1">INDIRECT($F$134 &amp; ADDRESS(B179,2,4))</f>
        <v>0</v>
      </c>
      <c r="J179" s="52" t="e">
        <f ca="1">INDEX(Unit_Mix_Type_Table[Bedrooms], MATCH(Validation!I179,Unit_Mix_Type_Table[Unit Mix Type],0), 1)</f>
        <v>#N/A</v>
      </c>
      <c r="K179" s="52" t="e">
        <f ca="1">INDEX(Unit_Mix_Type_Table[Has Max Rent], MATCH(Validation!I179,Unit_Mix_Type_Table[Unit Mix Type],0), 1)</f>
        <v>#N/A</v>
      </c>
      <c r="L179" s="52" t="e">
        <f ca="1">INDEX(Calculations!$A$76:$G$83, MATCH(H179, Calculations!$A$76:$A$83),MATCH(J179,Calculations!$A$76:$G$76))</f>
        <v>#N/A</v>
      </c>
      <c r="M179" s="52" t="e">
        <f ca="1">INDEX(Calculations!$A$88:$G$93, MATCH(H179, Calculations!$A$76:$A$83),MATCH(J179,Calculations!$A$76:$G$76))</f>
        <v>#N/A</v>
      </c>
      <c r="N179" s="52" t="e">
        <f ca="1">IF('Unit Mix &amp; Rents'!B44="No", Validation!M179, Validation!L179)</f>
        <v>#N/A</v>
      </c>
    </row>
    <row r="180" spans="1:14" ht="15" customHeight="1">
      <c r="A180" s="52" t="str">
        <f>IF(AND(E180&gt;1,E180&lt;5), F180, "")</f>
        <v/>
      </c>
      <c r="B180" s="52">
        <f>ROW('Unit Mix &amp; Rents'!A54)</f>
        <v>54</v>
      </c>
      <c r="C180" s="52"/>
      <c r="D180" s="52"/>
      <c r="E180" s="52">
        <f>SUMPRODUCT(ISTEXT('Unit Mix &amp; Rents'!A54:E54) + ISNUMBER('Unit Mix &amp; Rents'!A54:E54))</f>
        <v>0</v>
      </c>
      <c r="F180" t="str">
        <f>CONCATENATE("Please enter all values in unit breakdown in worksheet row ", B178, ".", CHAR(10))</f>
        <v xml:space="preserve">Please enter all values in unit breakdown in worksheet row 53.
</v>
      </c>
      <c r="G180" s="9" t="str">
        <f t="shared" ca="1" si="153"/>
        <v xml:space="preserve">Enter a value for 'Total Number of Units' in cell B3.
Enter a value for 'Do Rents Include Utilities' in cell B4.
Please enter at least one row of the Rental Income Table beginning on worksheet row 4.
</v>
      </c>
    </row>
    <row r="181" spans="1:14" ht="15" customHeight="1">
      <c r="A181" t="str">
        <f ca="1">IF(AND(IF(ISNA(K181), FALSE, K181), E181 &gt; IF(ISNA(N181), E181, L181)), F181, "")</f>
        <v/>
      </c>
      <c r="B181">
        <f>B180</f>
        <v>54</v>
      </c>
      <c r="D181" s="52" t="str">
        <f>ADDRESS(B181,5,4)</f>
        <v>E54</v>
      </c>
      <c r="E181" t="str">
        <f ca="1">IF(ISBLANK( INDIRECT($F$134 &amp; D181)),"", INDIRECT($F$134 &amp; D181))</f>
        <v/>
      </c>
      <c r="F181" t="e">
        <f ca="1">CONCATENATE("Actual Rent per Unit exceeds maximum allowed rent of ", DOLLAR(N181), " in worksheet row ", B181, ".", CHAR(10))</f>
        <v>#N/A</v>
      </c>
      <c r="G181" s="9" t="str">
        <f t="shared" ca="1" si="153"/>
        <v xml:space="preserve">Enter a value for 'Total Number of Units' in cell B3.
Enter a value for 'Do Rents Include Utilities' in cell B4.
Please enter at least one row of the Rental Income Table beginning on worksheet row 4.
</v>
      </c>
      <c r="H181" s="52">
        <f ca="1">INDIRECT($F$134 &amp; ADDRESS(B181,1,4))</f>
        <v>0</v>
      </c>
      <c r="I181" s="52">
        <f ca="1">INDIRECT($F$134 &amp; ADDRESS(B181,2,4))</f>
        <v>0</v>
      </c>
      <c r="J181" s="52" t="e">
        <f ca="1">INDEX(Unit_Mix_Type_Table[Bedrooms], MATCH(Validation!I181,Unit_Mix_Type_Table[Unit Mix Type],0), 1)</f>
        <v>#N/A</v>
      </c>
      <c r="K181" s="52" t="e">
        <f ca="1">INDEX(Unit_Mix_Type_Table[Has Max Rent], MATCH(Validation!I181,Unit_Mix_Type_Table[Unit Mix Type],0), 1)</f>
        <v>#N/A</v>
      </c>
      <c r="L181" s="52" t="e">
        <f ca="1">INDEX(Calculations!$A$76:$G$83, MATCH(H181, Calculations!$A$76:$A$83),MATCH(J181,Calculations!$A$76:$G$76))</f>
        <v>#N/A</v>
      </c>
      <c r="M181" s="52" t="e">
        <f ca="1">INDEX(Calculations!$A$88:$G$93, MATCH(H181, Calculations!$A$76:$A$83),MATCH(J181,Calculations!$A$76:$G$76))</f>
        <v>#N/A</v>
      </c>
      <c r="N181" s="52" t="e">
        <f ca="1">IF('Unit Mix &amp; Rents'!B46="No", Validation!M181, Validation!L181)</f>
        <v>#N/A</v>
      </c>
    </row>
    <row r="182" spans="1:14" ht="15" customHeight="1">
      <c r="A182" s="52" t="str">
        <f>IF(AND(E182&gt;1,E182&lt;5), F182, "")</f>
        <v/>
      </c>
      <c r="B182" s="52">
        <f>ROW('Unit Mix &amp; Rents'!A55)</f>
        <v>55</v>
      </c>
      <c r="C182" s="52"/>
      <c r="D182" s="52"/>
      <c r="E182" s="52">
        <f>SUMPRODUCT(ISTEXT('Unit Mix &amp; Rents'!A55:E55) + ISNUMBER('Unit Mix &amp; Rents'!A55:E55))</f>
        <v>0</v>
      </c>
      <c r="F182" t="str">
        <f>CONCATENATE("Please enter all values in unit breakdown in worksheet row ", B180, ".", CHAR(10))</f>
        <v xml:space="preserve">Please enter all values in unit breakdown in worksheet row 54.
</v>
      </c>
      <c r="G182" s="9" t="str">
        <f t="shared" ca="1" si="153"/>
        <v xml:space="preserve">Enter a value for 'Total Number of Units' in cell B3.
Enter a value for 'Do Rents Include Utilities' in cell B4.
Please enter at least one row of the Rental Income Table beginning on worksheet row 4.
</v>
      </c>
    </row>
    <row r="183" spans="1:14" ht="15" customHeight="1">
      <c r="A183" t="str">
        <f ca="1">IF(AND(IF(ISNA(K183), FALSE, K183), E183 &gt; IF(ISNA(N183), E183, L183)), F183, "")</f>
        <v/>
      </c>
      <c r="B183">
        <f>B182</f>
        <v>55</v>
      </c>
      <c r="D183" s="52" t="str">
        <f>ADDRESS(B183,5,4)</f>
        <v>E55</v>
      </c>
      <c r="E183" t="str">
        <f ca="1">IF(ISBLANK( INDIRECT($F$134 &amp; D183)),"", INDIRECT($F$134 &amp; D183))</f>
        <v/>
      </c>
      <c r="F183" t="e">
        <f ca="1">CONCATENATE("Actual Rent per Unit exceeds maximum allowed rent of ", DOLLAR(N183), " in worksheet row ", B183, ".", CHAR(10))</f>
        <v>#N/A</v>
      </c>
      <c r="G183" s="9" t="str">
        <f t="shared" ca="1" si="153"/>
        <v xml:space="preserve">Enter a value for 'Total Number of Units' in cell B3.
Enter a value for 'Do Rents Include Utilities' in cell B4.
Please enter at least one row of the Rental Income Table beginning on worksheet row 4.
</v>
      </c>
      <c r="H183" s="52">
        <f ca="1">INDIRECT($F$134 &amp; ADDRESS(B183,1,4))</f>
        <v>0</v>
      </c>
      <c r="I183" s="52">
        <f ca="1">INDIRECT($F$134 &amp; ADDRESS(B183,2,4))</f>
        <v>0</v>
      </c>
      <c r="J183" s="52" t="e">
        <f ca="1">INDEX(Unit_Mix_Type_Table[Bedrooms], MATCH(Validation!I183,Unit_Mix_Type_Table[Unit Mix Type],0), 1)</f>
        <v>#N/A</v>
      </c>
      <c r="K183" s="52" t="e">
        <f ca="1">INDEX(Unit_Mix_Type_Table[Has Max Rent], MATCH(Validation!I183,Unit_Mix_Type_Table[Unit Mix Type],0), 1)</f>
        <v>#N/A</v>
      </c>
      <c r="L183" s="52" t="e">
        <f ca="1">INDEX(Calculations!$A$76:$G$83, MATCH(H183, Calculations!$A$76:$A$83),MATCH(J183,Calculations!$A$76:$G$76))</f>
        <v>#N/A</v>
      </c>
      <c r="M183" s="52" t="e">
        <f ca="1">INDEX(Calculations!$A$88:$G$93, MATCH(H183, Calculations!$A$76:$A$83),MATCH(J183,Calculations!$A$76:$G$76))</f>
        <v>#N/A</v>
      </c>
      <c r="N183" s="52" t="e">
        <f ca="1">IF('Unit Mix &amp; Rents'!B48="No", Validation!M183, Validation!L183)</f>
        <v>#N/A</v>
      </c>
    </row>
    <row r="184" spans="1:14" ht="15" customHeight="1">
      <c r="A184" s="52" t="str">
        <f>IF(AND(E184&gt;1,E184&lt;5), F184, "")</f>
        <v/>
      </c>
      <c r="B184" s="52">
        <f>ROW('Unit Mix &amp; Rents'!A56)</f>
        <v>56</v>
      </c>
      <c r="C184" s="52"/>
      <c r="D184" s="52"/>
      <c r="E184" s="52">
        <f>SUMPRODUCT(ISTEXT('Unit Mix &amp; Rents'!A56:E56) + ISNUMBER('Unit Mix &amp; Rents'!A56:E56))</f>
        <v>0</v>
      </c>
      <c r="F184" t="str">
        <f>CONCATENATE("Please enter all values in unit breakdown in worksheet row ", B182, ".", CHAR(10))</f>
        <v xml:space="preserve">Please enter all values in unit breakdown in worksheet row 55.
</v>
      </c>
      <c r="G184" s="9" t="str">
        <f t="shared" ca="1" si="153"/>
        <v xml:space="preserve">Enter a value for 'Total Number of Units' in cell B3.
Enter a value for 'Do Rents Include Utilities' in cell B4.
Please enter at least one row of the Rental Income Table beginning on worksheet row 4.
</v>
      </c>
    </row>
    <row r="185" spans="1:14" ht="15" customHeight="1">
      <c r="A185" t="str">
        <f ca="1">IF(AND(IF(ISNA(K185), FALSE, K185), E185 &gt; IF(ISNA(N185), E185, L185)), F185, "")</f>
        <v/>
      </c>
      <c r="B185">
        <f>B184</f>
        <v>56</v>
      </c>
      <c r="D185" s="52" t="str">
        <f>ADDRESS(B185,5,4)</f>
        <v>E56</v>
      </c>
      <c r="E185" t="str">
        <f ca="1">IF(ISBLANK( INDIRECT($F$134 &amp; D185)),"", INDIRECT($F$134 &amp; D185))</f>
        <v/>
      </c>
      <c r="F185" t="e">
        <f ca="1">CONCATENATE("Actual Rent per Unit exceeds maximum allowed rent of ", DOLLAR(N185), " in worksheet row ", B185, ".", CHAR(10))</f>
        <v>#N/A</v>
      </c>
      <c r="G185" s="9" t="str">
        <f t="shared" ca="1" si="153"/>
        <v xml:space="preserve">Enter a value for 'Total Number of Units' in cell B3.
Enter a value for 'Do Rents Include Utilities' in cell B4.
Please enter at least one row of the Rental Income Table beginning on worksheet row 4.
</v>
      </c>
      <c r="H185" s="52">
        <f ca="1">INDIRECT($F$134 &amp; ADDRESS(B185,1,4))</f>
        <v>0</v>
      </c>
      <c r="I185" s="52">
        <f ca="1">INDIRECT($F$134 &amp; ADDRESS(B185,2,4))</f>
        <v>0</v>
      </c>
      <c r="J185" s="52" t="e">
        <f ca="1">INDEX(Unit_Mix_Type_Table[Bedrooms], MATCH(Validation!I185,Unit_Mix_Type_Table[Unit Mix Type],0), 1)</f>
        <v>#N/A</v>
      </c>
      <c r="K185" s="52" t="e">
        <f ca="1">INDEX(Unit_Mix_Type_Table[Has Max Rent], MATCH(Validation!I185,Unit_Mix_Type_Table[Unit Mix Type],0), 1)</f>
        <v>#N/A</v>
      </c>
      <c r="L185" s="52" t="e">
        <f ca="1">INDEX(Calculations!$A$76:$G$83, MATCH(H185, Calculations!$A$76:$A$83),MATCH(J185,Calculations!$A$76:$G$76))</f>
        <v>#N/A</v>
      </c>
      <c r="M185" s="52" t="e">
        <f ca="1">INDEX(Calculations!$A$88:$G$93, MATCH(H185, Calculations!$A$76:$A$83),MATCH(J185,Calculations!$A$76:$G$76))</f>
        <v>#N/A</v>
      </c>
      <c r="N185" s="52" t="e">
        <f ca="1">IF('Unit Mix &amp; Rents'!B50="No", Validation!M185, Validation!L185)</f>
        <v>#N/A</v>
      </c>
    </row>
    <row r="186" spans="1:14" ht="15" customHeight="1">
      <c r="A186" s="52" t="str">
        <f>IF(AND(E186&gt;1,E186&lt;5), F186, "")</f>
        <v/>
      </c>
      <c r="B186" s="52">
        <f>ROW('Unit Mix &amp; Rents'!A57)</f>
        <v>57</v>
      </c>
      <c r="C186" s="52"/>
      <c r="D186" s="52"/>
      <c r="E186" s="52">
        <f>SUMPRODUCT(ISTEXT('Unit Mix &amp; Rents'!A57:E57) + ISNUMBER('Unit Mix &amp; Rents'!A57:E57))</f>
        <v>0</v>
      </c>
      <c r="F186" t="str">
        <f>CONCATENATE("Please enter all values in unit breakdown in worksheet row ", B184, ".", CHAR(10))</f>
        <v xml:space="preserve">Please enter all values in unit breakdown in worksheet row 56.
</v>
      </c>
      <c r="G186" s="9" t="str">
        <f t="shared" ca="1" si="153"/>
        <v xml:space="preserve">Enter a value for 'Total Number of Units' in cell B3.
Enter a value for 'Do Rents Include Utilities' in cell B4.
Please enter at least one row of the Rental Income Table beginning on worksheet row 4.
</v>
      </c>
    </row>
    <row r="187" spans="1:14" ht="15" customHeight="1">
      <c r="A187" t="str">
        <f ca="1">IF(AND(IF(ISNA(K187), FALSE, K187), E187 &gt; IF(ISNA(N187), E187, L187)), F187, "")</f>
        <v/>
      </c>
      <c r="B187">
        <f>B186</f>
        <v>57</v>
      </c>
      <c r="D187" s="52" t="str">
        <f>ADDRESS(B187,5,4)</f>
        <v>E57</v>
      </c>
      <c r="E187" t="str">
        <f ca="1">IF(ISBLANK( INDIRECT($F$134 &amp; D187)),"", INDIRECT($F$134 &amp; D187))</f>
        <v/>
      </c>
      <c r="F187" t="e">
        <f ca="1">CONCATENATE("Actual Rent per Unit exceeds maximum allowed rent of ", DOLLAR(N187), " in worksheet row ", B187, ".", CHAR(10))</f>
        <v>#N/A</v>
      </c>
      <c r="G187" s="9" t="str">
        <f t="shared" ca="1" si="153"/>
        <v xml:space="preserve">Enter a value for 'Total Number of Units' in cell B3.
Enter a value for 'Do Rents Include Utilities' in cell B4.
Please enter at least one row of the Rental Income Table beginning on worksheet row 4.
</v>
      </c>
      <c r="H187" s="52">
        <f ca="1">INDIRECT($F$134 &amp; ADDRESS(B187,1,4))</f>
        <v>0</v>
      </c>
      <c r="I187" s="52">
        <f ca="1">INDIRECT($F$134 &amp; ADDRESS(B187,2,4))</f>
        <v>0</v>
      </c>
      <c r="J187" s="52" t="e">
        <f ca="1">INDEX(Unit_Mix_Type_Table[Bedrooms], MATCH(Validation!I187,Unit_Mix_Type_Table[Unit Mix Type],0), 1)</f>
        <v>#N/A</v>
      </c>
      <c r="K187" s="52" t="e">
        <f ca="1">INDEX(Unit_Mix_Type_Table[Has Max Rent], MATCH(Validation!I187,Unit_Mix_Type_Table[Unit Mix Type],0), 1)</f>
        <v>#N/A</v>
      </c>
      <c r="L187" s="52" t="e">
        <f ca="1">INDEX(Calculations!$A$76:$G$83, MATCH(H187, Calculations!$A$76:$A$83),MATCH(J187,Calculations!$A$76:$G$76))</f>
        <v>#N/A</v>
      </c>
      <c r="M187" s="52" t="e">
        <f ca="1">INDEX(Calculations!$A$88:$G$93, MATCH(H187, Calculations!$A$76:$A$83),MATCH(J187,Calculations!$A$76:$G$76))</f>
        <v>#N/A</v>
      </c>
      <c r="N187" s="52" t="e">
        <f ca="1">IF('Unit Mix &amp; Rents'!B52="No", Validation!M187, Validation!L187)</f>
        <v>#N/A</v>
      </c>
    </row>
    <row r="188" spans="1:14" ht="15" customHeight="1">
      <c r="A188" s="52" t="str">
        <f>IF(AND(E188&gt;1,E188&lt;5), F188, "")</f>
        <v/>
      </c>
      <c r="B188" s="52">
        <f>ROW('Unit Mix &amp; Rents'!A58)</f>
        <v>58</v>
      </c>
      <c r="C188" s="52"/>
      <c r="D188" s="52"/>
      <c r="E188" s="52">
        <f>SUMPRODUCT(ISTEXT('Unit Mix &amp; Rents'!A58:E58) + ISNUMBER('Unit Mix &amp; Rents'!A58:E58))</f>
        <v>0</v>
      </c>
      <c r="F188" t="str">
        <f>CONCATENATE("Please enter all values in unit breakdown in worksheet row ", B186, ".", CHAR(10))</f>
        <v xml:space="preserve">Please enter all values in unit breakdown in worksheet row 57.
</v>
      </c>
      <c r="G188" s="9" t="str">
        <f t="shared" ca="1" si="153"/>
        <v xml:space="preserve">Enter a value for 'Total Number of Units' in cell B3.
Enter a value for 'Do Rents Include Utilities' in cell B4.
Please enter at least one row of the Rental Income Table beginning on worksheet row 4.
</v>
      </c>
    </row>
    <row r="189" spans="1:14" ht="15" customHeight="1">
      <c r="A189" t="str">
        <f ca="1">IF(AND(IF(ISNA(K189), FALSE, K189), E189 &gt; IF(ISNA(N189), E189, L189)), F189, "")</f>
        <v/>
      </c>
      <c r="B189">
        <f>B188</f>
        <v>58</v>
      </c>
      <c r="D189" s="52" t="str">
        <f>ADDRESS(B189,5,4)</f>
        <v>E58</v>
      </c>
      <c r="E189" t="str">
        <f ca="1">IF(ISBLANK( INDIRECT($F$134 &amp; D189)),"", INDIRECT($F$134 &amp; D189))</f>
        <v/>
      </c>
      <c r="F189" t="e">
        <f ca="1">CONCATENATE("Actual Rent per Unit exceeds maximum allowed rent of ", DOLLAR(N189), " in worksheet row ", B189, ".", CHAR(10))</f>
        <v>#N/A</v>
      </c>
      <c r="G189" s="9" t="str">
        <f t="shared" ca="1" si="153"/>
        <v xml:space="preserve">Enter a value for 'Total Number of Units' in cell B3.
Enter a value for 'Do Rents Include Utilities' in cell B4.
Please enter at least one row of the Rental Income Table beginning on worksheet row 4.
</v>
      </c>
      <c r="H189" s="52">
        <f ca="1">INDIRECT($F$134 &amp; ADDRESS(B189,1,4))</f>
        <v>0</v>
      </c>
      <c r="I189" s="52">
        <f ca="1">INDIRECT($F$134 &amp; ADDRESS(B189,2,4))</f>
        <v>0</v>
      </c>
      <c r="J189" s="52" t="e">
        <f ca="1">INDEX(Unit_Mix_Type_Table[Bedrooms], MATCH(Validation!I189,Unit_Mix_Type_Table[Unit Mix Type],0), 1)</f>
        <v>#N/A</v>
      </c>
      <c r="K189" s="52" t="e">
        <f ca="1">INDEX(Unit_Mix_Type_Table[Has Max Rent], MATCH(Validation!I189,Unit_Mix_Type_Table[Unit Mix Type],0), 1)</f>
        <v>#N/A</v>
      </c>
      <c r="L189" s="52" t="e">
        <f ca="1">INDEX(Calculations!$A$76:$G$83, MATCH(H189, Calculations!$A$76:$A$83),MATCH(J189,Calculations!$A$76:$G$76))</f>
        <v>#N/A</v>
      </c>
      <c r="M189" s="52" t="e">
        <f ca="1">INDEX(Calculations!$A$88:$G$93, MATCH(H189, Calculations!$A$76:$A$83),MATCH(J189,Calculations!$A$76:$G$76))</f>
        <v>#N/A</v>
      </c>
      <c r="N189" s="52" t="e">
        <f ca="1">IF('Unit Mix &amp; Rents'!B54="No", Validation!M189, Validation!L189)</f>
        <v>#N/A</v>
      </c>
    </row>
    <row r="190" spans="1:14" ht="15" customHeight="1">
      <c r="A190" s="52" t="str">
        <f>IF(AND(E190&gt;1,E190&lt;5), F190, "")</f>
        <v/>
      </c>
      <c r="B190" s="52">
        <f>ROW('Unit Mix &amp; Rents'!A59)</f>
        <v>59</v>
      </c>
      <c r="C190" s="52"/>
      <c r="D190" s="52"/>
      <c r="E190" s="52">
        <f>SUMPRODUCT(ISTEXT('Unit Mix &amp; Rents'!A59:E59) + ISNUMBER('Unit Mix &amp; Rents'!A59:E59))</f>
        <v>0</v>
      </c>
      <c r="F190" t="str">
        <f>CONCATENATE("Please enter all values in unit breakdown in worksheet row ", B188, ".", CHAR(10))</f>
        <v xml:space="preserve">Please enter all values in unit breakdown in worksheet row 58.
</v>
      </c>
      <c r="G190" s="9" t="str">
        <f t="shared" ca="1" si="153"/>
        <v xml:space="preserve">Enter a value for 'Total Number of Units' in cell B3.
Enter a value for 'Do Rents Include Utilities' in cell B4.
Please enter at least one row of the Rental Income Table beginning on worksheet row 4.
</v>
      </c>
    </row>
    <row r="191" spans="1:14" ht="15" customHeight="1">
      <c r="A191" t="str">
        <f ca="1">IF(AND(IF(ISNA(K191), FALSE, K191), E191 &gt; IF(ISNA(N191), E191, L191)), F191, "")</f>
        <v/>
      </c>
      <c r="B191">
        <f>B190</f>
        <v>59</v>
      </c>
      <c r="D191" s="52" t="str">
        <f>ADDRESS(B191,5,4)</f>
        <v>E59</v>
      </c>
      <c r="E191" t="str">
        <f ca="1">IF(ISBLANK( INDIRECT($F$134 &amp; D191)),"", INDIRECT($F$134 &amp; D191))</f>
        <v/>
      </c>
      <c r="F191" t="e">
        <f ca="1">CONCATENATE("Actual Rent per Unit exceeds maximum allowed rent of ", DOLLAR(N191), " in worksheet row ", B191, ".", CHAR(10))</f>
        <v>#N/A</v>
      </c>
      <c r="G191" s="9" t="str">
        <f t="shared" ca="1" si="153"/>
        <v xml:space="preserve">Enter a value for 'Total Number of Units' in cell B3.
Enter a value for 'Do Rents Include Utilities' in cell B4.
Please enter at least one row of the Rental Income Table beginning on worksheet row 4.
</v>
      </c>
      <c r="H191" s="52">
        <f ca="1">INDIRECT($F$134 &amp; ADDRESS(B191,1,4))</f>
        <v>0</v>
      </c>
      <c r="I191" s="52">
        <f ca="1">INDIRECT($F$134 &amp; ADDRESS(B191,2,4))</f>
        <v>0</v>
      </c>
      <c r="J191" s="52" t="e">
        <f ca="1">INDEX(Unit_Mix_Type_Table[Bedrooms], MATCH(Validation!I191,Unit_Mix_Type_Table[Unit Mix Type],0), 1)</f>
        <v>#N/A</v>
      </c>
      <c r="K191" s="52" t="e">
        <f ca="1">INDEX(Unit_Mix_Type_Table[Has Max Rent], MATCH(Validation!I191,Unit_Mix_Type_Table[Unit Mix Type],0), 1)</f>
        <v>#N/A</v>
      </c>
      <c r="L191" s="52" t="e">
        <f ca="1">INDEX(Calculations!$A$76:$G$83, MATCH(H191, Calculations!$A$76:$A$83),MATCH(J191,Calculations!$A$76:$G$76))</f>
        <v>#N/A</v>
      </c>
      <c r="M191" s="52" t="e">
        <f ca="1">INDEX(Calculations!$A$88:$G$93, MATCH(H191, Calculations!$A$76:$A$83),MATCH(J191,Calculations!$A$76:$G$76))</f>
        <v>#N/A</v>
      </c>
      <c r="N191" s="52" t="e">
        <f ca="1">IF('Unit Mix &amp; Rents'!B56="No", Validation!M191, Validation!L191)</f>
        <v>#N/A</v>
      </c>
    </row>
    <row r="192" spans="1:14" ht="15" customHeight="1">
      <c r="A192" s="52" t="str">
        <f>IF(AND(E192&gt;1,E192&lt;5), F192, "")</f>
        <v/>
      </c>
      <c r="B192" s="52">
        <f>ROW('Unit Mix &amp; Rents'!A60)</f>
        <v>60</v>
      </c>
      <c r="C192" s="52"/>
      <c r="D192" s="52"/>
      <c r="E192" s="52">
        <f>SUMPRODUCT(ISTEXT('Unit Mix &amp; Rents'!A60:E60) + ISNUMBER('Unit Mix &amp; Rents'!A60:E60))</f>
        <v>0</v>
      </c>
      <c r="F192" t="str">
        <f>CONCATENATE("Please enter all values in unit breakdown in worksheet row ", B190, ".", CHAR(10))</f>
        <v xml:space="preserve">Please enter all values in unit breakdown in worksheet row 59.
</v>
      </c>
      <c r="G192" s="9" t="str">
        <f t="shared" ca="1" si="153"/>
        <v xml:space="preserve">Enter a value for 'Total Number of Units' in cell B3.
Enter a value for 'Do Rents Include Utilities' in cell B4.
Please enter at least one row of the Rental Income Table beginning on worksheet row 4.
</v>
      </c>
    </row>
    <row r="193" spans="1:14" ht="15" customHeight="1">
      <c r="A193" t="str">
        <f ca="1">IF(AND(IF(ISNA(K193), FALSE, K193), E193 &gt; IF(ISNA(N193), E193, L193)), F193, "")</f>
        <v/>
      </c>
      <c r="B193">
        <f>B192</f>
        <v>60</v>
      </c>
      <c r="D193" s="52" t="str">
        <f>ADDRESS(B193,5,4)</f>
        <v>E60</v>
      </c>
      <c r="E193" t="str">
        <f ca="1">IF(ISBLANK( INDIRECT($F$134 &amp; D193)),"", INDIRECT($F$134 &amp; D193))</f>
        <v/>
      </c>
      <c r="F193" t="e">
        <f ca="1">CONCATENATE("Actual Rent per Unit exceeds maximum allowed rent of ", DOLLAR(N193), " in worksheet row ", B193, ".", CHAR(10))</f>
        <v>#N/A</v>
      </c>
      <c r="G193" s="9" t="str">
        <f t="shared" ca="1" si="153"/>
        <v xml:space="preserve">Enter a value for 'Total Number of Units' in cell B3.
Enter a value for 'Do Rents Include Utilities' in cell B4.
Please enter at least one row of the Rental Income Table beginning on worksheet row 4.
</v>
      </c>
      <c r="H193" s="52">
        <f ca="1">INDIRECT($F$134 &amp; ADDRESS(B193,1,4))</f>
        <v>0</v>
      </c>
      <c r="I193" s="52">
        <f ca="1">INDIRECT($F$134 &amp; ADDRESS(B193,2,4))</f>
        <v>0</v>
      </c>
      <c r="J193" s="52" t="e">
        <f ca="1">INDEX(Unit_Mix_Type_Table[Bedrooms], MATCH(Validation!I193,Unit_Mix_Type_Table[Unit Mix Type],0), 1)</f>
        <v>#N/A</v>
      </c>
      <c r="K193" s="52" t="e">
        <f ca="1">INDEX(Unit_Mix_Type_Table[Has Max Rent], MATCH(Validation!I193,Unit_Mix_Type_Table[Unit Mix Type],0), 1)</f>
        <v>#N/A</v>
      </c>
      <c r="L193" s="52" t="e">
        <f ca="1">INDEX(Calculations!$A$76:$G$83, MATCH(H193, Calculations!$A$76:$A$83),MATCH(J193,Calculations!$A$76:$G$76))</f>
        <v>#N/A</v>
      </c>
      <c r="M193" s="52" t="e">
        <f ca="1">INDEX(Calculations!$A$88:$G$93, MATCH(H193, Calculations!$A$76:$A$83),MATCH(J193,Calculations!$A$76:$G$76))</f>
        <v>#N/A</v>
      </c>
      <c r="N193" s="52" t="e">
        <f ca="1">IF('Unit Mix &amp; Rents'!B58="No", Validation!M193, Validation!L193)</f>
        <v>#N/A</v>
      </c>
    </row>
    <row r="194" spans="1:14" ht="15" customHeight="1">
      <c r="A194" s="52" t="str">
        <f>IF(AND(E194&gt;1,E194&lt;5), F194, "")</f>
        <v/>
      </c>
      <c r="B194" s="52">
        <f>ROW('Unit Mix &amp; Rents'!A69)</f>
        <v>69</v>
      </c>
      <c r="C194" s="52"/>
      <c r="D194" s="52"/>
      <c r="E194" s="52">
        <f>SUMPRODUCT(ISTEXT('Unit Mix &amp; Rents'!A69:E69) + ISNUMBER('Unit Mix &amp; Rents'!A69:E69))</f>
        <v>0</v>
      </c>
      <c r="F194" t="str">
        <f>CONCATENATE("Please enter all values in unit breakdown in worksheet row ", B192, ".", CHAR(10))</f>
        <v xml:space="preserve">Please enter all values in unit breakdown in worksheet row 60.
</v>
      </c>
      <c r="G194" s="9" t="str">
        <f t="shared" ca="1" si="153"/>
        <v xml:space="preserve">Enter a value for 'Total Number of Units' in cell B3.
Enter a value for 'Do Rents Include Utilities' in cell B4.
Please enter at least one row of the Rental Income Table beginning on worksheet row 4.
</v>
      </c>
    </row>
    <row r="195" spans="1:14" ht="15" customHeight="1">
      <c r="A195" t="str">
        <f ca="1">IF(AND(IF(ISNA(K195), FALSE, K195), E195 &gt; IF(ISNA(N195), E195, L195)), F195, "")</f>
        <v/>
      </c>
      <c r="B195">
        <f>B194</f>
        <v>69</v>
      </c>
      <c r="D195" s="52" t="str">
        <f>ADDRESS(B195,5,4)</f>
        <v>E69</v>
      </c>
      <c r="E195" t="str">
        <f ca="1">IF(ISBLANK( INDIRECT($F$134 &amp; D195)),"", INDIRECT($F$134 &amp; D195))</f>
        <v/>
      </c>
      <c r="F195" t="e">
        <f ca="1">CONCATENATE("Actual Rent per Unit exceeds maximum allowed rent of ", DOLLAR(N195), " in worksheet row ", B195, ".", CHAR(10))</f>
        <v>#N/A</v>
      </c>
      <c r="G195" s="9" t="str">
        <f t="shared" ca="1" si="153"/>
        <v xml:space="preserve">Enter a value for 'Total Number of Units' in cell B3.
Enter a value for 'Do Rents Include Utilities' in cell B4.
Please enter at least one row of the Rental Income Table beginning on worksheet row 4.
</v>
      </c>
      <c r="H195" s="52">
        <f ca="1">INDIRECT($F$134 &amp; ADDRESS(B195,1,4))</f>
        <v>0</v>
      </c>
      <c r="I195" s="52">
        <f ca="1">INDIRECT($F$134 &amp; ADDRESS(B195,2,4))</f>
        <v>0</v>
      </c>
      <c r="J195" s="52" t="e">
        <f ca="1">INDEX(Unit_Mix_Type_Table[Bedrooms], MATCH(Validation!I195,Unit_Mix_Type_Table[Unit Mix Type],0), 1)</f>
        <v>#N/A</v>
      </c>
      <c r="K195" s="52" t="e">
        <f ca="1">INDEX(Unit_Mix_Type_Table[Has Max Rent], MATCH(Validation!I195,Unit_Mix_Type_Table[Unit Mix Type],0), 1)</f>
        <v>#N/A</v>
      </c>
      <c r="L195" s="52" t="e">
        <f ca="1">INDEX(Calculations!$A$76:$G$83, MATCH(H195, Calculations!$A$76:$A$83),MATCH(J195,Calculations!$A$76:$G$76))</f>
        <v>#N/A</v>
      </c>
      <c r="M195" s="52" t="e">
        <f ca="1">INDEX(Calculations!$A$88:$G$93, MATCH(H195, Calculations!$A$76:$A$83),MATCH(J195,Calculations!$A$76:$G$76))</f>
        <v>#N/A</v>
      </c>
      <c r="N195" s="52" t="e">
        <f ca="1">IF('Unit Mix &amp; Rents'!B60="No", Validation!M195, Validation!L195)</f>
        <v>#N/A</v>
      </c>
    </row>
    <row r="196" spans="1:14" ht="15" customHeight="1">
      <c r="A196" s="52" t="str">
        <f>IF(AND(E196&gt;1,E196&lt;5), F196, "")</f>
        <v/>
      </c>
      <c r="B196" s="52">
        <f>ROW('Unit Mix &amp; Rents'!A70)</f>
        <v>70</v>
      </c>
      <c r="C196" s="52"/>
      <c r="D196" s="52"/>
      <c r="E196" s="52">
        <f>SUMPRODUCT(ISTEXT('Unit Mix &amp; Rents'!A70:E70) + ISNUMBER('Unit Mix &amp; Rents'!A70:E70))</f>
        <v>0</v>
      </c>
      <c r="F196" t="str">
        <f>CONCATENATE("Please enter all values in unit breakdown in worksheet row ", B194, ".", CHAR(10))</f>
        <v xml:space="preserve">Please enter all values in unit breakdown in worksheet row 69.
</v>
      </c>
      <c r="G196" s="9" t="str">
        <f t="shared" ca="1" si="153"/>
        <v xml:space="preserve">Enter a value for 'Total Number of Units' in cell B3.
Enter a value for 'Do Rents Include Utilities' in cell B4.
Please enter at least one row of the Rental Income Table beginning on worksheet row 4.
</v>
      </c>
    </row>
    <row r="197" spans="1:14" ht="15" customHeight="1">
      <c r="A197" t="str">
        <f ca="1">IF(AND(IF(ISNA(K197), FALSE, K197), E197 &gt; IF(ISNA(N197), E197, L197)), F197, "")</f>
        <v/>
      </c>
      <c r="B197">
        <f>B196</f>
        <v>70</v>
      </c>
      <c r="D197" s="52" t="str">
        <f>ADDRESS(B197,5,4)</f>
        <v>E70</v>
      </c>
      <c r="E197" t="str">
        <f ca="1">IF(ISBLANK( INDIRECT($F$134 &amp; D197)),"", INDIRECT($F$134 &amp; D197))</f>
        <v/>
      </c>
      <c r="F197" t="e">
        <f ca="1">CONCATENATE("Actual Rent per Unit exceeds maximum allowed rent of ", DOLLAR(N197), " in worksheet row ", B197, ".", CHAR(10))</f>
        <v>#N/A</v>
      </c>
      <c r="G197" s="9" t="str">
        <f t="shared" ca="1" si="153"/>
        <v xml:space="preserve">Enter a value for 'Total Number of Units' in cell B3.
Enter a value for 'Do Rents Include Utilities' in cell B4.
Please enter at least one row of the Rental Income Table beginning on worksheet row 4.
</v>
      </c>
      <c r="H197" s="52">
        <f ca="1">INDIRECT($F$134 &amp; ADDRESS(B197,1,4))</f>
        <v>0</v>
      </c>
      <c r="I197" s="52">
        <f ca="1">INDIRECT($F$134 &amp; ADDRESS(B197,2,4))</f>
        <v>0</v>
      </c>
      <c r="J197" s="52" t="e">
        <f ca="1">INDEX(Unit_Mix_Type_Table[Bedrooms], MATCH(Validation!I197,Unit_Mix_Type_Table[Unit Mix Type],0), 1)</f>
        <v>#N/A</v>
      </c>
      <c r="K197" s="52" t="e">
        <f ca="1">INDEX(Unit_Mix_Type_Table[Has Max Rent], MATCH(Validation!I197,Unit_Mix_Type_Table[Unit Mix Type],0), 1)</f>
        <v>#N/A</v>
      </c>
      <c r="L197" s="52" t="e">
        <f ca="1">INDEX(Calculations!$A$76:$G$83, MATCH(H197, Calculations!$A$76:$A$83),MATCH(J197,Calculations!$A$76:$G$76))</f>
        <v>#N/A</v>
      </c>
      <c r="M197" s="52" t="e">
        <f ca="1">INDEX(Calculations!$A$88:$G$93, MATCH(H197, Calculations!$A$76:$A$83),MATCH(J197,Calculations!$A$76:$G$76))</f>
        <v>#N/A</v>
      </c>
      <c r="N197" s="52" t="e">
        <f ca="1">IF('Unit Mix &amp; Rents'!B62="No", Validation!M197, Validation!L197)</f>
        <v>#N/A</v>
      </c>
    </row>
    <row r="198" spans="1:14" ht="15" customHeight="1">
      <c r="A198" s="52" t="str">
        <f>IF(AND(E198&gt;1,E198&lt;5), F198, "")</f>
        <v/>
      </c>
      <c r="B198" s="52">
        <f>ROW('Unit Mix &amp; Rents'!A71)</f>
        <v>71</v>
      </c>
      <c r="C198" s="52"/>
      <c r="D198" s="52"/>
      <c r="E198" s="52">
        <f>SUMPRODUCT(ISTEXT('Unit Mix &amp; Rents'!A71:E71) + ISNUMBER('Unit Mix &amp; Rents'!A71:E71))</f>
        <v>0</v>
      </c>
      <c r="F198" t="str">
        <f>CONCATENATE("Please enter all values in unit breakdown in worksheet row ", B196, ".", CHAR(10))</f>
        <v xml:space="preserve">Please enter all values in unit breakdown in worksheet row 70.
</v>
      </c>
      <c r="G198" s="9" t="str">
        <f t="shared" ca="1" si="153"/>
        <v xml:space="preserve">Enter a value for 'Total Number of Units' in cell B3.
Enter a value for 'Do Rents Include Utilities' in cell B4.
Please enter at least one row of the Rental Income Table beginning on worksheet row 4.
</v>
      </c>
    </row>
    <row r="199" spans="1:14" ht="15" customHeight="1">
      <c r="A199" t="str">
        <f ca="1">IF(AND(IF(ISNA(K199), FALSE, K199), E199 &gt; IF(ISNA(N199), E199, L199)), F199, "")</f>
        <v/>
      </c>
      <c r="B199">
        <f>B198</f>
        <v>71</v>
      </c>
      <c r="D199" s="52" t="str">
        <f>ADDRESS(B199,5,4)</f>
        <v>E71</v>
      </c>
      <c r="E199" t="str">
        <f ca="1">IF(ISBLANK( INDIRECT($F$134 &amp; D199)),"", INDIRECT($F$134 &amp; D199))</f>
        <v/>
      </c>
      <c r="F199" t="e">
        <f ca="1">CONCATENATE("Actual Rent per Unit exceeds maximum allowed rent of ", DOLLAR(N199), " in worksheet row ", B199, ".", CHAR(10))</f>
        <v>#N/A</v>
      </c>
      <c r="G199" s="9" t="str">
        <f t="shared" ca="1" si="153"/>
        <v xml:space="preserve">Enter a value for 'Total Number of Units' in cell B3.
Enter a value for 'Do Rents Include Utilities' in cell B4.
Please enter at least one row of the Rental Income Table beginning on worksheet row 4.
</v>
      </c>
      <c r="H199" s="52">
        <f ca="1">INDIRECT($F$134 &amp; ADDRESS(B199,1,4))</f>
        <v>0</v>
      </c>
      <c r="I199" s="52">
        <f ca="1">INDIRECT($F$134 &amp; ADDRESS(B199,2,4))</f>
        <v>0</v>
      </c>
      <c r="J199" s="52" t="e">
        <f ca="1">INDEX(Unit_Mix_Type_Table[Bedrooms], MATCH(Validation!I199,Unit_Mix_Type_Table[Unit Mix Type],0), 1)</f>
        <v>#N/A</v>
      </c>
      <c r="K199" s="52" t="e">
        <f ca="1">INDEX(Unit_Mix_Type_Table[Has Max Rent], MATCH(Validation!I199,Unit_Mix_Type_Table[Unit Mix Type],0), 1)</f>
        <v>#N/A</v>
      </c>
      <c r="L199" s="52" t="e">
        <f ca="1">INDEX(Calculations!$A$76:$G$83, MATCH(H199, Calculations!$A$76:$A$83),MATCH(J199,Calculations!$A$76:$G$76))</f>
        <v>#N/A</v>
      </c>
      <c r="M199" s="52" t="e">
        <f ca="1">INDEX(Calculations!$A$88:$G$93, MATCH(H199, Calculations!$A$76:$A$83),MATCH(J199,Calculations!$A$76:$G$76))</f>
        <v>#N/A</v>
      </c>
      <c r="N199" s="52" t="e">
        <f ca="1">IF('Unit Mix &amp; Rents'!B64="No", Validation!M199, Validation!L199)</f>
        <v>#N/A</v>
      </c>
    </row>
    <row r="200" spans="1:14" ht="15" customHeight="1">
      <c r="A200" s="52" t="str">
        <f>IF(AND(E200&gt;1,E200&lt;5), F200, "")</f>
        <v/>
      </c>
      <c r="B200" s="52">
        <f>ROW('Unit Mix &amp; Rents'!A72)</f>
        <v>72</v>
      </c>
      <c r="C200" s="52"/>
      <c r="D200" s="52"/>
      <c r="E200" s="52">
        <f>SUMPRODUCT(ISTEXT('Unit Mix &amp; Rents'!A72:E72) + ISNUMBER('Unit Mix &amp; Rents'!A72:E72))</f>
        <v>0</v>
      </c>
      <c r="F200" t="str">
        <f>CONCATENATE("Please enter all values in unit breakdown in worksheet row ", B198, ".", CHAR(10))</f>
        <v xml:space="preserve">Please enter all values in unit breakdown in worksheet row 71.
</v>
      </c>
      <c r="G200" s="9" t="str">
        <f t="shared" ca="1" si="153"/>
        <v xml:space="preserve">Enter a value for 'Total Number of Units' in cell B3.
Enter a value for 'Do Rents Include Utilities' in cell B4.
Please enter at least one row of the Rental Income Table beginning on worksheet row 4.
</v>
      </c>
    </row>
    <row r="201" spans="1:14" ht="15" customHeight="1">
      <c r="A201" t="str">
        <f ca="1">IF(AND(IF(ISNA(K201), FALSE, K201), E201 &gt; IF(ISNA(N201), E201, L201)), F201, "")</f>
        <v/>
      </c>
      <c r="B201">
        <f>B200</f>
        <v>72</v>
      </c>
      <c r="D201" s="52" t="str">
        <f>ADDRESS(B201,5,4)</f>
        <v>E72</v>
      </c>
      <c r="E201" t="str">
        <f ca="1">IF(ISBLANK( INDIRECT($F$134 &amp; D201)),"", INDIRECT($F$134 &amp; D201))</f>
        <v/>
      </c>
      <c r="F201" t="e">
        <f ca="1">CONCATENATE("Actual Rent per Unit exceeds maximum allowed rent of ", DOLLAR(N201), " in worksheet row ", B201, ".", CHAR(10))</f>
        <v>#N/A</v>
      </c>
      <c r="G201" s="9" t="str">
        <f t="shared" ca="1" si="153"/>
        <v xml:space="preserve">Enter a value for 'Total Number of Units' in cell B3.
Enter a value for 'Do Rents Include Utilities' in cell B4.
Please enter at least one row of the Rental Income Table beginning on worksheet row 4.
</v>
      </c>
      <c r="H201" s="52">
        <f ca="1">INDIRECT($F$134 &amp; ADDRESS(B201,1,4))</f>
        <v>0</v>
      </c>
      <c r="I201" s="52">
        <f ca="1">INDIRECT($F$134 &amp; ADDRESS(B201,2,4))</f>
        <v>0</v>
      </c>
      <c r="J201" s="52" t="e">
        <f ca="1">INDEX(Unit_Mix_Type_Table[Bedrooms], MATCH(Validation!I201,Unit_Mix_Type_Table[Unit Mix Type],0), 1)</f>
        <v>#N/A</v>
      </c>
      <c r="K201" s="52" t="e">
        <f ca="1">INDEX(Unit_Mix_Type_Table[Has Max Rent], MATCH(Validation!I201,Unit_Mix_Type_Table[Unit Mix Type],0), 1)</f>
        <v>#N/A</v>
      </c>
      <c r="L201" s="52" t="e">
        <f ca="1">INDEX(Calculations!$A$76:$G$83, MATCH(H201, Calculations!$A$76:$A$83),MATCH(J201,Calculations!$A$76:$G$76))</f>
        <v>#N/A</v>
      </c>
      <c r="M201" s="52" t="e">
        <f ca="1">INDEX(Calculations!$A$88:$G$93, MATCH(H201, Calculations!$A$76:$A$83),MATCH(J201,Calculations!$A$76:$G$76))</f>
        <v>#N/A</v>
      </c>
      <c r="N201" s="52" t="e">
        <f ca="1">IF('Unit Mix &amp; Rents'!B66="No", Validation!M201, Validation!L201)</f>
        <v>#N/A</v>
      </c>
    </row>
    <row r="202" spans="1:14" ht="15" customHeight="1">
      <c r="A202" s="52" t="str">
        <f>IF(AND(E202&gt;1,E202&lt;5), F202, "")</f>
        <v/>
      </c>
      <c r="B202" s="52">
        <f>ROW('Unit Mix &amp; Rents'!A73)</f>
        <v>73</v>
      </c>
      <c r="C202" s="52"/>
      <c r="D202" s="52"/>
      <c r="E202" s="52">
        <f>SUMPRODUCT(ISTEXT('Unit Mix &amp; Rents'!A73:E73) + ISNUMBER('Unit Mix &amp; Rents'!A73:E73))</f>
        <v>0</v>
      </c>
      <c r="F202" t="str">
        <f>CONCATENATE("Please enter all values in unit breakdown in worksheet row ", B200, ".", CHAR(10))</f>
        <v xml:space="preserve">Please enter all values in unit breakdown in worksheet row 72.
</v>
      </c>
      <c r="G202" s="9" t="str">
        <f t="shared" ref="G202:G213" ca="1" si="154">OFFSET(G202, -1, 0) &amp; A202</f>
        <v xml:space="preserve">Enter a value for 'Total Number of Units' in cell B3.
Enter a value for 'Do Rents Include Utilities' in cell B4.
Please enter at least one row of the Rental Income Table beginning on worksheet row 4.
</v>
      </c>
    </row>
    <row r="203" spans="1:14" ht="15" customHeight="1">
      <c r="A203" t="str">
        <f ca="1">IF(AND(IF(ISNA(K203), FALSE, K203), E203 &gt; IF(ISNA(N203), E203, L203)), F203, "")</f>
        <v/>
      </c>
      <c r="B203">
        <f>B202</f>
        <v>73</v>
      </c>
      <c r="D203" s="52" t="str">
        <f>ADDRESS(B203,5,4)</f>
        <v>E73</v>
      </c>
      <c r="E203" t="str">
        <f ca="1">IF(ISBLANK( INDIRECT($F$134 &amp; D203)),"", INDIRECT($F$134 &amp; D203))</f>
        <v/>
      </c>
      <c r="F203" t="e">
        <f ca="1">CONCATENATE("Actual Rent per Unit exceeds maximum allowed rent of ", DOLLAR(N203), " in worksheet row ", B203, ".", CHAR(10))</f>
        <v>#N/A</v>
      </c>
      <c r="G203" s="9" t="str">
        <f t="shared" ca="1" si="154"/>
        <v xml:space="preserve">Enter a value for 'Total Number of Units' in cell B3.
Enter a value for 'Do Rents Include Utilities' in cell B4.
Please enter at least one row of the Rental Income Table beginning on worksheet row 4.
</v>
      </c>
      <c r="H203" s="52">
        <f ca="1">INDIRECT($F$134 &amp; ADDRESS(B203,1,4))</f>
        <v>0</v>
      </c>
      <c r="I203" s="52">
        <f ca="1">INDIRECT($F$134 &amp; ADDRESS(B203,2,4))</f>
        <v>0</v>
      </c>
      <c r="J203" s="52" t="e">
        <f ca="1">INDEX(Unit_Mix_Type_Table[Bedrooms], MATCH(Validation!I203,Unit_Mix_Type_Table[Unit Mix Type],0), 1)</f>
        <v>#N/A</v>
      </c>
      <c r="K203" s="52" t="e">
        <f ca="1">INDEX(Unit_Mix_Type_Table[Has Max Rent], MATCH(Validation!I203,Unit_Mix_Type_Table[Unit Mix Type],0), 1)</f>
        <v>#N/A</v>
      </c>
      <c r="L203" s="52" t="e">
        <f ca="1">INDEX(Calculations!$A$76:$G$83, MATCH(H203, Calculations!$A$76:$A$83),MATCH(J203,Calculations!$A$76:$G$76))</f>
        <v>#N/A</v>
      </c>
      <c r="M203" s="52" t="e">
        <f ca="1">INDEX(Calculations!$A$88:$G$93, MATCH(H203, Calculations!$A$76:$A$83),MATCH(J203,Calculations!$A$76:$G$76))</f>
        <v>#N/A</v>
      </c>
      <c r="N203" s="52" t="e">
        <f ca="1">IF('Unit Mix &amp; Rents'!B68="No", Validation!M203, Validation!L203)</f>
        <v>#N/A</v>
      </c>
    </row>
    <row r="204" spans="1:14" ht="15" customHeight="1">
      <c r="A204" s="52" t="str">
        <f>IF(AND(E204&gt;1,E204&lt;5), F204, "")</f>
        <v/>
      </c>
      <c r="B204" s="52">
        <f>ROW('Unit Mix &amp; Rents'!A74)</f>
        <v>74</v>
      </c>
      <c r="C204" s="52"/>
      <c r="D204" s="52"/>
      <c r="E204" s="52">
        <f>SUMPRODUCT(ISTEXT('Unit Mix &amp; Rents'!A74:E74) + ISNUMBER('Unit Mix &amp; Rents'!A74:E74))</f>
        <v>0</v>
      </c>
      <c r="F204" t="str">
        <f>CONCATENATE("Please enter all values in unit breakdown in worksheet row ", B202, ".", CHAR(10))</f>
        <v xml:space="preserve">Please enter all values in unit breakdown in worksheet row 73.
</v>
      </c>
      <c r="G204" s="9" t="str">
        <f t="shared" ca="1" si="154"/>
        <v xml:space="preserve">Enter a value for 'Total Number of Units' in cell B3.
Enter a value for 'Do Rents Include Utilities' in cell B4.
Please enter at least one row of the Rental Income Table beginning on worksheet row 4.
</v>
      </c>
    </row>
    <row r="205" spans="1:14" ht="15" customHeight="1">
      <c r="A205" t="str">
        <f ca="1">IF(AND(IF(ISNA(K205), FALSE, K205), E205 &gt; IF(ISNA(N205), E205, L205)), F205, "")</f>
        <v/>
      </c>
      <c r="B205">
        <f>B204</f>
        <v>74</v>
      </c>
      <c r="D205" s="52" t="str">
        <f>ADDRESS(B205,5,4)</f>
        <v>E74</v>
      </c>
      <c r="E205" t="str">
        <f ca="1">IF(ISBLANK( INDIRECT($F$134 &amp; D205)),"", INDIRECT($F$134 &amp; D205))</f>
        <v/>
      </c>
      <c r="F205" t="e">
        <f ca="1">CONCATENATE("Actual Rent per Unit exceeds maximum allowed rent of ", DOLLAR(N205), " in worksheet row ", B205, ".", CHAR(10))</f>
        <v>#N/A</v>
      </c>
      <c r="G205" s="9" t="str">
        <f t="shared" ca="1" si="154"/>
        <v xml:space="preserve">Enter a value for 'Total Number of Units' in cell B3.
Enter a value for 'Do Rents Include Utilities' in cell B4.
Please enter at least one row of the Rental Income Table beginning on worksheet row 4.
</v>
      </c>
      <c r="H205" s="52">
        <f ca="1">INDIRECT($F$134 &amp; ADDRESS(B205,1,4))</f>
        <v>0</v>
      </c>
      <c r="I205" s="52">
        <f ca="1">INDIRECT($F$134 &amp; ADDRESS(B205,2,4))</f>
        <v>0</v>
      </c>
      <c r="J205" s="52" t="e">
        <f ca="1">INDEX(Unit_Mix_Type_Table[Bedrooms], MATCH(Validation!I205,Unit_Mix_Type_Table[Unit Mix Type],0), 1)</f>
        <v>#N/A</v>
      </c>
      <c r="K205" s="52" t="e">
        <f ca="1">INDEX(Unit_Mix_Type_Table[Has Max Rent], MATCH(Validation!I205,Unit_Mix_Type_Table[Unit Mix Type],0), 1)</f>
        <v>#N/A</v>
      </c>
      <c r="L205" s="52" t="e">
        <f ca="1">INDEX(Calculations!$A$76:$G$83, MATCH(H205, Calculations!$A$76:$A$83),MATCH(J205,Calculations!$A$76:$G$76))</f>
        <v>#N/A</v>
      </c>
      <c r="M205" s="52" t="e">
        <f ca="1">INDEX(Calculations!$A$88:$G$93, MATCH(H205, Calculations!$A$76:$A$83),MATCH(J205,Calculations!$A$76:$G$76))</f>
        <v>#N/A</v>
      </c>
      <c r="N205" s="52" t="e">
        <f ca="1">IF('Unit Mix &amp; Rents'!B70="No", Validation!M205, Validation!L205)</f>
        <v>#N/A</v>
      </c>
    </row>
    <row r="206" spans="1:14" ht="15" customHeight="1">
      <c r="A206" s="52" t="str">
        <f>IF(AND(E206&gt;1,E206&lt;5), F206, "")</f>
        <v/>
      </c>
      <c r="B206" s="52">
        <f>ROW('Unit Mix &amp; Rents'!A75)</f>
        <v>75</v>
      </c>
      <c r="C206" s="52"/>
      <c r="D206" s="52"/>
      <c r="E206" s="52">
        <f>SUMPRODUCT(ISTEXT('Unit Mix &amp; Rents'!A75:E75) + ISNUMBER('Unit Mix &amp; Rents'!A75:E75))</f>
        <v>0</v>
      </c>
      <c r="F206" t="str">
        <f>CONCATENATE("Please enter all values in unit breakdown in worksheet row ", B204, ".", CHAR(10))</f>
        <v xml:space="preserve">Please enter all values in unit breakdown in worksheet row 74.
</v>
      </c>
      <c r="G206" s="9" t="str">
        <f t="shared" ca="1" si="154"/>
        <v xml:space="preserve">Enter a value for 'Total Number of Units' in cell B3.
Enter a value for 'Do Rents Include Utilities' in cell B4.
Please enter at least one row of the Rental Income Table beginning on worksheet row 4.
</v>
      </c>
    </row>
    <row r="207" spans="1:14" ht="15" customHeight="1">
      <c r="A207" t="str">
        <f ca="1">IF(AND(IF(ISNA(K207), FALSE, K207), E207 &gt; IF(ISNA(N207), E207, L207)), F207, "")</f>
        <v/>
      </c>
      <c r="B207">
        <f>B206</f>
        <v>75</v>
      </c>
      <c r="D207" s="52" t="str">
        <f>ADDRESS(B207,5,4)</f>
        <v>E75</v>
      </c>
      <c r="E207" t="str">
        <f ca="1">IF(ISBLANK( INDIRECT($F$134 &amp; D207)),"", INDIRECT($F$134 &amp; D207))</f>
        <v/>
      </c>
      <c r="F207" t="e">
        <f ca="1">CONCATENATE("Actual Rent per Unit exceeds maximum allowed rent of ", DOLLAR(N207), " in worksheet row ", B207, ".", CHAR(10))</f>
        <v>#N/A</v>
      </c>
      <c r="G207" s="9" t="str">
        <f t="shared" ca="1" si="154"/>
        <v xml:space="preserve">Enter a value for 'Total Number of Units' in cell B3.
Enter a value for 'Do Rents Include Utilities' in cell B4.
Please enter at least one row of the Rental Income Table beginning on worksheet row 4.
</v>
      </c>
      <c r="H207" s="52">
        <f ca="1">INDIRECT($F$134 &amp; ADDRESS(B207,1,4))</f>
        <v>0</v>
      </c>
      <c r="I207" s="52">
        <f ca="1">INDIRECT($F$134 &amp; ADDRESS(B207,2,4))</f>
        <v>0</v>
      </c>
      <c r="J207" s="52" t="e">
        <f ca="1">INDEX(Unit_Mix_Type_Table[Bedrooms], MATCH(Validation!I207,Unit_Mix_Type_Table[Unit Mix Type],0), 1)</f>
        <v>#N/A</v>
      </c>
      <c r="K207" s="52" t="e">
        <f ca="1">INDEX(Unit_Mix_Type_Table[Has Max Rent], MATCH(Validation!I207,Unit_Mix_Type_Table[Unit Mix Type],0), 1)</f>
        <v>#N/A</v>
      </c>
      <c r="L207" s="52" t="e">
        <f ca="1">INDEX(Calculations!$A$76:$G$83, MATCH(H207, Calculations!$A$76:$A$83),MATCH(J207,Calculations!$A$76:$G$76))</f>
        <v>#N/A</v>
      </c>
      <c r="M207" s="52" t="e">
        <f ca="1">INDEX(Calculations!$A$88:$G$93, MATCH(H207, Calculations!$A$76:$A$83),MATCH(J207,Calculations!$A$76:$G$76))</f>
        <v>#N/A</v>
      </c>
      <c r="N207" s="52" t="e">
        <f ca="1">IF('Unit Mix &amp; Rents'!B72="No", Validation!M207, Validation!L207)</f>
        <v>#N/A</v>
      </c>
    </row>
    <row r="208" spans="1:14" ht="15" customHeight="1">
      <c r="A208" s="52" t="str">
        <f>IF(AND(E208&gt;1,E208&lt;5), F208, "")</f>
        <v/>
      </c>
      <c r="B208" s="52">
        <f>ROW('Unit Mix &amp; Rents'!A76)</f>
        <v>76</v>
      </c>
      <c r="C208" s="52"/>
      <c r="D208" s="52"/>
      <c r="E208" s="52">
        <f>SUMPRODUCT(ISTEXT('Unit Mix &amp; Rents'!A76:E76) + ISNUMBER('Unit Mix &amp; Rents'!A76:E76))</f>
        <v>0</v>
      </c>
      <c r="F208" t="str">
        <f>CONCATENATE("Please enter all values in unit breakdown in worksheet row ", B206, ".", CHAR(10))</f>
        <v xml:space="preserve">Please enter all values in unit breakdown in worksheet row 75.
</v>
      </c>
      <c r="G208" s="9" t="str">
        <f t="shared" ca="1" si="154"/>
        <v xml:space="preserve">Enter a value for 'Total Number of Units' in cell B3.
Enter a value for 'Do Rents Include Utilities' in cell B4.
Please enter at least one row of the Rental Income Table beginning on worksheet row 4.
</v>
      </c>
    </row>
    <row r="209" spans="1:15" ht="15" customHeight="1">
      <c r="A209" t="str">
        <f ca="1">IF(AND(IF(ISNA(K209), FALSE, K209), E209 &gt; IF(ISNA(N209), E209, L209)), F209, "")</f>
        <v/>
      </c>
      <c r="B209">
        <f>B208</f>
        <v>76</v>
      </c>
      <c r="D209" s="52" t="str">
        <f>ADDRESS(B209,5,4)</f>
        <v>E76</v>
      </c>
      <c r="E209" t="str">
        <f ca="1">IF(ISBLANK( INDIRECT($F$134 &amp; D209)),"", INDIRECT($F$134 &amp; D209))</f>
        <v/>
      </c>
      <c r="F209" t="e">
        <f ca="1">CONCATENATE("Actual Rent per Unit exceeds maximum allowed rent of ", DOLLAR(N209), " in worksheet row ", B209, ".", CHAR(10))</f>
        <v>#N/A</v>
      </c>
      <c r="G209" s="9" t="str">
        <f t="shared" ca="1" si="154"/>
        <v xml:space="preserve">Enter a value for 'Total Number of Units' in cell B3.
Enter a value for 'Do Rents Include Utilities' in cell B4.
Please enter at least one row of the Rental Income Table beginning on worksheet row 4.
</v>
      </c>
      <c r="H209" s="52">
        <f ca="1">INDIRECT($F$134 &amp; ADDRESS(B209,1,4))</f>
        <v>0</v>
      </c>
      <c r="I209" s="52">
        <f ca="1">INDIRECT($F$134 &amp; ADDRESS(B209,2,4))</f>
        <v>0</v>
      </c>
      <c r="J209" s="52" t="e">
        <f ca="1">INDEX(Unit_Mix_Type_Table[Bedrooms], MATCH(Validation!I209,Unit_Mix_Type_Table[Unit Mix Type],0), 1)</f>
        <v>#N/A</v>
      </c>
      <c r="K209" s="52" t="e">
        <f ca="1">INDEX(Unit_Mix_Type_Table[Has Max Rent], MATCH(Validation!I209,Unit_Mix_Type_Table[Unit Mix Type],0), 1)</f>
        <v>#N/A</v>
      </c>
      <c r="L209" s="52" t="e">
        <f ca="1">INDEX(Calculations!$A$76:$G$83, MATCH(H209, Calculations!$A$76:$A$83),MATCH(J209,Calculations!$A$76:$G$76))</f>
        <v>#N/A</v>
      </c>
      <c r="M209" s="52" t="e">
        <f ca="1">INDEX(Calculations!$A$88:$G$93, MATCH(H209, Calculations!$A$76:$A$83),MATCH(J209,Calculations!$A$76:$G$76))</f>
        <v>#N/A</v>
      </c>
      <c r="N209" s="52" t="e">
        <f ca="1">IF('Unit Mix &amp; Rents'!B74="No", Validation!M209, Validation!L209)</f>
        <v>#N/A</v>
      </c>
    </row>
    <row r="210" spans="1:15" ht="15" customHeight="1">
      <c r="A210" s="16" t="str">
        <f>IF(E210,"",F210)</f>
        <v/>
      </c>
      <c r="B210" s="16"/>
      <c r="C210" s="16"/>
      <c r="D210" s="16"/>
      <c r="E210" s="16" t="b">
        <f>Calculations!L41</f>
        <v>1</v>
      </c>
      <c r="F210" s="16" t="str">
        <f>CONCATENATE("Income Averaging exceeds 60%.",CHAR(10))</f>
        <v xml:space="preserve">Income Averaging exceeds 60%.
</v>
      </c>
      <c r="G210" s="399" t="str">
        <f t="shared" ca="1" si="154"/>
        <v xml:space="preserve">Enter a value for 'Total Number of Units' in cell B3.
Enter a value for 'Do Rents Include Utilities' in cell B4.
Please enter at least one row of the Rental Income Table beginning on worksheet row 4.
</v>
      </c>
      <c r="H210" s="16"/>
      <c r="I210" s="16"/>
      <c r="J210" s="16"/>
      <c r="K210" s="16"/>
      <c r="L210" s="16"/>
      <c r="M210" s="16"/>
      <c r="N210" s="16"/>
      <c r="O210" t="s">
        <v>3846</v>
      </c>
    </row>
    <row r="211" spans="1:15" ht="15" customHeight="1">
      <c r="A211" t="str">
        <f>IF(E211,F211,"")</f>
        <v/>
      </c>
      <c r="E211" t="b">
        <f>IF(H211&gt;0,I211="Income Averaging")</f>
        <v>0</v>
      </c>
      <c r="F211" t="str">
        <f>CONCATENATE("Must be 100% Low Income when Income Averaging is selected on Scoring worksheet.",CHAR(10))</f>
        <v xml:space="preserve">Must be 100% Low Income when Income Averaging is selected on Scoring worksheet.
</v>
      </c>
      <c r="G211" s="9" t="str">
        <f t="shared" ca="1" si="154"/>
        <v xml:space="preserve">Enter a value for 'Total Number of Units' in cell B3.
Enter a value for 'Do Rents Include Utilities' in cell B4.
Please enter at least one row of the Rental Income Table beginning on worksheet row 4.
</v>
      </c>
      <c r="H211">
        <f>Calculations!H43</f>
        <v>0</v>
      </c>
      <c r="I211">
        <f>Scoring!B5</f>
        <v>0</v>
      </c>
    </row>
    <row r="212" spans="1:15" ht="15" customHeight="1">
      <c r="G212" s="9" t="str">
        <f t="shared" ca="1" si="154"/>
        <v xml:space="preserve">Enter a value for 'Total Number of Units' in cell B3.
Enter a value for 'Do Rents Include Utilities' in cell B4.
Please enter at least one row of the Rental Income Table beginning on worksheet row 4.
</v>
      </c>
    </row>
    <row r="213" spans="1:15" ht="15" customHeight="1">
      <c r="G213" s="9" t="str">
        <f t="shared" ca="1" si="154"/>
        <v xml:space="preserve">Enter a value for 'Total Number of Units' in cell B3.
Enter a value for 'Do Rents Include Utilities' in cell B4.
Please enter at least one row of the Rental Income Table beginning on worksheet row 4.
</v>
      </c>
    </row>
    <row r="214" spans="1:15" ht="15" customHeight="1">
      <c r="A214" s="55" t="s">
        <v>3847</v>
      </c>
      <c r="B214" s="53"/>
      <c r="C214" s="53"/>
      <c r="D214" s="53"/>
      <c r="E214" s="53"/>
      <c r="F214" s="53"/>
      <c r="G214" s="56" t="str">
        <f ca="1">OFFSET(G214, -1, 0)</f>
        <v xml:space="preserve">Enter a value for 'Total Number of Units' in cell B3.
Enter a value for 'Do Rents Include Utilities' in cell B4.
Please enter at least one row of the Rental Income Table beginning on worksheet row 4.
</v>
      </c>
    </row>
    <row r="215" spans="1:15" ht="15" customHeight="1">
      <c r="F215" s="9"/>
    </row>
    <row r="216" spans="1:15" ht="15" customHeight="1">
      <c r="F216" s="9"/>
    </row>
    <row r="217" spans="1:15" ht="15" customHeight="1">
      <c r="A217" s="22" t="s">
        <v>3848</v>
      </c>
      <c r="F217" s="49" t="s">
        <v>3849</v>
      </c>
    </row>
    <row r="218" spans="1:15" ht="15" customHeight="1">
      <c r="A218" s="53" t="s">
        <v>3831</v>
      </c>
      <c r="B218" s="53" t="s">
        <v>3832</v>
      </c>
      <c r="C218" s="53" t="s">
        <v>3833</v>
      </c>
      <c r="D218" s="53" t="s">
        <v>3834</v>
      </c>
      <c r="E218" s="53" t="s">
        <v>3835</v>
      </c>
      <c r="F218" s="53" t="s">
        <v>3836</v>
      </c>
      <c r="G218" s="54" t="s">
        <v>3837</v>
      </c>
    </row>
    <row r="219" spans="1:15" ht="15" customHeight="1">
      <c r="A219" t="str">
        <f t="shared" ref="A219:A231" ca="1" si="155">IF(E219="",F219, "")</f>
        <v xml:space="preserve">Enter a value for 'Threshold' in cell B5.
</v>
      </c>
      <c r="B219">
        <f>ROW(Scoring!A5)</f>
        <v>5</v>
      </c>
      <c r="C219" t="str">
        <f ca="1">INDIRECT($F$217 &amp; ADDRESS(B219, 1,4  ))</f>
        <v>Threshold</v>
      </c>
      <c r="D219" t="str">
        <f t="shared" ref="D219:D231" si="156">ADDRESS(B219, 2,4  )</f>
        <v>B5</v>
      </c>
      <c r="E219" t="str">
        <f t="shared" ref="E219:E231" ca="1" si="157">IF(ISBLANK( INDIRECT($F$217 &amp; D219)),"", INDIRECT($F$217 &amp; D219))</f>
        <v/>
      </c>
      <c r="F219" t="str">
        <f ca="1">CONCATENATE("Enter a value for '", C219, "' in cell ", D219, ".", CHAR(10))</f>
        <v xml:space="preserve">Enter a value for 'Threshold' in cell B5.
</v>
      </c>
      <c r="G219" s="9" t="str">
        <f ca="1">A219</f>
        <v xml:space="preserve">Enter a value for 'Threshold' in cell B5.
</v>
      </c>
    </row>
    <row r="220" spans="1:15" ht="15" customHeight="1">
      <c r="A220" t="str">
        <f t="shared" ca="1" si="155"/>
        <v xml:space="preserve">Enter a value for 'Very, Very Low-Income Targeting' in cell B8.
</v>
      </c>
      <c r="B220">
        <f>ROW(Scoring!A8)</f>
        <v>8</v>
      </c>
      <c r="C220" t="str">
        <f ca="1">INDIRECT($F$217 &amp; ADDRESS(B220, 1,4  ))</f>
        <v>Very, Very Low-Income Targeting</v>
      </c>
      <c r="D220" t="str">
        <f t="shared" si="156"/>
        <v>B8</v>
      </c>
      <c r="E220" t="str">
        <f t="shared" ca="1" si="157"/>
        <v/>
      </c>
      <c r="F220" t="str">
        <f ca="1">CONCATENATE("Enter a value for '", C220, "' in cell ", D220, ".", CHAR(10))</f>
        <v xml:space="preserve">Enter a value for 'Very, Very Low-Income Targeting' in cell B8.
</v>
      </c>
      <c r="G220" s="9" t="str">
        <f t="shared" ref="G220:G233" ca="1" si="158">OFFSET(G220, -1, 0) &amp; A220</f>
        <v xml:space="preserve">Enter a value for 'Threshold' in cell B5.
Enter a value for 'Very, Very Low-Income Targeting' in cell B8.
</v>
      </c>
    </row>
    <row r="221" spans="1:15" ht="15" customHeight="1">
      <c r="A221" t="str">
        <f t="shared" ca="1" si="155"/>
        <v xml:space="preserve">Enter a value for 'Extended Low-Income Use' in cell B11.
</v>
      </c>
      <c r="B221">
        <f>ROW(Scoring!A11)</f>
        <v>11</v>
      </c>
      <c r="C221" t="str">
        <f ca="1">INDIRECT($F$217 &amp; ADDRESS(B221, 1,4  ))</f>
        <v>Extended Low-Income Use</v>
      </c>
      <c r="D221" t="str">
        <f t="shared" si="156"/>
        <v>B11</v>
      </c>
      <c r="E221" t="str">
        <f t="shared" ca="1" si="157"/>
        <v/>
      </c>
      <c r="F221" t="str">
        <f ca="1">CONCATENATE("Enter a value for '", C221, "' in cell ", D221, ".", CHAR(10))</f>
        <v xml:space="preserve">Enter a value for 'Extended Low-Income Use' in cell B11.
</v>
      </c>
      <c r="G221" s="9" t="str">
        <f t="shared" ca="1" si="158"/>
        <v xml:space="preserve">Enter a value for 'Threshold' in cell B5.
Enter a value for 'Very, Very Low-Income Targeting' in cell B8.
Enter a value for 'Extended Low-Income Use' in cell B11.
</v>
      </c>
    </row>
    <row r="222" spans="1:15" ht="15" customHeight="1">
      <c r="A222" t="str">
        <f t="shared" ca="1" si="155"/>
        <v xml:space="preserve">Enter a value for 'Community Revitalization Plan' in cell B14.
</v>
      </c>
      <c r="B222">
        <f>ROW(Scoring!A14)</f>
        <v>14</v>
      </c>
      <c r="C222" s="52" t="s">
        <v>2165</v>
      </c>
      <c r="D222" t="str">
        <f t="shared" si="156"/>
        <v>B14</v>
      </c>
      <c r="E222" t="str">
        <f t="shared" ca="1" si="157"/>
        <v/>
      </c>
      <c r="F222" t="str">
        <f>CONCATENATE("Enter a value for '", C222, "' in cell ", D222, ".", CHAR(10))</f>
        <v xml:space="preserve">Enter a value for 'Community Revitalization Plan' in cell B14.
</v>
      </c>
      <c r="G222" s="9" t="str">
        <f t="shared" ca="1" si="158"/>
        <v xml:space="preserve">Enter a value for 'Threshold' in cell B5.
Enter a value for 'Very, Very Low-Income Targeting' in cell B8.
Enter a value for 'Extended Low-Income Use' in cell B11.
Enter a value for 'Community Revitalization Plan' in cell B14.
</v>
      </c>
    </row>
    <row r="223" spans="1:15" ht="15" customHeight="1">
      <c r="A223" t="str">
        <f t="shared" ca="1" si="155"/>
        <v xml:space="preserve">Select a value for 'Development Location' in cell B20.
</v>
      </c>
      <c r="B223">
        <f>ROW(Scoring!A20)</f>
        <v>20</v>
      </c>
      <c r="C223" s="52" t="s">
        <v>883</v>
      </c>
      <c r="D223" t="str">
        <f t="shared" si="156"/>
        <v>B20</v>
      </c>
      <c r="E223" t="str">
        <f t="shared" ca="1" si="157"/>
        <v/>
      </c>
      <c r="F223" t="str">
        <f t="shared" ref="F223:F231" si="159">CONCATENATE("Select a value for '", C223, "' in cell ", D223, ".", CHAR(10))</f>
        <v xml:space="preserve">Select a value for 'Development Location' in cell B20.
</v>
      </c>
      <c r="G223"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4" spans="1:15" ht="15" customHeight="1">
      <c r="A224" t="str">
        <f t="shared" ca="1" si="155"/>
        <v xml:space="preserve">Select a value for 'question 1 of Development Characteristics' in cell B23.
</v>
      </c>
      <c r="B224">
        <f>ROW(Scoring!A23)</f>
        <v>23</v>
      </c>
      <c r="C224" s="52" t="s">
        <v>3850</v>
      </c>
      <c r="D224" t="str">
        <f t="shared" si="156"/>
        <v>B23</v>
      </c>
      <c r="E224" t="str">
        <f t="shared" ca="1" si="157"/>
        <v/>
      </c>
      <c r="F224" t="str">
        <f t="shared" si="159"/>
        <v xml:space="preserve">Select a value for 'question 1 of Development Characteristics' in cell B23.
</v>
      </c>
      <c r="G224"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v>
      </c>
    </row>
    <row r="225" spans="1:11" ht="15" customHeight="1">
      <c r="A225" t="str">
        <f t="shared" ca="1" si="155"/>
        <v xml:space="preserve">Select a value for 'question 2 of Development Characteristics' in cell B24.
</v>
      </c>
      <c r="B225">
        <f>ROW(Scoring!A24)</f>
        <v>24</v>
      </c>
      <c r="C225" s="52" t="s">
        <v>3851</v>
      </c>
      <c r="D225" t="str">
        <f t="shared" si="156"/>
        <v>B24</v>
      </c>
      <c r="E225" t="str">
        <f t="shared" ca="1" si="157"/>
        <v/>
      </c>
      <c r="F225" t="str">
        <f t="shared" si="159"/>
        <v xml:space="preserve">Select a value for 'question 2 of Development Characteristics' in cell B24.
</v>
      </c>
      <c r="G225"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v>
      </c>
    </row>
    <row r="226" spans="1:11" ht="15" customHeight="1">
      <c r="A226" t="str">
        <f t="shared" ca="1" si="155"/>
        <v xml:space="preserve">Select a value for 'question 3 of Development Characteristics' in cell B25.
</v>
      </c>
      <c r="B226">
        <f>ROW(Scoring!A25)</f>
        <v>25</v>
      </c>
      <c r="C226" s="52" t="s">
        <v>3852</v>
      </c>
      <c r="D226" t="str">
        <f t="shared" si="156"/>
        <v>B25</v>
      </c>
      <c r="E226" t="str">
        <f t="shared" ca="1" si="157"/>
        <v/>
      </c>
      <c r="F226" t="str">
        <f t="shared" si="159"/>
        <v xml:space="preserve">Select a value for 'question 3 of Development Characteristics' in cell B25.
</v>
      </c>
      <c r="G226"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v>
      </c>
    </row>
    <row r="227" spans="1:11" ht="15" customHeight="1">
      <c r="A227" t="str">
        <f t="shared" ca="1" si="155"/>
        <v xml:space="preserve">Select a value for 'question 4 of Development Characteristics' in cell B26.
</v>
      </c>
      <c r="B227">
        <f>ROW(Scoring!A26)</f>
        <v>26</v>
      </c>
      <c r="C227" s="52" t="s">
        <v>3853</v>
      </c>
      <c r="D227" t="str">
        <f t="shared" si="156"/>
        <v>B26</v>
      </c>
      <c r="E227" t="str">
        <f t="shared" ca="1" si="157"/>
        <v/>
      </c>
      <c r="F227" t="str">
        <f t="shared" si="159"/>
        <v xml:space="preserve">Select a value for 'question 4 of Development Characteristics' in cell B26.
</v>
      </c>
      <c r="G227"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v>
      </c>
    </row>
    <row r="228" spans="1:11" ht="15" customHeight="1">
      <c r="A228" t="str">
        <f t="shared" ca="1" si="155"/>
        <v xml:space="preserve">Select a value for 'question 5 of Development Characteristics' in cell B27.
</v>
      </c>
      <c r="B228">
        <f>ROW(Scoring!A27)</f>
        <v>27</v>
      </c>
      <c r="C228" s="52" t="s">
        <v>3854</v>
      </c>
      <c r="D228" t="str">
        <f t="shared" si="156"/>
        <v>B27</v>
      </c>
      <c r="E228" t="str">
        <f t="shared" ca="1" si="157"/>
        <v/>
      </c>
      <c r="F228" t="str">
        <f t="shared" si="159"/>
        <v xml:space="preserve">Select a value for 'question 5 of Development Characteristics' in cell B27.
</v>
      </c>
      <c r="G228"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v>
      </c>
    </row>
    <row r="229" spans="1:11" ht="15" customHeight="1">
      <c r="A229" t="str">
        <f t="shared" ca="1" si="155"/>
        <v xml:space="preserve">Select a value for 'Applicant Characteristics' in cell B31.
</v>
      </c>
      <c r="B229">
        <f>ROW(Scoring!A31)</f>
        <v>31</v>
      </c>
      <c r="C229" s="52" t="s">
        <v>550</v>
      </c>
      <c r="D229" t="str">
        <f t="shared" si="156"/>
        <v>B31</v>
      </c>
      <c r="E229" t="str">
        <f t="shared" ca="1" si="157"/>
        <v/>
      </c>
      <c r="F229" t="str">
        <f t="shared" si="159"/>
        <v xml:space="preserve">Select a value for 'Applicant Characteristics' in cell B31.
</v>
      </c>
      <c r="G229"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v>
      </c>
    </row>
    <row r="230" spans="1:11" ht="15" customHeight="1">
      <c r="A230" t="str">
        <f t="shared" ca="1" si="155"/>
        <v xml:space="preserve">Select a value for 'Projects serving Persons experiencing Homelessness or Special Populations. See Section 5.B.5 of the Allocation Plan for the definition and required documentation.' in cell B34.
</v>
      </c>
      <c r="B230">
        <f>ROW(Scoring!A34)</f>
        <v>34</v>
      </c>
      <c r="C230" t="str">
        <f ca="1">INDIRECT($F$217 &amp; ADDRESS(B230, 1,4  ))</f>
        <v>Projects serving Persons experiencing Homelessness or Special Populations. See Section 5.B.5 of the Allocation Plan for the definition and required documentation.</v>
      </c>
      <c r="D230" t="str">
        <f t="shared" si="156"/>
        <v>B34</v>
      </c>
      <c r="E230" t="str">
        <f t="shared" ca="1" si="157"/>
        <v/>
      </c>
      <c r="F230" t="str">
        <f t="shared" ca="1" si="159"/>
        <v xml:space="preserve">Select a value for 'Projects serving Persons experiencing Homelessness or Special Populations. See Section 5.B.5 of the Allocation Plan for the definition and required documentation.' in cell B34.
</v>
      </c>
      <c r="G230"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v>
      </c>
    </row>
    <row r="231" spans="1:11" ht="15" customHeight="1">
      <c r="A231" t="str">
        <f t="shared" ca="1" si="155"/>
        <v xml:space="preserve">Select a value for 'Housing Authority Waitlist' in cell B37.
</v>
      </c>
      <c r="B231">
        <f>ROW(Scoring!A37)</f>
        <v>37</v>
      </c>
      <c r="C231" t="str">
        <f ca="1">INDIRECT($F$217 &amp; ADDRESS(B231, 1,4  ))</f>
        <v>Housing Authority Waitlist</v>
      </c>
      <c r="D231" t="str">
        <f t="shared" si="156"/>
        <v>B37</v>
      </c>
      <c r="E231" t="str">
        <f t="shared" ca="1" si="157"/>
        <v/>
      </c>
      <c r="F231" t="str">
        <f t="shared" ca="1" si="159"/>
        <v xml:space="preserve">Select a value for 'Housing Authority Waitlist' in cell B37.
</v>
      </c>
      <c r="G231" s="9"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v>
      </c>
    </row>
    <row r="232" spans="1:11" ht="15" customHeight="1">
      <c r="A232" t="str">
        <f>IF(E232&lt;I232, F232, "")</f>
        <v xml:space="preserve">Minumum score of 80 has not been met.
</v>
      </c>
      <c r="B232" s="52"/>
      <c r="C232" s="52"/>
      <c r="D232" s="52"/>
      <c r="E232" s="52">
        <f>Calculations!$B317</f>
        <v>15</v>
      </c>
      <c r="F232" s="52" t="str">
        <f>CONCATENATE("Minumum score of ", I232, " has not been met.", CHAR(10))</f>
        <v xml:space="preserve">Minumum score of 80 has not been met.
</v>
      </c>
      <c r="G232" s="52"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c r="H232" s="52" t="s">
        <v>3855</v>
      </c>
      <c r="I232" s="52">
        <f>Calculations!$B$294</f>
        <v>80</v>
      </c>
    </row>
    <row r="233" spans="1:11" ht="15" customHeight="1">
      <c r="A233" t="str">
        <f ca="1">IF(E233,F233,"")</f>
        <v/>
      </c>
      <c r="E233" t="b">
        <f ca="1">AND(E220&lt;&gt;"",E220&lt;&gt;"None",E230&lt;&gt;"N/A")</f>
        <v>0</v>
      </c>
      <c r="F233" t="s">
        <v>3856</v>
      </c>
      <c r="G233" t="str">
        <f t="shared" ca="1" si="158"/>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4" spans="1:11" ht="15" customHeight="1">
      <c r="A234" t="str">
        <f>IF(E234,F234,"")</f>
        <v/>
      </c>
      <c r="E234" t="b">
        <f>AND(NOT(Calculations!M44), Calculations!L44&gt;0)</f>
        <v>0</v>
      </c>
      <c r="F234" t="str">
        <f>CONCATENATE("70% and 80% AMI units are not permitted unless Average Income is selected on Scoring worksheet.",CHAR(10))</f>
        <v xml:space="preserve">70% and 80% AMI units are not permitted unless Average Income is selected on Scoring worksheet.
</v>
      </c>
      <c r="G234" t="str">
        <f ca="1">OFFSET(G234, -1, 0) &amp; A234</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5" spans="1:11" ht="15" customHeight="1">
      <c r="A235" t="str">
        <f>IF(AND(H235,I235,NOT(OR(J235,K235))), F235,"")</f>
        <v/>
      </c>
      <c r="F235"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5" t="str">
        <f ca="1">OFFSET(G235, -1, 0) &amp; A235</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c r="H235" t="b">
        <f>Calculations!B5</f>
        <v>0</v>
      </c>
      <c r="I235" t="b">
        <f>Scoring!B5 = "Average Income"</f>
        <v>0</v>
      </c>
      <c r="J235" t="b">
        <f>IF(Calculations!H44 = 0, TRUE,  SUM(Calculations!H33:'Calculations'!H36)/Calculations!H44 &gt;= 0.2)</f>
        <v>1</v>
      </c>
      <c r="K235" t="b">
        <f>IF(Calculations!H44 = 0, TRUE,  SUM(Calculations!H33:'Calculations'!H37)/Calculations!H44 &gt;= 0.4)</f>
        <v>1</v>
      </c>
    </row>
    <row r="236" spans="1:11" ht="15" customHeight="1">
      <c r="A236" s="55" t="s">
        <v>3857</v>
      </c>
      <c r="B236" s="53"/>
      <c r="C236" s="53"/>
      <c r="D236" s="53"/>
      <c r="E236" s="53"/>
      <c r="F236" s="53"/>
      <c r="G236" s="56" t="str">
        <f ca="1">OFFSET(G236,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B23.
Select a value for 'question 2 of Development Characteristics' in cell B24.
Select a value for 'question 3 of Development Characteristics' in cell B25.
Select a value for 'question 4 of Development Characteristics' in cell B26.
Select a value for 'question 5 of Development Characteristics' in cell B27.
Select a value for 'Applicant Characteristics' in cell B31.
Select a value for 'Projects serving Persons experiencing Homelessness or Special Populations. See Section 5.B.5 of the Allocation Plan for the definition and required documentation.' in cell B34.
Select a value for 'Housing Authority Waitlist' in cell B37.
Minumum score of 80 has not been met.
</v>
      </c>
    </row>
    <row r="237" spans="1:11" ht="15" customHeight="1"/>
    <row r="238" spans="1:11" ht="15" customHeight="1"/>
    <row r="239" spans="1:11" ht="15" customHeight="1">
      <c r="A239" s="22" t="s">
        <v>103</v>
      </c>
      <c r="F239" s="49" t="s">
        <v>3858</v>
      </c>
    </row>
    <row r="240" spans="1:11" ht="15" customHeight="1">
      <c r="A240" s="53" t="s">
        <v>3831</v>
      </c>
      <c r="B240" s="53" t="s">
        <v>3832</v>
      </c>
      <c r="C240" s="53" t="s">
        <v>3833</v>
      </c>
      <c r="D240" s="53" t="s">
        <v>3834</v>
      </c>
      <c r="E240" s="53" t="s">
        <v>3835</v>
      </c>
      <c r="F240" s="53" t="s">
        <v>3836</v>
      </c>
      <c r="G240" s="54" t="s">
        <v>3837</v>
      </c>
    </row>
    <row r="241" spans="1:8" ht="15" customHeight="1">
      <c r="A241" t="str">
        <f ca="1">IF(E241="",F241, "")</f>
        <v xml:space="preserve">Enter a value for 'Construction Loan Amount' in cell B3.
</v>
      </c>
      <c r="B241">
        <f>ROW(Financing!A3)</f>
        <v>3</v>
      </c>
      <c r="C241" t="str">
        <f ca="1">INDIRECT($F$239 &amp; ADDRESS(B241, 1,4  ))</f>
        <v>Construction Loan Amount</v>
      </c>
      <c r="D241" t="str">
        <f>ADDRESS(B241, 2,4  )</f>
        <v>B3</v>
      </c>
      <c r="E241" t="str">
        <f ca="1">IF(ISBLANK( INDIRECT($F$239 &amp; D241)),"", INDIRECT($F$239 &amp; D241))</f>
        <v/>
      </c>
      <c r="F241" t="str">
        <f ca="1">CONCATENATE("Enter a value for '", C241, "' in cell ", D241, ".", CHAR(10))</f>
        <v xml:space="preserve">Enter a value for 'Construction Loan Amount' in cell B3.
</v>
      </c>
      <c r="G241" s="9" t="str">
        <f ca="1">A241</f>
        <v xml:space="preserve">Enter a value for 'Construction Loan Amount' in cell B3.
</v>
      </c>
    </row>
    <row r="242" spans="1:8" ht="15" customHeight="1">
      <c r="A242" t="str">
        <f t="shared" ref="A242:A243" ca="1" si="160">IF(E242="",F242, "")</f>
        <v xml:space="preserve">Enter a value for 'Construction Loan Rate' in cell B4.
</v>
      </c>
      <c r="B242">
        <f>ROW(Financing!A4)</f>
        <v>4</v>
      </c>
      <c r="C242" t="str">
        <f ca="1">INDIRECT($F$239 &amp; ADDRESS(B242, 1,4  ))</f>
        <v>Construction Loan Rate</v>
      </c>
      <c r="D242" t="str">
        <f>ADDRESS(B242, 2,4  )</f>
        <v>B4</v>
      </c>
      <c r="E242" t="str">
        <f ca="1">IF(ISBLANK( INDIRECT($F$239 &amp; D242)),"", INDIRECT($F$239 &amp; D242))</f>
        <v/>
      </c>
      <c r="F242" t="str">
        <f ca="1">CONCATENATE("Enter a value for '", C242, "' in cell ", D242, ".", CHAR(10))</f>
        <v xml:space="preserve">Enter a value for 'Construction Loan Rate' in cell B4.
</v>
      </c>
      <c r="G242" s="9" t="str">
        <f t="shared" ref="G242:G287" ca="1" si="161">OFFSET(G242, -1, 0) &amp; A242</f>
        <v xml:space="preserve">Enter a value for 'Construction Loan Amount' in cell B3.
Enter a value for 'Construction Loan Rate' in cell B4.
</v>
      </c>
    </row>
    <row r="243" spans="1:8" ht="15" customHeight="1">
      <c r="A243" t="str">
        <f t="shared" ca="1" si="160"/>
        <v xml:space="preserve">Enter a value for 'Project Funded without Permanent Debt' in cell B5.
</v>
      </c>
      <c r="B243">
        <f>ROW(Financing!A5)</f>
        <v>5</v>
      </c>
      <c r="C243" t="str">
        <f ca="1">INDIRECT($F$239 &amp; ADDRESS(B243, 1,4  ))</f>
        <v>Project Funded without Permanent Debt</v>
      </c>
      <c r="D243" t="str">
        <f>ADDRESS(B243, 2,4  )</f>
        <v>B5</v>
      </c>
      <c r="E243" t="str">
        <f ca="1">IF(ISBLANK( INDIRECT($F$239 &amp; D243)),"", INDIRECT($F$239 &amp; D243))</f>
        <v/>
      </c>
      <c r="F243" t="str">
        <f ca="1">CONCATENATE("Enter a value for '", C243, "' in cell ", D243, ".", CHAR(10))</f>
        <v xml:space="preserve">Enter a value for 'Project Funded without Permanent Debt' in cell B5.
</v>
      </c>
      <c r="G243" s="9" t="str">
        <f t="shared" ref="G243" ca="1" si="162">OFFSET(G243, -1, 0) &amp; A243</f>
        <v xml:space="preserve">Enter a value for 'Construction Loan Amount' in cell B3.
Enter a value for 'Construction Loan Rate' in cell B4.
Enter a value for 'Project Funded without Permanent Debt' in cell B5.
</v>
      </c>
    </row>
    <row r="244" spans="1:8" ht="15" customHeight="1">
      <c r="A244" s="52" t="str">
        <f ca="1">IF(AND(E244&gt;0,E244&lt;6), F244, "")</f>
        <v/>
      </c>
      <c r="B244">
        <f>ROW(Financing!A9)</f>
        <v>9</v>
      </c>
      <c r="C244" s="52"/>
      <c r="D244" s="52" t="str">
        <f>CONCATENATE($F$239,ADDRESS(B244,1,4),":",ADDRESS(B244,6,4))</f>
        <v>'Financing'!A9:F9</v>
      </c>
      <c r="E244" s="52">
        <f t="shared" ref="E244:E260" ca="1" si="163">SUMPRODUCT(ISTEXT(INDIRECT(D244)) + ISNUMBER(INDIRECT(D244)))</f>
        <v>0</v>
      </c>
      <c r="F244" s="52" t="str">
        <f t="shared" ref="F244:F252" si="164">CONCATENATE("Please enter all values for the ", H244, " in worksheet row ", B244, ".", CHAR(10))</f>
        <v xml:space="preserve">Please enter all values for the Residential Loans (amortizing) in worksheet row 9.
</v>
      </c>
      <c r="G244" s="9" t="str">
        <f t="shared" ca="1" si="161"/>
        <v xml:space="preserve">Enter a value for 'Construction Loan Amount' in cell B3.
Enter a value for 'Construction Loan Rate' in cell B4.
Enter a value for 'Project Funded without Permanent Debt' in cell B5.
</v>
      </c>
      <c r="H244" t="str">
        <f>Financing!$A$7</f>
        <v>Residential Loans (amortizing)</v>
      </c>
    </row>
    <row r="245" spans="1:8" ht="15" customHeight="1">
      <c r="A245" s="52" t="str">
        <f ca="1">IF(AND(E245&gt;0,E245&lt;6), F245, "")</f>
        <v/>
      </c>
      <c r="B245">
        <f>ROW(Financing!A10)</f>
        <v>10</v>
      </c>
      <c r="C245" s="52"/>
      <c r="D245" s="52" t="str">
        <f>CONCATENATE($F$239,ADDRESS(B245,1,4),":",ADDRESS(B245,6,4))</f>
        <v>'Financing'!A10:F10</v>
      </c>
      <c r="E245" s="52">
        <f t="shared" ca="1" si="163"/>
        <v>0</v>
      </c>
      <c r="F245" s="52" t="str">
        <f t="shared" si="164"/>
        <v xml:space="preserve">Please enter all values for the Residential Loans (amortizing) in worksheet row 10.
</v>
      </c>
      <c r="G245" s="9" t="str">
        <f t="shared" ca="1" si="161"/>
        <v xml:space="preserve">Enter a value for 'Construction Loan Amount' in cell B3.
Enter a value for 'Construction Loan Rate' in cell B4.
Enter a value for 'Project Funded without Permanent Debt' in cell B5.
</v>
      </c>
      <c r="H245" t="str">
        <f>Financing!$A$7</f>
        <v>Residential Loans (amortizing)</v>
      </c>
    </row>
    <row r="246" spans="1:8" ht="15" customHeight="1">
      <c r="A246" s="52" t="str">
        <f ca="1">IF(AND(E246&gt;0,E246&lt;6), F246, "")</f>
        <v/>
      </c>
      <c r="B246">
        <f>ROW(Financing!A11)</f>
        <v>11</v>
      </c>
      <c r="C246" s="52"/>
      <c r="D246" s="52" t="str">
        <f>CONCATENATE($F$239,ADDRESS(B246,1,4),":",ADDRESS(B246,6,4))</f>
        <v>'Financing'!A11:F11</v>
      </c>
      <c r="E246" s="52">
        <f t="shared" ca="1" si="163"/>
        <v>0</v>
      </c>
      <c r="F246" s="52" t="str">
        <f t="shared" si="164"/>
        <v xml:space="preserve">Please enter all values for the Residential Loans (amortizing) in worksheet row 11.
</v>
      </c>
      <c r="G246" s="9" t="str">
        <f t="shared" ca="1" si="161"/>
        <v xml:space="preserve">Enter a value for 'Construction Loan Amount' in cell B3.
Enter a value for 'Construction Loan Rate' in cell B4.
Enter a value for 'Project Funded without Permanent Debt' in cell B5.
</v>
      </c>
      <c r="H246" t="str">
        <f>Financing!$A$7</f>
        <v>Residential Loans (amortizing)</v>
      </c>
    </row>
    <row r="247" spans="1:8" ht="15" customHeight="1">
      <c r="A247" s="52" t="str">
        <f t="shared" ref="A247:A252" ca="1" si="165">IF(AND(E247&gt;0,E247&lt;5), F247, "")</f>
        <v/>
      </c>
      <c r="B247">
        <f>ROW(Financing!A16)</f>
        <v>16</v>
      </c>
      <c r="C247" s="52"/>
      <c r="D247" s="52" t="str">
        <f t="shared" ref="D247:D252" si="166">CONCATENATE($F$239&amp;ADDRESS(B247,1,4)&amp;":"&amp;ADDRESS(B247,5,4))</f>
        <v>'Financing'!A16:E16</v>
      </c>
      <c r="E247" s="52">
        <f t="shared" ca="1" si="163"/>
        <v>0</v>
      </c>
      <c r="F247" s="52" t="str">
        <f t="shared" si="164"/>
        <v xml:space="preserve">Please enter all values for the Residential Loans (cash flow only) in worksheet row 16.
</v>
      </c>
      <c r="G247" s="9" t="str">
        <f t="shared" ca="1" si="161"/>
        <v xml:space="preserve">Enter a value for 'Construction Loan Amount' in cell B3.
Enter a value for 'Construction Loan Rate' in cell B4.
Enter a value for 'Project Funded without Permanent Debt' in cell B5.
</v>
      </c>
      <c r="H247" t="str">
        <f>Financing!$A$14</f>
        <v>Residential Loans (cash flow only)</v>
      </c>
    </row>
    <row r="248" spans="1:8" ht="15" customHeight="1">
      <c r="A248" s="52" t="str">
        <f t="shared" ca="1" si="165"/>
        <v/>
      </c>
      <c r="B248">
        <f>ROW(Financing!A17)</f>
        <v>17</v>
      </c>
      <c r="C248" s="52"/>
      <c r="D248" s="52" t="str">
        <f t="shared" si="166"/>
        <v>'Financing'!A17:E17</v>
      </c>
      <c r="E248" s="52">
        <f t="shared" ca="1" si="163"/>
        <v>0</v>
      </c>
      <c r="F248" s="52" t="str">
        <f t="shared" si="164"/>
        <v xml:space="preserve">Please enter all values for the Residential Loans (cash flow only) in worksheet row 17.
</v>
      </c>
      <c r="G248" s="9" t="str">
        <f t="shared" ca="1" si="161"/>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65"/>
        <v/>
      </c>
      <c r="B249">
        <f>ROW(Financing!A18)</f>
        <v>18</v>
      </c>
      <c r="C249" s="52"/>
      <c r="D249" s="52" t="str">
        <f t="shared" si="166"/>
        <v>'Financing'!A18:E18</v>
      </c>
      <c r="E249" s="52">
        <f t="shared" ca="1" si="163"/>
        <v>0</v>
      </c>
      <c r="F249" s="52" t="str">
        <f t="shared" si="164"/>
        <v xml:space="preserve">Please enter all values for the Residential Loans (cash flow only) in worksheet row 18.
</v>
      </c>
      <c r="G249" s="9" t="str">
        <f t="shared" ca="1" si="161"/>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65"/>
        <v/>
      </c>
      <c r="B250">
        <f>ROW(Financing!A19)</f>
        <v>19</v>
      </c>
      <c r="C250" s="52"/>
      <c r="D250" s="52" t="str">
        <f t="shared" si="166"/>
        <v>'Financing'!A19:E19</v>
      </c>
      <c r="E250" s="52">
        <f t="shared" ca="1" si="163"/>
        <v>0</v>
      </c>
      <c r="F250" s="52" t="str">
        <f t="shared" si="164"/>
        <v xml:space="preserve">Please enter all values for the Residential Loans (cash flow only) in worksheet row 19.
</v>
      </c>
      <c r="G250" s="9" t="str">
        <f t="shared" ca="1" si="161"/>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ca="1" si="165"/>
        <v/>
      </c>
      <c r="B251">
        <f>ROW(Financing!A20)</f>
        <v>20</v>
      </c>
      <c r="C251" s="52"/>
      <c r="D251" s="52" t="str">
        <f t="shared" si="166"/>
        <v>'Financing'!A20:E20</v>
      </c>
      <c r="E251" s="52">
        <f t="shared" ca="1" si="163"/>
        <v>0</v>
      </c>
      <c r="F251" s="52" t="str">
        <f t="shared" si="164"/>
        <v xml:space="preserve">Please enter all values for the Residential Loans (cash flow only) in worksheet row 20.
</v>
      </c>
      <c r="G251" s="9" t="str">
        <f t="shared" ca="1" si="161"/>
        <v xml:space="preserve">Enter a value for 'Construction Loan Amount' in cell B3.
Enter a value for 'Construction Loan Rate' in cell B4.
Enter a value for 'Project Funded without Permanent Debt' in cell B5.
</v>
      </c>
      <c r="H251" t="str">
        <f>Financing!$A$14</f>
        <v>Residential Loans (cash flow only)</v>
      </c>
    </row>
    <row r="252" spans="1:8" ht="15" customHeight="1">
      <c r="A252" s="52" t="str">
        <f t="shared" ca="1" si="165"/>
        <v/>
      </c>
      <c r="B252">
        <f>ROW(Financing!A21)</f>
        <v>21</v>
      </c>
      <c r="C252" s="52"/>
      <c r="D252" s="52" t="str">
        <f t="shared" si="166"/>
        <v>'Financing'!A21:E21</v>
      </c>
      <c r="E252" s="52">
        <f t="shared" ca="1" si="163"/>
        <v>0</v>
      </c>
      <c r="F252" s="52" t="str">
        <f t="shared" si="164"/>
        <v xml:space="preserve">Please enter all values for the Residential Loans (cash flow only) in worksheet row 21.
</v>
      </c>
      <c r="G252" s="9" t="str">
        <f t="shared" ca="1" si="161"/>
        <v xml:space="preserve">Enter a value for 'Construction Loan Amount' in cell B3.
Enter a value for 'Construction Loan Rate' in cell B4.
Enter a value for 'Project Funded without Permanent Debt' in cell B5.
</v>
      </c>
      <c r="H252" t="str">
        <f>Financing!$A$14</f>
        <v>Residential Loans (cash flow only)</v>
      </c>
    </row>
    <row r="253" spans="1:8" ht="15" customHeight="1">
      <c r="A253" s="52" t="str">
        <f t="shared" ref="A253:A260" ca="1" si="167">IF(AND(E253&gt;0,E253&lt;2), F253, "")</f>
        <v/>
      </c>
      <c r="B253">
        <f>ROW(Financing!A26)</f>
        <v>26</v>
      </c>
      <c r="C253" s="52"/>
      <c r="D253" s="52" t="str">
        <f t="shared" ref="D253:D260" si="168">CONCATENATE($F$239&amp;ADDRESS(B253,1,4)&amp;":"&amp;ADDRESS(B253,2,4))</f>
        <v>'Financing'!A26:B26</v>
      </c>
      <c r="E253" s="52">
        <f t="shared" ca="1" si="163"/>
        <v>0</v>
      </c>
      <c r="F253" s="52" t="str">
        <f t="shared" ref="F253:F260" si="169">CONCATENATE("Please enter all values for the residential grant in worksheet row ", B253, ".", CHAR(10))</f>
        <v xml:space="preserve">Please enter all values for the residential grant in worksheet row 26.
</v>
      </c>
      <c r="G253" s="9" t="str">
        <f t="shared" ca="1" si="161"/>
        <v xml:space="preserve">Enter a value for 'Construction Loan Amount' in cell B3.
Enter a value for 'Construction Loan Rate' in cell B4.
Enter a value for 'Project Funded without Permanent Debt' in cell B5.
</v>
      </c>
    </row>
    <row r="254" spans="1:8" ht="15" customHeight="1">
      <c r="A254" s="52" t="str">
        <f t="shared" ca="1" si="167"/>
        <v/>
      </c>
      <c r="B254">
        <f>ROW(Financing!A27)</f>
        <v>27</v>
      </c>
      <c r="C254" s="52"/>
      <c r="D254" s="52" t="str">
        <f t="shared" si="168"/>
        <v>'Financing'!A27:B27</v>
      </c>
      <c r="E254" s="52">
        <f t="shared" ca="1" si="163"/>
        <v>0</v>
      </c>
      <c r="F254" s="52" t="str">
        <f t="shared" si="169"/>
        <v xml:space="preserve">Please enter all values for the residential grant in worksheet row 27.
</v>
      </c>
      <c r="G254" s="9" t="str">
        <f t="shared" ca="1" si="161"/>
        <v xml:space="preserve">Enter a value for 'Construction Loan Amount' in cell B3.
Enter a value for 'Construction Loan Rate' in cell B4.
Enter a value for 'Project Funded without Permanent Debt' in cell B5.
</v>
      </c>
    </row>
    <row r="255" spans="1:8" ht="15" customHeight="1">
      <c r="A255" s="52" t="str">
        <f t="shared" ca="1" si="167"/>
        <v/>
      </c>
      <c r="B255">
        <f>ROW(Financing!A28)</f>
        <v>28</v>
      </c>
      <c r="C255" s="52"/>
      <c r="D255" s="52" t="str">
        <f t="shared" si="168"/>
        <v>'Financing'!A28:B28</v>
      </c>
      <c r="E255" s="52">
        <f t="shared" ca="1" si="163"/>
        <v>0</v>
      </c>
      <c r="F255" s="52" t="str">
        <f t="shared" si="169"/>
        <v xml:space="preserve">Please enter all values for the residential grant in worksheet row 28.
</v>
      </c>
      <c r="G255" s="9" t="str">
        <f t="shared" ca="1" si="161"/>
        <v xml:space="preserve">Enter a value for 'Construction Loan Amount' in cell B3.
Enter a value for 'Construction Loan Rate' in cell B4.
Enter a value for 'Project Funded without Permanent Debt' in cell B5.
</v>
      </c>
    </row>
    <row r="256" spans="1:8" ht="15" customHeight="1">
      <c r="A256" s="52" t="str">
        <f t="shared" ca="1" si="167"/>
        <v/>
      </c>
      <c r="B256">
        <f>ROW(Financing!A29)</f>
        <v>29</v>
      </c>
      <c r="C256" s="52"/>
      <c r="D256" s="52" t="str">
        <f t="shared" si="168"/>
        <v>'Financing'!A29:B29</v>
      </c>
      <c r="E256" s="52">
        <f t="shared" ca="1" si="163"/>
        <v>0</v>
      </c>
      <c r="F256" s="52" t="str">
        <f t="shared" si="169"/>
        <v xml:space="preserve">Please enter all values for the residential grant in worksheet row 29.
</v>
      </c>
      <c r="G256" s="9" t="str">
        <f t="shared" ca="1" si="161"/>
        <v xml:space="preserve">Enter a value for 'Construction Loan Amount' in cell B3.
Enter a value for 'Construction Loan Rate' in cell B4.
Enter a value for 'Project Funded without Permanent Debt' in cell B5.
</v>
      </c>
    </row>
    <row r="257" spans="1:8" ht="15" customHeight="1">
      <c r="A257" s="52" t="str">
        <f t="shared" ca="1" si="167"/>
        <v/>
      </c>
      <c r="B257">
        <f>ROW(Financing!A30)</f>
        <v>30</v>
      </c>
      <c r="C257" s="52"/>
      <c r="D257" s="52" t="str">
        <f t="shared" si="168"/>
        <v>'Financing'!A30:B30</v>
      </c>
      <c r="E257" s="52">
        <f t="shared" ca="1" si="163"/>
        <v>0</v>
      </c>
      <c r="F257" s="52" t="str">
        <f t="shared" si="169"/>
        <v xml:space="preserve">Please enter all values for the residential grant in worksheet row 30.
</v>
      </c>
      <c r="G257" s="9" t="str">
        <f t="shared" ca="1" si="161"/>
        <v xml:space="preserve">Enter a value for 'Construction Loan Amount' in cell B3.
Enter a value for 'Construction Loan Rate' in cell B4.
Enter a value for 'Project Funded without Permanent Debt' in cell B5.
</v>
      </c>
    </row>
    <row r="258" spans="1:8" ht="15" customHeight="1">
      <c r="A258" s="52" t="str">
        <f t="shared" ca="1" si="167"/>
        <v/>
      </c>
      <c r="B258">
        <f>ROW(Financing!A31)</f>
        <v>31</v>
      </c>
      <c r="C258" s="52"/>
      <c r="D258" s="52" t="str">
        <f t="shared" si="168"/>
        <v>'Financing'!A31:B31</v>
      </c>
      <c r="E258" s="52">
        <f t="shared" ca="1" si="163"/>
        <v>0</v>
      </c>
      <c r="F258" s="52" t="str">
        <f t="shared" si="169"/>
        <v xml:space="preserve">Please enter all values for the residential grant in worksheet row 31.
</v>
      </c>
      <c r="G258" s="9" t="str">
        <f t="shared" ca="1" si="161"/>
        <v xml:space="preserve">Enter a value for 'Construction Loan Amount' in cell B3.
Enter a value for 'Construction Loan Rate' in cell B4.
Enter a value for 'Project Funded without Permanent Debt' in cell B5.
</v>
      </c>
    </row>
    <row r="259" spans="1:8" ht="15" customHeight="1">
      <c r="A259" s="52" t="str">
        <f t="shared" ca="1" si="167"/>
        <v/>
      </c>
      <c r="B259">
        <f>ROW(Financing!A32)</f>
        <v>32</v>
      </c>
      <c r="C259" s="52"/>
      <c r="D259" s="52" t="str">
        <f t="shared" si="168"/>
        <v>'Financing'!A32:B32</v>
      </c>
      <c r="E259" s="52">
        <f t="shared" ca="1" si="163"/>
        <v>0</v>
      </c>
      <c r="F259" s="52" t="str">
        <f t="shared" si="169"/>
        <v xml:space="preserve">Please enter all values for the residential grant in worksheet row 32.
</v>
      </c>
      <c r="G259" s="9" t="str">
        <f t="shared" ca="1" si="161"/>
        <v xml:space="preserve">Enter a value for 'Construction Loan Amount' in cell B3.
Enter a value for 'Construction Loan Rate' in cell B4.
Enter a value for 'Project Funded without Permanent Debt' in cell B5.
</v>
      </c>
    </row>
    <row r="260" spans="1:8" ht="15" customHeight="1">
      <c r="A260" s="52" t="str">
        <f t="shared" ca="1" si="167"/>
        <v/>
      </c>
      <c r="B260">
        <f>ROW(Financing!A33)</f>
        <v>33</v>
      </c>
      <c r="C260" s="52"/>
      <c r="D260" s="52" t="str">
        <f t="shared" si="168"/>
        <v>'Financing'!A33:B33</v>
      </c>
      <c r="E260" s="52">
        <f t="shared" ca="1" si="163"/>
        <v>0</v>
      </c>
      <c r="F260" s="52" t="str">
        <f t="shared" si="169"/>
        <v xml:space="preserve">Please enter all values for the residential grant in worksheet row 33.
</v>
      </c>
      <c r="G260" s="9" t="str">
        <f t="shared" ca="1" si="161"/>
        <v xml:space="preserve">Enter a value for 'Construction Loan Amount' in cell B3.
Enter a value for 'Construction Loan Rate' in cell B4.
Enter a value for 'Project Funded without Permanent Debt' in cell B5.
</v>
      </c>
    </row>
    <row r="261" spans="1:8" ht="15" customHeight="1">
      <c r="A261" t="str">
        <f ca="1">IF(E261="",F261, "")</f>
        <v/>
      </c>
      <c r="B261">
        <f>ROW(Financing!A38)</f>
        <v>38</v>
      </c>
      <c r="C261" t="str">
        <f ca="1">INDIRECT($F$239 &amp; ADDRESS(B261, 1,4  ))</f>
        <v>Deferred Developer Fee</v>
      </c>
      <c r="D261" t="str">
        <f>ADDRESS(B261, 2,4  )</f>
        <v>B38</v>
      </c>
      <c r="E261">
        <f ca="1">IF(ISBLANK( INDIRECT($F$239 &amp; D261)),"", INDIRECT($F$239 &amp; D261))</f>
        <v>0</v>
      </c>
      <c r="F261" t="str">
        <f ca="1">CONCATENATE("Enter a value for '", C261, "' in cell ", D261, ".", CHAR(10))</f>
        <v xml:space="preserve">Enter a value for 'Deferred Developer Fee' in cell B38.
</v>
      </c>
      <c r="G261" s="9" t="str">
        <f t="shared" ca="1" si="161"/>
        <v xml:space="preserve">Enter a value for 'Construction Loan Amount' in cell B3.
Enter a value for 'Construction Loan Rate' in cell B4.
Enter a value for 'Project Funded without Permanent Debt' in cell B5.
</v>
      </c>
    </row>
    <row r="262" spans="1:8" ht="15" customHeight="1">
      <c r="A262" t="str">
        <f ca="1">IF(E262="",F262, "")</f>
        <v/>
      </c>
      <c r="B262">
        <f>ROW(Financing!A39)</f>
        <v>39</v>
      </c>
      <c r="C262" t="str">
        <f ca="1">INDIRECT($F$239 &amp; ADDRESS(B262, 1,4  ))</f>
        <v>Other Owner Equity</v>
      </c>
      <c r="D262" t="str">
        <f>ADDRESS(B262, 2,4  )</f>
        <v>B39</v>
      </c>
      <c r="E262">
        <f ca="1">IF(ISBLANK( INDIRECT($F$239 &amp; D262)),"", INDIRECT($F$239 &amp; D262))</f>
        <v>0</v>
      </c>
      <c r="F262" t="str">
        <f ca="1">CONCATENATE("Enter a value for '", C262, "' in cell ", D262, ".", CHAR(10))</f>
        <v xml:space="preserve">Enter a value for 'Other Owner Equity' in cell B39.
</v>
      </c>
      <c r="G262" s="9" t="str">
        <f t="shared" ca="1" si="161"/>
        <v xml:space="preserve">Enter a value for 'Construction Loan Amount' in cell B3.
Enter a value for 'Construction Loan Rate' in cell B4.
Enter a value for 'Project Funded without Permanent Debt' in cell B5.
</v>
      </c>
    </row>
    <row r="263" spans="1:8" ht="15" customHeight="1">
      <c r="A263" t="str">
        <f ca="1">IF(E263="",F263, "")</f>
        <v/>
      </c>
      <c r="B263">
        <f>ROW(Financing!A40)</f>
        <v>40</v>
      </c>
      <c r="C263" t="str">
        <f ca="1">INDIRECT($F$239 &amp; ADDRESS(B263, 1,4  ))</f>
        <v>Additional Amount to cover GAP</v>
      </c>
      <c r="D263" t="str">
        <f>ADDRESS(B263, 2,4  )</f>
        <v>B40</v>
      </c>
      <c r="E263">
        <f ca="1">IF(ISBLANK( INDIRECT($F$239 &amp; D263)),"", INDIRECT($F$239 &amp; D263))</f>
        <v>0</v>
      </c>
      <c r="F263" t="str">
        <f ca="1">CONCATENATE("Enter a value for '", C263, "' in cell ", D263, ".", CHAR(10))</f>
        <v xml:space="preserve">Enter a value for 'Additional Amount to cover GAP' in cell B40.
</v>
      </c>
      <c r="G263" s="9" t="str">
        <f t="shared" ca="1" si="161"/>
        <v xml:space="preserve">Enter a value for 'Construction Loan Amount' in cell B3.
Enter a value for 'Construction Loan Rate' in cell B4.
Enter a value for 'Project Funded without Permanent Debt' in cell B5.
</v>
      </c>
    </row>
    <row r="264" spans="1:8" ht="15" customHeight="1">
      <c r="A264" s="52" t="str">
        <f ca="1">IF(AND(E264&gt;0,E264&lt;5), F264, "")</f>
        <v/>
      </c>
      <c r="B264">
        <f>ROW(Financing!A46)</f>
        <v>46</v>
      </c>
      <c r="C264" s="52"/>
      <c r="D264" s="52" t="str">
        <f>CONCATENATE($F$239,ADDRESS(B264,1,4),":",ADDRESS(B264,5,4))</f>
        <v>'Financing'!A46:E46</v>
      </c>
      <c r="E264" s="52">
        <f t="shared" ref="E264:E280" ca="1" si="170">SUMPRODUCT(ISTEXT(INDIRECT(D264)) + ISNUMBER(INDIRECT(D264)))</f>
        <v>0</v>
      </c>
      <c r="F264" s="52" t="str">
        <f t="shared" ref="F264:F272" si="171">CONCATENATE("Please enter all values for the ", H264, " in worksheet row ", B264, ".", CHAR(10))</f>
        <v xml:space="preserve">Please enter all values for the Commercial Loans (amortizing) in worksheet row 46.
</v>
      </c>
      <c r="G264" s="9" t="str">
        <f t="shared" ca="1" si="161"/>
        <v xml:space="preserve">Enter a value for 'Construction Loan Amount' in cell B3.
Enter a value for 'Construction Loan Rate' in cell B4.
Enter a value for 'Project Funded without Permanent Debt' in cell B5.
</v>
      </c>
      <c r="H264" t="str">
        <f>Financing!$A$44</f>
        <v>Commercial Loans (amortizing)</v>
      </c>
    </row>
    <row r="265" spans="1:8" ht="15" customHeight="1">
      <c r="A265" s="52" t="str">
        <f ca="1">IF(AND(E265&gt;0,E265&lt;5), F265, "")</f>
        <v/>
      </c>
      <c r="B265">
        <f>ROW(Financing!A47)</f>
        <v>47</v>
      </c>
      <c r="C265" s="52"/>
      <c r="D265" s="52" t="str">
        <f>CONCATENATE($F$239,ADDRESS(B265,1,4),":",ADDRESS(B265,5,4))</f>
        <v>'Financing'!A47:E47</v>
      </c>
      <c r="E265" s="52">
        <f t="shared" ca="1" si="170"/>
        <v>0</v>
      </c>
      <c r="F265" s="52" t="str">
        <f t="shared" si="171"/>
        <v xml:space="preserve">Please enter all values for the Commercial Loans (amortizing) in worksheet row 47.
</v>
      </c>
      <c r="G265" s="9" t="str">
        <f t="shared" ca="1" si="161"/>
        <v xml:space="preserve">Enter a value for 'Construction Loan Amount' in cell B3.
Enter a value for 'Construction Loan Rate' in cell B4.
Enter a value for 'Project Funded without Permanent Debt' in cell B5.
</v>
      </c>
      <c r="H265" t="str">
        <f>Financing!$A$44</f>
        <v>Commercial Loans (amortizing)</v>
      </c>
    </row>
    <row r="266" spans="1:8" ht="15" customHeight="1">
      <c r="A266" s="52" t="str">
        <f ca="1">IF(AND(E266&gt;0,E266&lt;5), F266, "")</f>
        <v/>
      </c>
      <c r="B266">
        <f>ROW(Financing!A48)</f>
        <v>48</v>
      </c>
      <c r="C266" s="52"/>
      <c r="D266" s="52" t="str">
        <f>CONCATENATE($F$239,ADDRESS(B266,1,4),":",ADDRESS(B266,5,4))</f>
        <v>'Financing'!A48:E48</v>
      </c>
      <c r="E266" s="52">
        <f t="shared" ca="1" si="170"/>
        <v>0</v>
      </c>
      <c r="F266" s="52" t="str">
        <f t="shared" si="171"/>
        <v xml:space="preserve">Please enter all values for the Commercial Loans (amortizing) in worksheet row 48.
</v>
      </c>
      <c r="G266" s="9" t="str">
        <f t="shared" ca="1" si="161"/>
        <v xml:space="preserve">Enter a value for 'Construction Loan Amount' in cell B3.
Enter a value for 'Construction Loan Rate' in cell B4.
Enter a value for 'Project Funded without Permanent Debt' in cell B5.
</v>
      </c>
      <c r="H266" t="str">
        <f>Financing!$A$44</f>
        <v>Commercial Loans (amortizing)</v>
      </c>
    </row>
    <row r="267" spans="1:8" ht="15" customHeight="1">
      <c r="A267" s="52" t="str">
        <f t="shared" ref="A267:A272" ca="1" si="172">IF(AND(E267&gt;0,E267&lt;4), F267, "")</f>
        <v/>
      </c>
      <c r="B267">
        <f>ROW(Financing!A53)</f>
        <v>53</v>
      </c>
      <c r="C267" s="52"/>
      <c r="D267" s="52" t="str">
        <f t="shared" ref="D267:D272" si="173">CONCATENATE($F$239,ADDRESS(B267,1,4),":",ADDRESS(B267,4,4))</f>
        <v>'Financing'!A53:D53</v>
      </c>
      <c r="E267" s="52">
        <f t="shared" ca="1" si="170"/>
        <v>0</v>
      </c>
      <c r="F267" s="52" t="str">
        <f t="shared" si="171"/>
        <v xml:space="preserve">Please enter all values for the Commercial Loans (cash flow only) in worksheet row 53.
</v>
      </c>
      <c r="G267" s="9" t="str">
        <f t="shared" ca="1" si="161"/>
        <v xml:space="preserve">Enter a value for 'Construction Loan Amount' in cell B3.
Enter a value for 'Construction Loan Rate' in cell B4.
Enter a value for 'Project Funded without Permanent Debt' in cell B5.
</v>
      </c>
      <c r="H267" t="str">
        <f>Financing!$A$51</f>
        <v>Commercial Loans (cash flow only)</v>
      </c>
    </row>
    <row r="268" spans="1:8" ht="15" customHeight="1">
      <c r="A268" s="52" t="str">
        <f t="shared" ca="1" si="172"/>
        <v/>
      </c>
      <c r="B268">
        <f>ROW(Financing!A54)</f>
        <v>54</v>
      </c>
      <c r="C268" s="52"/>
      <c r="D268" s="52" t="str">
        <f t="shared" si="173"/>
        <v>'Financing'!A54:D54</v>
      </c>
      <c r="E268" s="52">
        <f t="shared" ca="1" si="170"/>
        <v>0</v>
      </c>
      <c r="F268" s="52" t="str">
        <f t="shared" si="171"/>
        <v xml:space="preserve">Please enter all values for the Commercial Loans (cash flow only) in worksheet row 54.
</v>
      </c>
      <c r="G268" s="9" t="str">
        <f t="shared" ca="1" si="161"/>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2"/>
        <v/>
      </c>
      <c r="B269">
        <f>ROW(Financing!A55)</f>
        <v>55</v>
      </c>
      <c r="C269" s="52"/>
      <c r="D269" s="52" t="str">
        <f t="shared" si="173"/>
        <v>'Financing'!A55:D55</v>
      </c>
      <c r="E269" s="52">
        <f t="shared" ca="1" si="170"/>
        <v>0</v>
      </c>
      <c r="F269" s="52" t="str">
        <f t="shared" si="171"/>
        <v xml:space="preserve">Please enter all values for the Commercial Loans (cash flow only) in worksheet row 55.
</v>
      </c>
      <c r="G269" s="9" t="str">
        <f t="shared" ca="1" si="161"/>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2"/>
        <v/>
      </c>
      <c r="B270">
        <f>ROW(Financing!A56)</f>
        <v>56</v>
      </c>
      <c r="C270" s="52"/>
      <c r="D270" s="52" t="str">
        <f t="shared" si="173"/>
        <v>'Financing'!A56:D56</v>
      </c>
      <c r="E270" s="52">
        <f t="shared" ca="1" si="170"/>
        <v>0</v>
      </c>
      <c r="F270" s="52" t="str">
        <f t="shared" si="171"/>
        <v xml:space="preserve">Please enter all values for the Commercial Loans (cash flow only) in worksheet row 56.
</v>
      </c>
      <c r="G270" s="9" t="str">
        <f t="shared" ca="1" si="161"/>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ca="1" si="172"/>
        <v/>
      </c>
      <c r="B271">
        <f>ROW(Financing!A57)</f>
        <v>57</v>
      </c>
      <c r="C271" s="52"/>
      <c r="D271" s="52" t="str">
        <f t="shared" si="173"/>
        <v>'Financing'!A57:D57</v>
      </c>
      <c r="E271" s="52">
        <f t="shared" ca="1" si="170"/>
        <v>0</v>
      </c>
      <c r="F271" s="52" t="str">
        <f t="shared" si="171"/>
        <v xml:space="preserve">Please enter all values for the Commercial Loans (cash flow only) in worksheet row 57.
</v>
      </c>
      <c r="G271" s="9" t="str">
        <f t="shared" ca="1" si="161"/>
        <v xml:space="preserve">Enter a value for 'Construction Loan Amount' in cell B3.
Enter a value for 'Construction Loan Rate' in cell B4.
Enter a value for 'Project Funded without Permanent Debt' in cell B5.
</v>
      </c>
      <c r="H271" t="str">
        <f>Financing!$A$51</f>
        <v>Commercial Loans (cash flow only)</v>
      </c>
    </row>
    <row r="272" spans="1:8" ht="15" customHeight="1">
      <c r="A272" s="52" t="str">
        <f t="shared" ca="1" si="172"/>
        <v/>
      </c>
      <c r="B272">
        <f>ROW(Financing!A58)</f>
        <v>58</v>
      </c>
      <c r="C272" s="52"/>
      <c r="D272" s="52" t="str">
        <f t="shared" si="173"/>
        <v>'Financing'!A58:D58</v>
      </c>
      <c r="E272" s="52">
        <f t="shared" ca="1" si="170"/>
        <v>0</v>
      </c>
      <c r="F272" s="52" t="str">
        <f t="shared" si="171"/>
        <v xml:space="preserve">Please enter all values for the Commercial Loans (cash flow only) in worksheet row 58.
</v>
      </c>
      <c r="G272" s="9" t="str">
        <f t="shared" ca="1" si="161"/>
        <v xml:space="preserve">Enter a value for 'Construction Loan Amount' in cell B3.
Enter a value for 'Construction Loan Rate' in cell B4.
Enter a value for 'Project Funded without Permanent Debt' in cell B5.
</v>
      </c>
      <c r="H272" t="str">
        <f>Financing!$A$51</f>
        <v>Commercial Loans (cash flow only)</v>
      </c>
    </row>
    <row r="273" spans="1:8" ht="15" customHeight="1">
      <c r="A273" s="52" t="str">
        <f t="shared" ref="A273:A280" ca="1" si="174">IF(AND(E273&gt;0,E273&lt;2), F273, "")</f>
        <v/>
      </c>
      <c r="B273">
        <f>ROW(Financing!A63)</f>
        <v>63</v>
      </c>
      <c r="C273" s="52"/>
      <c r="D273" s="52" t="str">
        <f t="shared" ref="D273:D280" si="175">CONCATENATE($F$239&amp;ADDRESS(B273,1,4)&amp;":"&amp;ADDRESS(B273,2,4))</f>
        <v>'Financing'!A63:B63</v>
      </c>
      <c r="E273" s="52">
        <f t="shared" ca="1" si="170"/>
        <v>0</v>
      </c>
      <c r="F273" s="52" t="str">
        <f t="shared" ref="F273:F280" si="176">CONCATENATE("Please enter all values for the commercial grant in worksheet row ", B273, ".", CHAR(10))</f>
        <v xml:space="preserve">Please enter all values for the commercial grant in worksheet row 63.
</v>
      </c>
      <c r="G273" s="9" t="str">
        <f t="shared" ca="1" si="161"/>
        <v xml:space="preserve">Enter a value for 'Construction Loan Amount' in cell B3.
Enter a value for 'Construction Loan Rate' in cell B4.
Enter a value for 'Project Funded without Permanent Debt' in cell B5.
</v>
      </c>
    </row>
    <row r="274" spans="1:8" ht="15" customHeight="1">
      <c r="A274" s="52" t="str">
        <f t="shared" ca="1" si="174"/>
        <v/>
      </c>
      <c r="B274">
        <f>ROW(Financing!A64)</f>
        <v>64</v>
      </c>
      <c r="C274" s="52"/>
      <c r="D274" s="52" t="str">
        <f t="shared" si="175"/>
        <v>'Financing'!A64:B64</v>
      </c>
      <c r="E274" s="52">
        <f t="shared" ca="1" si="170"/>
        <v>0</v>
      </c>
      <c r="F274" s="52" t="str">
        <f t="shared" si="176"/>
        <v xml:space="preserve">Please enter all values for the commercial grant in worksheet row 64.
</v>
      </c>
      <c r="G274" s="9" t="str">
        <f t="shared" ca="1" si="161"/>
        <v xml:space="preserve">Enter a value for 'Construction Loan Amount' in cell B3.
Enter a value for 'Construction Loan Rate' in cell B4.
Enter a value for 'Project Funded without Permanent Debt' in cell B5.
</v>
      </c>
    </row>
    <row r="275" spans="1:8" ht="15" customHeight="1">
      <c r="A275" s="52" t="str">
        <f t="shared" ca="1" si="174"/>
        <v/>
      </c>
      <c r="B275">
        <f>ROW(Financing!A65)</f>
        <v>65</v>
      </c>
      <c r="C275" s="52"/>
      <c r="D275" s="52" t="str">
        <f t="shared" si="175"/>
        <v>'Financing'!A65:B65</v>
      </c>
      <c r="E275" s="52">
        <f t="shared" ca="1" si="170"/>
        <v>0</v>
      </c>
      <c r="F275" s="52" t="str">
        <f t="shared" si="176"/>
        <v xml:space="preserve">Please enter all values for the commercial grant in worksheet row 65.
</v>
      </c>
      <c r="G275" s="9" t="str">
        <f t="shared" ca="1" si="161"/>
        <v xml:space="preserve">Enter a value for 'Construction Loan Amount' in cell B3.
Enter a value for 'Construction Loan Rate' in cell B4.
Enter a value for 'Project Funded without Permanent Debt' in cell B5.
</v>
      </c>
    </row>
    <row r="276" spans="1:8" ht="15" customHeight="1">
      <c r="A276" s="52" t="str">
        <f t="shared" ca="1" si="174"/>
        <v/>
      </c>
      <c r="B276">
        <f>ROW(Financing!A66)</f>
        <v>66</v>
      </c>
      <c r="C276" s="52"/>
      <c r="D276" s="52" t="str">
        <f t="shared" si="175"/>
        <v>'Financing'!A66:B66</v>
      </c>
      <c r="E276" s="52">
        <f t="shared" ca="1" si="170"/>
        <v>0</v>
      </c>
      <c r="F276" s="52" t="str">
        <f t="shared" si="176"/>
        <v xml:space="preserve">Please enter all values for the commercial grant in worksheet row 66.
</v>
      </c>
      <c r="G276" s="9" t="str">
        <f t="shared" ca="1" si="161"/>
        <v xml:space="preserve">Enter a value for 'Construction Loan Amount' in cell B3.
Enter a value for 'Construction Loan Rate' in cell B4.
Enter a value for 'Project Funded without Permanent Debt' in cell B5.
</v>
      </c>
    </row>
    <row r="277" spans="1:8" ht="15" customHeight="1">
      <c r="A277" s="52" t="str">
        <f t="shared" ca="1" si="174"/>
        <v/>
      </c>
      <c r="B277">
        <f>ROW(Financing!A67)</f>
        <v>67</v>
      </c>
      <c r="C277" s="52"/>
      <c r="D277" s="52" t="str">
        <f t="shared" si="175"/>
        <v>'Financing'!A67:B67</v>
      </c>
      <c r="E277" s="52">
        <f t="shared" ca="1" si="170"/>
        <v>0</v>
      </c>
      <c r="F277" s="52" t="str">
        <f t="shared" si="176"/>
        <v xml:space="preserve">Please enter all values for the commercial grant in worksheet row 67.
</v>
      </c>
      <c r="G277" s="9" t="str">
        <f t="shared" ca="1" si="161"/>
        <v xml:space="preserve">Enter a value for 'Construction Loan Amount' in cell B3.
Enter a value for 'Construction Loan Rate' in cell B4.
Enter a value for 'Project Funded without Permanent Debt' in cell B5.
</v>
      </c>
    </row>
    <row r="278" spans="1:8" ht="15" customHeight="1">
      <c r="A278" s="52" t="str">
        <f t="shared" ca="1" si="174"/>
        <v/>
      </c>
      <c r="B278">
        <f>ROW(Financing!A68)</f>
        <v>68</v>
      </c>
      <c r="C278" s="52"/>
      <c r="D278" s="52" t="str">
        <f t="shared" si="175"/>
        <v>'Financing'!A68:B68</v>
      </c>
      <c r="E278" s="52">
        <f t="shared" ca="1" si="170"/>
        <v>0</v>
      </c>
      <c r="F278" s="52" t="str">
        <f t="shared" si="176"/>
        <v xml:space="preserve">Please enter all values for the commercial grant in worksheet row 68.
</v>
      </c>
      <c r="G278" s="9" t="str">
        <f t="shared" ca="1" si="161"/>
        <v xml:space="preserve">Enter a value for 'Construction Loan Amount' in cell B3.
Enter a value for 'Construction Loan Rate' in cell B4.
Enter a value for 'Project Funded without Permanent Debt' in cell B5.
</v>
      </c>
    </row>
    <row r="279" spans="1:8" ht="15" customHeight="1">
      <c r="A279" s="52" t="str">
        <f t="shared" ca="1" si="174"/>
        <v/>
      </c>
      <c r="B279">
        <f>ROW(Financing!A69)</f>
        <v>69</v>
      </c>
      <c r="C279" s="52"/>
      <c r="D279" s="52" t="str">
        <f t="shared" si="175"/>
        <v>'Financing'!A69:B69</v>
      </c>
      <c r="E279" s="52">
        <f t="shared" ca="1" si="170"/>
        <v>0</v>
      </c>
      <c r="F279" s="52" t="str">
        <f t="shared" si="176"/>
        <v xml:space="preserve">Please enter all values for the commercial grant in worksheet row 69.
</v>
      </c>
      <c r="G279" s="9" t="str">
        <f t="shared" ca="1" si="161"/>
        <v xml:space="preserve">Enter a value for 'Construction Loan Amount' in cell B3.
Enter a value for 'Construction Loan Rate' in cell B4.
Enter a value for 'Project Funded without Permanent Debt' in cell B5.
</v>
      </c>
    </row>
    <row r="280" spans="1:8" ht="15" customHeight="1">
      <c r="A280" s="52" t="str">
        <f t="shared" ca="1" si="174"/>
        <v/>
      </c>
      <c r="B280">
        <f>ROW(Financing!A70)</f>
        <v>70</v>
      </c>
      <c r="C280" s="52"/>
      <c r="D280" s="52" t="str">
        <f t="shared" si="175"/>
        <v>'Financing'!A70:B70</v>
      </c>
      <c r="E280" s="52">
        <f t="shared" ca="1" si="170"/>
        <v>0</v>
      </c>
      <c r="F280" s="52" t="str">
        <f t="shared" si="176"/>
        <v xml:space="preserve">Please enter all values for the commercial grant in worksheet row 70.
</v>
      </c>
      <c r="G280" s="9" t="str">
        <f t="shared" ca="1" si="161"/>
        <v xml:space="preserve">Enter a value for 'Construction Loan Amount' in cell B3.
Enter a value for 'Construction Loan Rate' in cell B4.
Enter a value for 'Project Funded without Permanent Debt' in cell B5.
</v>
      </c>
    </row>
    <row r="281" spans="1:8" ht="15" customHeight="1">
      <c r="A281" t="str">
        <f ca="1">IF(E281="",F281, "")</f>
        <v/>
      </c>
      <c r="B281">
        <f>ROW(Financing!A76)</f>
        <v>76</v>
      </c>
      <c r="C281" t="str">
        <f ca="1">INDIRECT($F$239 &amp; ADDRESS(B281, 1,4  ))</f>
        <v>Other Owner Equity</v>
      </c>
      <c r="D281" t="str">
        <f>ADDRESS(B281, 2,4  )</f>
        <v>B76</v>
      </c>
      <c r="E281">
        <f ca="1">IF(ISBLANK( INDIRECT($F$239 &amp; D281)),"", INDIRECT($F$239 &amp; D281))</f>
        <v>0</v>
      </c>
      <c r="F281" t="str">
        <f ca="1">CONCATENATE("Enter a value for '", C281, "' in cell ", D281, ".", CHAR(10))</f>
        <v xml:space="preserve">Enter a value for 'Other Owner Equity' in cell B76.
</v>
      </c>
      <c r="G281" s="9" t="str">
        <f t="shared" ca="1" si="161"/>
        <v xml:space="preserve">Enter a value for 'Construction Loan Amount' in cell B3.
Enter a value for 'Construction Loan Rate' in cell B4.
Enter a value for 'Project Funded without Permanent Debt' in cell B5.
</v>
      </c>
    </row>
    <row r="282" spans="1:8" ht="15" customHeight="1">
      <c r="A282" s="52" t="str">
        <f>IF(E282&lt;= 0, F282, "")</f>
        <v xml:space="preserve">Total residential financing must be greater than 0.
</v>
      </c>
      <c r="E282" s="65">
        <f>Calculations!B137 + Calculations!B138</f>
        <v>0</v>
      </c>
      <c r="F282" s="52" t="str">
        <f>CONCATENATE("Total residential financing must be greater than 0.", CHAR(10))</f>
        <v xml:space="preserve">Total residential financing must be greater than 0.
</v>
      </c>
      <c r="G282"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2" t="s">
        <v>3859</v>
      </c>
    </row>
    <row r="283" spans="1:8" ht="15" customHeight="1">
      <c r="A283" s="52" t="str">
        <f>IF(AND(Calculations!B24, E283&lt;= 0), F283, "")</f>
        <v/>
      </c>
      <c r="E283" s="65">
        <f>Calculations!B163</f>
        <v>0</v>
      </c>
      <c r="F283" s="52" t="str">
        <f>CONCATENATE("Total commercial financing must be greater than 0 for projects that contain commercial square footage.",CHAR(10))</f>
        <v xml:space="preserve">Total commercial financing must be greater than 0 for projects that contain commercial square footage.
</v>
      </c>
      <c r="G283"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3" t="s">
        <v>3860</v>
      </c>
    </row>
    <row r="284" spans="1:8" ht="15" customHeight="1">
      <c r="G284"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4" s="64" t="s">
        <v>3861</v>
      </c>
    </row>
    <row r="285" spans="1:8" ht="15" customHeight="1">
      <c r="G285" s="9" t="str">
        <f t="shared" ca="1" si="161"/>
        <v xml:space="preserve">Enter a value for 'Construction Loan Amount' in cell B3.
Enter a value for 'Construction Loan Rate' in cell B4.
Enter a value for 'Project Funded without Permanent Debt' in cell B5.
Total residential financing must be greater than 0.
</v>
      </c>
      <c r="H285" s="64" t="s">
        <v>3862</v>
      </c>
    </row>
    <row r="286" spans="1:8" ht="15" customHeight="1">
      <c r="G286" s="9" t="str">
        <f t="shared" ca="1" si="161"/>
        <v xml:space="preserve">Enter a value for 'Construction Loan Amount' in cell B3.
Enter a value for 'Construction Loan Rate' in cell B4.
Enter a value for 'Project Funded without Permanent Debt' in cell B5.
Total residential financing must be greater than 0.
</v>
      </c>
    </row>
    <row r="287" spans="1:8" ht="15" customHeight="1">
      <c r="G287" s="9" t="str">
        <f t="shared" ca="1" si="161"/>
        <v xml:space="preserve">Enter a value for 'Construction Loan Amount' in cell B3.
Enter a value for 'Construction Loan Rate' in cell B4.
Enter a value for 'Project Funded without Permanent Debt' in cell B5.
Total residential financing must be greater than 0.
</v>
      </c>
    </row>
    <row r="288" spans="1:8" ht="15" customHeight="1">
      <c r="A288" s="55" t="s">
        <v>3863</v>
      </c>
      <c r="B288" s="53"/>
      <c r="C288" s="53"/>
      <c r="D288" s="53"/>
      <c r="E288" s="53"/>
      <c r="F288" s="53"/>
      <c r="G288" s="56" t="str">
        <f ca="1">OFFSET(G288, -1, 0)</f>
        <v xml:space="preserve">Enter a value for 'Construction Loan Amount' in cell B3.
Enter a value for 'Construction Loan Rate' in cell B4.
Enter a value for 'Project Funded without Permanent Debt' in cell B5.
Total residential financing must be greater than 0.
</v>
      </c>
    </row>
    <row r="289" spans="1:19" ht="15" customHeight="1"/>
    <row r="290" spans="1:19" ht="15" customHeight="1"/>
    <row r="291" spans="1:19" ht="15" customHeight="1">
      <c r="A291" s="22" t="s">
        <v>104</v>
      </c>
      <c r="F291" s="49" t="s">
        <v>3864</v>
      </c>
    </row>
    <row r="292" spans="1:19" ht="15" customHeight="1">
      <c r="A292" s="53" t="s">
        <v>3831</v>
      </c>
      <c r="B292" s="53" t="s">
        <v>3832</v>
      </c>
      <c r="C292" s="53" t="s">
        <v>3833</v>
      </c>
      <c r="D292" s="53" t="s">
        <v>3834</v>
      </c>
      <c r="E292" s="53" t="s">
        <v>3835</v>
      </c>
      <c r="F292" s="53" t="s">
        <v>3836</v>
      </c>
      <c r="G292" s="54" t="s">
        <v>3837</v>
      </c>
    </row>
    <row r="293" spans="1:19" ht="15" customHeight="1">
      <c r="A293" s="52" t="str">
        <f>IF(E293&gt;0, F293, "")</f>
        <v/>
      </c>
      <c r="B293" s="52" t="s">
        <v>3865</v>
      </c>
      <c r="C293" s="52"/>
      <c r="D293" s="52"/>
      <c r="E293" s="52">
        <f>IFERROR(SUM(J293:S293), 0)</f>
        <v>0</v>
      </c>
      <c r="F293" s="52" t="str">
        <f>CONCATENATE("Formulas are not permitted in the Amount column (column B).", CHAR(10))</f>
        <v xml:space="preserve">Formulas are not permitted in the Amount column (column B).
</v>
      </c>
      <c r="G293" s="9" t="str">
        <f>A293</f>
        <v/>
      </c>
      <c r="H293" s="317" t="s">
        <v>3866</v>
      </c>
      <c r="I293" s="317" t="s">
        <v>3867</v>
      </c>
      <c r="J293">
        <f>SUMPRODUCT(--_xlfn.ISFORMULA('Development Budget'!B4:B6))</f>
        <v>0</v>
      </c>
      <c r="K293">
        <f>SUMPRODUCT(--_xlfn.ISFORMULA('Development Budget'!B9:B10))</f>
        <v>0</v>
      </c>
      <c r="L293">
        <f>SUMPRODUCT(--_xlfn.ISFORMULA('Development Budget'!B13:B26))</f>
        <v>0</v>
      </c>
      <c r="M293">
        <f>SUMPRODUCT(--_xlfn.ISFORMULA('Development Budget'!B29:B42))</f>
        <v>0</v>
      </c>
      <c r="N293">
        <f>SUMPRODUCT(--_xlfn.ISFORMULA('Development Budget'!B45:B62))</f>
        <v>0</v>
      </c>
      <c r="O293">
        <f>SUMPRODUCT(--_xlfn.ISFORMULA('Development Budget'!B65:B78))</f>
        <v>0</v>
      </c>
      <c r="P293">
        <f>SUMPRODUCT(--_xlfn.ISFORMULA('Development Budget'!B81:B97))</f>
        <v>0</v>
      </c>
      <c r="Q293">
        <f>SUMPRODUCT(--_xlfn.ISFORMULA('Development Budget'!B100:B105))</f>
        <v>0</v>
      </c>
      <c r="R293">
        <f>SUMPRODUCT(--_xlfn.ISFORMULA('Development Budget'!B108:B114))</f>
        <v>0</v>
      </c>
      <c r="S293">
        <f>SUMPRODUCT(--_xlfn.ISFORMULA('Development Budget'!B117:B122))</f>
        <v>0</v>
      </c>
    </row>
    <row r="294" spans="1:19" ht="15" customHeight="1">
      <c r="A294" s="52" t="str">
        <f>IF(E294&gt;0, F294, "")</f>
        <v/>
      </c>
      <c r="B294" s="52" t="s">
        <v>3868</v>
      </c>
      <c r="C294" s="52"/>
      <c r="D294" s="52"/>
      <c r="E294" s="52">
        <f t="shared" ref="E294:E297" si="177">IFERROR(SUM(J294:S294), 0)</f>
        <v>0</v>
      </c>
      <c r="F294" s="52" t="str">
        <f>CONCATENATE("Formulas are not permitted in the 4% LIHTC Basis Calculation column (column C).", CHAR(10))</f>
        <v xml:space="preserve">Formulas are not permitted in the 4% LIHTC Basis Calculation column (column C).
</v>
      </c>
      <c r="G294" s="9" t="str">
        <f t="shared" ref="G294:G355" ca="1" si="178">OFFSET(G294, -1, 0) &amp; A294</f>
        <v/>
      </c>
      <c r="H294" s="9"/>
      <c r="I294" s="9"/>
      <c r="J294">
        <f>SUMPRODUCT(--_xlfn.ISFORMULA('Development Budget'!C4:C6))</f>
        <v>0</v>
      </c>
      <c r="K294">
        <f>SUMPRODUCT(--_xlfn.ISFORMULA('Development Budget'!C9:C10))</f>
        <v>0</v>
      </c>
      <c r="L294">
        <f>SUMPRODUCT(--_xlfn.ISFORMULA('Development Budget'!C13:C26))</f>
        <v>0</v>
      </c>
      <c r="M294">
        <f>SUMPRODUCT(--_xlfn.ISFORMULA('Development Budget'!C29:C42))</f>
        <v>0</v>
      </c>
      <c r="N294">
        <f>SUMPRODUCT(--_xlfn.ISFORMULA('Development Budget'!C45:C62))</f>
        <v>0</v>
      </c>
      <c r="O294">
        <f>SUMPRODUCT(--_xlfn.ISFORMULA('Development Budget'!C65:C78))</f>
        <v>0</v>
      </c>
      <c r="P294">
        <f>SUMPRODUCT(--_xlfn.ISFORMULA('Development Budget'!C81:C97))</f>
        <v>0</v>
      </c>
      <c r="Q294">
        <f>SUMPRODUCT(--_xlfn.ISFORMULA('Development Budget'!C100:C105))</f>
        <v>0</v>
      </c>
      <c r="R294">
        <f>SUMPRODUCT(--_xlfn.ISFORMULA('Development Budget'!C108:C114))</f>
        <v>0</v>
      </c>
      <c r="S294">
        <f>SUMPRODUCT(--_xlfn.ISFORMULA('Development Budget'!C117:C122))</f>
        <v>0</v>
      </c>
    </row>
    <row r="295" spans="1:19" ht="15" customHeight="1">
      <c r="A295" s="52" t="str">
        <f>IF(E295&gt;0, F295, "")</f>
        <v/>
      </c>
      <c r="B295" s="52" t="s">
        <v>3869</v>
      </c>
      <c r="C295" s="52"/>
      <c r="D295" s="52"/>
      <c r="E295" s="52">
        <f t="shared" si="177"/>
        <v>0</v>
      </c>
      <c r="F295" s="52" t="str">
        <f>CONCATENATE("Formulas are not permitted in the 9% LIHTC Basis Calculation column (column D).", CHAR(10))</f>
        <v xml:space="preserve">Formulas are not permitted in the 9% LIHTC Basis Calculation column (column D).
</v>
      </c>
      <c r="G295" s="9" t="str">
        <f t="shared" ca="1" si="178"/>
        <v/>
      </c>
      <c r="H295" s="9"/>
      <c r="I295" s="9"/>
      <c r="J295">
        <f>SUMPRODUCT(--_xlfn.ISFORMULA('Development Budget'!D4:D6))</f>
        <v>0</v>
      </c>
      <c r="K295">
        <f>SUMPRODUCT(--_xlfn.ISFORMULA('Development Budget'!D9:D10))</f>
        <v>0</v>
      </c>
      <c r="L295">
        <f>SUMPRODUCT(--_xlfn.ISFORMULA('Development Budget'!D13:D26))</f>
        <v>0</v>
      </c>
      <c r="M295">
        <f>SUMPRODUCT(--_xlfn.ISFORMULA('Development Budget'!D29:D42))</f>
        <v>0</v>
      </c>
      <c r="N295">
        <f>SUMPRODUCT(--_xlfn.ISFORMULA('Development Budget'!D45:D62))</f>
        <v>0</v>
      </c>
      <c r="O295">
        <f>SUMPRODUCT(--_xlfn.ISFORMULA('Development Budget'!D65:D78))</f>
        <v>0</v>
      </c>
      <c r="P295">
        <f>SUMPRODUCT(--_xlfn.ISFORMULA('Development Budget'!D81:D97))</f>
        <v>0</v>
      </c>
      <c r="Q295">
        <f>SUMPRODUCT(--_xlfn.ISFORMULA('Development Budget'!D100:D105))</f>
        <v>0</v>
      </c>
      <c r="R295">
        <f>SUMPRODUCT(--_xlfn.ISFORMULA('Development Budget'!D108:D114))</f>
        <v>0</v>
      </c>
      <c r="S295">
        <f>SUMPRODUCT(--_xlfn.ISFORMULA('Development Budget'!D117:D122))</f>
        <v>0</v>
      </c>
    </row>
    <row r="296" spans="1:19" ht="15" customHeight="1">
      <c r="A296" s="52" t="str">
        <f>IF(E296&gt;0, F296, "")</f>
        <v/>
      </c>
      <c r="B296" s="52" t="s">
        <v>3870</v>
      </c>
      <c r="C296" s="52"/>
      <c r="D296" s="52"/>
      <c r="E296" s="52">
        <f t="shared" si="177"/>
        <v>0</v>
      </c>
      <c r="F296" s="52" t="str">
        <f>CONCATENATE("Formulas are not permitted in the Amount Last Provided to CHFA column (column E).", CHAR(10))</f>
        <v xml:space="preserve">Formulas are not permitted in the Amount Last Provided to CHFA column (column E).
</v>
      </c>
      <c r="G296" s="9" t="str">
        <f t="shared" ca="1" si="178"/>
        <v/>
      </c>
      <c r="H296" s="9"/>
      <c r="I296" s="9"/>
      <c r="J296">
        <f>SUMPRODUCT(--_xlfn.ISFORMULA('Development Budget'!E4:E6))</f>
        <v>0</v>
      </c>
      <c r="K296">
        <f>SUMPRODUCT(--_xlfn.ISFORMULA('Development Budget'!E9:E10))</f>
        <v>0</v>
      </c>
      <c r="L296">
        <f>SUMPRODUCT(--_xlfn.ISFORMULA('Development Budget'!E13:E26))</f>
        <v>0</v>
      </c>
      <c r="M296">
        <f>SUMPRODUCT(--_xlfn.ISFORMULA('Development Budget'!E29:E42))</f>
        <v>0</v>
      </c>
      <c r="N296">
        <f>SUMPRODUCT(--_xlfn.ISFORMULA('Development Budget'!E45:E62))</f>
        <v>0</v>
      </c>
      <c r="O296">
        <f>SUMPRODUCT(--_xlfn.ISFORMULA('Development Budget'!E65:E78))</f>
        <v>0</v>
      </c>
      <c r="P296">
        <f>SUMPRODUCT(--_xlfn.ISFORMULA('Development Budget'!E81:E97))</f>
        <v>0</v>
      </c>
      <c r="Q296">
        <f>SUMPRODUCT(--_xlfn.ISFORMULA('Development Budget'!E100:E105))</f>
        <v>0</v>
      </c>
      <c r="R296">
        <f>SUMPRODUCT(--_xlfn.ISFORMULA('Development Budget'!E108:E114))</f>
        <v>0</v>
      </c>
      <c r="S296">
        <f>SUMPRODUCT(--_xlfn.ISFORMULA('Development Budget'!E117:E122))</f>
        <v>0</v>
      </c>
    </row>
    <row r="297" spans="1:19" ht="15" customHeight="1">
      <c r="A297" s="52" t="str">
        <f>IF(E297&gt;0, F297, "")</f>
        <v/>
      </c>
      <c r="B297" s="52" t="s">
        <v>3871</v>
      </c>
      <c r="C297" s="52"/>
      <c r="D297" s="52"/>
      <c r="E297" s="52">
        <f t="shared" si="177"/>
        <v>0</v>
      </c>
      <c r="F297" s="52" t="str">
        <f>CONCATENATE("Formulas are not permitted in the 10% Carryover Actual Incurred Costs column (column F).", CHAR(10))</f>
        <v xml:space="preserve">Formulas are not permitted in the 10% Carryover Actual Incurred Costs column (column F).
</v>
      </c>
      <c r="G297" s="9" t="str">
        <f t="shared" ca="1" si="178"/>
        <v/>
      </c>
      <c r="H297" s="9"/>
      <c r="I297" s="9"/>
      <c r="J297">
        <f>SUMPRODUCT(--_xlfn.ISFORMULA('Development Budget'!F4:F6))</f>
        <v>0</v>
      </c>
      <c r="K297">
        <f>SUMPRODUCT(--_xlfn.ISFORMULA('Development Budget'!F9:F10))</f>
        <v>0</v>
      </c>
      <c r="L297">
        <f>SUMPRODUCT(--_xlfn.ISFORMULA('Development Budget'!F13:F26))</f>
        <v>0</v>
      </c>
      <c r="M297">
        <f>SUMPRODUCT(--_xlfn.ISFORMULA('Development Budget'!F29:F42))</f>
        <v>0</v>
      </c>
      <c r="N297">
        <f>SUMPRODUCT(--_xlfn.ISFORMULA('Development Budget'!F45:F62))</f>
        <v>0</v>
      </c>
      <c r="O297">
        <f>SUMPRODUCT(--_xlfn.ISFORMULA('Development Budget'!F65:F78))</f>
        <v>0</v>
      </c>
      <c r="P297">
        <f>SUMPRODUCT(--_xlfn.ISFORMULA('Development Budget'!F81:F97))</f>
        <v>0</v>
      </c>
      <c r="Q297">
        <f>SUMPRODUCT(--_xlfn.ISFORMULA('Development Budget'!F100:F105))</f>
        <v>0</v>
      </c>
      <c r="R297">
        <f>SUMPRODUCT(--_xlfn.ISFORMULA('Development Budget'!F108:F114))</f>
        <v>0</v>
      </c>
      <c r="S297">
        <f>SUMPRODUCT(--_xlfn.ISFORMULA('Development Budget'!F117:F122))</f>
        <v>0</v>
      </c>
    </row>
    <row r="298" spans="1:19" ht="15" customHeight="1">
      <c r="A298" s="52" t="str">
        <f>IF(E298=0, F298, "")</f>
        <v xml:space="preserve">The total of development budget in column B must be greater than zero.
</v>
      </c>
      <c r="B298" s="52">
        <f>ROW('Development Budget'!A4)</f>
        <v>4</v>
      </c>
      <c r="C298" s="52"/>
      <c r="D298" s="52" t="str">
        <f>SUBSTITUTE(ADDRESS(B298, COLUMN('Development Budget'!B4),4), B298, "")</f>
        <v>B</v>
      </c>
      <c r="E298" s="252">
        <f>Calculations!B288</f>
        <v>0</v>
      </c>
      <c r="F298" s="52" t="str">
        <f>CONCATENATE("The total of development budget in column ", D298, " must be greater than zero.", CHAR(10))</f>
        <v xml:space="preserve">The total of development budget in column B must be greater than zero.
</v>
      </c>
      <c r="G298" s="9" t="str">
        <f t="shared" ca="1" si="178"/>
        <v xml:space="preserve">The total of development budget in column B must be greater than zero.
</v>
      </c>
    </row>
    <row r="299" spans="1:19" ht="15" customHeight="1">
      <c r="A299" t="str">
        <f ca="1">IF(E299="", F299, "")</f>
        <v/>
      </c>
      <c r="B299">
        <f>ROW('Development Budget'!A4)</f>
        <v>4</v>
      </c>
      <c r="C299" t="str">
        <f ca="1">INDIRECT($F$291 &amp; ADDRESS(B299, 1,4  ))</f>
        <v>Land</v>
      </c>
      <c r="D299" t="str">
        <f>ADDRESS(B299, 2,4  )</f>
        <v>B4</v>
      </c>
      <c r="E299">
        <f t="shared" ref="E299:E328" ca="1" si="179">IF(ISBLANK( INDIRECT($F$291 &amp; D299)),"", INDIRECT($F$291 &amp; D299))</f>
        <v>0</v>
      </c>
      <c r="F299" t="str">
        <f ca="1">CONCATENATE("Enter a value for '", C299, "' in cell ", D299, ".", CHAR(10))</f>
        <v xml:space="preserve">Enter a value for 'Land' in cell B4.
</v>
      </c>
      <c r="G299" s="9" t="str">
        <f t="shared" ca="1" si="178"/>
        <v xml:space="preserve">The total of development budget in column B must be greater than zero.
</v>
      </c>
    </row>
    <row r="300" spans="1:19" ht="15" customHeight="1">
      <c r="A300" t="str">
        <f ca="1">IF(AND(OR(Calculations!$B$3:$B$4), E300=""), F300, "")</f>
        <v/>
      </c>
      <c r="B300" t="s">
        <v>476</v>
      </c>
      <c r="C300" t="str">
        <f ca="1">INDIRECT($F$291 &amp; ADDRESS(B299, 1,4  ))</f>
        <v>Land</v>
      </c>
      <c r="D300" t="str">
        <f>ADDRESS(B299, 5,4  )</f>
        <v>E4</v>
      </c>
      <c r="E300">
        <f t="shared" ca="1" si="179"/>
        <v>0</v>
      </c>
      <c r="F300" t="str">
        <f ca="1">CONCATENATE("Enter an 'Amount Last Provided to CHFA' value for '", C300, "' in cell ", D300, ".", CHAR(10))</f>
        <v xml:space="preserve">Enter an 'Amount Last Provided to CHFA' value for 'Land' in cell E4.
</v>
      </c>
      <c r="G300" s="9" t="str">
        <f t="shared" ca="1" si="178"/>
        <v xml:space="preserve">The total of development budget in column B must be greater than zero.
</v>
      </c>
    </row>
    <row r="301" spans="1:19" ht="15" customHeight="1">
      <c r="A301" t="str">
        <f ca="1">IF(AND(Calculations!$B$3, E301=""), F301, "")</f>
        <v/>
      </c>
      <c r="B301" t="s">
        <v>476</v>
      </c>
      <c r="C301" t="str">
        <f ca="1">INDIRECT($F$291 &amp; ADDRESS(B299, 1,4  ))</f>
        <v>Land</v>
      </c>
      <c r="D301" t="str">
        <f>ADDRESS(B299, 6,4  )</f>
        <v>F4</v>
      </c>
      <c r="E301">
        <f t="shared" ca="1" si="179"/>
        <v>0</v>
      </c>
      <c r="F301" t="str">
        <f ca="1">CONCATENATE("Enter a '10% Carryover Actual Incurred Costs' value for '", C301, "' in cell ", D301, ".", CHAR(10))</f>
        <v xml:space="preserve">Enter a '10% Carryover Actual Incurred Costs' value for 'Land' in cell F4.
</v>
      </c>
      <c r="G301" s="9" t="str">
        <f t="shared" ca="1" si="178"/>
        <v xml:space="preserve">The total of development budget in column B must be greater than zero.
</v>
      </c>
    </row>
    <row r="302" spans="1:19" ht="15" customHeight="1">
      <c r="A302" t="str">
        <f ca="1">IF(E302="", F302, "")</f>
        <v/>
      </c>
      <c r="B302" s="52">
        <f>B299+1</f>
        <v>5</v>
      </c>
      <c r="C302" t="str">
        <f ca="1">INDIRECT($F$291 &amp; ADDRESS(B302, 1,4  ))</f>
        <v>Existing Structures</v>
      </c>
      <c r="D302" t="str">
        <f>ADDRESS(B302, 2,4  )</f>
        <v>B5</v>
      </c>
      <c r="E302">
        <f t="shared" ca="1" si="179"/>
        <v>0</v>
      </c>
      <c r="F302" t="str">
        <f ca="1">CONCATENATE("Enter a value for '", C302, "' in cell ", D302, ".", CHAR(10))</f>
        <v xml:space="preserve">Enter a value for 'Existing Structures' in cell B5.
</v>
      </c>
      <c r="G302" s="9" t="str">
        <f t="shared" ca="1" si="178"/>
        <v xml:space="preserve">The total of development budget in column B must be greater than zero.
</v>
      </c>
    </row>
    <row r="303" spans="1:19" ht="15" customHeight="1">
      <c r="A303" t="str">
        <f ca="1">IF(AND(Calculations!$B$5, E303=""), F303, "")</f>
        <v/>
      </c>
      <c r="B303" t="s">
        <v>476</v>
      </c>
      <c r="C303" t="str">
        <f ca="1">INDIRECT($F$291 &amp; ADDRESS(B302, 1,4  ))</f>
        <v>Existing Structures</v>
      </c>
      <c r="D303" t="str">
        <f>ADDRESS(B302, 3,4  )</f>
        <v>C5</v>
      </c>
      <c r="E303">
        <f t="shared" ca="1" si="179"/>
        <v>0</v>
      </c>
      <c r="F303" t="str">
        <f ca="1">CONCATENATE("Enter an '4% LIHTC Basis Calculation' value for '", C303, "' in cell ", D303, ".", CHAR(10))</f>
        <v xml:space="preserve">Enter an '4% LIHTC Basis Calculation' value for 'Existing Structures' in cell C5.
</v>
      </c>
      <c r="G303" s="9" t="str">
        <f t="shared" ca="1" si="178"/>
        <v xml:space="preserve">The total of development budget in column B must be greater than zero.
</v>
      </c>
    </row>
    <row r="304" spans="1:19" ht="15" customHeight="1">
      <c r="A304" t="str">
        <f ca="1">IF(AND(OR(Calculations!$B$3:$B$4), E304=""), F304, "")</f>
        <v/>
      </c>
      <c r="B304" t="s">
        <v>476</v>
      </c>
      <c r="C304" t="str">
        <f ca="1">INDIRECT($F$291 &amp; ADDRESS(B302, 1,4  ))</f>
        <v>Existing Structures</v>
      </c>
      <c r="D304" t="str">
        <f>ADDRESS(B302, 5,4  )</f>
        <v>E5</v>
      </c>
      <c r="E304">
        <f t="shared" ca="1" si="179"/>
        <v>0</v>
      </c>
      <c r="F304" t="str">
        <f ca="1">CONCATENATE("Enter an 'Amount Last Provided to CHFA' value for '", C304, "' in cell ", D304, ".", CHAR(10))</f>
        <v xml:space="preserve">Enter an 'Amount Last Provided to CHFA' value for 'Existing Structures' in cell E5.
</v>
      </c>
      <c r="G304" s="9" t="str">
        <f t="shared" ca="1" si="178"/>
        <v xml:space="preserve">The total of development budget in column B must be greater than zero.
</v>
      </c>
    </row>
    <row r="305" spans="1:7" ht="15" customHeight="1">
      <c r="A305" t="str">
        <f ca="1">IF(AND(Calculations!$B$3, E305=""), F305, "")</f>
        <v/>
      </c>
      <c r="B305" t="s">
        <v>476</v>
      </c>
      <c r="C305" t="str">
        <f ca="1">INDIRECT($F$291 &amp; ADDRESS(B302, 1,4  ))</f>
        <v>Existing Structures</v>
      </c>
      <c r="D305" t="str">
        <f>ADDRESS(B302, 6,4  )</f>
        <v>F5</v>
      </c>
      <c r="E305">
        <f t="shared" ca="1" si="179"/>
        <v>0</v>
      </c>
      <c r="F305" t="str">
        <f ca="1">CONCATENATE("Enter a '10% Carryover Actual Incurred Costs' value for '", C305, "' in cell ", D305, ".", CHAR(10))</f>
        <v xml:space="preserve">Enter a '10% Carryover Actual Incurred Costs' value for 'Existing Structures' in cell F5.
</v>
      </c>
      <c r="G305" s="9" t="str">
        <f t="shared" ca="1" si="178"/>
        <v xml:space="preserve">The total of development budget in column B must be greater than zero.
</v>
      </c>
    </row>
    <row r="306" spans="1:7" ht="15" customHeight="1">
      <c r="A306" t="str">
        <f ca="1">IF(E306="", F306, "")</f>
        <v/>
      </c>
      <c r="B306" s="52">
        <f>B302+1</f>
        <v>6</v>
      </c>
      <c r="C306" t="str">
        <f ca="1">INDIRECT($F$291 &amp; ADDRESS(B306, 1,4  ))</f>
        <v>Demolition</v>
      </c>
      <c r="D306" t="str">
        <f>ADDRESS(B306, 2,4  )</f>
        <v>B6</v>
      </c>
      <c r="E306">
        <f t="shared" ca="1" si="179"/>
        <v>0</v>
      </c>
      <c r="F306" t="str">
        <f ca="1">CONCATENATE("Enter a value for '", C306, "' in cell ", D306, ".", CHAR(10))</f>
        <v xml:space="preserve">Enter a value for 'Demolition' in cell B6.
</v>
      </c>
      <c r="G306" s="9" t="str">
        <f t="shared" ca="1" si="178"/>
        <v xml:space="preserve">The total of development budget in column B must be greater than zero.
</v>
      </c>
    </row>
    <row r="307" spans="1:7" ht="15" customHeight="1">
      <c r="A307" t="str">
        <f ca="1">IF(AND(OR(Calculations!$B$3:$B$4), E307=""), F307, "")</f>
        <v/>
      </c>
      <c r="B307" t="s">
        <v>476</v>
      </c>
      <c r="C307" t="str">
        <f ca="1">INDIRECT($F$291 &amp; ADDRESS(B306, 1,4  ))</f>
        <v>Demolition</v>
      </c>
      <c r="D307" t="str">
        <f>ADDRESS(B306, 5,4  )</f>
        <v>E6</v>
      </c>
      <c r="E307">
        <f t="shared" ca="1" si="179"/>
        <v>0</v>
      </c>
      <c r="F307" t="str">
        <f ca="1">CONCATENATE("Enter an 'Amount Last Provided to CHFA' value for '", C307, "' in cell ", D307, ".", CHAR(10))</f>
        <v xml:space="preserve">Enter an 'Amount Last Provided to CHFA' value for 'Demolition' in cell E6.
</v>
      </c>
      <c r="G307" s="9" t="str">
        <f t="shared" ca="1" si="178"/>
        <v xml:space="preserve">The total of development budget in column B must be greater than zero.
</v>
      </c>
    </row>
    <row r="308" spans="1:7" ht="15" customHeight="1">
      <c r="A308" t="str">
        <f ca="1">IF(E308="", F308, "")</f>
        <v/>
      </c>
      <c r="B308">
        <f>ROW('Development Budget'!A9)</f>
        <v>9</v>
      </c>
      <c r="C308" t="str">
        <f ca="1">INDIRECT($F$291 &amp; ADDRESS(B308, 1,4  ))</f>
        <v>On Site Work</v>
      </c>
      <c r="D308" t="str">
        <f>ADDRESS(B308, 2,4  )</f>
        <v>B9</v>
      </c>
      <c r="E308">
        <f t="shared" ca="1" si="179"/>
        <v>0</v>
      </c>
      <c r="F308" t="str">
        <f ca="1">CONCATENATE("Enter a value for '", C308, "' in cell ", D308, ".", CHAR(10))</f>
        <v xml:space="preserve">Enter a value for 'On Site Work' in cell B9.
</v>
      </c>
      <c r="G308" s="9" t="str">
        <f t="shared" ca="1" si="178"/>
        <v xml:space="preserve">The total of development budget in column B must be greater than zero.
</v>
      </c>
    </row>
    <row r="309" spans="1:7" ht="15" customHeight="1">
      <c r="A309" t="str">
        <f ca="1">IF(AND(Calculations!$B$5, E309=""), F309, "")</f>
        <v/>
      </c>
      <c r="B309" t="s">
        <v>476</v>
      </c>
      <c r="C309" t="str">
        <f ca="1">INDIRECT($F$291 &amp; ADDRESS(B308, 1,4  ))</f>
        <v>On Site Work</v>
      </c>
      <c r="D309" t="str">
        <f>ADDRESS(B308, 3,4  )</f>
        <v>C9</v>
      </c>
      <c r="E309">
        <f t="shared" ca="1" si="179"/>
        <v>0</v>
      </c>
      <c r="F309" t="str">
        <f ca="1">CONCATENATE("Enter an '4% LIHTC Basis Calculation' value for '", C309, "' in cell ", D309, ".", CHAR(10))</f>
        <v xml:space="preserve">Enter an '4% LIHTC Basis Calculation' value for 'On Site Work' in cell C9.
</v>
      </c>
      <c r="G309" s="9" t="str">
        <f t="shared" ca="1" si="178"/>
        <v xml:space="preserve">The total of development budget in column B must be greater than zero.
</v>
      </c>
    </row>
    <row r="310" spans="1:7" ht="15" customHeight="1">
      <c r="A310" t="str">
        <f ca="1">IF(AND(Calculations!$B$6, E310=""), F310, "")</f>
        <v/>
      </c>
      <c r="B310" t="s">
        <v>476</v>
      </c>
      <c r="C310" t="str">
        <f ca="1">INDIRECT($F$291 &amp; ADDRESS(B308, 1,4  ))</f>
        <v>On Site Work</v>
      </c>
      <c r="D310" t="str">
        <f>ADDRESS(B308, 4,4  )</f>
        <v>D9</v>
      </c>
      <c r="E310">
        <f t="shared" ca="1" si="179"/>
        <v>0</v>
      </c>
      <c r="F310" t="str">
        <f ca="1">CONCATENATE("Enter an '9% LIHTC Basis Calculation' value for '", C310, "' in cell ", D310, ".", CHAR(10))</f>
        <v xml:space="preserve">Enter an '9% LIHTC Basis Calculation' value for 'On Site Work' in cell D9.
</v>
      </c>
      <c r="G310" s="9" t="str">
        <f t="shared" ca="1" si="178"/>
        <v xml:space="preserve">The total of development budget in column B must be greater than zero.
</v>
      </c>
    </row>
    <row r="311" spans="1:7" ht="15" customHeight="1">
      <c r="A311" t="str">
        <f ca="1">IF(AND(OR(Calculations!$B$3:$B$4), E311=""), F311, "")</f>
        <v/>
      </c>
      <c r="B311" t="s">
        <v>476</v>
      </c>
      <c r="C311" t="str">
        <f ca="1">INDIRECT($F$291 &amp; ADDRESS(B308, 1,4  ))</f>
        <v>On Site Work</v>
      </c>
      <c r="D311" t="str">
        <f>ADDRESS(B308, 5,4  )</f>
        <v>E9</v>
      </c>
      <c r="E311">
        <f t="shared" ca="1" si="179"/>
        <v>0</v>
      </c>
      <c r="F311" t="str">
        <f ca="1">CONCATENATE("Enter an 'Amount Last Provided to CHFA' value for '", C311, "' in cell ", D311, ".", CHAR(10))</f>
        <v xml:space="preserve">Enter an 'Amount Last Provided to CHFA' value for 'On Site Work' in cell E9.
</v>
      </c>
      <c r="G311" s="9" t="str">
        <f t="shared" ca="1" si="178"/>
        <v xml:space="preserve">The total of development budget in column B must be greater than zero.
</v>
      </c>
    </row>
    <row r="312" spans="1:7" ht="15" customHeight="1">
      <c r="A312" t="str">
        <f ca="1">IF(AND(Calculations!$B$3, E312=""), F312, "")</f>
        <v/>
      </c>
      <c r="B312" t="s">
        <v>476</v>
      </c>
      <c r="C312" t="str">
        <f ca="1">INDIRECT($F$291 &amp; ADDRESS(B308, 1,4  ))</f>
        <v>On Site Work</v>
      </c>
      <c r="D312" t="str">
        <f>ADDRESS(B308, 6,4  )</f>
        <v>F9</v>
      </c>
      <c r="E312">
        <f t="shared" ca="1" si="179"/>
        <v>0</v>
      </c>
      <c r="F312" t="str">
        <f ca="1">CONCATENATE("Enter a '10% Carryover Actual Incurred Costs' value for '", C312, "' in cell ", D312, ".", CHAR(10))</f>
        <v xml:space="preserve">Enter a '10% Carryover Actual Incurred Costs' value for 'On Site Work' in cell F9.
</v>
      </c>
      <c r="G312" s="9" t="str">
        <f t="shared" ca="1" si="178"/>
        <v xml:space="preserve">The total of development budget in column B must be greater than zero.
</v>
      </c>
    </row>
    <row r="313" spans="1:7" ht="15" customHeight="1">
      <c r="A313" t="str">
        <f ca="1">IF(E313="", F313, "")</f>
        <v/>
      </c>
      <c r="B313" s="52">
        <f>B308+1</f>
        <v>10</v>
      </c>
      <c r="C313" t="str">
        <f ca="1">INDIRECT($F$291 &amp; ADDRESS(B313, 1,4  ))</f>
        <v>Off Site Work</v>
      </c>
      <c r="D313" t="str">
        <f>ADDRESS(B313, 2,4  )</f>
        <v>B10</v>
      </c>
      <c r="E313">
        <f t="shared" ca="1" si="179"/>
        <v>0</v>
      </c>
      <c r="F313" t="str">
        <f ca="1">CONCATENATE("Enter a value for '", C313, "' in cell ", D313, ".", CHAR(10))</f>
        <v xml:space="preserve">Enter a value for 'Off Site Work' in cell B10.
</v>
      </c>
      <c r="G313" s="9" t="str">
        <f t="shared" ca="1" si="178"/>
        <v xml:space="preserve">The total of development budget in column B must be greater than zero.
</v>
      </c>
    </row>
    <row r="314" spans="1:7" ht="15" customHeight="1">
      <c r="A314" t="str">
        <f ca="1">IF(AND(OR(Calculations!$B$3:$B$4), E314=""), F314, "")</f>
        <v/>
      </c>
      <c r="B314" t="s">
        <v>476</v>
      </c>
      <c r="C314" t="str">
        <f ca="1">INDIRECT($F$291 &amp; ADDRESS(B313, 1,4  ))</f>
        <v>Off Site Work</v>
      </c>
      <c r="D314" t="str">
        <f>ADDRESS(B313, 5,4  )</f>
        <v>E10</v>
      </c>
      <c r="E314">
        <f t="shared" ca="1" si="179"/>
        <v>0</v>
      </c>
      <c r="F314" t="str">
        <f ca="1">CONCATENATE("Enter an 'Amount Last Provided to CHFA' value for '", C314, "' in cell ", D314, ".", CHAR(10))</f>
        <v xml:space="preserve">Enter an 'Amount Last Provided to CHFA' value for 'Off Site Work' in cell E10.
</v>
      </c>
      <c r="G314" s="9" t="str">
        <f t="shared" ca="1" si="178"/>
        <v xml:space="preserve">The total of development budget in column B must be greater than zero.
</v>
      </c>
    </row>
    <row r="315" spans="1:7" ht="15" customHeight="1">
      <c r="A315" t="str">
        <f ca="1">IF(E315="", F315, "")</f>
        <v/>
      </c>
      <c r="B315" s="52">
        <f>13</f>
        <v>13</v>
      </c>
      <c r="C315" t="str">
        <f ca="1">INDIRECT($F$291 &amp; ADDRESS(B315, 1,4  ))</f>
        <v>New Structures</v>
      </c>
      <c r="D315" t="str">
        <f>ADDRESS(B315, 2,4  )</f>
        <v>B13</v>
      </c>
      <c r="E315">
        <f t="shared" ca="1" si="179"/>
        <v>0</v>
      </c>
      <c r="F315" t="str">
        <f ca="1">CONCATENATE("Enter a value for '", C315, "' in cell ", D315, ".", CHAR(10))</f>
        <v xml:space="preserve">Enter a value for 'New Structures' in cell B13.
</v>
      </c>
      <c r="G315" s="9" t="str">
        <f t="shared" ca="1" si="178"/>
        <v xml:space="preserve">The total of development budget in column B must be greater than zero.
</v>
      </c>
    </row>
    <row r="316" spans="1:7" ht="15" customHeight="1">
      <c r="A316" t="str">
        <f ca="1">IF(AND(Calculations!$B$5, E316=""), F316, "")</f>
        <v/>
      </c>
      <c r="B316" t="s">
        <v>476</v>
      </c>
      <c r="C316" t="str">
        <f ca="1">INDIRECT($F$291 &amp; ADDRESS(B315, 1,4  ))</f>
        <v>New Structures</v>
      </c>
      <c r="D316" t="str">
        <f>ADDRESS(B315, 3,4  )</f>
        <v>C13</v>
      </c>
      <c r="E316">
        <f t="shared" ca="1" si="179"/>
        <v>0</v>
      </c>
      <c r="F316" t="str">
        <f ca="1">CONCATENATE("Enter an '4% LIHTC Basis Calculation' value for '", C316, "' in cell ", D316, ".", CHAR(10))</f>
        <v xml:space="preserve">Enter an '4% LIHTC Basis Calculation' value for 'New Structures' in cell C13.
</v>
      </c>
      <c r="G316" s="9" t="str">
        <f t="shared" ca="1" si="178"/>
        <v xml:space="preserve">The total of development budget in column B must be greater than zero.
</v>
      </c>
    </row>
    <row r="317" spans="1:7" ht="15" customHeight="1">
      <c r="A317" t="str">
        <f ca="1">IF(AND(Calculations!$B$6, E317=""), F317, "")</f>
        <v/>
      </c>
      <c r="B317" t="s">
        <v>476</v>
      </c>
      <c r="C317" t="str">
        <f ca="1">INDIRECT($F$291 &amp; ADDRESS(B315, 1,4  ))</f>
        <v>New Structures</v>
      </c>
      <c r="D317" t="str">
        <f>ADDRESS(B315, 4,4  )</f>
        <v>D13</v>
      </c>
      <c r="E317">
        <f t="shared" ca="1" si="179"/>
        <v>0</v>
      </c>
      <c r="F317" t="str">
        <f ca="1">CONCATENATE("Enter an '9% LIHTC Basis Calculation' value for '", C317, "' in cell ", D317, ".", CHAR(10))</f>
        <v xml:space="preserve">Enter an '9% LIHTC Basis Calculation' value for 'New Structures' in cell D13.
</v>
      </c>
      <c r="G317" s="9" t="str">
        <f t="shared" ca="1" si="178"/>
        <v xml:space="preserve">The total of development budget in column B must be greater than zero.
</v>
      </c>
    </row>
    <row r="318" spans="1:7" ht="15" customHeight="1">
      <c r="A318" t="str">
        <f ca="1">IF(AND(OR(Calculations!$B$3:$B$4), E318=""), F318, "")</f>
        <v/>
      </c>
      <c r="B318" t="s">
        <v>476</v>
      </c>
      <c r="C318" t="str">
        <f ca="1">INDIRECT($F$291 &amp; ADDRESS(B315, 1,4  ))</f>
        <v>New Structures</v>
      </c>
      <c r="D318" t="str">
        <f>ADDRESS(B315, 5,4  )</f>
        <v>E13</v>
      </c>
      <c r="E318">
        <f t="shared" ca="1" si="179"/>
        <v>0</v>
      </c>
      <c r="F318" t="str">
        <f ca="1">CONCATENATE("Enter an 'Amount Last Provided to CHFA' value for '", C318, "' in cell ", D318, ".", CHAR(10))</f>
        <v xml:space="preserve">Enter an 'Amount Last Provided to CHFA' value for 'New Structures' in cell E13.
</v>
      </c>
      <c r="G318" s="9" t="str">
        <f t="shared" ca="1" si="178"/>
        <v xml:space="preserve">The total of development budget in column B must be greater than zero.
</v>
      </c>
    </row>
    <row r="319" spans="1:7" ht="15" customHeight="1">
      <c r="A319" t="str">
        <f ca="1">IF(AND(Calculations!$B$3, E319=""), F319, "")</f>
        <v/>
      </c>
      <c r="B319" t="s">
        <v>476</v>
      </c>
      <c r="C319" t="str">
        <f ca="1">INDIRECT($F$291 &amp; ADDRESS(B315, 1,4  ))</f>
        <v>New Structures</v>
      </c>
      <c r="D319" t="str">
        <f>ADDRESS(B315, 6,4  )</f>
        <v>F13</v>
      </c>
      <c r="E319">
        <f t="shared" ca="1" si="179"/>
        <v>0</v>
      </c>
      <c r="F319" t="str">
        <f ca="1">CONCATENATE("Enter a '10% Carryover Actual Incurred Costs' value for '", C319, "' in cell ", D319, ".", CHAR(10))</f>
        <v xml:space="preserve">Enter a '10% Carryover Actual Incurred Costs' value for 'New Structures' in cell F13.
</v>
      </c>
      <c r="G319" s="9" t="str">
        <f t="shared" ca="1" si="178"/>
        <v xml:space="preserve">The total of development budget in column B must be greater than zero.
</v>
      </c>
    </row>
    <row r="320" spans="1:7" ht="15" customHeight="1">
      <c r="A320" t="str">
        <f ca="1">IF(E320="", F320, "")</f>
        <v/>
      </c>
      <c r="B320" s="52">
        <f>B315+1</f>
        <v>14</v>
      </c>
      <c r="C320" t="str">
        <f ca="1">INDIRECT($F$291 &amp; ADDRESS(B320, 1,4  ))</f>
        <v>Rehabilitation</v>
      </c>
      <c r="D320" t="str">
        <f>ADDRESS(B320, 2,4  )</f>
        <v>B14</v>
      </c>
      <c r="E320">
        <f t="shared" ca="1" si="179"/>
        <v>0</v>
      </c>
      <c r="F320" t="str">
        <f ca="1">CONCATENATE("Enter a value for '", C320, "' in cell ", D320, ".", CHAR(10))</f>
        <v xml:space="preserve">Enter a value for 'Rehabilitation' in cell B14.
</v>
      </c>
      <c r="G320" s="9" t="str">
        <f t="shared" ca="1" si="178"/>
        <v xml:space="preserve">The total of development budget in column B must be greater than zero.
</v>
      </c>
    </row>
    <row r="321" spans="1:7" ht="15" customHeight="1">
      <c r="A321" t="str">
        <f ca="1">IF(AND(Calculations!$B$5, E321=""), F321, "")</f>
        <v/>
      </c>
      <c r="B321" t="s">
        <v>476</v>
      </c>
      <c r="C321" t="str">
        <f ca="1">INDIRECT($F$291 &amp; ADDRESS(B320, 1,4  ))</f>
        <v>Rehabilitation</v>
      </c>
      <c r="D321" t="str">
        <f>ADDRESS(B320, 3,4  )</f>
        <v>C14</v>
      </c>
      <c r="E321">
        <f t="shared" ca="1" si="179"/>
        <v>0</v>
      </c>
      <c r="F321" t="str">
        <f ca="1">CONCATENATE("Enter an '4% LIHTC Basis Calculation' value for '", C321, "' in cell ", D321, ".", CHAR(10))</f>
        <v xml:space="preserve">Enter an '4% LIHTC Basis Calculation' value for 'Rehabilitation' in cell C14.
</v>
      </c>
      <c r="G321" s="9" t="str">
        <f t="shared" ca="1" si="178"/>
        <v xml:space="preserve">The total of development budget in column B must be greater than zero.
</v>
      </c>
    </row>
    <row r="322" spans="1:7" ht="15" customHeight="1">
      <c r="A322" t="str">
        <f ca="1">IF(AND(Calculations!$B$6, E322=""), F322, "")</f>
        <v/>
      </c>
      <c r="B322" t="s">
        <v>476</v>
      </c>
      <c r="C322" t="str">
        <f ca="1">INDIRECT($F$291 &amp; ADDRESS(B320, 1,4  ))</f>
        <v>Rehabilitation</v>
      </c>
      <c r="D322" t="str">
        <f>ADDRESS(B320, 4,4  )</f>
        <v>D14</v>
      </c>
      <c r="E322">
        <f t="shared" ca="1" si="179"/>
        <v>0</v>
      </c>
      <c r="F322" t="str">
        <f ca="1">CONCATENATE("Enter an '9% LIHTC Basis Calculation' value for '", C322, "' in cell ", D322, ".", CHAR(10))</f>
        <v xml:space="preserve">Enter an '9% LIHTC Basis Calculation' value for 'Rehabilitation' in cell D14.
</v>
      </c>
      <c r="G322" s="9" t="str">
        <f t="shared" ca="1" si="178"/>
        <v xml:space="preserve">The total of development budget in column B must be greater than zero.
</v>
      </c>
    </row>
    <row r="323" spans="1:7" ht="15" customHeight="1">
      <c r="A323" t="str">
        <f ca="1">IF(AND(OR(Calculations!$B$3:$B$4), E323=""), F323, "")</f>
        <v/>
      </c>
      <c r="B323" t="s">
        <v>476</v>
      </c>
      <c r="C323" t="str">
        <f ca="1">INDIRECT($F$291 &amp; ADDRESS(B320, 1,4  ))</f>
        <v>Rehabilitation</v>
      </c>
      <c r="D323" t="str">
        <f>ADDRESS(B320, 5,4  )</f>
        <v>E14</v>
      </c>
      <c r="E323">
        <f t="shared" ca="1" si="179"/>
        <v>0</v>
      </c>
      <c r="F323" t="str">
        <f ca="1">CONCATENATE("Enter an 'Amount Last Provided to CHFA' value for '", C323, "' in cell ", D323, ".", CHAR(10))</f>
        <v xml:space="preserve">Enter an 'Amount Last Provided to CHFA' value for 'Rehabilitation' in cell E14.
</v>
      </c>
      <c r="G323" s="9" t="str">
        <f t="shared" ca="1" si="178"/>
        <v xml:space="preserve">The total of development budget in column B must be greater than zero.
</v>
      </c>
    </row>
    <row r="324" spans="1:7" ht="15" customHeight="1">
      <c r="A324" t="str">
        <f ca="1">IF(AND(Calculations!$B$3, E324=""), F324, "")</f>
        <v/>
      </c>
      <c r="B324" t="s">
        <v>476</v>
      </c>
      <c r="C324" t="str">
        <f ca="1">INDIRECT($F$291 &amp; ADDRESS(B320, 1,4  ))</f>
        <v>Rehabilitation</v>
      </c>
      <c r="D324" t="str">
        <f>ADDRESS(B320, 6,4  )</f>
        <v>F14</v>
      </c>
      <c r="E324">
        <f t="shared" ca="1" si="179"/>
        <v>0</v>
      </c>
      <c r="F324" t="str">
        <f ca="1">CONCATENATE("Enter a '10% Carryover Actual Incurred Costs' value for '", C324, "' in cell ", D324, ".", CHAR(10))</f>
        <v xml:space="preserve">Enter a '10% Carryover Actual Incurred Costs' value for 'Rehabilitation' in cell F14.
</v>
      </c>
      <c r="G324" s="9" t="str">
        <f t="shared" ca="1" si="178"/>
        <v xml:space="preserve">The total of development budget in column B must be greater than zero.
</v>
      </c>
    </row>
    <row r="325" spans="1:7" ht="15" customHeight="1">
      <c r="A325" t="str">
        <f ca="1">IF(E325="", F325, "")</f>
        <v/>
      </c>
      <c r="B325" s="52">
        <f>B320+1</f>
        <v>15</v>
      </c>
      <c r="C325" t="str">
        <f ca="1">INDIRECT($F$291 &amp; ADDRESS(B325, 1,4  ))</f>
        <v>Accessory Structures (CSF, storage, garage(s))</v>
      </c>
      <c r="D325" t="str">
        <f>ADDRESS(B325, 2,4  )</f>
        <v>B15</v>
      </c>
      <c r="E325">
        <f t="shared" ca="1" si="179"/>
        <v>0</v>
      </c>
      <c r="F325" t="str">
        <f ca="1">CONCATENATE("Enter a value for '", C325, "' in cell ", D325, ".", CHAR(10))</f>
        <v xml:space="preserve">Enter a value for 'Accessory Structures (CSF, storage, garage(s))' in cell B15.
</v>
      </c>
      <c r="G325" s="9" t="str">
        <f t="shared" ca="1" si="178"/>
        <v xml:space="preserve">The total of development budget in column B must be greater than zero.
</v>
      </c>
    </row>
    <row r="326" spans="1:7" ht="15" customHeight="1">
      <c r="A326" t="str">
        <f ca="1">IF(AND(Calculations!$B$5, E326=""), F326, "")</f>
        <v/>
      </c>
      <c r="B326" t="s">
        <v>476</v>
      </c>
      <c r="C326" t="str">
        <f ca="1">INDIRECT($F$291 &amp; ADDRESS(B325, 1,4  ))</f>
        <v>Accessory Structures (CSF, storage, garage(s))</v>
      </c>
      <c r="D326" t="str">
        <f>ADDRESS(B325, 3,4  )</f>
        <v>C15</v>
      </c>
      <c r="E326">
        <f t="shared" ca="1" si="179"/>
        <v>0</v>
      </c>
      <c r="F326" t="str">
        <f ca="1">CONCATENATE("Enter an '4% LIHTC Basis Calculation' value for '", C326, "' in cell ", D326, ".", CHAR(10))</f>
        <v xml:space="preserve">Enter an '4% LIHTC Basis Calculation' value for 'Accessory Structures (CSF, storage, garage(s))' in cell C15.
</v>
      </c>
      <c r="G326" s="9" t="str">
        <f t="shared" ca="1" si="178"/>
        <v xml:space="preserve">The total of development budget in column B must be greater than zero.
</v>
      </c>
    </row>
    <row r="327" spans="1:7" ht="15" customHeight="1">
      <c r="A327" t="str">
        <f ca="1">IF(AND(Calculations!$B$6, E327=""), F327, "")</f>
        <v/>
      </c>
      <c r="B327" t="s">
        <v>476</v>
      </c>
      <c r="C327" t="str">
        <f ca="1">INDIRECT($F$291 &amp; ADDRESS(B325, 1,4  ))</f>
        <v>Accessory Structures (CSF, storage, garage(s))</v>
      </c>
      <c r="D327" t="str">
        <f>ADDRESS(B325, 4,4  )</f>
        <v>D15</v>
      </c>
      <c r="E327">
        <f t="shared" ca="1" si="179"/>
        <v>0</v>
      </c>
      <c r="F327" t="str">
        <f ca="1">CONCATENATE("Enter an '9% LIHTC Basis Calculation' value for '", C327, "' in cell ", D327, ".", CHAR(10))</f>
        <v xml:space="preserve">Enter an '9% LIHTC Basis Calculation' value for 'Accessory Structures (CSF, storage, garage(s))' in cell D15.
</v>
      </c>
      <c r="G327" s="9" t="str">
        <f t="shared" ca="1" si="178"/>
        <v xml:space="preserve">The total of development budget in column B must be greater than zero.
</v>
      </c>
    </row>
    <row r="328" spans="1:7" ht="15" customHeight="1">
      <c r="A328" t="str">
        <f ca="1">IF(AND(OR(Calculations!$B$3:$B$4), E328=""), F328, "")</f>
        <v/>
      </c>
      <c r="B328" t="s">
        <v>476</v>
      </c>
      <c r="C328" t="str">
        <f ca="1">INDIRECT($F$291 &amp; ADDRESS(B325, 1,4  ))</f>
        <v>Accessory Structures (CSF, storage, garage(s))</v>
      </c>
      <c r="D328" t="str">
        <f>ADDRESS(B325, 5,4  )</f>
        <v>E15</v>
      </c>
      <c r="E328">
        <f t="shared" ca="1" si="179"/>
        <v>0</v>
      </c>
      <c r="F328" t="str">
        <f ca="1">CONCATENATE("Enter an 'Amount Last Provided to CHFA' value for '", C328, "' in cell ", D328, ".", CHAR(10))</f>
        <v xml:space="preserve">Enter an 'Amount Last Provided to CHFA' value for 'Accessory Structures (CSF, storage, garage(s))' in cell E15.
</v>
      </c>
      <c r="G328" s="9" t="str">
        <f t="shared" ca="1" si="178"/>
        <v xml:space="preserve">The total of development budget in column B must be greater than zero.
</v>
      </c>
    </row>
    <row r="329" spans="1:7" ht="15" customHeight="1">
      <c r="A329" t="str">
        <f ca="1">IF(AND(Calculations!$B$3, E329=""), F329, "")</f>
        <v/>
      </c>
      <c r="B329" t="s">
        <v>476</v>
      </c>
      <c r="C329" t="str">
        <f ca="1">INDIRECT($F$291 &amp; ADDRESS(B325, 1,4  ))</f>
        <v>Accessory Structures (CSF, storage, garage(s))</v>
      </c>
      <c r="D329" t="str">
        <f>ADDRESS(B325, 6,4  )</f>
        <v>F15</v>
      </c>
      <c r="E329">
        <f t="shared" ref="E329:E360" ca="1" si="180">IF(ISBLANK( INDIRECT($F$291 &amp; D329)),"", INDIRECT($F$291 &amp; D329))</f>
        <v>0</v>
      </c>
      <c r="F329" t="str">
        <f ca="1">CONCATENATE("Enter a '10% Carryover Actual Incurred Costs' value for '", C329, "' in cell ", D329, ".", CHAR(10))</f>
        <v xml:space="preserve">Enter a '10% Carryover Actual Incurred Costs' value for 'Accessory Structures (CSF, storage, garage(s))' in cell F15.
</v>
      </c>
      <c r="G329" s="9" t="str">
        <f t="shared" ca="1" si="178"/>
        <v xml:space="preserve">The total of development budget in column B must be greater than zero.
</v>
      </c>
    </row>
    <row r="330" spans="1:7" ht="15" customHeight="1">
      <c r="A330" t="str">
        <f ca="1">IF(E330="", F330, "")</f>
        <v/>
      </c>
      <c r="B330" s="52">
        <f>B325+1</f>
        <v>16</v>
      </c>
      <c r="C330" t="str">
        <f ca="1">INDIRECT($F$291 &amp; ADDRESS(B330, 1,4  ))</f>
        <v>Green Systems (Solar, Geothermal, Other, etc.)</v>
      </c>
      <c r="D330" t="str">
        <f>ADDRESS(B330, 2,4  )</f>
        <v>B16</v>
      </c>
      <c r="E330">
        <f t="shared" ca="1" si="180"/>
        <v>0</v>
      </c>
      <c r="F330" t="str">
        <f ca="1">CONCATENATE("Enter a value for '", C330, "' in cell ", D330, ".", CHAR(10))</f>
        <v xml:space="preserve">Enter a value for 'Green Systems (Solar, Geothermal, Other, etc.)' in cell B16.
</v>
      </c>
      <c r="G330" s="9" t="str">
        <f t="shared" ca="1" si="178"/>
        <v xml:space="preserve">The total of development budget in column B must be greater than zero.
</v>
      </c>
    </row>
    <row r="331" spans="1:7" ht="15" customHeight="1">
      <c r="A331" t="str">
        <f ca="1">IF(AND(Calculations!$B$5, E331=""), F331, "")</f>
        <v/>
      </c>
      <c r="B331" t="s">
        <v>476</v>
      </c>
      <c r="C331" t="str">
        <f ca="1">INDIRECT($F$291 &amp; ADDRESS(B330, 1,4  ))</f>
        <v>Green Systems (Solar, Geothermal, Other, etc.)</v>
      </c>
      <c r="D331" t="str">
        <f>ADDRESS(B330, 3,4  )</f>
        <v>C16</v>
      </c>
      <c r="E331">
        <f t="shared" ca="1" si="180"/>
        <v>0</v>
      </c>
      <c r="F331" t="str">
        <f ca="1">CONCATENATE("Enter an '4% LIHTC Basis Calculation' value for '", C331, "' in cell ", D331, ".", CHAR(10))</f>
        <v xml:space="preserve">Enter an '4% LIHTC Basis Calculation' value for 'Green Systems (Solar, Geothermal, Other, etc.)' in cell C16.
</v>
      </c>
      <c r="G331" s="9" t="str">
        <f t="shared" ca="1" si="178"/>
        <v xml:space="preserve">The total of development budget in column B must be greater than zero.
</v>
      </c>
    </row>
    <row r="332" spans="1:7" ht="15" customHeight="1">
      <c r="A332" t="str">
        <f ca="1">IF(AND(Calculations!$B$6, E332=""), F332, "")</f>
        <v/>
      </c>
      <c r="B332" t="s">
        <v>476</v>
      </c>
      <c r="C332" t="str">
        <f ca="1">INDIRECT($F$291 &amp; ADDRESS(B330, 1,4  ))</f>
        <v>Green Systems (Solar, Geothermal, Other, etc.)</v>
      </c>
      <c r="D332" t="str">
        <f>ADDRESS(B330, 4,4  )</f>
        <v>D16</v>
      </c>
      <c r="E332">
        <f t="shared" ca="1" si="180"/>
        <v>0</v>
      </c>
      <c r="F332" t="str">
        <f ca="1">CONCATENATE("Enter an '9% LIHTC Basis Calculation' value for '", C332, "' in cell ", D332, ".", CHAR(10))</f>
        <v xml:space="preserve">Enter an '9% LIHTC Basis Calculation' value for 'Green Systems (Solar, Geothermal, Other, etc.)' in cell D16.
</v>
      </c>
      <c r="G332" s="9" t="str">
        <f t="shared" ca="1" si="178"/>
        <v xml:space="preserve">The total of development budget in column B must be greater than zero.
</v>
      </c>
    </row>
    <row r="333" spans="1:7" ht="15" customHeight="1">
      <c r="A333" t="str">
        <f ca="1">IF(AND(OR(Calculations!$B$3:$B$4), E333=""), F333, "")</f>
        <v/>
      </c>
      <c r="B333" t="s">
        <v>476</v>
      </c>
      <c r="C333" t="str">
        <f ca="1">INDIRECT($F$291 &amp; ADDRESS(B330, 1,4  ))</f>
        <v>Green Systems (Solar, Geothermal, Other, etc.)</v>
      </c>
      <c r="D333" t="str">
        <f>ADDRESS(B330, 5,4  )</f>
        <v>E16</v>
      </c>
      <c r="E333">
        <f t="shared" ca="1" si="180"/>
        <v>0</v>
      </c>
      <c r="F333" t="str">
        <f ca="1">CONCATENATE("Enter an 'Amount Last Provided to CHFA' value for '", C333, "' in cell ", D333, ".", CHAR(10))</f>
        <v xml:space="preserve">Enter an 'Amount Last Provided to CHFA' value for 'Green Systems (Solar, Geothermal, Other, etc.)' in cell E16.
</v>
      </c>
      <c r="G333" s="9" t="str">
        <f t="shared" ca="1" si="178"/>
        <v xml:space="preserve">The total of development budget in column B must be greater than zero.
</v>
      </c>
    </row>
    <row r="334" spans="1:7" ht="15" customHeight="1">
      <c r="A334" t="str">
        <f ca="1">IF(AND(Calculations!$B$3, E334=""), F334, "")</f>
        <v/>
      </c>
      <c r="B334" t="s">
        <v>476</v>
      </c>
      <c r="C334" t="str">
        <f ca="1">INDIRECT($F$291 &amp; ADDRESS(B330, 1,4  ))</f>
        <v>Green Systems (Solar, Geothermal, Other, etc.)</v>
      </c>
      <c r="D334" t="str">
        <f>ADDRESS(B330, 6,4  )</f>
        <v>F16</v>
      </c>
      <c r="E334">
        <f t="shared" ca="1" si="180"/>
        <v>0</v>
      </c>
      <c r="F334" t="str">
        <f ca="1">CONCATENATE("Enter a '10% Carryover Actual Incurred Costs' value for '", C334, "' in cell ", D334, ".", CHAR(10))</f>
        <v xml:space="preserve">Enter a '10% Carryover Actual Incurred Costs' value for 'Green Systems (Solar, Geothermal, Other, etc.)' in cell F16.
</v>
      </c>
      <c r="G334" s="9" t="str">
        <f t="shared" ca="1" si="178"/>
        <v xml:space="preserve">The total of development budget in column B must be greater than zero.
</v>
      </c>
    </row>
    <row r="335" spans="1:7" ht="15" customHeight="1">
      <c r="A335" t="str">
        <f ca="1">IF(E335="", F335, "")</f>
        <v/>
      </c>
      <c r="B335" s="52">
        <f>B330+1</f>
        <v>17</v>
      </c>
      <c r="C335" t="str">
        <f ca="1">INDIRECT($F$291 &amp; ADDRESS(B335, 1,4  ))</f>
        <v>General Requirements</v>
      </c>
      <c r="D335" t="str">
        <f>ADDRESS(B335, 2,4  )</f>
        <v>B17</v>
      </c>
      <c r="E335">
        <f t="shared" ca="1" si="180"/>
        <v>0</v>
      </c>
      <c r="F335" t="str">
        <f ca="1">CONCATENATE("Enter a value for '", C335, "' in cell ", D335, ".", CHAR(10))</f>
        <v xml:space="preserve">Enter a value for 'General Requirements' in cell B17.
</v>
      </c>
      <c r="G335" s="9" t="str">
        <f t="shared" ca="1" si="178"/>
        <v xml:space="preserve">The total of development budget in column B must be greater than zero.
</v>
      </c>
    </row>
    <row r="336" spans="1:7" ht="15" customHeight="1">
      <c r="A336" t="str">
        <f ca="1">IF(AND(Calculations!$B$5, E336=""), F336, "")</f>
        <v/>
      </c>
      <c r="B336" t="s">
        <v>476</v>
      </c>
      <c r="C336" t="str">
        <f ca="1">INDIRECT($F$291 &amp; ADDRESS(B335, 1,4  ))</f>
        <v>General Requirements</v>
      </c>
      <c r="D336" t="str">
        <f>ADDRESS(B335, 3,4  )</f>
        <v>C17</v>
      </c>
      <c r="E336">
        <f t="shared" ca="1" si="180"/>
        <v>0</v>
      </c>
      <c r="F336" t="str">
        <f ca="1">CONCATENATE("Enter an '4% LIHTC Basis Calculation' value for '", C336, "' in cell ", D336, ".", CHAR(10))</f>
        <v xml:space="preserve">Enter an '4% LIHTC Basis Calculation' value for 'General Requirements' in cell C17.
</v>
      </c>
      <c r="G336" s="9" t="str">
        <f t="shared" ca="1" si="178"/>
        <v xml:space="preserve">The total of development budget in column B must be greater than zero.
</v>
      </c>
    </row>
    <row r="337" spans="1:7" ht="15" customHeight="1">
      <c r="A337" t="str">
        <f ca="1">IF(AND(Calculations!$B$6, E337=""), F337, "")</f>
        <v/>
      </c>
      <c r="B337" t="s">
        <v>476</v>
      </c>
      <c r="C337" t="str">
        <f ca="1">INDIRECT($F$291 &amp; ADDRESS(B335, 1,4  ))</f>
        <v>General Requirements</v>
      </c>
      <c r="D337" t="str">
        <f>ADDRESS(B335, 4,4  )</f>
        <v>D17</v>
      </c>
      <c r="E337">
        <f t="shared" ca="1" si="180"/>
        <v>0</v>
      </c>
      <c r="F337" t="str">
        <f ca="1">CONCATENATE("Enter an '9% LIHTC Basis Calculation' value for '", C337, "' in cell ", D337, ".", CHAR(10))</f>
        <v xml:space="preserve">Enter an '9% LIHTC Basis Calculation' value for 'General Requirements' in cell D17.
</v>
      </c>
      <c r="G337" s="9" t="str">
        <f t="shared" ca="1" si="178"/>
        <v xml:space="preserve">The total of development budget in column B must be greater than zero.
</v>
      </c>
    </row>
    <row r="338" spans="1:7" ht="15" customHeight="1">
      <c r="A338" t="str">
        <f ca="1">IF(AND(OR(Calculations!$B$3:$B$4), E338=""), F338, "")</f>
        <v/>
      </c>
      <c r="B338" t="s">
        <v>476</v>
      </c>
      <c r="C338" t="str">
        <f ca="1">INDIRECT($F$291 &amp; ADDRESS(B335, 1,4  ))</f>
        <v>General Requirements</v>
      </c>
      <c r="D338" t="str">
        <f>ADDRESS(B335, 5,4  )</f>
        <v>E17</v>
      </c>
      <c r="E338">
        <f t="shared" ca="1" si="180"/>
        <v>0</v>
      </c>
      <c r="F338" t="str">
        <f ca="1">CONCATENATE("Enter an 'Amount Last Provided to CHFA' value for '", C338, "' in cell ", D338, ".", CHAR(10))</f>
        <v xml:space="preserve">Enter an 'Amount Last Provided to CHFA' value for 'General Requirements' in cell E17.
</v>
      </c>
      <c r="G338" s="9" t="str">
        <f t="shared" ca="1" si="178"/>
        <v xml:space="preserve">The total of development budget in column B must be greater than zero.
</v>
      </c>
    </row>
    <row r="339" spans="1:7" ht="15" customHeight="1">
      <c r="A339" t="str">
        <f ca="1">IF(AND(Calculations!$B$3, E339=""), F339, "")</f>
        <v/>
      </c>
      <c r="B339" t="s">
        <v>476</v>
      </c>
      <c r="C339" t="str">
        <f ca="1">INDIRECT($F$291 &amp; ADDRESS(B335, 1,4  ))</f>
        <v>General Requirements</v>
      </c>
      <c r="D339" t="str">
        <f>ADDRESS(B335, 6,4  )</f>
        <v>F17</v>
      </c>
      <c r="E339">
        <f t="shared" ca="1" si="180"/>
        <v>0</v>
      </c>
      <c r="F339" t="str">
        <f ca="1">CONCATENATE("Enter a '10% Carryover Actual Incurred Costs' value for '", C339, "' in cell ", D339, ".", CHAR(10))</f>
        <v xml:space="preserve">Enter a '10% Carryover Actual Incurred Costs' value for 'General Requirements' in cell F17.
</v>
      </c>
      <c r="G339" s="9" t="str">
        <f t="shared" ca="1" si="178"/>
        <v xml:space="preserve">The total of development budget in column B must be greater than zero.
</v>
      </c>
    </row>
    <row r="340" spans="1:7" ht="15" customHeight="1">
      <c r="A340" t="str">
        <f ca="1">IF(E340="", F340, "")</f>
        <v/>
      </c>
      <c r="B340" s="52">
        <f>B335+1</f>
        <v>18</v>
      </c>
      <c r="C340" t="str">
        <f ca="1">INDIRECT($F$291 &amp; ADDRESS(B340, 1,4  ))</f>
        <v>Contractor Overhead</v>
      </c>
      <c r="D340" t="str">
        <f>ADDRESS(B340, 2,4  )</f>
        <v>B18</v>
      </c>
      <c r="E340">
        <f t="shared" ca="1" si="180"/>
        <v>0</v>
      </c>
      <c r="F340" t="str">
        <f ca="1">CONCATENATE("Enter a value for '", C340, "' in cell ", D340, ".", CHAR(10))</f>
        <v xml:space="preserve">Enter a value for 'Contractor Overhead' in cell B18.
</v>
      </c>
      <c r="G340" s="9" t="str">
        <f t="shared" ca="1" si="178"/>
        <v xml:space="preserve">The total of development budget in column B must be greater than zero.
</v>
      </c>
    </row>
    <row r="341" spans="1:7" ht="15" customHeight="1">
      <c r="A341" t="str">
        <f ca="1">IF(AND(Calculations!$B$5, E341=""), F341, "")</f>
        <v/>
      </c>
      <c r="B341" t="s">
        <v>476</v>
      </c>
      <c r="C341" t="str">
        <f ca="1">INDIRECT($F$291 &amp; ADDRESS(B340, 1,4  ))</f>
        <v>Contractor Overhead</v>
      </c>
      <c r="D341" t="str">
        <f>ADDRESS(B340, 3,4  )</f>
        <v>C18</v>
      </c>
      <c r="E341">
        <f t="shared" ca="1" si="180"/>
        <v>0</v>
      </c>
      <c r="F341" t="str">
        <f ca="1">CONCATENATE("Enter an '4% LIHTC Basis Calculation' value for '", C341, "' in cell ", D341, ".", CHAR(10))</f>
        <v xml:space="preserve">Enter an '4% LIHTC Basis Calculation' value for 'Contractor Overhead' in cell C18.
</v>
      </c>
      <c r="G341" s="9" t="str">
        <f t="shared" ca="1" si="178"/>
        <v xml:space="preserve">The total of development budget in column B must be greater than zero.
</v>
      </c>
    </row>
    <row r="342" spans="1:7" ht="15" customHeight="1">
      <c r="A342" t="str">
        <f ca="1">IF(AND(Calculations!$B$6, E342=""), F342, "")</f>
        <v/>
      </c>
      <c r="B342" t="s">
        <v>476</v>
      </c>
      <c r="C342" t="str">
        <f ca="1">INDIRECT($F$291 &amp; ADDRESS(B340, 1,4  ))</f>
        <v>Contractor Overhead</v>
      </c>
      <c r="D342" t="str">
        <f>ADDRESS(B340, 4,4  )</f>
        <v>D18</v>
      </c>
      <c r="E342">
        <f t="shared" ca="1" si="180"/>
        <v>0</v>
      </c>
      <c r="F342" t="str">
        <f ca="1">CONCATENATE("Enter an '9% LIHTC Basis Calculation' value for '", C342, "' in cell ", D342, ".", CHAR(10))</f>
        <v xml:space="preserve">Enter an '9% LIHTC Basis Calculation' value for 'Contractor Overhead' in cell D18.
</v>
      </c>
      <c r="G342" s="9" t="str">
        <f t="shared" ca="1" si="178"/>
        <v xml:space="preserve">The total of development budget in column B must be greater than zero.
</v>
      </c>
    </row>
    <row r="343" spans="1:7" ht="15" customHeight="1">
      <c r="A343" t="str">
        <f ca="1">IF(AND(OR(Calculations!$B$3:$B$4), E343=""), F343, "")</f>
        <v/>
      </c>
      <c r="B343" t="s">
        <v>476</v>
      </c>
      <c r="C343" t="str">
        <f ca="1">INDIRECT($F$291 &amp; ADDRESS(B340, 1,4  ))</f>
        <v>Contractor Overhead</v>
      </c>
      <c r="D343" t="str">
        <f>ADDRESS(B340, 5,4  )</f>
        <v>E18</v>
      </c>
      <c r="E343">
        <f t="shared" ca="1" si="180"/>
        <v>0</v>
      </c>
      <c r="F343" t="str">
        <f ca="1">CONCATENATE("Enter an 'Amount Last Provided to CHFA' value for '", C343, "' in cell ", D343, ".", CHAR(10))</f>
        <v xml:space="preserve">Enter an 'Amount Last Provided to CHFA' value for 'Contractor Overhead' in cell E18.
</v>
      </c>
      <c r="G343" s="9" t="str">
        <f t="shared" ca="1" si="178"/>
        <v xml:space="preserve">The total of development budget in column B must be greater than zero.
</v>
      </c>
    </row>
    <row r="344" spans="1:7" ht="15" customHeight="1">
      <c r="A344" t="str">
        <f ca="1">IF(AND(Calculations!$B$3, E344=""), F344, "")</f>
        <v/>
      </c>
      <c r="B344" t="s">
        <v>476</v>
      </c>
      <c r="C344" t="str">
        <f ca="1">INDIRECT($F$291 &amp; ADDRESS(B340, 1,4  ))</f>
        <v>Contractor Overhead</v>
      </c>
      <c r="D344" t="str">
        <f>ADDRESS(B340, 6,4  )</f>
        <v>F18</v>
      </c>
      <c r="E344">
        <f t="shared" ca="1" si="180"/>
        <v>0</v>
      </c>
      <c r="F344" t="str">
        <f ca="1">CONCATENATE("Enter a '10% Carryover Actual Incurred Costs' value for '", C344, "' in cell ", D344, ".", CHAR(10))</f>
        <v xml:space="preserve">Enter a '10% Carryover Actual Incurred Costs' value for 'Contractor Overhead' in cell F18.
</v>
      </c>
      <c r="G344" s="9" t="str">
        <f t="shared" ca="1" si="178"/>
        <v xml:space="preserve">The total of development budget in column B must be greater than zero.
</v>
      </c>
    </row>
    <row r="345" spans="1:7" ht="15" customHeight="1">
      <c r="A345" t="str">
        <f ca="1">IF(E345="", F345, "")</f>
        <v/>
      </c>
      <c r="B345" s="52">
        <f>B340+1</f>
        <v>19</v>
      </c>
      <c r="C345" t="str">
        <f ca="1">INDIRECT($F$291 &amp; ADDRESS(B345, 1,4  ))</f>
        <v>Contractor Profit</v>
      </c>
      <c r="D345" t="str">
        <f>ADDRESS(B345, 2,4  )</f>
        <v>B19</v>
      </c>
      <c r="E345">
        <f t="shared" ca="1" si="180"/>
        <v>0</v>
      </c>
      <c r="F345" t="str">
        <f ca="1">CONCATENATE("Enter a value for '", C345, "' in cell ", D345, ".", CHAR(10))</f>
        <v xml:space="preserve">Enter a value for 'Contractor Profit' in cell B19.
</v>
      </c>
      <c r="G345" s="9" t="str">
        <f t="shared" ca="1" si="178"/>
        <v xml:space="preserve">The total of development budget in column B must be greater than zero.
</v>
      </c>
    </row>
    <row r="346" spans="1:7" ht="15" customHeight="1">
      <c r="A346" t="str">
        <f ca="1">IF(AND(Calculations!$B$5, E346=""), F346, "")</f>
        <v/>
      </c>
      <c r="B346" t="s">
        <v>476</v>
      </c>
      <c r="C346" t="str">
        <f ca="1">INDIRECT($F$291 &amp; ADDRESS(B345, 1,4  ))</f>
        <v>Contractor Profit</v>
      </c>
      <c r="D346" t="str">
        <f>ADDRESS(B345, 3,4  )</f>
        <v>C19</v>
      </c>
      <c r="E346">
        <f t="shared" ca="1" si="180"/>
        <v>0</v>
      </c>
      <c r="F346" t="str">
        <f ca="1">CONCATENATE("Enter an '4% LIHTC Basis Calculation' value for '", C346, "' in cell ", D346, ".", CHAR(10))</f>
        <v xml:space="preserve">Enter an '4% LIHTC Basis Calculation' value for 'Contractor Profit' in cell C19.
</v>
      </c>
      <c r="G346" s="9" t="str">
        <f t="shared" ca="1" si="178"/>
        <v xml:space="preserve">The total of development budget in column B must be greater than zero.
</v>
      </c>
    </row>
    <row r="347" spans="1:7" ht="15" customHeight="1">
      <c r="A347" t="str">
        <f ca="1">IF(AND(Calculations!$B$6, E347=""), F347, "")</f>
        <v/>
      </c>
      <c r="B347" t="s">
        <v>476</v>
      </c>
      <c r="C347" t="str">
        <f ca="1">INDIRECT($F$291 &amp; ADDRESS(B345, 1,4  ))</f>
        <v>Contractor Profit</v>
      </c>
      <c r="D347" t="str">
        <f>ADDRESS(B345, 4,4  )</f>
        <v>D19</v>
      </c>
      <c r="E347">
        <f t="shared" ca="1" si="180"/>
        <v>0</v>
      </c>
      <c r="F347" t="str">
        <f ca="1">CONCATENATE("Enter an '9% LIHTC Basis Calculation' value for '", C347, "' in cell ", D347, ".", CHAR(10))</f>
        <v xml:space="preserve">Enter an '9% LIHTC Basis Calculation' value for 'Contractor Profit' in cell D19.
</v>
      </c>
      <c r="G347" s="9" t="str">
        <f t="shared" ca="1" si="178"/>
        <v xml:space="preserve">The total of development budget in column B must be greater than zero.
</v>
      </c>
    </row>
    <row r="348" spans="1:7" ht="15" customHeight="1">
      <c r="A348" t="str">
        <f ca="1">IF(AND(OR(Calculations!$B$3:$B$4), E348=""), F348, "")</f>
        <v/>
      </c>
      <c r="B348" t="s">
        <v>476</v>
      </c>
      <c r="C348" t="str">
        <f ca="1">INDIRECT($F$291 &amp; ADDRESS(B345, 1,4  ))</f>
        <v>Contractor Profit</v>
      </c>
      <c r="D348" t="str">
        <f>ADDRESS(B345, 5,4  )</f>
        <v>E19</v>
      </c>
      <c r="E348">
        <f t="shared" ca="1" si="180"/>
        <v>0</v>
      </c>
      <c r="F348" t="str">
        <f ca="1">CONCATENATE("Enter an 'Amount Last Provided to CHFA' value for '", C348, "' in cell ", D348, ".", CHAR(10))</f>
        <v xml:space="preserve">Enter an 'Amount Last Provided to CHFA' value for 'Contractor Profit' in cell E19.
</v>
      </c>
      <c r="G348" s="9" t="str">
        <f t="shared" ca="1" si="178"/>
        <v xml:space="preserve">The total of development budget in column B must be greater than zero.
</v>
      </c>
    </row>
    <row r="349" spans="1:7" ht="15" customHeight="1">
      <c r="A349" t="str">
        <f ca="1">IF(AND(Calculations!$B$3, E349=""), F349, "")</f>
        <v/>
      </c>
      <c r="B349" t="s">
        <v>476</v>
      </c>
      <c r="C349" t="str">
        <f ca="1">INDIRECT($F$291 &amp; ADDRESS(B345, 1,4  ))</f>
        <v>Contractor Profit</v>
      </c>
      <c r="D349" t="str">
        <f>ADDRESS(B345, 6,4  )</f>
        <v>F19</v>
      </c>
      <c r="E349">
        <f t="shared" ca="1" si="180"/>
        <v>0</v>
      </c>
      <c r="F349" t="str">
        <f ca="1">CONCATENATE("Enter a '10% Carryover Actual Incurred Costs' value for '", C349, "' in cell ", D349, ".", CHAR(10))</f>
        <v xml:space="preserve">Enter a '10% Carryover Actual Incurred Costs' value for 'Contractor Profit' in cell F19.
</v>
      </c>
      <c r="G349" s="9" t="str">
        <f t="shared" ca="1" si="178"/>
        <v xml:space="preserve">The total of development budget in column B must be greater than zero.
</v>
      </c>
    </row>
    <row r="350" spans="1:7" ht="15" customHeight="1">
      <c r="A350" t="str">
        <f ca="1">IF(E350="", F350, "")</f>
        <v/>
      </c>
      <c r="B350" s="52">
        <f>B345+1</f>
        <v>20</v>
      </c>
      <c r="C350" t="str">
        <f ca="1">INDIRECT($F$291 &amp; ADDRESS(B350, 1,4  ))</f>
        <v>Contractor Construction Contingency</v>
      </c>
      <c r="D350" t="str">
        <f>ADDRESS(B350, 2,4  )</f>
        <v>B20</v>
      </c>
      <c r="E350">
        <f t="shared" ca="1" si="180"/>
        <v>0</v>
      </c>
      <c r="F350" t="str">
        <f ca="1">CONCATENATE("Enter a value for '", C350, "' in cell ", D350, ".", CHAR(10))</f>
        <v xml:space="preserve">Enter a value for 'Contractor Construction Contingency' in cell B20.
</v>
      </c>
      <c r="G350" s="9" t="str">
        <f t="shared" ca="1" si="178"/>
        <v xml:space="preserve">The total of development budget in column B must be greater than zero.
</v>
      </c>
    </row>
    <row r="351" spans="1:7" ht="15" customHeight="1">
      <c r="A351" t="str">
        <f ca="1">IF(AND(Calculations!$B$5, E351=""), F351, "")</f>
        <v/>
      </c>
      <c r="B351" t="s">
        <v>476</v>
      </c>
      <c r="C351" t="str">
        <f ca="1">INDIRECT($F$291 &amp; ADDRESS(B350, 1,4  ))</f>
        <v>Contractor Construction Contingency</v>
      </c>
      <c r="D351" t="str">
        <f>ADDRESS(B350, 3,4  )</f>
        <v>C20</v>
      </c>
      <c r="E351">
        <f t="shared" ca="1" si="180"/>
        <v>0</v>
      </c>
      <c r="F351" t="str">
        <f ca="1">CONCATENATE("Enter an '4% LIHTC Basis Calculation' value for '", C351, "' in cell ", D351, ".", CHAR(10))</f>
        <v xml:space="preserve">Enter an '4% LIHTC Basis Calculation' value for 'Contractor Construction Contingency' in cell C20.
</v>
      </c>
      <c r="G351" s="9" t="str">
        <f t="shared" ca="1" si="178"/>
        <v xml:space="preserve">The total of development budget in column B must be greater than zero.
</v>
      </c>
    </row>
    <row r="352" spans="1:7" ht="15" customHeight="1">
      <c r="A352" t="str">
        <f ca="1">IF(AND(Calculations!$B$6, E352=""), F352, "")</f>
        <v/>
      </c>
      <c r="B352" t="s">
        <v>476</v>
      </c>
      <c r="C352" t="str">
        <f ca="1">INDIRECT($F$291 &amp; ADDRESS(B350, 1,4  ))</f>
        <v>Contractor Construction Contingency</v>
      </c>
      <c r="D352" t="str">
        <f>ADDRESS(B350, 4,4  )</f>
        <v>D20</v>
      </c>
      <c r="E352">
        <f t="shared" ca="1" si="180"/>
        <v>0</v>
      </c>
      <c r="F352" t="str">
        <f ca="1">CONCATENATE("Enter an '9% LIHTC Basis Calculation' value for '", C352, "' in cell ", D352, ".", CHAR(10))</f>
        <v xml:space="preserve">Enter an '9% LIHTC Basis Calculation' value for 'Contractor Construction Contingency' in cell D20.
</v>
      </c>
      <c r="G352" s="9" t="str">
        <f t="shared" ca="1" si="178"/>
        <v xml:space="preserve">The total of development budget in column B must be greater than zero.
</v>
      </c>
    </row>
    <row r="353" spans="1:8" ht="15" customHeight="1">
      <c r="A353" t="str">
        <f ca="1">IF(AND(OR(Calculations!$B$3:$B$4), E353=""), F353, "")</f>
        <v/>
      </c>
      <c r="B353" t="s">
        <v>476</v>
      </c>
      <c r="C353" t="str">
        <f ca="1">INDIRECT($F$291 &amp; ADDRESS(B350, 1,4  ))</f>
        <v>Contractor Construction Contingency</v>
      </c>
      <c r="D353" t="str">
        <f>ADDRESS(B350, 5,4  )</f>
        <v>E20</v>
      </c>
      <c r="E353">
        <f t="shared" ca="1" si="180"/>
        <v>0</v>
      </c>
      <c r="F353" t="str">
        <f ca="1">CONCATENATE("Enter an 'Amount Last Provided to CHFA' value for '", C353, "' in cell ", D353, ".", CHAR(10))</f>
        <v xml:space="preserve">Enter an 'Amount Last Provided to CHFA' value for 'Contractor Construction Contingency' in cell E20.
</v>
      </c>
      <c r="G353" s="9" t="str">
        <f t="shared" ca="1" si="178"/>
        <v xml:space="preserve">The total of development budget in column B must be greater than zero.
</v>
      </c>
    </row>
    <row r="354" spans="1:8" ht="15" customHeight="1">
      <c r="A354" t="str">
        <f ca="1">IF(AND(Calculations!$B$3, E354=""), F354, "")</f>
        <v/>
      </c>
      <c r="B354" t="s">
        <v>476</v>
      </c>
      <c r="C354" t="str">
        <f ca="1">INDIRECT($F$291 &amp; ADDRESS(B350, 1,4  ))</f>
        <v>Contractor Construction Contingency</v>
      </c>
      <c r="D354" t="str">
        <f>ADDRESS(B350, 6,4  )</f>
        <v>F20</v>
      </c>
      <c r="E354">
        <f t="shared" ca="1" si="180"/>
        <v>0</v>
      </c>
      <c r="F354" t="str">
        <f ca="1">CONCATENATE("Enter a '10% Carryover Actual Incurred Costs' value for '", C354, "' in cell ", D354, ".", CHAR(10))</f>
        <v xml:space="preserve">Enter a '10% Carryover Actual Incurred Costs' value for 'Contractor Construction Contingency' in cell F20.
</v>
      </c>
      <c r="G354" s="9" t="str">
        <f t="shared" ca="1" si="178"/>
        <v xml:space="preserve">The total of development budget in column B must be greater than zero.
</v>
      </c>
    </row>
    <row r="355" spans="1:8" ht="15" customHeight="1">
      <c r="A355" t="str">
        <f ca="1">IF(E355="", F355, "")</f>
        <v/>
      </c>
      <c r="B355" s="52">
        <f>B350+1</f>
        <v>21</v>
      </c>
      <c r="C355" t="str">
        <f ca="1">INDIRECT($F$291 &amp; ADDRESS(B355, 1,4  ))</f>
        <v>Owner Hard Cost Contingency</v>
      </c>
      <c r="D355" t="str">
        <f>ADDRESS(B355, 2,4  )</f>
        <v>B21</v>
      </c>
      <c r="E355">
        <f t="shared" ca="1" si="180"/>
        <v>0</v>
      </c>
      <c r="F355" t="str">
        <f ca="1">CONCATENATE("Enter a value for '", C355, "' in cell ", D355, ".", CHAR(10))</f>
        <v xml:space="preserve">Enter a value for 'Owner Hard Cost Contingency' in cell B21.
</v>
      </c>
      <c r="G355" s="9" t="str">
        <f t="shared" ca="1" si="178"/>
        <v xml:space="preserve">The total of development budget in column B must be greater than zero.
</v>
      </c>
    </row>
    <row r="356" spans="1:8" ht="15" customHeight="1">
      <c r="A356" t="str">
        <f ca="1">IF(AND(Calculations!$B$5, E356=""), F356, "")</f>
        <v/>
      </c>
      <c r="B356" t="s">
        <v>476</v>
      </c>
      <c r="C356" t="str">
        <f ca="1">INDIRECT($F$291 &amp; ADDRESS(B355, 1,4  ))</f>
        <v>Owner Hard Cost Contingency</v>
      </c>
      <c r="D356" t="str">
        <f>ADDRESS(B355, 3,4  )</f>
        <v>C21</v>
      </c>
      <c r="E356">
        <f t="shared" ca="1" si="180"/>
        <v>0</v>
      </c>
      <c r="F356" t="str">
        <f ca="1">CONCATENATE("Enter an '4% LIHTC Basis Calculation' value for '", C356, "' in cell ", D356, ".", CHAR(10))</f>
        <v xml:space="preserve">Enter an '4% LIHTC Basis Calculation' value for 'Owner Hard Cost Contingency' in cell C21.
</v>
      </c>
      <c r="G356" s="9" t="str">
        <f t="shared" ref="G356:G419" ca="1" si="181">OFFSET(G356, -1, 0) &amp; A356</f>
        <v xml:space="preserve">The total of development budget in column B must be greater than zero.
</v>
      </c>
    </row>
    <row r="357" spans="1:8" ht="15" customHeight="1">
      <c r="A357" t="str">
        <f ca="1">IF(AND(Calculations!$B$6, E357=""), F357, "")</f>
        <v/>
      </c>
      <c r="B357" t="s">
        <v>476</v>
      </c>
      <c r="C357" t="str">
        <f ca="1">INDIRECT($F$291 &amp; ADDRESS(B355, 1,4  ))</f>
        <v>Owner Hard Cost Contingency</v>
      </c>
      <c r="D357" t="str">
        <f>ADDRESS(B355, 4,4  )</f>
        <v>D21</v>
      </c>
      <c r="E357">
        <f t="shared" ca="1" si="180"/>
        <v>0</v>
      </c>
      <c r="F357" t="str">
        <f ca="1">CONCATENATE("Enter an '9% LIHTC Basis Calculation' value for '", C357, "' in cell ", D357, ".", CHAR(10))</f>
        <v xml:space="preserve">Enter an '9% LIHTC Basis Calculation' value for 'Owner Hard Cost Contingency' in cell D21.
</v>
      </c>
      <c r="G357" s="9" t="str">
        <f t="shared" ca="1" si="181"/>
        <v xml:space="preserve">The total of development budget in column B must be greater than zero.
</v>
      </c>
    </row>
    <row r="358" spans="1:8" ht="15" customHeight="1">
      <c r="A358" t="str">
        <f ca="1">IF(AND(OR(Calculations!$B$3:$B$4), E358=""), F358, "")</f>
        <v/>
      </c>
      <c r="B358" t="s">
        <v>476</v>
      </c>
      <c r="C358" t="str">
        <f ca="1">INDIRECT($F$291 &amp; ADDRESS(B355, 1,4  ))</f>
        <v>Owner Hard Cost Contingency</v>
      </c>
      <c r="D358" t="str">
        <f>ADDRESS(B355, 5,4  )</f>
        <v>E21</v>
      </c>
      <c r="E358">
        <f t="shared" ca="1" si="180"/>
        <v>0</v>
      </c>
      <c r="F358" t="str">
        <f ca="1">CONCATENATE("Enter an 'Amount Last Provided to CHFA' value for '", C358, "' in cell ", D358, ".", CHAR(10))</f>
        <v xml:space="preserve">Enter an 'Amount Last Provided to CHFA' value for 'Owner Hard Cost Contingency' in cell E21.
</v>
      </c>
      <c r="G358" s="9" t="str">
        <f t="shared" ca="1" si="181"/>
        <v xml:space="preserve">The total of development budget in column B must be greater than zero.
</v>
      </c>
    </row>
    <row r="359" spans="1:8" ht="15" customHeight="1">
      <c r="A359" t="str">
        <f ca="1">IF(AND(Calculations!$B$3, E359=""), F359, "")</f>
        <v/>
      </c>
      <c r="B359" t="s">
        <v>476</v>
      </c>
      <c r="C359" t="str">
        <f ca="1">INDIRECT($F$291 &amp; ADDRESS(B355, 1,4  ))</f>
        <v>Owner Hard Cost Contingency</v>
      </c>
      <c r="D359" t="str">
        <f>ADDRESS(B355, 6,4  )</f>
        <v>F21</v>
      </c>
      <c r="E359">
        <f t="shared" ca="1" si="180"/>
        <v>0</v>
      </c>
      <c r="F359" t="str">
        <f ca="1">CONCATENATE("Enter a '10% Carryover Actual Incurred Costs' value for '", C359, "' in cell ", D359, ".", CHAR(10))</f>
        <v xml:space="preserve">Enter a '10% Carryover Actual Incurred Costs' value for 'Owner Hard Cost Contingency' in cell F21.
</v>
      </c>
      <c r="G359" s="9" t="str">
        <f t="shared" ca="1" si="181"/>
        <v xml:space="preserve">The total of development budget in column B must be greater than zero.
</v>
      </c>
    </row>
    <row r="360" spans="1:8" ht="15" customHeight="1">
      <c r="A360" t="str">
        <f ca="1">IF(E360="", F360, "")</f>
        <v/>
      </c>
      <c r="B360" s="52">
        <f>B355+1</f>
        <v>22</v>
      </c>
      <c r="C360" t="str">
        <f ca="1">INDIRECT($F$291 &amp; ADDRESS(B360, 1,4  ))</f>
        <v>Furniture, Fixtures, &amp; Equipment</v>
      </c>
      <c r="D360" t="str">
        <f>ADDRESS(B360, 2,4  )</f>
        <v>B22</v>
      </c>
      <c r="E360">
        <f t="shared" ca="1" si="180"/>
        <v>0</v>
      </c>
      <c r="F360" t="str">
        <f ca="1">CONCATENATE("Enter a value for '", C360, "' in cell ", D360, ".", CHAR(10))</f>
        <v xml:space="preserve">Enter a value for 'Furniture, Fixtures, &amp; Equipment' in cell B22.
</v>
      </c>
      <c r="G360" s="9" t="str">
        <f t="shared" ca="1" si="181"/>
        <v xml:space="preserve">The total of development budget in column B must be greater than zero.
</v>
      </c>
    </row>
    <row r="361" spans="1:8" ht="15" customHeight="1">
      <c r="A361" t="str">
        <f ca="1">IF(AND(Calculations!$B$5, E361=""), F361, "")</f>
        <v/>
      </c>
      <c r="B361" t="s">
        <v>476</v>
      </c>
      <c r="C361" t="str">
        <f ca="1">INDIRECT($F$291 &amp; ADDRESS(B360, 1,4  ))</f>
        <v>Furniture, Fixtures, &amp; Equipment</v>
      </c>
      <c r="D361" t="str">
        <f>ADDRESS(B360, 3,4  )</f>
        <v>C22</v>
      </c>
      <c r="E361">
        <f t="shared" ref="E361:E374" ca="1" si="182">IF(ISBLANK( INDIRECT($F$291 &amp; D361)),"", INDIRECT($F$291 &amp; D361))</f>
        <v>0</v>
      </c>
      <c r="F361" t="str">
        <f ca="1">CONCATENATE("Enter an '4% LIHTC Basis Calculation' value for '", C361, "' in cell ", D361, ".", CHAR(10))</f>
        <v xml:space="preserve">Enter an '4% LIHTC Basis Calculation' value for 'Furniture, Fixtures, &amp; Equipment' in cell C22.
</v>
      </c>
      <c r="G361" s="9" t="str">
        <f t="shared" ca="1" si="181"/>
        <v xml:space="preserve">The total of development budget in column B must be greater than zero.
</v>
      </c>
    </row>
    <row r="362" spans="1:8" ht="15" customHeight="1">
      <c r="A362" t="str">
        <f ca="1">IF(AND(Calculations!$B$6, E362=""), F362, "")</f>
        <v/>
      </c>
      <c r="B362" t="s">
        <v>476</v>
      </c>
      <c r="C362" t="str">
        <f ca="1">INDIRECT($F$291 &amp; ADDRESS(B360, 1,4  ))</f>
        <v>Furniture, Fixtures, &amp; Equipment</v>
      </c>
      <c r="D362" t="str">
        <f>ADDRESS(B360, 4,4  )</f>
        <v>D22</v>
      </c>
      <c r="E362">
        <f t="shared" ca="1" si="182"/>
        <v>0</v>
      </c>
      <c r="F362" t="str">
        <f ca="1">CONCATENATE("Enter an '9% LIHTC Basis Calculation' value for '", C362, "' in cell ", D362, ".", CHAR(10))</f>
        <v xml:space="preserve">Enter an '9% LIHTC Basis Calculation' value for 'Furniture, Fixtures, &amp; Equipment' in cell D22.
</v>
      </c>
      <c r="G362" s="9" t="str">
        <f t="shared" ca="1" si="181"/>
        <v xml:space="preserve">The total of development budget in column B must be greater than zero.
</v>
      </c>
    </row>
    <row r="363" spans="1:8" ht="15" customHeight="1">
      <c r="A363" t="str">
        <f ca="1">IF(AND(OR(Calculations!$B$3:$B$4), E363=""), F363, "")</f>
        <v/>
      </c>
      <c r="B363" t="s">
        <v>476</v>
      </c>
      <c r="C363" t="str">
        <f ca="1">INDIRECT($F$291 &amp; ADDRESS(B360, 1,4  ))</f>
        <v>Furniture, Fixtures, &amp; Equipment</v>
      </c>
      <c r="D363" t="str">
        <f>ADDRESS(B360, 5,4  )</f>
        <v>E22</v>
      </c>
      <c r="E363">
        <f t="shared" ca="1" si="182"/>
        <v>0</v>
      </c>
      <c r="F363" t="str">
        <f ca="1">CONCATENATE("Enter an 'Amount Last Provided to CHFA' value for '", C363, "' in cell ", D363, ".", CHAR(10))</f>
        <v xml:space="preserve">Enter an 'Amount Last Provided to CHFA' value for 'Furniture, Fixtures, &amp; Equipment' in cell E22.
</v>
      </c>
      <c r="G363" s="9" t="str">
        <f t="shared" ca="1" si="181"/>
        <v xml:space="preserve">The total of development budget in column B must be greater than zero.
</v>
      </c>
    </row>
    <row r="364" spans="1:8" ht="15" customHeight="1">
      <c r="A364" t="str">
        <f ca="1">IF(AND(Calculations!$B$3, E364=""), F364, "")</f>
        <v/>
      </c>
      <c r="B364" t="s">
        <v>476</v>
      </c>
      <c r="C364" t="str">
        <f ca="1">INDIRECT($F$291 &amp; ADDRESS(B360, 1,4  ))</f>
        <v>Furniture, Fixtures, &amp; Equipment</v>
      </c>
      <c r="D364" t="str">
        <f>ADDRESS(B360, 6,4  )</f>
        <v>F22</v>
      </c>
      <c r="E364">
        <f t="shared" ca="1" si="182"/>
        <v>0</v>
      </c>
      <c r="F364" t="str">
        <f ca="1">CONCATENATE("Enter a '10% Carryover Actual Incurred Costs' value for '", C364, "' in cell ", D364, ".", CHAR(10))</f>
        <v xml:space="preserve">Enter a '10% Carryover Actual Incurred Costs' value for 'Furniture, Fixtures, &amp; Equipment' in cell F22.
</v>
      </c>
      <c r="G364" s="9" t="str">
        <f t="shared" ca="1" si="181"/>
        <v xml:space="preserve">The total of development budget in column B must be greater than zero.
</v>
      </c>
    </row>
    <row r="365" spans="1:8" ht="15" customHeight="1">
      <c r="A365" t="str">
        <f ca="1">IF(E365="", F365, "")</f>
        <v/>
      </c>
      <c r="B365" s="52">
        <f>B360+1</f>
        <v>23</v>
      </c>
      <c r="C365" t="str">
        <f ca="1">INDIRECT($F$291 &amp; ADDRESS(B365, 1,4  ))</f>
        <v>Building Permits</v>
      </c>
      <c r="D365" t="str">
        <f>ADDRESS(B365, 2,4  )</f>
        <v>B23</v>
      </c>
      <c r="E365">
        <f t="shared" ca="1" si="182"/>
        <v>0</v>
      </c>
      <c r="F365" t="str">
        <f ca="1">CONCATENATE("Enter a value for '", C365, "' in cell ", D365, ".", CHAR(10))</f>
        <v xml:space="preserve">Enter a value for 'Building Permits' in cell B23.
</v>
      </c>
      <c r="G365" s="9" t="str">
        <f t="shared" ca="1" si="181"/>
        <v xml:space="preserve">The total of development budget in column B must be greater than zero.
</v>
      </c>
      <c r="H365" t="s">
        <v>3872</v>
      </c>
    </row>
    <row r="366" spans="1:8" ht="15" customHeight="1">
      <c r="A366" t="str">
        <f ca="1">IF(AND(Calculations!$B$5, E366=""), F366, "")</f>
        <v/>
      </c>
      <c r="B366" t="s">
        <v>476</v>
      </c>
      <c r="C366" t="str">
        <f ca="1">INDIRECT($F$291 &amp; ADDRESS(B365, 1,4  ))</f>
        <v>Building Permits</v>
      </c>
      <c r="D366" t="str">
        <f>ADDRESS(B365, 3,4  )</f>
        <v>C23</v>
      </c>
      <c r="E366">
        <f t="shared" ca="1" si="182"/>
        <v>0</v>
      </c>
      <c r="F366" t="str">
        <f ca="1">CONCATENATE("Enter an '4% LIHTC Basis Calculation' value for '", C366, "' in cell ", D366, ".", CHAR(10))</f>
        <v xml:space="preserve">Enter an '4% LIHTC Basis Calculation' value for 'Building Permits' in cell C23.
</v>
      </c>
      <c r="G366" s="9" t="str">
        <f t="shared" ca="1" si="181"/>
        <v xml:space="preserve">The total of development budget in column B must be greater than zero.
</v>
      </c>
    </row>
    <row r="367" spans="1:8" ht="15" customHeight="1">
      <c r="A367" t="str">
        <f ca="1">IF(AND(Calculations!$B$6, E367=""), F367, "")</f>
        <v/>
      </c>
      <c r="B367" t="s">
        <v>476</v>
      </c>
      <c r="C367" t="str">
        <f ca="1">INDIRECT($F$291 &amp; ADDRESS(B365, 1,4  ))</f>
        <v>Building Permits</v>
      </c>
      <c r="D367" t="str">
        <f>ADDRESS(B365, 4,4  )</f>
        <v>D23</v>
      </c>
      <c r="E367">
        <f t="shared" ca="1" si="182"/>
        <v>0</v>
      </c>
      <c r="F367" t="str">
        <f ca="1">CONCATENATE("Enter an '9% LIHTC Basis Calculation' value for '", C367, "' in cell ", D367, ".", CHAR(10))</f>
        <v xml:space="preserve">Enter an '9% LIHTC Basis Calculation' value for 'Building Permits' in cell D23.
</v>
      </c>
      <c r="G367" s="9" t="str">
        <f t="shared" ca="1" si="181"/>
        <v xml:space="preserve">The total of development budget in column B must be greater than zero.
</v>
      </c>
    </row>
    <row r="368" spans="1:8" ht="15" customHeight="1">
      <c r="A368" t="str">
        <f ca="1">IF(AND(OR(Calculations!$B$3:$B$4), E368=""), F368, "")</f>
        <v/>
      </c>
      <c r="B368" t="s">
        <v>476</v>
      </c>
      <c r="C368" t="str">
        <f ca="1">INDIRECT($F$291 &amp; ADDRESS(B365, 1,4  ))</f>
        <v>Building Permits</v>
      </c>
      <c r="D368" t="str">
        <f>ADDRESS(B365, 5,4  )</f>
        <v>E23</v>
      </c>
      <c r="E368">
        <f t="shared" ca="1" si="182"/>
        <v>0</v>
      </c>
      <c r="F368" t="str">
        <f ca="1">CONCATENATE("Enter an 'Amount Last Provided to CHFA' value for '", C368, "' in cell ", D368, ".", CHAR(10))</f>
        <v xml:space="preserve">Enter an 'Amount Last Provided to CHFA' value for 'Building Permits' in cell E23.
</v>
      </c>
      <c r="G368" s="9" t="str">
        <f t="shared" ca="1" si="181"/>
        <v xml:space="preserve">The total of development budget in column B must be greater than zero.
</v>
      </c>
    </row>
    <row r="369" spans="1:7" ht="15" customHeight="1">
      <c r="A369" t="str">
        <f ca="1">IF(AND(Calculations!$B$3, E369=""), F369, "")</f>
        <v/>
      </c>
      <c r="B369" t="s">
        <v>476</v>
      </c>
      <c r="C369" t="str">
        <f ca="1">INDIRECT($F$291 &amp; ADDRESS(B365, 1,4  ))</f>
        <v>Building Permits</v>
      </c>
      <c r="D369" t="str">
        <f>ADDRESS(B365, 6,4  )</f>
        <v>F23</v>
      </c>
      <c r="E369">
        <f t="shared" ca="1" si="182"/>
        <v>0</v>
      </c>
      <c r="F369" t="str">
        <f ca="1">CONCATENATE("Enter a '10% Carryover Actual Incurred Costs' value for '", C369, "' in cell ", D369, ".", CHAR(10))</f>
        <v xml:space="preserve">Enter a '10% Carryover Actual Incurred Costs' value for 'Building Permits' in cell F23.
</v>
      </c>
      <c r="G369" s="9" t="str">
        <f t="shared" ca="1" si="181"/>
        <v xml:space="preserve">The total of development budget in column B must be greater than zero.
</v>
      </c>
    </row>
    <row r="370" spans="1:7" ht="15" customHeight="1">
      <c r="A370" t="str">
        <f ca="1">IF(E370="", F370, "")</f>
        <v/>
      </c>
      <c r="B370" s="52">
        <f>B365+1</f>
        <v>24</v>
      </c>
      <c r="C370" t="str">
        <f ca="1">INDIRECT($F$291 &amp; ADDRESS(B370, 1,4  ))</f>
        <v>Other (Specify)</v>
      </c>
      <c r="D370" t="str">
        <f>ADDRESS(B370, 2,4  )</f>
        <v>B24</v>
      </c>
      <c r="E370">
        <f t="shared" ca="1" si="182"/>
        <v>0</v>
      </c>
      <c r="F370" t="str">
        <f ca="1">CONCATENATE("Enter a value for '", C370, "' in cell ", D370, ".", CHAR(10))</f>
        <v xml:space="preserve">Enter a value for 'Other (Specify)' in cell B24.
</v>
      </c>
      <c r="G370" s="9" t="str">
        <f t="shared" ca="1" si="181"/>
        <v xml:space="preserve">The total of development budget in column B must be greater than zero.
</v>
      </c>
    </row>
    <row r="371" spans="1:7" ht="15" customHeight="1">
      <c r="A371" t="str">
        <f ca="1">IF(AND(Calculations!$B$5, E371=""), F371, "")</f>
        <v/>
      </c>
      <c r="B371" t="s">
        <v>476</v>
      </c>
      <c r="C371" t="str">
        <f ca="1">INDIRECT($F$291 &amp; ADDRESS(B370, 1,4  ))</f>
        <v>Other (Specify)</v>
      </c>
      <c r="D371" t="str">
        <f>ADDRESS(B370, 3,4  )</f>
        <v>C24</v>
      </c>
      <c r="E371">
        <f t="shared" ca="1" si="182"/>
        <v>0</v>
      </c>
      <c r="F371" t="str">
        <f ca="1">CONCATENATE("Enter an '4% LIHTC Basis Calculation' value for '", C371, "' in cell ", D371, ".", CHAR(10))</f>
        <v xml:space="preserve">Enter an '4% LIHTC Basis Calculation' value for 'Other (Specify)' in cell C24.
</v>
      </c>
      <c r="G371" s="9" t="str">
        <f t="shared" ca="1" si="181"/>
        <v xml:space="preserve">The total of development budget in column B must be greater than zero.
</v>
      </c>
    </row>
    <row r="372" spans="1:7" ht="15" customHeight="1">
      <c r="A372" t="str">
        <f ca="1">IF(AND(Calculations!$B$6, E372=""), F372, "")</f>
        <v/>
      </c>
      <c r="B372" t="s">
        <v>476</v>
      </c>
      <c r="C372" t="str">
        <f ca="1">INDIRECT($F$291 &amp; ADDRESS(B370, 1,4  ))</f>
        <v>Other (Specify)</v>
      </c>
      <c r="D372" t="str">
        <f>ADDRESS(B370, 4,4  )</f>
        <v>D24</v>
      </c>
      <c r="E372">
        <f t="shared" ca="1" si="182"/>
        <v>0</v>
      </c>
      <c r="F372" t="str">
        <f ca="1">CONCATENATE("Enter an '9% LIHTC Basis Calculation' value for '", C372, "' in cell ", D372, ".", CHAR(10))</f>
        <v xml:space="preserve">Enter an '9% LIHTC Basis Calculation' value for 'Other (Specify)' in cell D24.
</v>
      </c>
      <c r="G372" s="9" t="str">
        <f t="shared" ca="1" si="181"/>
        <v xml:space="preserve">The total of development budget in column B must be greater than zero.
</v>
      </c>
    </row>
    <row r="373" spans="1:7" ht="15" customHeight="1">
      <c r="A373" t="str">
        <f ca="1">IF(AND(OR(Calculations!$B$3:$B$4), E373=""), F373, "")</f>
        <v/>
      </c>
      <c r="B373" t="s">
        <v>476</v>
      </c>
      <c r="C373" t="str">
        <f ca="1">INDIRECT($F$291 &amp; ADDRESS(B370, 1,4  ))</f>
        <v>Other (Specify)</v>
      </c>
      <c r="D373" t="str">
        <f>ADDRESS(B370, 5,4  )</f>
        <v>E24</v>
      </c>
      <c r="E373">
        <f t="shared" ca="1" si="182"/>
        <v>0</v>
      </c>
      <c r="F373" t="str">
        <f ca="1">CONCATENATE("Enter an 'Amount Last Provided to CHFA' value for '", C373, "' in cell ", D373, ".", CHAR(10))</f>
        <v xml:space="preserve">Enter an 'Amount Last Provided to CHFA' value for 'Other (Specify)' in cell E24.
</v>
      </c>
      <c r="G373" s="9" t="str">
        <f t="shared" ca="1" si="181"/>
        <v xml:space="preserve">The total of development budget in column B must be greater than zero.
</v>
      </c>
    </row>
    <row r="374" spans="1:7" ht="15" customHeight="1">
      <c r="A374" t="str">
        <f ca="1">IF(AND(Calculations!$B$3, E374=""), F374, "")</f>
        <v/>
      </c>
      <c r="B374" t="s">
        <v>476</v>
      </c>
      <c r="C374" t="str">
        <f ca="1">INDIRECT($F$291 &amp; ADDRESS(B370, 1,4  ))</f>
        <v>Other (Specify)</v>
      </c>
      <c r="D374" t="str">
        <f>ADDRESS(B370, 6,4  )</f>
        <v>F24</v>
      </c>
      <c r="E374">
        <f t="shared" ca="1" si="182"/>
        <v>0</v>
      </c>
      <c r="F374" t="str">
        <f ca="1">CONCATENATE("Enter a '10% Carryover Actual Incurred Costs' value for '", C374, "' in cell ", D374, ".", CHAR(10))</f>
        <v xml:space="preserve">Enter a '10% Carryover Actual Incurred Costs' value for 'Other (Specify)' in cell F24.
</v>
      </c>
      <c r="G374" s="9" t="str">
        <f t="shared" ca="1" si="181"/>
        <v xml:space="preserve">The total of development budget in column B must be greater than zero.
</v>
      </c>
    </row>
    <row r="375" spans="1:7" ht="15" customHeight="1">
      <c r="A375" t="str">
        <f ca="1">IF(AND(E375, SUM(E370:E374) &gt; 0), F375, "")</f>
        <v/>
      </c>
      <c r="C375" t="str">
        <f ca="1">INDIRECT($F$291 &amp; ADDRESS(B370, 1,4  ))</f>
        <v>Other (Specify)</v>
      </c>
      <c r="D375" t="str">
        <f>ADDRESS(B370, 1,4  )</f>
        <v>A24</v>
      </c>
      <c r="E375" t="b">
        <f ca="1">INDIRECT($F$291 &amp; D375)="Other (specify)"</f>
        <v>1</v>
      </c>
      <c r="F375" t="str">
        <f ca="1">CONCATENATE("Please specify value for '", C375, "' in cell ", D375, ".", CHAR(10))</f>
        <v xml:space="preserve">Please specify value for 'Other (Specify)' in cell A24.
</v>
      </c>
      <c r="G375" s="9" t="str">
        <f t="shared" ca="1" si="181"/>
        <v xml:space="preserve">The total of development budget in column B must be greater than zero.
</v>
      </c>
    </row>
    <row r="376" spans="1:7" ht="15" customHeight="1">
      <c r="A376" t="str">
        <f ca="1">IF(E376="", F376, "")</f>
        <v/>
      </c>
      <c r="B376" s="52">
        <f>B370+1</f>
        <v>25</v>
      </c>
      <c r="C376" t="str">
        <f ca="1">INDIRECT($F$291 &amp; ADDRESS(B376, 1,4  ))</f>
        <v>Other (Specify)</v>
      </c>
      <c r="D376" t="str">
        <f>ADDRESS(B376, 2,4  )</f>
        <v>B25</v>
      </c>
      <c r="E376">
        <f ca="1">IF(ISBLANK( INDIRECT($F$291 &amp; D376)),"", INDIRECT($F$291 &amp; D376))</f>
        <v>0</v>
      </c>
      <c r="F376" t="str">
        <f ca="1">CONCATENATE("Enter a value for '", C376, "' in cell ", D376, ".", CHAR(10))</f>
        <v xml:space="preserve">Enter a value for 'Other (Specify)' in cell B25.
</v>
      </c>
      <c r="G376" s="9" t="str">
        <f t="shared" ca="1" si="181"/>
        <v xml:space="preserve">The total of development budget in column B must be greater than zero.
</v>
      </c>
    </row>
    <row r="377" spans="1:7" ht="15" customHeight="1">
      <c r="A377" t="str">
        <f ca="1">IF(AND(Calculations!$B$5, E377=""), F377, "")</f>
        <v/>
      </c>
      <c r="B377" t="s">
        <v>476</v>
      </c>
      <c r="C377" t="str">
        <f ca="1">INDIRECT($F$291 &amp; ADDRESS(B376, 1,4  ))</f>
        <v>Other (Specify)</v>
      </c>
      <c r="D377" t="str">
        <f>ADDRESS(B376, 3,4  )</f>
        <v>C25</v>
      </c>
      <c r="E377">
        <f ca="1">IF(ISBLANK( INDIRECT($F$291 &amp; D377)),"", INDIRECT($F$291 &amp; D377))</f>
        <v>0</v>
      </c>
      <c r="F377" t="str">
        <f ca="1">CONCATENATE("Enter an '4% LIHTC Basis Calculation' value for '", C377, "' in cell ", D377, ".", CHAR(10))</f>
        <v xml:space="preserve">Enter an '4% LIHTC Basis Calculation' value for 'Other (Specify)' in cell C25.
</v>
      </c>
      <c r="G377" s="9" t="str">
        <f t="shared" ca="1" si="181"/>
        <v xml:space="preserve">The total of development budget in column B must be greater than zero.
</v>
      </c>
    </row>
    <row r="378" spans="1:7" ht="15" customHeight="1">
      <c r="A378" t="str">
        <f ca="1">IF(AND(Calculations!$B$6, E378=""), F378, "")</f>
        <v/>
      </c>
      <c r="B378" t="s">
        <v>476</v>
      </c>
      <c r="C378" t="str">
        <f ca="1">INDIRECT($F$291 &amp; ADDRESS(B376, 1,4  ))</f>
        <v>Other (Specify)</v>
      </c>
      <c r="D378" t="str">
        <f>ADDRESS(B376, 4,4  )</f>
        <v>D25</v>
      </c>
      <c r="E378">
        <f ca="1">IF(ISBLANK( INDIRECT($F$291 &amp; D378)),"", INDIRECT($F$291 &amp; D378))</f>
        <v>0</v>
      </c>
      <c r="F378" t="str">
        <f ca="1">CONCATENATE("Enter an '9% LIHTC Basis Calculation' value for '", C378, "' in cell ", D378, ".", CHAR(10))</f>
        <v xml:space="preserve">Enter an '9% LIHTC Basis Calculation' value for 'Other (Specify)' in cell D25.
</v>
      </c>
      <c r="G378" s="9" t="str">
        <f t="shared" ca="1" si="181"/>
        <v xml:space="preserve">The total of development budget in column B must be greater than zero.
</v>
      </c>
    </row>
    <row r="379" spans="1:7" ht="15" customHeight="1">
      <c r="A379" t="str">
        <f ca="1">IF(AND(OR(Calculations!$B$3:$B$4), E379=""), F379, "")</f>
        <v/>
      </c>
      <c r="B379" t="s">
        <v>476</v>
      </c>
      <c r="C379" t="str">
        <f ca="1">INDIRECT($F$291 &amp; ADDRESS(B376, 1,4  ))</f>
        <v>Other (Specify)</v>
      </c>
      <c r="D379" t="str">
        <f>ADDRESS(B376, 5,4  )</f>
        <v>E25</v>
      </c>
      <c r="E379">
        <f ca="1">IF(ISBLANK( INDIRECT($F$291 &amp; D379)),"", INDIRECT($F$291 &amp; D379))</f>
        <v>0</v>
      </c>
      <c r="F379" t="str">
        <f ca="1">CONCATENATE("Enter an 'Amount Last Provided to CHFA' value for '", C379, "' in cell ", D379, ".", CHAR(10))</f>
        <v xml:space="preserve">Enter an 'Amount Last Provided to CHFA' value for 'Other (Specify)' in cell E25.
</v>
      </c>
      <c r="G379" s="9" t="str">
        <f t="shared" ca="1" si="181"/>
        <v xml:space="preserve">The total of development budget in column B must be greater than zero.
</v>
      </c>
    </row>
    <row r="380" spans="1:7" ht="15" customHeight="1">
      <c r="A380" t="str">
        <f ca="1">IF(AND(Calculations!$B$3, E380=""), F380, "")</f>
        <v/>
      </c>
      <c r="B380" t="s">
        <v>476</v>
      </c>
      <c r="C380" t="str">
        <f ca="1">INDIRECT($F$291 &amp; ADDRESS(B376, 1,4  ))</f>
        <v>Other (Specify)</v>
      </c>
      <c r="D380" t="str">
        <f>ADDRESS(B376, 6,4  )</f>
        <v>F25</v>
      </c>
      <c r="E380">
        <f ca="1">IF(ISBLANK( INDIRECT($F$291 &amp; D380)),"", INDIRECT($F$291 &amp; D380))</f>
        <v>0</v>
      </c>
      <c r="F380" t="str">
        <f ca="1">CONCATENATE("Enter a '10% Carryover Actual Incurred Costs' value for '", C380, "' in cell ", D380, ".", CHAR(10))</f>
        <v xml:space="preserve">Enter a '10% Carryover Actual Incurred Costs' value for 'Other (Specify)' in cell F25.
</v>
      </c>
      <c r="G380" s="9" t="str">
        <f t="shared" ca="1" si="181"/>
        <v xml:space="preserve">The total of development budget in column B must be greater than zero.
</v>
      </c>
    </row>
    <row r="381" spans="1:7" ht="15" customHeight="1">
      <c r="A381" t="str">
        <f ca="1">IF(AND(E381, SUM(E376:E380) &gt; 0), F381, "")</f>
        <v/>
      </c>
      <c r="C381" t="str">
        <f ca="1">INDIRECT($F$291 &amp; ADDRESS(B376, 1,4  ))</f>
        <v>Other (Specify)</v>
      </c>
      <c r="D381" t="str">
        <f>ADDRESS(B376, 1,4  )</f>
        <v>A25</v>
      </c>
      <c r="E381" t="b">
        <f ca="1">INDIRECT($F$291 &amp; D381)="Other (specify)"</f>
        <v>1</v>
      </c>
      <c r="F381" t="str">
        <f ca="1">CONCATENATE("Please specify value for '", C381, "' in cell ", D381, ".", CHAR(10))</f>
        <v xml:space="preserve">Please specify value for 'Other (Specify)' in cell A25.
</v>
      </c>
      <c r="G381" s="9" t="str">
        <f t="shared" ca="1" si="181"/>
        <v xml:space="preserve">The total of development budget in column B must be greater than zero.
</v>
      </c>
    </row>
    <row r="382" spans="1:7" ht="15" customHeight="1">
      <c r="A382" t="str">
        <f ca="1">IF(E382="", F382, "")</f>
        <v/>
      </c>
      <c r="B382" s="52">
        <f>B376+1</f>
        <v>26</v>
      </c>
      <c r="C382" t="str">
        <f ca="1">INDIRECT($F$291 &amp; ADDRESS(B382, 1,4  ))</f>
        <v>Other (Specify)</v>
      </c>
      <c r="D382" t="str">
        <f>ADDRESS(B382, 2,4  )</f>
        <v>B26</v>
      </c>
      <c r="E382">
        <f ca="1">IF(ISBLANK( INDIRECT($F$291 &amp; D382)),"", INDIRECT($F$291 &amp; D382))</f>
        <v>0</v>
      </c>
      <c r="F382" t="str">
        <f ca="1">CONCATENATE("Enter a value for '", C382, "' in cell ", D382, ".", CHAR(10))</f>
        <v xml:space="preserve">Enter a value for 'Other (Specify)' in cell B26.
</v>
      </c>
      <c r="G382" s="9" t="str">
        <f t="shared" ca="1" si="181"/>
        <v xml:space="preserve">The total of development budget in column B must be greater than zero.
</v>
      </c>
    </row>
    <row r="383" spans="1:7" ht="15" customHeight="1">
      <c r="A383" t="str">
        <f ca="1">IF(AND(Calculations!$B$5, E383=""), F383, "")</f>
        <v/>
      </c>
      <c r="B383" t="s">
        <v>476</v>
      </c>
      <c r="C383" t="str">
        <f ca="1">INDIRECT($F$291 &amp; ADDRESS(B382, 1,4  ))</f>
        <v>Other (Specify)</v>
      </c>
      <c r="D383" t="str">
        <f>ADDRESS(B382, 3,4  )</f>
        <v>C26</v>
      </c>
      <c r="E383">
        <f ca="1">IF(ISBLANK( INDIRECT($F$291 &amp; D383)),"", INDIRECT($F$291 &amp; D383))</f>
        <v>0</v>
      </c>
      <c r="F383" t="str">
        <f ca="1">CONCATENATE("Enter an '4% LIHTC Basis Calculation' value for '", C383, "' in cell ", D383, ".", CHAR(10))</f>
        <v xml:space="preserve">Enter an '4% LIHTC Basis Calculation' value for 'Other (Specify)' in cell C26.
</v>
      </c>
      <c r="G383" s="9" t="str">
        <f t="shared" ca="1" si="181"/>
        <v xml:space="preserve">The total of development budget in column B must be greater than zero.
</v>
      </c>
    </row>
    <row r="384" spans="1:7" ht="15" customHeight="1">
      <c r="A384" t="str">
        <f ca="1">IF(AND(Calculations!$B$6, E384=""), F384, "")</f>
        <v/>
      </c>
      <c r="B384" t="s">
        <v>476</v>
      </c>
      <c r="C384" t="str">
        <f ca="1">INDIRECT($F$291 &amp; ADDRESS(B382, 1,4  ))</f>
        <v>Other (Specify)</v>
      </c>
      <c r="D384" t="str">
        <f>ADDRESS(B382, 4,4  )</f>
        <v>D26</v>
      </c>
      <c r="E384">
        <f ca="1">IF(ISBLANK( INDIRECT($F$291 &amp; D384)),"", INDIRECT($F$291 &amp; D384))</f>
        <v>0</v>
      </c>
      <c r="F384" t="str">
        <f ca="1">CONCATENATE("Enter an '9% LIHTC Basis Calculation' value for '", C384, "' in cell ", D384, ".", CHAR(10))</f>
        <v xml:space="preserve">Enter an '9% LIHTC Basis Calculation' value for 'Other (Specify)' in cell D26.
</v>
      </c>
      <c r="G384" s="9" t="str">
        <f t="shared" ca="1" si="181"/>
        <v xml:space="preserve">The total of development budget in column B must be greater than zero.
</v>
      </c>
    </row>
    <row r="385" spans="1:7" ht="15" customHeight="1">
      <c r="A385" t="str">
        <f ca="1">IF(AND(OR(Calculations!$B$3:$B$4), E385=""), F385, "")</f>
        <v/>
      </c>
      <c r="B385" t="s">
        <v>476</v>
      </c>
      <c r="C385" t="str">
        <f ca="1">INDIRECT($F$291 &amp; ADDRESS(B382, 1,4  ))</f>
        <v>Other (Specify)</v>
      </c>
      <c r="D385" t="str">
        <f>ADDRESS(B382, 5,4  )</f>
        <v>E26</v>
      </c>
      <c r="E385">
        <f ca="1">IF(ISBLANK( INDIRECT($F$291 &amp; D385)),"", INDIRECT($F$291 &amp; D385))</f>
        <v>0</v>
      </c>
      <c r="F385" t="str">
        <f ca="1">CONCATENATE("Enter an 'Amount Last Provided to CHFA' value for '", C385, "' in cell ", D385, ".", CHAR(10))</f>
        <v xml:space="preserve">Enter an 'Amount Last Provided to CHFA' value for 'Other (Specify)' in cell E26.
</v>
      </c>
      <c r="G385" s="9" t="str">
        <f t="shared" ca="1" si="181"/>
        <v xml:space="preserve">The total of development budget in column B must be greater than zero.
</v>
      </c>
    </row>
    <row r="386" spans="1:7" ht="15" customHeight="1">
      <c r="A386" t="str">
        <f ca="1">IF(AND(Calculations!$B$3, E386=""), F386, "")</f>
        <v/>
      </c>
      <c r="B386" t="s">
        <v>476</v>
      </c>
      <c r="C386" t="str">
        <f ca="1">INDIRECT($F$291 &amp; ADDRESS(B382, 1,4  ))</f>
        <v>Other (Specify)</v>
      </c>
      <c r="D386" t="str">
        <f>ADDRESS(B382, 6,4  )</f>
        <v>F26</v>
      </c>
      <c r="E386">
        <f ca="1">IF(ISBLANK( INDIRECT($F$291 &amp; D386)),"", INDIRECT($F$291 &amp; D386))</f>
        <v>0</v>
      </c>
      <c r="F386" t="str">
        <f ca="1">CONCATENATE("Enter a '10% Carryover Actual Incurred Costs' value for '", C386, "' in cell ", D386, ".", CHAR(10))</f>
        <v xml:space="preserve">Enter a '10% Carryover Actual Incurred Costs' value for 'Other (Specify)' in cell F26.
</v>
      </c>
      <c r="G386" s="9" t="str">
        <f t="shared" ca="1" si="181"/>
        <v xml:space="preserve">The total of development budget in column B must be greater than zero.
</v>
      </c>
    </row>
    <row r="387" spans="1:7" ht="15" customHeight="1">
      <c r="A387" t="str">
        <f ca="1">IF(AND(E387, SUM(E382:E386) &gt; 0), F387, "")</f>
        <v/>
      </c>
      <c r="C387" t="str">
        <f ca="1">INDIRECT($F$291 &amp; ADDRESS(B382, 1,4  ))</f>
        <v>Other (Specify)</v>
      </c>
      <c r="D387" t="str">
        <f>ADDRESS(B382, 1,4  )</f>
        <v>A26</v>
      </c>
      <c r="E387" t="b">
        <f ca="1">INDIRECT($F$291 &amp; D387)="Other (specify)"</f>
        <v>1</v>
      </c>
      <c r="F387" t="str">
        <f ca="1">CONCATENATE("Please specify value for '", C387, "' in cell ", D387, ".", CHAR(10))</f>
        <v xml:space="preserve">Please specify value for 'Other (Specify)' in cell A26.
</v>
      </c>
      <c r="G387" s="9" t="str">
        <f t="shared" ca="1" si="181"/>
        <v xml:space="preserve">The total of development budget in column B must be greater than zero.
</v>
      </c>
    </row>
    <row r="388" spans="1:7" ht="15" customHeight="1">
      <c r="A388" t="str">
        <f ca="1">IF(E388="", F388, "")</f>
        <v/>
      </c>
      <c r="B388" s="52">
        <v>29</v>
      </c>
      <c r="C388" t="str">
        <f ca="1">INDIRECT($F$291 &amp; ADDRESS(B388, 1,4  ))</f>
        <v>Architect, Design</v>
      </c>
      <c r="D388" t="str">
        <f>ADDRESS(B388, 2,4  )</f>
        <v>B29</v>
      </c>
      <c r="E388">
        <f t="shared" ref="E388:E419" ca="1" si="183">IF(ISBLANK( INDIRECT($F$291 &amp; D388)),"", INDIRECT($F$291 &amp; D388))</f>
        <v>0</v>
      </c>
      <c r="F388" t="str">
        <f ca="1">CONCATENATE("Enter a value for '", C388, "' in cell ", D388, ".", CHAR(10))</f>
        <v xml:space="preserve">Enter a value for 'Architect, Design' in cell B29.
</v>
      </c>
      <c r="G388" s="9" t="str">
        <f t="shared" ca="1" si="181"/>
        <v xml:space="preserve">The total of development budget in column B must be greater than zero.
</v>
      </c>
    </row>
    <row r="389" spans="1:7" ht="15" customHeight="1">
      <c r="A389" t="str">
        <f ca="1">IF(AND(Calculations!$B$5, E389=""), F389, "")</f>
        <v/>
      </c>
      <c r="B389" t="s">
        <v>476</v>
      </c>
      <c r="C389" t="str">
        <f ca="1">INDIRECT($F$291 &amp; ADDRESS(B388, 1,4  ))</f>
        <v>Architect, Design</v>
      </c>
      <c r="D389" t="str">
        <f>ADDRESS(B388, 3,4  )</f>
        <v>C29</v>
      </c>
      <c r="E389">
        <f t="shared" ca="1" si="183"/>
        <v>0</v>
      </c>
      <c r="F389" t="str">
        <f ca="1">CONCATENATE("Enter an '4% LIHTC Basis Calculation' value for '", C389, "' in cell ", D389, ".", CHAR(10))</f>
        <v xml:space="preserve">Enter an '4% LIHTC Basis Calculation' value for 'Architect, Design' in cell C29.
</v>
      </c>
      <c r="G389" s="9" t="str">
        <f t="shared" ca="1" si="181"/>
        <v xml:space="preserve">The total of development budget in column B must be greater than zero.
</v>
      </c>
    </row>
    <row r="390" spans="1:7" ht="15" customHeight="1">
      <c r="A390" t="str">
        <f ca="1">IF(AND(Calculations!$B$6, E390=""), F390, "")</f>
        <v/>
      </c>
      <c r="B390" t="s">
        <v>476</v>
      </c>
      <c r="C390" t="str">
        <f ca="1">INDIRECT($F$291 &amp; ADDRESS(B388, 1,4  ))</f>
        <v>Architect, Design</v>
      </c>
      <c r="D390" t="str">
        <f>ADDRESS(B388, 4,4  )</f>
        <v>D29</v>
      </c>
      <c r="E390">
        <f t="shared" ca="1" si="183"/>
        <v>0</v>
      </c>
      <c r="F390" t="str">
        <f ca="1">CONCATENATE("Enter an '9% LIHTC Basis Calculation' value for '", C390, "' in cell ", D390, ".", CHAR(10))</f>
        <v xml:space="preserve">Enter an '9% LIHTC Basis Calculation' value for 'Architect, Design' in cell D29.
</v>
      </c>
      <c r="G390" s="9" t="str">
        <f t="shared" ca="1" si="181"/>
        <v xml:space="preserve">The total of development budget in column B must be greater than zero.
</v>
      </c>
    </row>
    <row r="391" spans="1:7" ht="15" customHeight="1">
      <c r="A391" t="str">
        <f ca="1">IF(AND(OR(Calculations!$B$3:$B$4), E391=""), F391, "")</f>
        <v/>
      </c>
      <c r="B391" t="s">
        <v>476</v>
      </c>
      <c r="C391" t="str">
        <f ca="1">INDIRECT($F$291 &amp; ADDRESS(B388, 1,4  ))</f>
        <v>Architect, Design</v>
      </c>
      <c r="D391" t="str">
        <f>ADDRESS(B388, 5,4  )</f>
        <v>E29</v>
      </c>
      <c r="E391">
        <f t="shared" ca="1" si="183"/>
        <v>0</v>
      </c>
      <c r="F391" t="str">
        <f ca="1">CONCATENATE("Enter an 'Amount Last Provided to CHFA' value for '", C391, "' in cell ", D391, ".", CHAR(10))</f>
        <v xml:space="preserve">Enter an 'Amount Last Provided to CHFA' value for 'Architect, Design' in cell E29.
</v>
      </c>
      <c r="G391" s="9" t="str">
        <f t="shared" ca="1" si="181"/>
        <v xml:space="preserve">The total of development budget in column B must be greater than zero.
</v>
      </c>
    </row>
    <row r="392" spans="1:7" ht="15" customHeight="1">
      <c r="A392" t="str">
        <f ca="1">IF(AND(Calculations!$B$3, E392=""), F392, "")</f>
        <v/>
      </c>
      <c r="B392" t="s">
        <v>476</v>
      </c>
      <c r="C392" t="str">
        <f ca="1">INDIRECT($F$291 &amp; ADDRESS(B388, 1,4  ))</f>
        <v>Architect, Design</v>
      </c>
      <c r="D392" t="str">
        <f>ADDRESS(B388, 6,4  )</f>
        <v>F29</v>
      </c>
      <c r="E392">
        <f t="shared" ca="1" si="183"/>
        <v>0</v>
      </c>
      <c r="F392" t="str">
        <f ca="1">CONCATENATE("Enter a '10% Carryover Actual Incurred Costs' value for '", C392, "' in cell ", D392, ".", CHAR(10))</f>
        <v xml:space="preserve">Enter a '10% Carryover Actual Incurred Costs' value for 'Architect, Design' in cell F29.
</v>
      </c>
      <c r="G392" s="9" t="str">
        <f t="shared" ca="1" si="181"/>
        <v xml:space="preserve">The total of development budget in column B must be greater than zero.
</v>
      </c>
    </row>
    <row r="393" spans="1:7" ht="15" customHeight="1">
      <c r="A393" t="str">
        <f ca="1">IF(E393="", F393, "")</f>
        <v/>
      </c>
      <c r="B393" s="52">
        <f>B388+1</f>
        <v>30</v>
      </c>
      <c r="C393" t="str">
        <f ca="1">INDIRECT($F$291 &amp; ADDRESS(B393, 1,4  ))</f>
        <v>Architect Construction Management/Admin</v>
      </c>
      <c r="D393" t="str">
        <f>ADDRESS(B393, 2,4  )</f>
        <v>B30</v>
      </c>
      <c r="E393">
        <f t="shared" ca="1" si="183"/>
        <v>0</v>
      </c>
      <c r="F393" t="str">
        <f ca="1">CONCATENATE("Enter a value for '", C393, "' in cell ", D393, ".", CHAR(10))</f>
        <v xml:space="preserve">Enter a value for 'Architect Construction Management/Admin' in cell B30.
</v>
      </c>
      <c r="G393" s="9" t="str">
        <f t="shared" ca="1" si="181"/>
        <v xml:space="preserve">The total of development budget in column B must be greater than zero.
</v>
      </c>
    </row>
    <row r="394" spans="1:7" ht="15" customHeight="1">
      <c r="A394" t="str">
        <f ca="1">IF(AND(Calculations!$B$5, E394=""), F394, "")</f>
        <v/>
      </c>
      <c r="B394" t="s">
        <v>476</v>
      </c>
      <c r="C394" t="str">
        <f ca="1">INDIRECT($F$291 &amp; ADDRESS(B393, 1,4  ))</f>
        <v>Architect Construction Management/Admin</v>
      </c>
      <c r="D394" t="str">
        <f>ADDRESS(B393, 3,4  )</f>
        <v>C30</v>
      </c>
      <c r="E394">
        <f t="shared" ca="1" si="183"/>
        <v>0</v>
      </c>
      <c r="F394" t="str">
        <f ca="1">CONCATENATE("Enter an '4% LIHTC Basis Calculation' value for '", C394, "' in cell ", D394, ".", CHAR(10))</f>
        <v xml:space="preserve">Enter an '4% LIHTC Basis Calculation' value for 'Architect Construction Management/Admin' in cell C30.
</v>
      </c>
      <c r="G394" s="9" t="str">
        <f t="shared" ca="1" si="181"/>
        <v xml:space="preserve">The total of development budget in column B must be greater than zero.
</v>
      </c>
    </row>
    <row r="395" spans="1:7" ht="15" customHeight="1">
      <c r="A395" t="str">
        <f ca="1">IF(AND(Calculations!$B$6, E395=""), F395, "")</f>
        <v/>
      </c>
      <c r="B395" t="s">
        <v>476</v>
      </c>
      <c r="C395" t="str">
        <f ca="1">INDIRECT($F$291 &amp; ADDRESS(B393, 1,4  ))</f>
        <v>Architect Construction Management/Admin</v>
      </c>
      <c r="D395" t="str">
        <f>ADDRESS(B393, 4,4  )</f>
        <v>D30</v>
      </c>
      <c r="E395">
        <f t="shared" ca="1" si="183"/>
        <v>0</v>
      </c>
      <c r="F395" t="str">
        <f ca="1">CONCATENATE("Enter an '9% LIHTC Basis Calculation' value for '", C395, "' in cell ", D395, ".", CHAR(10))</f>
        <v xml:space="preserve">Enter an '9% LIHTC Basis Calculation' value for 'Architect Construction Management/Admin' in cell D30.
</v>
      </c>
      <c r="G395" s="9" t="str">
        <f t="shared" ca="1" si="181"/>
        <v xml:space="preserve">The total of development budget in column B must be greater than zero.
</v>
      </c>
    </row>
    <row r="396" spans="1:7" ht="15" customHeight="1">
      <c r="A396" t="str">
        <f ca="1">IF(AND(OR(Calculations!$B$3:$B$4), E396=""), F396, "")</f>
        <v/>
      </c>
      <c r="B396" t="s">
        <v>476</v>
      </c>
      <c r="C396" t="str">
        <f ca="1">INDIRECT($F$291 &amp; ADDRESS(B393, 1,4  ))</f>
        <v>Architect Construction Management/Admin</v>
      </c>
      <c r="D396" t="str">
        <f>ADDRESS(B393, 5,4  )</f>
        <v>E30</v>
      </c>
      <c r="E396">
        <f t="shared" ca="1" si="183"/>
        <v>0</v>
      </c>
      <c r="F396" t="str">
        <f ca="1">CONCATENATE("Enter an 'Amount Last Provided to CHFA' value for '", C396, "' in cell ", D396, ".", CHAR(10))</f>
        <v xml:space="preserve">Enter an 'Amount Last Provided to CHFA' value for 'Architect Construction Management/Admin' in cell E30.
</v>
      </c>
      <c r="G396" s="9" t="str">
        <f t="shared" ca="1" si="181"/>
        <v xml:space="preserve">The total of development budget in column B must be greater than zero.
</v>
      </c>
    </row>
    <row r="397" spans="1:7" ht="15" customHeight="1">
      <c r="A397" t="str">
        <f ca="1">IF(AND(Calculations!$B$3, E397=""), F397, "")</f>
        <v/>
      </c>
      <c r="B397" t="s">
        <v>476</v>
      </c>
      <c r="C397" t="str">
        <f ca="1">INDIRECT($F$291 &amp; ADDRESS(B393, 1,4  ))</f>
        <v>Architect Construction Management/Admin</v>
      </c>
      <c r="D397" t="str">
        <f>ADDRESS(B393, 6,4  )</f>
        <v>F30</v>
      </c>
      <c r="E397">
        <f t="shared" ca="1" si="183"/>
        <v>0</v>
      </c>
      <c r="F397" t="str">
        <f ca="1">CONCATENATE("Enter a '10% Carryover Actual Incurred Costs' value for '", C397, "' in cell ", D397, ".", CHAR(10))</f>
        <v xml:space="preserve">Enter a '10% Carryover Actual Incurred Costs' value for 'Architect Construction Management/Admin' in cell F30.
</v>
      </c>
      <c r="G397" s="9" t="str">
        <f t="shared" ca="1" si="181"/>
        <v xml:space="preserve">The total of development budget in column B must be greater than zero.
</v>
      </c>
    </row>
    <row r="398" spans="1:7" ht="15" customHeight="1">
      <c r="A398" t="str">
        <f ca="1">IF(E398="", F398, "")</f>
        <v/>
      </c>
      <c r="B398">
        <f>ROW('Development Budget'!A29)</f>
        <v>29</v>
      </c>
      <c r="C398" t="str">
        <f ca="1">INDIRECT($F$291 &amp; ADDRESS(B398, 1,4  ))</f>
        <v>Architect, Design</v>
      </c>
      <c r="D398" t="str">
        <f>ADDRESS(B398, 2,4  )</f>
        <v>B29</v>
      </c>
      <c r="E398">
        <f t="shared" ca="1" si="183"/>
        <v>0</v>
      </c>
      <c r="F398" t="str">
        <f ca="1">CONCATENATE("Enter a value for '", C398, "' in cell ", D398, ".", CHAR(10))</f>
        <v xml:space="preserve">Enter a value for 'Architect, Design' in cell B29.
</v>
      </c>
      <c r="G398" s="9" t="str">
        <f t="shared" ca="1" si="181"/>
        <v xml:space="preserve">The total of development budget in column B must be greater than zero.
</v>
      </c>
    </row>
    <row r="399" spans="1:7" ht="15" customHeight="1">
      <c r="A399" t="str">
        <f ca="1">IF(AND(Calculations!$B$5, E399=""), F399, "")</f>
        <v/>
      </c>
      <c r="B399" t="s">
        <v>476</v>
      </c>
      <c r="C399" t="str">
        <f ca="1">INDIRECT($F$291 &amp; ADDRESS(B398, 1,4  ))</f>
        <v>Architect, Design</v>
      </c>
      <c r="D399" t="str">
        <f>ADDRESS(B398, 3,4  )</f>
        <v>C29</v>
      </c>
      <c r="E399">
        <f t="shared" ca="1" si="183"/>
        <v>0</v>
      </c>
      <c r="F399" t="str">
        <f ca="1">CONCATENATE("Enter an '4% LIHTC Basis Calculation' value for '", C399, "' in cell ", D399, ".", CHAR(10))</f>
        <v xml:space="preserve">Enter an '4% LIHTC Basis Calculation' value for 'Architect, Design' in cell C29.
</v>
      </c>
      <c r="G399" s="9" t="str">
        <f t="shared" ca="1" si="181"/>
        <v xml:space="preserve">The total of development budget in column B must be greater than zero.
</v>
      </c>
    </row>
    <row r="400" spans="1:7" ht="15" customHeight="1">
      <c r="A400" t="str">
        <f ca="1">IF(AND(Calculations!$B$6, E400=""), F400, "")</f>
        <v/>
      </c>
      <c r="B400" t="s">
        <v>476</v>
      </c>
      <c r="C400" t="str">
        <f ca="1">INDIRECT($F$291 &amp; ADDRESS(B398, 1,4  ))</f>
        <v>Architect, Design</v>
      </c>
      <c r="D400" t="str">
        <f>ADDRESS(B398, 4,4  )</f>
        <v>D29</v>
      </c>
      <c r="E400">
        <f t="shared" ca="1" si="183"/>
        <v>0</v>
      </c>
      <c r="F400" t="str">
        <f ca="1">CONCATENATE("Enter an '9% LIHTC Basis Calculation' value for '", C400, "' in cell ", D400, ".", CHAR(10))</f>
        <v xml:space="preserve">Enter an '9% LIHTC Basis Calculation' value for 'Architect, Design' in cell D29.
</v>
      </c>
      <c r="G400" s="9" t="str">
        <f t="shared" ca="1" si="181"/>
        <v xml:space="preserve">The total of development budget in column B must be greater than zero.
</v>
      </c>
    </row>
    <row r="401" spans="1:7" ht="15" customHeight="1">
      <c r="A401" t="str">
        <f ca="1">IF(AND(OR(Calculations!$B$3:$B$4), E401=""), F401, "")</f>
        <v/>
      </c>
      <c r="B401" t="s">
        <v>476</v>
      </c>
      <c r="C401" t="str">
        <f ca="1">INDIRECT($F$291 &amp; ADDRESS(B398, 1,4  ))</f>
        <v>Architect, Design</v>
      </c>
      <c r="D401" t="str">
        <f>ADDRESS(B398, 5,4  )</f>
        <v>E29</v>
      </c>
      <c r="E401">
        <f t="shared" ca="1" si="183"/>
        <v>0</v>
      </c>
      <c r="F401" t="str">
        <f ca="1">CONCATENATE("Enter an 'Amount Last Provided to CHFA' value for '", C401, "' in cell ", D401, ".", CHAR(10))</f>
        <v xml:space="preserve">Enter an 'Amount Last Provided to CHFA' value for 'Architect, Design' in cell E29.
</v>
      </c>
      <c r="G401" s="9" t="str">
        <f t="shared" ca="1" si="181"/>
        <v xml:space="preserve">The total of development budget in column B must be greater than zero.
</v>
      </c>
    </row>
    <row r="402" spans="1:7" ht="15" customHeight="1">
      <c r="A402" t="str">
        <f ca="1">IF(AND(Calculations!$B$3, E402=""), F402, "")</f>
        <v/>
      </c>
      <c r="B402" t="s">
        <v>476</v>
      </c>
      <c r="C402" t="str">
        <f ca="1">INDIRECT($F$291 &amp; ADDRESS(B398, 1,4  ))</f>
        <v>Architect, Design</v>
      </c>
      <c r="D402" t="str">
        <f>ADDRESS(B398, 6,4  )</f>
        <v>F29</v>
      </c>
      <c r="E402">
        <f t="shared" ca="1" si="183"/>
        <v>0</v>
      </c>
      <c r="F402" t="str">
        <f ca="1">CONCATENATE("Enter a '10% Carryover Actual Incurred Costs' value for '", C402, "' in cell ", D402, ".", CHAR(10))</f>
        <v xml:space="preserve">Enter a '10% Carryover Actual Incurred Costs' value for 'Architect, Design' in cell F29.
</v>
      </c>
      <c r="G402" s="9" t="str">
        <f t="shared" ca="1" si="181"/>
        <v xml:space="preserve">The total of development budget in column B must be greater than zero.
</v>
      </c>
    </row>
    <row r="403" spans="1:7" ht="15" customHeight="1">
      <c r="A403" t="str">
        <f ca="1">IF(E403="", F403, "")</f>
        <v/>
      </c>
      <c r="B403" s="52">
        <f>B398+1</f>
        <v>30</v>
      </c>
      <c r="C403" t="str">
        <f ca="1">INDIRECT($F$291 &amp; ADDRESS(B403, 1,4  ))</f>
        <v>Architect Construction Management/Admin</v>
      </c>
      <c r="D403" t="str">
        <f>ADDRESS(B403, 2,4  )</f>
        <v>B30</v>
      </c>
      <c r="E403">
        <f t="shared" ca="1" si="183"/>
        <v>0</v>
      </c>
      <c r="F403" t="str">
        <f ca="1">CONCATENATE("Enter a value for '", C403, "' in cell ", D403, ".", CHAR(10))</f>
        <v xml:space="preserve">Enter a value for 'Architect Construction Management/Admin' in cell B30.
</v>
      </c>
      <c r="G403" s="9" t="str">
        <f t="shared" ca="1" si="181"/>
        <v xml:space="preserve">The total of development budget in column B must be greater than zero.
</v>
      </c>
    </row>
    <row r="404" spans="1:7" ht="15" customHeight="1">
      <c r="A404" t="str">
        <f ca="1">IF(AND(Calculations!$B$5, E404=""), F404, "")</f>
        <v/>
      </c>
      <c r="B404" t="s">
        <v>476</v>
      </c>
      <c r="C404" t="str">
        <f ca="1">INDIRECT($F$291 &amp; ADDRESS(B403, 1,4  ))</f>
        <v>Architect Construction Management/Admin</v>
      </c>
      <c r="D404" t="str">
        <f>ADDRESS(B403, 3,4  )</f>
        <v>C30</v>
      </c>
      <c r="E404">
        <f t="shared" ca="1" si="183"/>
        <v>0</v>
      </c>
      <c r="F404" t="str">
        <f ca="1">CONCATENATE("Enter an '4% LIHTC Basis Calculation' value for '", C404, "' in cell ", D404, ".", CHAR(10))</f>
        <v xml:space="preserve">Enter an '4% LIHTC Basis Calculation' value for 'Architect Construction Management/Admin' in cell C30.
</v>
      </c>
      <c r="G404" s="9" t="str">
        <f t="shared" ca="1" si="181"/>
        <v xml:space="preserve">The total of development budget in column B must be greater than zero.
</v>
      </c>
    </row>
    <row r="405" spans="1:7" ht="15" customHeight="1">
      <c r="A405" t="str">
        <f ca="1">IF(AND(Calculations!$B$6, E405=""), F405, "")</f>
        <v/>
      </c>
      <c r="B405" t="s">
        <v>476</v>
      </c>
      <c r="C405" t="str">
        <f ca="1">INDIRECT($F$291 &amp; ADDRESS(B403, 1,4  ))</f>
        <v>Architect Construction Management/Admin</v>
      </c>
      <c r="D405" t="str">
        <f>ADDRESS(B403, 4,4  )</f>
        <v>D30</v>
      </c>
      <c r="E405">
        <f t="shared" ca="1" si="183"/>
        <v>0</v>
      </c>
      <c r="F405" t="str">
        <f ca="1">CONCATENATE("Enter an '9% LIHTC Basis Calculation' value for '", C405, "' in cell ", D405, ".", CHAR(10))</f>
        <v xml:space="preserve">Enter an '9% LIHTC Basis Calculation' value for 'Architect Construction Management/Admin' in cell D30.
</v>
      </c>
      <c r="G405" s="9" t="str">
        <f t="shared" ca="1" si="181"/>
        <v xml:space="preserve">The total of development budget in column B must be greater than zero.
</v>
      </c>
    </row>
    <row r="406" spans="1:7" ht="15" customHeight="1">
      <c r="A406" t="str">
        <f ca="1">IF(AND(OR(Calculations!$B$3:$B$4), E406=""), F406, "")</f>
        <v/>
      </c>
      <c r="B406" t="s">
        <v>476</v>
      </c>
      <c r="C406" t="str">
        <f ca="1">INDIRECT($F$291 &amp; ADDRESS(B403, 1,4  ))</f>
        <v>Architect Construction Management/Admin</v>
      </c>
      <c r="D406" t="str">
        <f>ADDRESS(B403, 5,4  )</f>
        <v>E30</v>
      </c>
      <c r="E406">
        <f t="shared" ca="1" si="183"/>
        <v>0</v>
      </c>
      <c r="F406" t="str">
        <f ca="1">CONCATENATE("Enter an 'Amount Last Provided to CHFA' value for '", C406, "' in cell ", D406, ".", CHAR(10))</f>
        <v xml:space="preserve">Enter an 'Amount Last Provided to CHFA' value for 'Architect Construction Management/Admin' in cell E30.
</v>
      </c>
      <c r="G406" s="9" t="str">
        <f t="shared" ca="1" si="181"/>
        <v xml:space="preserve">The total of development budget in column B must be greater than zero.
</v>
      </c>
    </row>
    <row r="407" spans="1:7" ht="15" customHeight="1">
      <c r="A407" t="str">
        <f ca="1">IF(AND(Calculations!$B$3, E407=""), F407, "")</f>
        <v/>
      </c>
      <c r="B407" t="s">
        <v>476</v>
      </c>
      <c r="C407" t="str">
        <f ca="1">INDIRECT($F$291 &amp; ADDRESS(B403, 1,4  ))</f>
        <v>Architect Construction Management/Admin</v>
      </c>
      <c r="D407" t="str">
        <f>ADDRESS(B403, 6,4  )</f>
        <v>F30</v>
      </c>
      <c r="E407">
        <f t="shared" ca="1" si="183"/>
        <v>0</v>
      </c>
      <c r="F407" t="str">
        <f ca="1">CONCATENATE("Enter a '10% Carryover Actual Incurred Costs' value for '", C407, "' in cell ", D407, ".", CHAR(10))</f>
        <v xml:space="preserve">Enter a '10% Carryover Actual Incurred Costs' value for 'Architect Construction Management/Admin' in cell F30.
</v>
      </c>
      <c r="G407" s="9" t="str">
        <f t="shared" ca="1" si="181"/>
        <v xml:space="preserve">The total of development budget in column B must be greater than zero.
</v>
      </c>
    </row>
    <row r="408" spans="1:7" ht="15" customHeight="1">
      <c r="A408" t="str">
        <f ca="1">IF(E408="", F408, "")</f>
        <v/>
      </c>
      <c r="B408" s="52">
        <f>B403+1</f>
        <v>31</v>
      </c>
      <c r="C408" t="str">
        <f ca="1">INDIRECT($F$291 &amp; ADDRESS(B408, 1,4  ))</f>
        <v>Landscape Design</v>
      </c>
      <c r="D408" t="str">
        <f>ADDRESS(B408, 2,4  )</f>
        <v>B31</v>
      </c>
      <c r="E408">
        <f t="shared" ca="1" si="183"/>
        <v>0</v>
      </c>
      <c r="F408" t="str">
        <f ca="1">CONCATENATE("Enter a value for '", C408, "' in cell ", D408, ".", CHAR(10))</f>
        <v xml:space="preserve">Enter a value for 'Landscape Design' in cell B31.
</v>
      </c>
      <c r="G408" s="9" t="str">
        <f t="shared" ca="1" si="181"/>
        <v xml:space="preserve">The total of development budget in column B must be greater than zero.
</v>
      </c>
    </row>
    <row r="409" spans="1:7" ht="15" customHeight="1">
      <c r="A409" t="str">
        <f ca="1">IF(AND(Calculations!$B$5, E409=""), F409, "")</f>
        <v/>
      </c>
      <c r="B409" t="s">
        <v>476</v>
      </c>
      <c r="C409" t="str">
        <f ca="1">INDIRECT($F$291 &amp; ADDRESS(B408, 1,4  ))</f>
        <v>Landscape Design</v>
      </c>
      <c r="D409" t="str">
        <f>ADDRESS(B408, 3,4  )</f>
        <v>C31</v>
      </c>
      <c r="E409">
        <f t="shared" ca="1" si="183"/>
        <v>0</v>
      </c>
      <c r="F409" t="str">
        <f ca="1">CONCATENATE("Enter an '4% LIHTC Basis Calculation' value for '", C409, "' in cell ", D409, ".", CHAR(10))</f>
        <v xml:space="preserve">Enter an '4% LIHTC Basis Calculation' value for 'Landscape Design' in cell C31.
</v>
      </c>
      <c r="G409" s="9" t="str">
        <f t="shared" ca="1" si="181"/>
        <v xml:space="preserve">The total of development budget in column B must be greater than zero.
</v>
      </c>
    </row>
    <row r="410" spans="1:7" ht="15" customHeight="1">
      <c r="A410" t="str">
        <f ca="1">IF(AND(Calculations!$B$6, E410=""), F410, "")</f>
        <v/>
      </c>
      <c r="B410" t="s">
        <v>476</v>
      </c>
      <c r="C410" t="str">
        <f ca="1">INDIRECT($F$291 &amp; ADDRESS(B408, 1,4  ))</f>
        <v>Landscape Design</v>
      </c>
      <c r="D410" t="str">
        <f>ADDRESS(B408, 4,4  )</f>
        <v>D31</v>
      </c>
      <c r="E410">
        <f t="shared" ca="1" si="183"/>
        <v>0</v>
      </c>
      <c r="F410" t="str">
        <f ca="1">CONCATENATE("Enter an '9% LIHTC Basis Calculation' value for '", C410, "' in cell ", D410, ".", CHAR(10))</f>
        <v xml:space="preserve">Enter an '9% LIHTC Basis Calculation' value for 'Landscape Design' in cell D31.
</v>
      </c>
      <c r="G410" s="9" t="str">
        <f t="shared" ca="1" si="181"/>
        <v xml:space="preserve">The total of development budget in column B must be greater than zero.
</v>
      </c>
    </row>
    <row r="411" spans="1:7" ht="15" customHeight="1">
      <c r="A411" t="str">
        <f ca="1">IF(AND(OR(Calculations!$B$3:$B$4), E411=""), F411, "")</f>
        <v/>
      </c>
      <c r="B411" t="s">
        <v>476</v>
      </c>
      <c r="C411" t="str">
        <f ca="1">INDIRECT($F$291 &amp; ADDRESS(B408, 1,4  ))</f>
        <v>Landscape Design</v>
      </c>
      <c r="D411" t="str">
        <f>ADDRESS(B408, 5,4  )</f>
        <v>E31</v>
      </c>
      <c r="E411">
        <f t="shared" ca="1" si="183"/>
        <v>0</v>
      </c>
      <c r="F411" t="str">
        <f ca="1">CONCATENATE("Enter an 'Amount Last Provided to CHFA' value for '", C411, "' in cell ", D411, ".", CHAR(10))</f>
        <v xml:space="preserve">Enter an 'Amount Last Provided to CHFA' value for 'Landscape Design' in cell E31.
</v>
      </c>
      <c r="G411" s="9" t="str">
        <f t="shared" ca="1" si="181"/>
        <v xml:space="preserve">The total of development budget in column B must be greater than zero.
</v>
      </c>
    </row>
    <row r="412" spans="1:7" ht="15" customHeight="1">
      <c r="A412" t="str">
        <f ca="1">IF(AND(Calculations!$B$3, E412=""), F412, "")</f>
        <v/>
      </c>
      <c r="B412" t="s">
        <v>476</v>
      </c>
      <c r="C412" t="str">
        <f ca="1">INDIRECT($F$291 &amp; ADDRESS(B408, 1,4  ))</f>
        <v>Landscape Design</v>
      </c>
      <c r="D412" t="str">
        <f>ADDRESS(B408, 6,4  )</f>
        <v>F31</v>
      </c>
      <c r="E412">
        <f t="shared" ca="1" si="183"/>
        <v>0</v>
      </c>
      <c r="F412" t="str">
        <f ca="1">CONCATENATE("Enter a '10% Carryover Actual Incurred Costs' value for '", C412, "' in cell ", D412, ".", CHAR(10))</f>
        <v xml:space="preserve">Enter a '10% Carryover Actual Incurred Costs' value for 'Landscape Design' in cell F31.
</v>
      </c>
      <c r="G412" s="9" t="str">
        <f t="shared" ca="1" si="181"/>
        <v xml:space="preserve">The total of development budget in column B must be greater than zero.
</v>
      </c>
    </row>
    <row r="413" spans="1:7" ht="15" customHeight="1">
      <c r="A413" t="str">
        <f ca="1">IF(E413="", F413, "")</f>
        <v/>
      </c>
      <c r="B413" s="52">
        <f>B408+1</f>
        <v>32</v>
      </c>
      <c r="C413" t="str">
        <f ca="1">INDIRECT($F$291 &amp; ADDRESS(B413, 1,4  ))</f>
        <v>Structural Engineering</v>
      </c>
      <c r="D413" t="str">
        <f>ADDRESS(B413, 2,4  )</f>
        <v>B32</v>
      </c>
      <c r="E413">
        <f t="shared" ca="1" si="183"/>
        <v>0</v>
      </c>
      <c r="F413" t="str">
        <f ca="1">CONCATENATE("Enter a value for '", C413, "' in cell ", D413, ".", CHAR(10))</f>
        <v xml:space="preserve">Enter a value for 'Structural Engineering' in cell B32.
</v>
      </c>
      <c r="G413" s="9" t="str">
        <f t="shared" ca="1" si="181"/>
        <v xml:space="preserve">The total of development budget in column B must be greater than zero.
</v>
      </c>
    </row>
    <row r="414" spans="1:7" ht="15" customHeight="1">
      <c r="A414" t="str">
        <f ca="1">IF(AND(Calculations!$B$5, E414=""), F414, "")</f>
        <v/>
      </c>
      <c r="B414" t="s">
        <v>476</v>
      </c>
      <c r="C414" t="str">
        <f ca="1">INDIRECT($F$291 &amp; ADDRESS(B413, 1,4  ))</f>
        <v>Structural Engineering</v>
      </c>
      <c r="D414" t="str">
        <f>ADDRESS(B413, 3,4  )</f>
        <v>C32</v>
      </c>
      <c r="E414">
        <f t="shared" ca="1" si="183"/>
        <v>0</v>
      </c>
      <c r="F414" t="str">
        <f ca="1">CONCATENATE("Enter an '4% LIHTC Basis Calculation' value for '", C414, "' in cell ", D414, ".", CHAR(10))</f>
        <v xml:space="preserve">Enter an '4% LIHTC Basis Calculation' value for 'Structural Engineering' in cell C32.
</v>
      </c>
      <c r="G414" s="9" t="str">
        <f t="shared" ca="1" si="181"/>
        <v xml:space="preserve">The total of development budget in column B must be greater than zero.
</v>
      </c>
    </row>
    <row r="415" spans="1:7" ht="15" customHeight="1">
      <c r="A415" t="str">
        <f ca="1">IF(AND(Calculations!$B$6, E415=""), F415, "")</f>
        <v/>
      </c>
      <c r="B415" t="s">
        <v>476</v>
      </c>
      <c r="C415" t="str">
        <f ca="1">INDIRECT($F$291 &amp; ADDRESS(B413, 1,4  ))</f>
        <v>Structural Engineering</v>
      </c>
      <c r="D415" t="str">
        <f>ADDRESS(B413, 4,4  )</f>
        <v>D32</v>
      </c>
      <c r="E415">
        <f t="shared" ca="1" si="183"/>
        <v>0</v>
      </c>
      <c r="F415" t="str">
        <f ca="1">CONCATENATE("Enter an '9% LIHTC Basis Calculation' value for '", C415, "' in cell ", D415, ".", CHAR(10))</f>
        <v xml:space="preserve">Enter an '9% LIHTC Basis Calculation' value for 'Structural Engineering' in cell D32.
</v>
      </c>
      <c r="G415" s="9" t="str">
        <f t="shared" ca="1" si="181"/>
        <v xml:space="preserve">The total of development budget in column B must be greater than zero.
</v>
      </c>
    </row>
    <row r="416" spans="1:7" ht="15" customHeight="1">
      <c r="A416" t="str">
        <f ca="1">IF(AND(OR(Calculations!$B$3:$B$4), E416=""), F416, "")</f>
        <v/>
      </c>
      <c r="B416" t="s">
        <v>476</v>
      </c>
      <c r="C416" t="str">
        <f ca="1">INDIRECT($F$291 &amp; ADDRESS(B413, 1,4  ))</f>
        <v>Structural Engineering</v>
      </c>
      <c r="D416" t="str">
        <f>ADDRESS(B413, 5,4  )</f>
        <v>E32</v>
      </c>
      <c r="E416">
        <f t="shared" ca="1" si="183"/>
        <v>0</v>
      </c>
      <c r="F416" t="str">
        <f ca="1">CONCATENATE("Enter an 'Amount Last Provided to CHFA' value for '", C416, "' in cell ", D416, ".", CHAR(10))</f>
        <v xml:space="preserve">Enter an 'Amount Last Provided to CHFA' value for 'Structural Engineering' in cell E32.
</v>
      </c>
      <c r="G416" s="9" t="str">
        <f t="shared" ca="1" si="181"/>
        <v xml:space="preserve">The total of development budget in column B must be greater than zero.
</v>
      </c>
    </row>
    <row r="417" spans="1:7" ht="15" customHeight="1">
      <c r="A417" t="str">
        <f ca="1">IF(AND(Calculations!$B$3, E417=""), F417, "")</f>
        <v/>
      </c>
      <c r="B417" t="s">
        <v>476</v>
      </c>
      <c r="C417" t="str">
        <f ca="1">INDIRECT($F$291 &amp; ADDRESS(B413, 1,4  ))</f>
        <v>Structural Engineering</v>
      </c>
      <c r="D417" t="str">
        <f>ADDRESS(B413, 6,4  )</f>
        <v>F32</v>
      </c>
      <c r="E417">
        <f t="shared" ca="1" si="183"/>
        <v>0</v>
      </c>
      <c r="F417" t="str">
        <f ca="1">CONCATENATE("Enter a '10% Carryover Actual Incurred Costs' value for '", C417, "' in cell ", D417, ".", CHAR(10))</f>
        <v xml:space="preserve">Enter a '10% Carryover Actual Incurred Costs' value for 'Structural Engineering' in cell F32.
</v>
      </c>
      <c r="G417" s="9" t="str">
        <f t="shared" ca="1" si="181"/>
        <v xml:space="preserve">The total of development budget in column B must be greater than zero.
</v>
      </c>
    </row>
    <row r="418" spans="1:7" ht="15" customHeight="1">
      <c r="A418" t="str">
        <f ca="1">IF(E418="", F418, "")</f>
        <v/>
      </c>
      <c r="B418" s="52">
        <f>B413+1</f>
        <v>33</v>
      </c>
      <c r="C418" t="str">
        <f ca="1">INDIRECT($F$291 &amp; ADDRESS(B418, 1,4  ))</f>
        <v>Civil Engineering</v>
      </c>
      <c r="D418" t="str">
        <f>ADDRESS(B418, 2,4  )</f>
        <v>B33</v>
      </c>
      <c r="E418">
        <f t="shared" ca="1" si="183"/>
        <v>0</v>
      </c>
      <c r="F418" t="str">
        <f ca="1">CONCATENATE("Enter a value for '", C418, "' in cell ", D418, ".", CHAR(10))</f>
        <v xml:space="preserve">Enter a value for 'Civil Engineering' in cell B33.
</v>
      </c>
      <c r="G418" s="9" t="str">
        <f t="shared" ca="1" si="181"/>
        <v xml:space="preserve">The total of development budget in column B must be greater than zero.
</v>
      </c>
    </row>
    <row r="419" spans="1:7" ht="15" customHeight="1">
      <c r="A419" t="str">
        <f ca="1">IF(AND(Calculations!$B$5, E419=""), F419, "")</f>
        <v/>
      </c>
      <c r="B419" t="s">
        <v>476</v>
      </c>
      <c r="C419" t="str">
        <f ca="1">INDIRECT($F$291 &amp; ADDRESS(B418, 1,4  ))</f>
        <v>Civil Engineering</v>
      </c>
      <c r="D419" t="str">
        <f>ADDRESS(B418, 3,4  )</f>
        <v>C33</v>
      </c>
      <c r="E419">
        <f t="shared" ca="1" si="183"/>
        <v>0</v>
      </c>
      <c r="F419" t="str">
        <f ca="1">CONCATENATE("Enter an '4% LIHTC Basis Calculation' value for '", C419, "' in cell ", D419, ".", CHAR(10))</f>
        <v xml:space="preserve">Enter an '4% LIHTC Basis Calculation' value for 'Civil Engineering' in cell C33.
</v>
      </c>
      <c r="G419" s="9" t="str">
        <f t="shared" ca="1" si="181"/>
        <v xml:space="preserve">The total of development budget in column B must be greater than zero.
</v>
      </c>
    </row>
    <row r="420" spans="1:7" ht="15" customHeight="1">
      <c r="A420" t="str">
        <f ca="1">IF(AND(Calculations!$B$6, E420=""), F420, "")</f>
        <v/>
      </c>
      <c r="B420" t="s">
        <v>476</v>
      </c>
      <c r="C420" t="str">
        <f ca="1">INDIRECT($F$291 &amp; ADDRESS(B418, 1,4  ))</f>
        <v>Civil Engineering</v>
      </c>
      <c r="D420" t="str">
        <f>ADDRESS(B418, 4,4  )</f>
        <v>D33</v>
      </c>
      <c r="E420">
        <f t="shared" ref="E420:E451" ca="1" si="184">IF(ISBLANK( INDIRECT($F$291 &amp; D420)),"", INDIRECT($F$291 &amp; D420))</f>
        <v>0</v>
      </c>
      <c r="F420" t="str">
        <f ca="1">CONCATENATE("Enter an '9% LIHTC Basis Calculation' value for '", C420, "' in cell ", D420, ".", CHAR(10))</f>
        <v xml:space="preserve">Enter an '9% LIHTC Basis Calculation' value for 'Civil Engineering' in cell D33.
</v>
      </c>
      <c r="G420" s="9" t="str">
        <f t="shared" ref="G420:G483" ca="1" si="185">OFFSET(G420, -1, 0) &amp; A420</f>
        <v xml:space="preserve">The total of development budget in column B must be greater than zero.
</v>
      </c>
    </row>
    <row r="421" spans="1:7" ht="15" customHeight="1">
      <c r="A421" t="str">
        <f ca="1">IF(AND(OR(Calculations!$B$3:$B$4), E421=""), F421, "")</f>
        <v/>
      </c>
      <c r="B421" t="s">
        <v>476</v>
      </c>
      <c r="C421" t="str">
        <f ca="1">INDIRECT($F$291 &amp; ADDRESS(B418, 1,4  ))</f>
        <v>Civil Engineering</v>
      </c>
      <c r="D421" t="str">
        <f>ADDRESS(B418, 5,4  )</f>
        <v>E33</v>
      </c>
      <c r="E421">
        <f t="shared" ca="1" si="184"/>
        <v>0</v>
      </c>
      <c r="F421" t="str">
        <f ca="1">CONCATENATE("Enter an 'Amount Last Provided to CHFA' value for '", C421, "' in cell ", D421, ".", CHAR(10))</f>
        <v xml:space="preserve">Enter an 'Amount Last Provided to CHFA' value for 'Civil Engineering' in cell E33.
</v>
      </c>
      <c r="G421" s="9" t="str">
        <f t="shared" ca="1" si="185"/>
        <v xml:space="preserve">The total of development budget in column B must be greater than zero.
</v>
      </c>
    </row>
    <row r="422" spans="1:7" ht="15" customHeight="1">
      <c r="A422" t="str">
        <f ca="1">IF(AND(Calculations!$B$3, E422=""), F422, "")</f>
        <v/>
      </c>
      <c r="B422" t="s">
        <v>476</v>
      </c>
      <c r="C422" t="str">
        <f ca="1">INDIRECT($F$291 &amp; ADDRESS(B418, 1,4  ))</f>
        <v>Civil Engineering</v>
      </c>
      <c r="D422" t="str">
        <f>ADDRESS(B418, 6,4  )</f>
        <v>F33</v>
      </c>
      <c r="E422">
        <f t="shared" ca="1" si="184"/>
        <v>0</v>
      </c>
      <c r="F422" t="str">
        <f ca="1">CONCATENATE("Enter a '10% Carryover Actual Incurred Costs' value for '", C422, "' in cell ", D422, ".", CHAR(10))</f>
        <v xml:space="preserve">Enter a '10% Carryover Actual Incurred Costs' value for 'Civil Engineering' in cell F33.
</v>
      </c>
      <c r="G422" s="9" t="str">
        <f t="shared" ca="1" si="185"/>
        <v xml:space="preserve">The total of development budget in column B must be greater than zero.
</v>
      </c>
    </row>
    <row r="423" spans="1:7" ht="15" customHeight="1">
      <c r="A423" t="str">
        <f ca="1">IF(E423="", F423, "")</f>
        <v/>
      </c>
      <c r="B423" s="52">
        <f>B418+1</f>
        <v>34</v>
      </c>
      <c r="C423" t="str">
        <f ca="1">INDIRECT($F$291 &amp; ADDRESS(B423, 1,4  ))</f>
        <v>Other Engineering</v>
      </c>
      <c r="D423" t="str">
        <f>ADDRESS(B423, 2,4  )</f>
        <v>B34</v>
      </c>
      <c r="E423">
        <f t="shared" ca="1" si="184"/>
        <v>0</v>
      </c>
      <c r="F423" t="str">
        <f ca="1">CONCATENATE("Enter a value for '", C423, "' in cell ", D423, ".", CHAR(10))</f>
        <v xml:space="preserve">Enter a value for 'Other Engineering' in cell B34.
</v>
      </c>
      <c r="G423" s="9" t="str">
        <f t="shared" ca="1" si="185"/>
        <v xml:space="preserve">The total of development budget in column B must be greater than zero.
</v>
      </c>
    </row>
    <row r="424" spans="1:7" ht="15" customHeight="1">
      <c r="A424" t="str">
        <f ca="1">IF(AND(Calculations!$B$5, E424=""), F424, "")</f>
        <v/>
      </c>
      <c r="B424" t="s">
        <v>476</v>
      </c>
      <c r="C424" t="str">
        <f ca="1">INDIRECT($F$291 &amp; ADDRESS(B423, 1,4  ))</f>
        <v>Other Engineering</v>
      </c>
      <c r="D424" t="str">
        <f>ADDRESS(B423, 3,4  )</f>
        <v>C34</v>
      </c>
      <c r="E424">
        <f t="shared" ca="1" si="184"/>
        <v>0</v>
      </c>
      <c r="F424" t="str">
        <f ca="1">CONCATENATE("Enter an '4% LIHTC Basis Calculation' value for '", C424, "' in cell ", D424, ".", CHAR(10))</f>
        <v xml:space="preserve">Enter an '4% LIHTC Basis Calculation' value for 'Other Engineering' in cell C34.
</v>
      </c>
      <c r="G424" s="9" t="str">
        <f t="shared" ca="1" si="185"/>
        <v xml:space="preserve">The total of development budget in column B must be greater than zero.
</v>
      </c>
    </row>
    <row r="425" spans="1:7" ht="15" customHeight="1">
      <c r="A425" t="str">
        <f ca="1">IF(AND(Calculations!$B$6, E425=""), F425, "")</f>
        <v/>
      </c>
      <c r="B425" t="s">
        <v>476</v>
      </c>
      <c r="C425" t="str">
        <f ca="1">INDIRECT($F$291 &amp; ADDRESS(B423, 1,4  ))</f>
        <v>Other Engineering</v>
      </c>
      <c r="D425" t="str">
        <f>ADDRESS(B423, 4,4  )</f>
        <v>D34</v>
      </c>
      <c r="E425">
        <f t="shared" ca="1" si="184"/>
        <v>0</v>
      </c>
      <c r="F425" t="str">
        <f ca="1">CONCATENATE("Enter an '9% LIHTC Basis Calculation' value for '", C425, "' in cell ", D425, ".", CHAR(10))</f>
        <v xml:space="preserve">Enter an '9% LIHTC Basis Calculation' value for 'Other Engineering' in cell D34.
</v>
      </c>
      <c r="G425" s="9" t="str">
        <f t="shared" ca="1" si="185"/>
        <v xml:space="preserve">The total of development budget in column B must be greater than zero.
</v>
      </c>
    </row>
    <row r="426" spans="1:7" ht="15" customHeight="1">
      <c r="A426" t="str">
        <f ca="1">IF(AND(OR(Calculations!$B$3:$B$4), E426=""), F426, "")</f>
        <v/>
      </c>
      <c r="B426" t="s">
        <v>476</v>
      </c>
      <c r="C426" t="str">
        <f ca="1">INDIRECT($F$291 &amp; ADDRESS(B423, 1,4  ))</f>
        <v>Other Engineering</v>
      </c>
      <c r="D426" t="str">
        <f>ADDRESS(B423, 5,4  )</f>
        <v>E34</v>
      </c>
      <c r="E426">
        <f t="shared" ca="1" si="184"/>
        <v>0</v>
      </c>
      <c r="F426" t="str">
        <f ca="1">CONCATENATE("Enter an 'Amount Last Provided to CHFA' value for '", C426, "' in cell ", D426, ".", CHAR(10))</f>
        <v xml:space="preserve">Enter an 'Amount Last Provided to CHFA' value for 'Other Engineering' in cell E34.
</v>
      </c>
      <c r="G426" s="9" t="str">
        <f t="shared" ca="1" si="185"/>
        <v xml:space="preserve">The total of development budget in column B must be greater than zero.
</v>
      </c>
    </row>
    <row r="427" spans="1:7" ht="15" customHeight="1">
      <c r="A427" t="str">
        <f ca="1">IF(AND(Calculations!$B$3, E427=""), F427, "")</f>
        <v/>
      </c>
      <c r="B427" t="s">
        <v>476</v>
      </c>
      <c r="C427" t="str">
        <f ca="1">INDIRECT($F$291 &amp; ADDRESS(B423, 1,4  ))</f>
        <v>Other Engineering</v>
      </c>
      <c r="D427" t="str">
        <f>ADDRESS(B423, 6,4  )</f>
        <v>F34</v>
      </c>
      <c r="E427">
        <f t="shared" ca="1" si="184"/>
        <v>0</v>
      </c>
      <c r="F427" t="str">
        <f ca="1">CONCATENATE("Enter a '10% Carryover Actual Incurred Costs' value for '", C427, "' in cell ", D427, ".", CHAR(10))</f>
        <v xml:space="preserve">Enter a '10% Carryover Actual Incurred Costs' value for 'Other Engineering' in cell F34.
</v>
      </c>
      <c r="G427" s="9" t="str">
        <f t="shared" ca="1" si="185"/>
        <v xml:space="preserve">The total of development budget in column B must be greater than zero.
</v>
      </c>
    </row>
    <row r="428" spans="1:7" ht="15" customHeight="1">
      <c r="A428" t="str">
        <f ca="1">IF(E428="", F428, "")</f>
        <v/>
      </c>
      <c r="B428" s="52">
        <f>B423+1</f>
        <v>35</v>
      </c>
      <c r="C428" t="str">
        <f ca="1">INDIRECT($F$291 &amp; ADDRESS(B428, 1,4  ))</f>
        <v>Surveyor</v>
      </c>
      <c r="D428" t="str">
        <f>ADDRESS(B428, 2,4  )</f>
        <v>B35</v>
      </c>
      <c r="E428">
        <f t="shared" ca="1" si="184"/>
        <v>0</v>
      </c>
      <c r="F428" t="str">
        <f ca="1">CONCATENATE("Enter a value for '", C428, "' in cell ", D428, ".", CHAR(10))</f>
        <v xml:space="preserve">Enter a value for 'Surveyor' in cell B35.
</v>
      </c>
      <c r="G428" s="9" t="str">
        <f t="shared" ca="1" si="185"/>
        <v xml:space="preserve">The total of development budget in column B must be greater than zero.
</v>
      </c>
    </row>
    <row r="429" spans="1:7" ht="15" customHeight="1">
      <c r="A429" t="str">
        <f ca="1">IF(AND(Calculations!$B$5, E429=""), F429, "")</f>
        <v/>
      </c>
      <c r="B429" t="s">
        <v>476</v>
      </c>
      <c r="C429" t="str">
        <f ca="1">INDIRECT($F$291 &amp; ADDRESS(B428, 1,4  ))</f>
        <v>Surveyor</v>
      </c>
      <c r="D429" t="str">
        <f>ADDRESS(B428, 3,4  )</f>
        <v>C35</v>
      </c>
      <c r="E429">
        <f t="shared" ca="1" si="184"/>
        <v>0</v>
      </c>
      <c r="F429" t="str">
        <f ca="1">CONCATENATE("Enter an '4% LIHTC Basis Calculation' value for '", C429, "' in cell ", D429, ".", CHAR(10))</f>
        <v xml:space="preserve">Enter an '4% LIHTC Basis Calculation' value for 'Surveyor' in cell C35.
</v>
      </c>
      <c r="G429" s="9" t="str">
        <f t="shared" ca="1" si="185"/>
        <v xml:space="preserve">The total of development budget in column B must be greater than zero.
</v>
      </c>
    </row>
    <row r="430" spans="1:7" ht="15" customHeight="1">
      <c r="A430" t="str">
        <f ca="1">IF(AND(Calculations!$B$6, E430=""), F430, "")</f>
        <v/>
      </c>
      <c r="B430" t="s">
        <v>476</v>
      </c>
      <c r="C430" t="str">
        <f ca="1">INDIRECT($F$291 &amp; ADDRESS(B428, 1,4  ))</f>
        <v>Surveyor</v>
      </c>
      <c r="D430" t="str">
        <f>ADDRESS(B428, 4,4  )</f>
        <v>D35</v>
      </c>
      <c r="E430">
        <f t="shared" ca="1" si="184"/>
        <v>0</v>
      </c>
      <c r="F430" t="str">
        <f ca="1">CONCATENATE("Enter an '9% LIHTC Basis Calculation' value for '", C430, "' in cell ", D430, ".", CHAR(10))</f>
        <v xml:space="preserve">Enter an '9% LIHTC Basis Calculation' value for 'Surveyor' in cell D35.
</v>
      </c>
      <c r="G430" s="9" t="str">
        <f t="shared" ca="1" si="185"/>
        <v xml:space="preserve">The total of development budget in column B must be greater than zero.
</v>
      </c>
    </row>
    <row r="431" spans="1:7" ht="15" customHeight="1">
      <c r="A431" t="str">
        <f ca="1">IF(AND(OR(Calculations!$B$3:$B$4), E431=""), F431, "")</f>
        <v/>
      </c>
      <c r="B431" t="s">
        <v>476</v>
      </c>
      <c r="C431" t="str">
        <f ca="1">INDIRECT($F$291 &amp; ADDRESS(B428, 1,4  ))</f>
        <v>Surveyor</v>
      </c>
      <c r="D431" t="str">
        <f>ADDRESS(B428, 5,4  )</f>
        <v>E35</v>
      </c>
      <c r="E431">
        <f t="shared" ca="1" si="184"/>
        <v>0</v>
      </c>
      <c r="F431" t="str">
        <f ca="1">CONCATENATE("Enter an 'Amount Last Provided to CHFA' value for '", C431, "' in cell ", D431, ".", CHAR(10))</f>
        <v xml:space="preserve">Enter an 'Amount Last Provided to CHFA' value for 'Surveyor' in cell E35.
</v>
      </c>
      <c r="G431" s="9" t="str">
        <f t="shared" ca="1" si="185"/>
        <v xml:space="preserve">The total of development budget in column B must be greater than zero.
</v>
      </c>
    </row>
    <row r="432" spans="1:7" ht="15" customHeight="1">
      <c r="A432" t="str">
        <f ca="1">IF(AND(Calculations!$B$3, E432=""), F432, "")</f>
        <v/>
      </c>
      <c r="B432" t="s">
        <v>476</v>
      </c>
      <c r="C432" t="str">
        <f ca="1">INDIRECT($F$291 &amp; ADDRESS(B428, 1,4  ))</f>
        <v>Surveyor</v>
      </c>
      <c r="D432" t="str">
        <f>ADDRESS(B428, 6,4  )</f>
        <v>F35</v>
      </c>
      <c r="E432">
        <f t="shared" ca="1" si="184"/>
        <v>0</v>
      </c>
      <c r="F432" t="str">
        <f ca="1">CONCATENATE("Enter a '10% Carryover Actual Incurred Costs' value for '", C432, "' in cell ", D432, ".", CHAR(10))</f>
        <v xml:space="preserve">Enter a '10% Carryover Actual Incurred Costs' value for 'Surveyor' in cell F35.
</v>
      </c>
      <c r="G432" s="9" t="str">
        <f t="shared" ca="1" si="185"/>
        <v xml:space="preserve">The total of development budget in column B must be greater than zero.
</v>
      </c>
    </row>
    <row r="433" spans="1:7" ht="15" customHeight="1">
      <c r="A433" t="str">
        <f ca="1">IF(E433="", F433, "")</f>
        <v/>
      </c>
      <c r="B433" s="52">
        <f>B428+1</f>
        <v>36</v>
      </c>
      <c r="C433" t="str">
        <f ca="1">INDIRECT($F$291 &amp; ADDRESS(B433, 1,4  ))</f>
        <v>Attorney, Real Estate</v>
      </c>
      <c r="D433" t="str">
        <f>ADDRESS(B433, 2,4  )</f>
        <v>B36</v>
      </c>
      <c r="E433">
        <f t="shared" ca="1" si="184"/>
        <v>0</v>
      </c>
      <c r="F433" t="str">
        <f ca="1">CONCATENATE("Enter a value for '", C433, "' in cell ", D433, ".", CHAR(10))</f>
        <v xml:space="preserve">Enter a value for 'Attorney, Real Estate' in cell B36.
</v>
      </c>
      <c r="G433" s="9" t="str">
        <f t="shared" ca="1" si="185"/>
        <v xml:space="preserve">The total of development budget in column B must be greater than zero.
</v>
      </c>
    </row>
    <row r="434" spans="1:7" ht="15" customHeight="1">
      <c r="A434" t="str">
        <f ca="1">IF(AND(Calculations!$B$5, E434=""), F434, "")</f>
        <v/>
      </c>
      <c r="B434" t="s">
        <v>476</v>
      </c>
      <c r="C434" t="str">
        <f ca="1">INDIRECT($F$291 &amp; ADDRESS(B433, 1,4  ))</f>
        <v>Attorney, Real Estate</v>
      </c>
      <c r="D434" t="str">
        <f>ADDRESS(B433, 3,4  )</f>
        <v>C36</v>
      </c>
      <c r="E434">
        <f t="shared" ca="1" si="184"/>
        <v>0</v>
      </c>
      <c r="F434" t="str">
        <f ca="1">CONCATENATE("Enter an '4% LIHTC Basis Calculation' value for '", C434, "' in cell ", D434, ".", CHAR(10))</f>
        <v xml:space="preserve">Enter an '4% LIHTC Basis Calculation' value for 'Attorney, Real Estate' in cell C36.
</v>
      </c>
      <c r="G434" s="9" t="str">
        <f t="shared" ca="1" si="185"/>
        <v xml:space="preserve">The total of development budget in column B must be greater than zero.
</v>
      </c>
    </row>
    <row r="435" spans="1:7" ht="15" customHeight="1">
      <c r="A435" t="str">
        <f ca="1">IF(AND(Calculations!$B$6, E435=""), F435, "")</f>
        <v/>
      </c>
      <c r="B435" t="s">
        <v>476</v>
      </c>
      <c r="C435" t="str">
        <f ca="1">INDIRECT($F$291 &amp; ADDRESS(B433, 1,4  ))</f>
        <v>Attorney, Real Estate</v>
      </c>
      <c r="D435" t="str">
        <f>ADDRESS(B433, 4,4  )</f>
        <v>D36</v>
      </c>
      <c r="E435">
        <f t="shared" ca="1" si="184"/>
        <v>0</v>
      </c>
      <c r="F435" t="str">
        <f ca="1">CONCATENATE("Enter an '9% LIHTC Basis Calculation' value for '", C435, "' in cell ", D435, ".", CHAR(10))</f>
        <v xml:space="preserve">Enter an '9% LIHTC Basis Calculation' value for 'Attorney, Real Estate' in cell D36.
</v>
      </c>
      <c r="G435" s="9" t="str">
        <f t="shared" ca="1" si="185"/>
        <v xml:space="preserve">The total of development budget in column B must be greater than zero.
</v>
      </c>
    </row>
    <row r="436" spans="1:7" ht="15" customHeight="1">
      <c r="A436" t="str">
        <f ca="1">IF(AND(OR(Calculations!$B$3:$B$4), E436=""), F436, "")</f>
        <v/>
      </c>
      <c r="B436" t="s">
        <v>476</v>
      </c>
      <c r="C436" t="str">
        <f ca="1">INDIRECT($F$291 &amp; ADDRESS(B433, 1,4  ))</f>
        <v>Attorney, Real Estate</v>
      </c>
      <c r="D436" t="str">
        <f>ADDRESS(B433, 5,4  )</f>
        <v>E36</v>
      </c>
      <c r="E436">
        <f t="shared" ca="1" si="184"/>
        <v>0</v>
      </c>
      <c r="F436" t="str">
        <f ca="1">CONCATENATE("Enter an 'Amount Last Provided to CHFA' value for '", C436, "' in cell ", D436, ".", CHAR(10))</f>
        <v xml:space="preserve">Enter an 'Amount Last Provided to CHFA' value for 'Attorney, Real Estate' in cell E36.
</v>
      </c>
      <c r="G436" s="9" t="str">
        <f t="shared" ca="1" si="185"/>
        <v xml:space="preserve">The total of development budget in column B must be greater than zero.
</v>
      </c>
    </row>
    <row r="437" spans="1:7" ht="15" customHeight="1">
      <c r="A437" t="str">
        <f ca="1">IF(AND(Calculations!$B$3, E437=""), F437, "")</f>
        <v/>
      </c>
      <c r="B437" t="s">
        <v>476</v>
      </c>
      <c r="C437" t="str">
        <f ca="1">INDIRECT($F$291 &amp; ADDRESS(B433, 1,4  ))</f>
        <v>Attorney, Real Estate</v>
      </c>
      <c r="D437" t="str">
        <f>ADDRESS(B433, 6,4  )</f>
        <v>F36</v>
      </c>
      <c r="E437">
        <f t="shared" ca="1" si="184"/>
        <v>0</v>
      </c>
      <c r="F437" t="str">
        <f ca="1">CONCATENATE("Enter a '10% Carryover Actual Incurred Costs' value for '", C437, "' in cell ", D437, ".", CHAR(10))</f>
        <v xml:space="preserve">Enter a '10% Carryover Actual Incurred Costs' value for 'Attorney, Real Estate' in cell F36.
</v>
      </c>
      <c r="G437" s="9" t="str">
        <f t="shared" ca="1" si="185"/>
        <v xml:space="preserve">The total of development budget in column B must be greater than zero.
</v>
      </c>
    </row>
    <row r="438" spans="1:7" ht="15" customHeight="1">
      <c r="A438" t="str">
        <f ca="1">IF(E438="", F438, "")</f>
        <v/>
      </c>
      <c r="B438" s="52">
        <f>B433+1</f>
        <v>37</v>
      </c>
      <c r="C438" t="str">
        <f ca="1">INDIRECT($F$291 &amp; ADDRESS(B438, 1,4  ))</f>
        <v>Green Consultant</v>
      </c>
      <c r="D438" t="str">
        <f>ADDRESS(B438, 2,4  )</f>
        <v>B37</v>
      </c>
      <c r="E438">
        <f t="shared" ca="1" si="184"/>
        <v>0</v>
      </c>
      <c r="F438" t="str">
        <f ca="1">CONCATENATE("Enter a value for '", C438, "' in cell ", D438, ".", CHAR(10))</f>
        <v xml:space="preserve">Enter a value for 'Green Consultant' in cell B37.
</v>
      </c>
      <c r="G438" s="9" t="str">
        <f t="shared" ca="1" si="185"/>
        <v xml:space="preserve">The total of development budget in column B must be greater than zero.
</v>
      </c>
    </row>
    <row r="439" spans="1:7" ht="15" customHeight="1">
      <c r="A439" t="str">
        <f ca="1">IF(AND(Calculations!$B$5, E439=""), F439, "")</f>
        <v/>
      </c>
      <c r="B439" t="s">
        <v>476</v>
      </c>
      <c r="C439" t="str">
        <f ca="1">INDIRECT($F$291 &amp; ADDRESS(B438, 1,4  ))</f>
        <v>Green Consultant</v>
      </c>
      <c r="D439" t="str">
        <f>ADDRESS(B438, 3,4  )</f>
        <v>C37</v>
      </c>
      <c r="E439">
        <f t="shared" ca="1" si="184"/>
        <v>0</v>
      </c>
      <c r="F439" t="str">
        <f ca="1">CONCATENATE("Enter an '4% LIHTC Basis Calculation' value for '", C439, "' in cell ", D439, ".", CHAR(10))</f>
        <v xml:space="preserve">Enter an '4% LIHTC Basis Calculation' value for 'Green Consultant' in cell C37.
</v>
      </c>
      <c r="G439" s="9" t="str">
        <f t="shared" ca="1" si="185"/>
        <v xml:space="preserve">The total of development budget in column B must be greater than zero.
</v>
      </c>
    </row>
    <row r="440" spans="1:7" ht="15" customHeight="1">
      <c r="A440" t="str">
        <f ca="1">IF(AND(Calculations!$B$6, E440=""), F440, "")</f>
        <v/>
      </c>
      <c r="B440" t="s">
        <v>476</v>
      </c>
      <c r="C440" t="str">
        <f ca="1">INDIRECT($F$291 &amp; ADDRESS(B438, 1,4  ))</f>
        <v>Green Consultant</v>
      </c>
      <c r="D440" t="str">
        <f>ADDRESS(B438, 4,4  )</f>
        <v>D37</v>
      </c>
      <c r="E440">
        <f t="shared" ca="1" si="184"/>
        <v>0</v>
      </c>
      <c r="F440" t="str">
        <f ca="1">CONCATENATE("Enter an '9% LIHTC Basis Calculation' value for '", C440, "' in cell ", D440, ".", CHAR(10))</f>
        <v xml:space="preserve">Enter an '9% LIHTC Basis Calculation' value for 'Green Consultant' in cell D37.
</v>
      </c>
      <c r="G440" s="9" t="str">
        <f t="shared" ca="1" si="185"/>
        <v xml:space="preserve">The total of development budget in column B must be greater than zero.
</v>
      </c>
    </row>
    <row r="441" spans="1:7" ht="15" customHeight="1">
      <c r="A441" t="str">
        <f ca="1">IF(AND(OR(Calculations!$B$3:$B$4), E441=""), F441, "")</f>
        <v/>
      </c>
      <c r="B441" t="s">
        <v>476</v>
      </c>
      <c r="C441" t="str">
        <f ca="1">INDIRECT($F$291 &amp; ADDRESS(B438, 1,4  ))</f>
        <v>Green Consultant</v>
      </c>
      <c r="D441" t="str">
        <f>ADDRESS(B438, 5,4  )</f>
        <v>E37</v>
      </c>
      <c r="E441">
        <f t="shared" ca="1" si="184"/>
        <v>0</v>
      </c>
      <c r="F441" t="str">
        <f ca="1">CONCATENATE("Enter an 'Amount Last Provided to CHFA' value for '", C441, "' in cell ", D441, ".", CHAR(10))</f>
        <v xml:space="preserve">Enter an 'Amount Last Provided to CHFA' value for 'Green Consultant' in cell E37.
</v>
      </c>
      <c r="G441" s="9" t="str">
        <f t="shared" ca="1" si="185"/>
        <v xml:space="preserve">The total of development budget in column B must be greater than zero.
</v>
      </c>
    </row>
    <row r="442" spans="1:7" ht="15" customHeight="1">
      <c r="A442" t="str">
        <f ca="1">IF(AND(Calculations!$B$3, E442=""), F442, "")</f>
        <v/>
      </c>
      <c r="B442" t="s">
        <v>476</v>
      </c>
      <c r="C442" t="str">
        <f ca="1">INDIRECT($F$291 &amp; ADDRESS(B438, 1,4  ))</f>
        <v>Green Consultant</v>
      </c>
      <c r="D442" t="str">
        <f>ADDRESS(B438, 6,4  )</f>
        <v>F37</v>
      </c>
      <c r="E442">
        <f t="shared" ca="1" si="184"/>
        <v>0</v>
      </c>
      <c r="F442" t="str">
        <f ca="1">CONCATENATE("Enter a '10% Carryover Actual Incurred Costs' value for '", C442, "' in cell ", D442, ".", CHAR(10))</f>
        <v xml:space="preserve">Enter a '10% Carryover Actual Incurred Costs' value for 'Green Consultant' in cell F37.
</v>
      </c>
      <c r="G442" s="9" t="str">
        <f t="shared" ca="1" si="185"/>
        <v xml:space="preserve">The total of development budget in column B must be greater than zero.
</v>
      </c>
    </row>
    <row r="443" spans="1:7" ht="15" customHeight="1">
      <c r="A443" t="str">
        <f ca="1">IF(E443="", F443, "")</f>
        <v/>
      </c>
      <c r="B443" s="52">
        <f>B438+1</f>
        <v>38</v>
      </c>
      <c r="C443" t="str">
        <f ca="1">INDIRECT($F$291 &amp; ADDRESS(B443, 1,4  ))</f>
        <v>Green Charrette</v>
      </c>
      <c r="D443" t="str">
        <f>ADDRESS(B443, 2,4  )</f>
        <v>B38</v>
      </c>
      <c r="E443">
        <f t="shared" ca="1" si="184"/>
        <v>0</v>
      </c>
      <c r="F443" t="str">
        <f ca="1">CONCATENATE("Enter a value for '", C443, "' in cell ", D443, ".", CHAR(10))</f>
        <v xml:space="preserve">Enter a value for 'Green Charrette' in cell B38.
</v>
      </c>
      <c r="G443" s="9" t="str">
        <f t="shared" ca="1" si="185"/>
        <v xml:space="preserve">The total of development budget in column B must be greater than zero.
</v>
      </c>
    </row>
    <row r="444" spans="1:7" ht="15" customHeight="1">
      <c r="A444" t="str">
        <f ca="1">IF(AND(Calculations!$B$5, E444=""), F444, "")</f>
        <v/>
      </c>
      <c r="B444" t="s">
        <v>476</v>
      </c>
      <c r="C444" t="str">
        <f ca="1">INDIRECT($F$291 &amp; ADDRESS(B443, 1,4  ))</f>
        <v>Green Charrette</v>
      </c>
      <c r="D444" t="str">
        <f>ADDRESS(B443, 3,4  )</f>
        <v>C38</v>
      </c>
      <c r="E444">
        <f t="shared" ca="1" si="184"/>
        <v>0</v>
      </c>
      <c r="F444" t="str">
        <f ca="1">CONCATENATE("Enter an '4% LIHTC Basis Calculation' value for '", C444, "' in cell ", D444, ".", CHAR(10))</f>
        <v xml:space="preserve">Enter an '4% LIHTC Basis Calculation' value for 'Green Charrette' in cell C38.
</v>
      </c>
      <c r="G444" s="9" t="str">
        <f t="shared" ca="1" si="185"/>
        <v xml:space="preserve">The total of development budget in column B must be greater than zero.
</v>
      </c>
    </row>
    <row r="445" spans="1:7" ht="15" customHeight="1">
      <c r="A445" t="str">
        <f ca="1">IF(AND(Calculations!$B$6, E445=""), F445, "")</f>
        <v/>
      </c>
      <c r="B445" t="s">
        <v>476</v>
      </c>
      <c r="C445" t="str">
        <f ca="1">INDIRECT($F$291 &amp; ADDRESS(B443, 1,4  ))</f>
        <v>Green Charrette</v>
      </c>
      <c r="D445" t="str">
        <f>ADDRESS(B443, 4,4  )</f>
        <v>D38</v>
      </c>
      <c r="E445">
        <f t="shared" ca="1" si="184"/>
        <v>0</v>
      </c>
      <c r="F445" t="str">
        <f ca="1">CONCATENATE("Enter an '9% LIHTC Basis Calculation' value for '", C445, "' in cell ", D445, ".", CHAR(10))</f>
        <v xml:space="preserve">Enter an '9% LIHTC Basis Calculation' value for 'Green Charrette' in cell D38.
</v>
      </c>
      <c r="G445" s="9" t="str">
        <f t="shared" ca="1" si="185"/>
        <v xml:space="preserve">The total of development budget in column B must be greater than zero.
</v>
      </c>
    </row>
    <row r="446" spans="1:7" ht="15" customHeight="1">
      <c r="A446" t="str">
        <f ca="1">IF(AND(OR(Calculations!$B$3:$B$4), E446=""), F446, "")</f>
        <v/>
      </c>
      <c r="B446" t="s">
        <v>476</v>
      </c>
      <c r="C446" t="str">
        <f ca="1">INDIRECT($F$291 &amp; ADDRESS(B443, 1,4  ))</f>
        <v>Green Charrette</v>
      </c>
      <c r="D446" t="str">
        <f>ADDRESS(B443, 5,4  )</f>
        <v>E38</v>
      </c>
      <c r="E446">
        <f t="shared" ca="1" si="184"/>
        <v>0</v>
      </c>
      <c r="F446" t="str">
        <f ca="1">CONCATENATE("Enter an 'Amount Last Provided to CHFA' value for '", C446, "' in cell ", D446, ".", CHAR(10))</f>
        <v xml:space="preserve">Enter an 'Amount Last Provided to CHFA' value for 'Green Charrette' in cell E38.
</v>
      </c>
      <c r="G446" s="9" t="str">
        <f t="shared" ca="1" si="185"/>
        <v xml:space="preserve">The total of development budget in column B must be greater than zero.
</v>
      </c>
    </row>
    <row r="447" spans="1:7" ht="15" customHeight="1">
      <c r="A447" t="str">
        <f ca="1">IF(AND(Calculations!$B$3, E447=""), F447, "")</f>
        <v/>
      </c>
      <c r="B447" t="s">
        <v>476</v>
      </c>
      <c r="C447" t="str">
        <f ca="1">INDIRECT($F$291 &amp; ADDRESS(B443, 1,4  ))</f>
        <v>Green Charrette</v>
      </c>
      <c r="D447" t="str">
        <f>ADDRESS(B443, 6,4  )</f>
        <v>F38</v>
      </c>
      <c r="E447">
        <f t="shared" ca="1" si="184"/>
        <v>0</v>
      </c>
      <c r="F447" t="str">
        <f ca="1">CONCATENATE("Enter a '10% Carryover Actual Incurred Costs' value for '", C447, "' in cell ", D447, ".", CHAR(10))</f>
        <v xml:space="preserve">Enter a '10% Carryover Actual Incurred Costs' value for 'Green Charrette' in cell F38.
</v>
      </c>
      <c r="G447" s="9" t="str">
        <f t="shared" ca="1" si="185"/>
        <v xml:space="preserve">The total of development budget in column B must be greater than zero.
</v>
      </c>
    </row>
    <row r="448" spans="1:7" ht="15" customHeight="1">
      <c r="A448" t="str">
        <f ca="1">IF(E448="", F448, "")</f>
        <v/>
      </c>
      <c r="B448" s="52">
        <f>B443+1</f>
        <v>39</v>
      </c>
      <c r="C448" t="str">
        <f ca="1">INDIRECT($F$291 &amp; ADDRESS(B448, 1,4  ))</f>
        <v>Construction Accounting</v>
      </c>
      <c r="D448" t="str">
        <f>ADDRESS(B448, 2,4  )</f>
        <v>B39</v>
      </c>
      <c r="E448">
        <f t="shared" ca="1" si="184"/>
        <v>0</v>
      </c>
      <c r="F448" t="str">
        <f ca="1">CONCATENATE("Enter a value for '", C448, "' in cell ", D448, ".", CHAR(10))</f>
        <v xml:space="preserve">Enter a value for 'Construction Accounting' in cell B39.
</v>
      </c>
      <c r="G448" s="9" t="str">
        <f t="shared" ca="1" si="185"/>
        <v xml:space="preserve">The total of development budget in column B must be greater than zero.
</v>
      </c>
    </row>
    <row r="449" spans="1:7" ht="15" customHeight="1">
      <c r="A449" t="str">
        <f ca="1">IF(AND(Calculations!$B$5, E449=""), F449, "")</f>
        <v/>
      </c>
      <c r="B449" t="s">
        <v>476</v>
      </c>
      <c r="C449" t="str">
        <f ca="1">INDIRECT($F$291 &amp; ADDRESS(B448, 1,4  ))</f>
        <v>Construction Accounting</v>
      </c>
      <c r="D449" t="str">
        <f>ADDRESS(B448, 3,4  )</f>
        <v>C39</v>
      </c>
      <c r="E449">
        <f t="shared" ca="1" si="184"/>
        <v>0</v>
      </c>
      <c r="F449" t="str">
        <f ca="1">CONCATENATE("Enter an '4% LIHTC Basis Calculation' value for '", C449, "' in cell ", D449, ".", CHAR(10))</f>
        <v xml:space="preserve">Enter an '4% LIHTC Basis Calculation' value for 'Construction Accounting' in cell C39.
</v>
      </c>
      <c r="G449" s="9" t="str">
        <f t="shared" ca="1" si="185"/>
        <v xml:space="preserve">The total of development budget in column B must be greater than zero.
</v>
      </c>
    </row>
    <row r="450" spans="1:7" ht="15" customHeight="1">
      <c r="A450" t="str">
        <f ca="1">IF(AND(Calculations!$B$6, E450=""), F450, "")</f>
        <v/>
      </c>
      <c r="B450" t="s">
        <v>476</v>
      </c>
      <c r="C450" t="str">
        <f ca="1">INDIRECT($F$291 &amp; ADDRESS(B448, 1,4  ))</f>
        <v>Construction Accounting</v>
      </c>
      <c r="D450" t="str">
        <f>ADDRESS(B448, 4,4  )</f>
        <v>D39</v>
      </c>
      <c r="E450">
        <f t="shared" ca="1" si="184"/>
        <v>0</v>
      </c>
      <c r="F450" t="str">
        <f ca="1">CONCATENATE("Enter an '9% LIHTC Basis Calculation' value for '", C450, "' in cell ", D450, ".", CHAR(10))</f>
        <v xml:space="preserve">Enter an '9% LIHTC Basis Calculation' value for 'Construction Accounting' in cell D39.
</v>
      </c>
      <c r="G450" s="9" t="str">
        <f t="shared" ca="1" si="185"/>
        <v xml:space="preserve">The total of development budget in column B must be greater than zero.
</v>
      </c>
    </row>
    <row r="451" spans="1:7" ht="15" customHeight="1">
      <c r="A451" t="str">
        <f ca="1">IF(AND(OR(Calculations!$B$3:$B$4), E451=""), F451, "")</f>
        <v/>
      </c>
      <c r="B451" t="s">
        <v>476</v>
      </c>
      <c r="C451" t="str">
        <f ca="1">INDIRECT($F$291 &amp; ADDRESS(B448, 1,4  ))</f>
        <v>Construction Accounting</v>
      </c>
      <c r="D451" t="str">
        <f>ADDRESS(B448, 5,4  )</f>
        <v>E39</v>
      </c>
      <c r="E451">
        <f t="shared" ca="1" si="184"/>
        <v>0</v>
      </c>
      <c r="F451" t="str">
        <f ca="1">CONCATENATE("Enter an 'Amount Last Provided to CHFA' value for '", C451, "' in cell ", D451, ".", CHAR(10))</f>
        <v xml:space="preserve">Enter an 'Amount Last Provided to CHFA' value for 'Construction Accounting' in cell E39.
</v>
      </c>
      <c r="G451" s="9" t="str">
        <f t="shared" ca="1" si="185"/>
        <v xml:space="preserve">The total of development budget in column B must be greater than zero.
</v>
      </c>
    </row>
    <row r="452" spans="1:7" ht="15" customHeight="1">
      <c r="A452" t="str">
        <f ca="1">IF(AND(Calculations!$B$3, E452=""), F452, "")</f>
        <v/>
      </c>
      <c r="B452" t="s">
        <v>476</v>
      </c>
      <c r="C452" t="str">
        <f ca="1">INDIRECT($F$291 &amp; ADDRESS(B448, 1,4  ))</f>
        <v>Construction Accounting</v>
      </c>
      <c r="D452" t="str">
        <f>ADDRESS(B448, 6,4  )</f>
        <v>F39</v>
      </c>
      <c r="E452">
        <f t="shared" ref="E452:E457" ca="1" si="186">IF(ISBLANK( INDIRECT($F$291 &amp; D452)),"", INDIRECT($F$291 &amp; D452))</f>
        <v>0</v>
      </c>
      <c r="F452" t="str">
        <f ca="1">CONCATENATE("Enter a '10% Carryover Actual Incurred Costs' value for '", C452, "' in cell ", D452, ".", CHAR(10))</f>
        <v xml:space="preserve">Enter a '10% Carryover Actual Incurred Costs' value for 'Construction Accounting' in cell F39.
</v>
      </c>
      <c r="G452" s="9" t="str">
        <f t="shared" ca="1" si="185"/>
        <v xml:space="preserve">The total of development budget in column B must be greater than zero.
</v>
      </c>
    </row>
    <row r="453" spans="1:7" ht="15" customHeight="1">
      <c r="A453" t="str">
        <f ca="1">IF(E453="", F453, "")</f>
        <v/>
      </c>
      <c r="B453" s="52">
        <f>B448+1</f>
        <v>40</v>
      </c>
      <c r="C453" t="str">
        <f ca="1">INDIRECT($F$291 &amp; ADDRESS(B453, 1,4  ))</f>
        <v>Other (Specify)</v>
      </c>
      <c r="D453" t="str">
        <f>ADDRESS(B453, 2,4  )</f>
        <v>B40</v>
      </c>
      <c r="E453">
        <f t="shared" ca="1" si="186"/>
        <v>0</v>
      </c>
      <c r="F453" t="str">
        <f ca="1">CONCATENATE("Enter a value for '", C453, "' in cell ", D453, ".", CHAR(10))</f>
        <v xml:space="preserve">Enter a value for 'Other (Specify)' in cell B40.
</v>
      </c>
      <c r="G453" s="9" t="str">
        <f t="shared" ca="1" si="185"/>
        <v xml:space="preserve">The total of development budget in column B must be greater than zero.
</v>
      </c>
    </row>
    <row r="454" spans="1:7" ht="15" customHeight="1">
      <c r="A454" t="str">
        <f ca="1">IF(AND(Calculations!$B$5, E454=""), F454, "")</f>
        <v/>
      </c>
      <c r="B454" t="s">
        <v>476</v>
      </c>
      <c r="C454" t="str">
        <f ca="1">INDIRECT($F$291 &amp; ADDRESS(B453, 1,4  ))</f>
        <v>Other (Specify)</v>
      </c>
      <c r="D454" t="str">
        <f>ADDRESS(B453, 3,4  )</f>
        <v>C40</v>
      </c>
      <c r="E454">
        <f t="shared" ca="1" si="186"/>
        <v>0</v>
      </c>
      <c r="F454" t="str">
        <f ca="1">CONCATENATE("Enter an '4% LIHTC Basis Calculation' value for '", C454, "' in cell ", D454, ".", CHAR(10))</f>
        <v xml:space="preserve">Enter an '4% LIHTC Basis Calculation' value for 'Other (Specify)' in cell C40.
</v>
      </c>
      <c r="G454" s="9" t="str">
        <f t="shared" ca="1" si="185"/>
        <v xml:space="preserve">The total of development budget in column B must be greater than zero.
</v>
      </c>
    </row>
    <row r="455" spans="1:7" ht="15" customHeight="1">
      <c r="A455" t="str">
        <f ca="1">IF(AND(Calculations!$B$6, E455=""), F455, "")</f>
        <v/>
      </c>
      <c r="B455" t="s">
        <v>476</v>
      </c>
      <c r="C455" t="str">
        <f ca="1">INDIRECT($F$291 &amp; ADDRESS(B453, 1,4  ))</f>
        <v>Other (Specify)</v>
      </c>
      <c r="D455" t="str">
        <f>ADDRESS(B453, 4,4  )</f>
        <v>D40</v>
      </c>
      <c r="E455">
        <f t="shared" ca="1" si="186"/>
        <v>0</v>
      </c>
      <c r="F455" t="str">
        <f ca="1">CONCATENATE("Enter an '9% LIHTC Basis Calculation' value for '", C455, "' in cell ", D455, ".", CHAR(10))</f>
        <v xml:space="preserve">Enter an '9% LIHTC Basis Calculation' value for 'Other (Specify)' in cell D40.
</v>
      </c>
      <c r="G455" s="9" t="str">
        <f t="shared" ca="1" si="185"/>
        <v xml:space="preserve">The total of development budget in column B must be greater than zero.
</v>
      </c>
    </row>
    <row r="456" spans="1:7" ht="15" customHeight="1">
      <c r="A456" t="str">
        <f ca="1">IF(AND(OR(Calculations!$B$3:$B$4), E456=""), F456, "")</f>
        <v/>
      </c>
      <c r="B456" t="s">
        <v>476</v>
      </c>
      <c r="C456" t="str">
        <f ca="1">INDIRECT($F$291 &amp; ADDRESS(B453, 1,4  ))</f>
        <v>Other (Specify)</v>
      </c>
      <c r="D456" t="str">
        <f>ADDRESS(B453, 5,4  )</f>
        <v>E40</v>
      </c>
      <c r="E456">
        <f t="shared" ca="1" si="186"/>
        <v>0</v>
      </c>
      <c r="F456" t="str">
        <f ca="1">CONCATENATE("Enter an 'Amount Last Provided to CHFA' value for '", C456, "' in cell ", D456, ".", CHAR(10))</f>
        <v xml:space="preserve">Enter an 'Amount Last Provided to CHFA' value for 'Other (Specify)' in cell E40.
</v>
      </c>
      <c r="G456" s="9" t="str">
        <f t="shared" ca="1" si="185"/>
        <v xml:space="preserve">The total of development budget in column B must be greater than zero.
</v>
      </c>
    </row>
    <row r="457" spans="1:7" ht="15" customHeight="1">
      <c r="A457" t="str">
        <f ca="1">IF(AND(Calculations!$B$3, E457=""), F457, "")</f>
        <v/>
      </c>
      <c r="B457" t="s">
        <v>476</v>
      </c>
      <c r="C457" t="str">
        <f ca="1">INDIRECT($F$291 &amp; ADDRESS(B453, 1,4  ))</f>
        <v>Other (Specify)</v>
      </c>
      <c r="D457" t="str">
        <f>ADDRESS(B453, 6,4  )</f>
        <v>F40</v>
      </c>
      <c r="E457">
        <f t="shared" ca="1" si="186"/>
        <v>0</v>
      </c>
      <c r="F457" t="str">
        <f ca="1">CONCATENATE("Enter a '10% Carryover Actual Incurred Costs' value for '", C457, "' in cell ", D457, ".", CHAR(10))</f>
        <v xml:space="preserve">Enter a '10% Carryover Actual Incurred Costs' value for 'Other (Specify)' in cell F40.
</v>
      </c>
      <c r="G457" s="9" t="str">
        <f t="shared" ca="1" si="185"/>
        <v xml:space="preserve">The total of development budget in column B must be greater than zero.
</v>
      </c>
    </row>
    <row r="458" spans="1:7" ht="15" customHeight="1">
      <c r="A458" t="str">
        <f ca="1">IF(AND(E458, SUM(E453:E457) &gt; 0), F458, "")</f>
        <v/>
      </c>
      <c r="C458" t="str">
        <f ca="1">INDIRECT($F$291 &amp; ADDRESS(B453, 1,4  ))</f>
        <v>Other (Specify)</v>
      </c>
      <c r="D458" t="str">
        <f>ADDRESS(B453, 1,4  )</f>
        <v>A40</v>
      </c>
      <c r="E458" t="b">
        <f ca="1">INDIRECT($F$291 &amp; D458)="Other (specify)"</f>
        <v>1</v>
      </c>
      <c r="F458" t="str">
        <f ca="1">CONCATENATE("Please specify value for '", C458, "' in cell ", D458, ".", CHAR(10))</f>
        <v xml:space="preserve">Please specify value for 'Other (Specify)' in cell A40.
</v>
      </c>
      <c r="G458" s="9" t="str">
        <f t="shared" ca="1" si="185"/>
        <v xml:space="preserve">The total of development budget in column B must be greater than zero.
</v>
      </c>
    </row>
    <row r="459" spans="1:7" ht="15" customHeight="1">
      <c r="A459" t="str">
        <f ca="1">IF(E459="", F459, "")</f>
        <v/>
      </c>
      <c r="B459" s="52">
        <f>B453+1</f>
        <v>41</v>
      </c>
      <c r="C459" t="str">
        <f ca="1">INDIRECT($F$291 &amp; ADDRESS(B459, 1,4  ))</f>
        <v>Other (Specify)</v>
      </c>
      <c r="D459" t="str">
        <f>ADDRESS(B459, 2,4  )</f>
        <v>B41</v>
      </c>
      <c r="E459">
        <f ca="1">IF(ISBLANK( INDIRECT($F$291 &amp; D459)),"", INDIRECT($F$291 &amp; D459))</f>
        <v>0</v>
      </c>
      <c r="F459" t="str">
        <f ca="1">CONCATENATE("Enter a value for '", C459, "' in cell ", D459, ".", CHAR(10))</f>
        <v xml:space="preserve">Enter a value for 'Other (Specify)' in cell B41.
</v>
      </c>
      <c r="G459" s="9" t="str">
        <f t="shared" ca="1" si="185"/>
        <v xml:space="preserve">The total of development budget in column B must be greater than zero.
</v>
      </c>
    </row>
    <row r="460" spans="1:7" ht="15" customHeight="1">
      <c r="A460" t="str">
        <f ca="1">IF(AND(Calculations!$B$5, E460=""), F460, "")</f>
        <v/>
      </c>
      <c r="B460" t="s">
        <v>476</v>
      </c>
      <c r="C460" t="str">
        <f ca="1">INDIRECT($F$291 &amp; ADDRESS(B459, 1,4  ))</f>
        <v>Other (Specify)</v>
      </c>
      <c r="D460" t="str">
        <f>ADDRESS(B459, 3,4  )</f>
        <v>C41</v>
      </c>
      <c r="E460">
        <f ca="1">IF(ISBLANK( INDIRECT($F$291 &amp; D460)),"", INDIRECT($F$291 &amp; D460))</f>
        <v>0</v>
      </c>
      <c r="F460" t="str">
        <f ca="1">CONCATENATE("Enter an '4% LIHTC Basis Calculation' value for '", C460, "' in cell ", D460, ".", CHAR(10))</f>
        <v xml:space="preserve">Enter an '4% LIHTC Basis Calculation' value for 'Other (Specify)' in cell C41.
</v>
      </c>
      <c r="G460" s="9" t="str">
        <f t="shared" ca="1" si="185"/>
        <v xml:space="preserve">The total of development budget in column B must be greater than zero.
</v>
      </c>
    </row>
    <row r="461" spans="1:7" ht="15" customHeight="1">
      <c r="A461" t="str">
        <f ca="1">IF(AND(Calculations!$B$6, E461=""), F461, "")</f>
        <v/>
      </c>
      <c r="B461" t="s">
        <v>476</v>
      </c>
      <c r="C461" t="str">
        <f ca="1">INDIRECT($F$291 &amp; ADDRESS(B459, 1,4  ))</f>
        <v>Other (Specify)</v>
      </c>
      <c r="D461" t="str">
        <f>ADDRESS(B459, 4,4  )</f>
        <v>D41</v>
      </c>
      <c r="E461">
        <f ca="1">IF(ISBLANK( INDIRECT($F$291 &amp; D461)),"", INDIRECT($F$291 &amp; D461))</f>
        <v>0</v>
      </c>
      <c r="F461" t="str">
        <f ca="1">CONCATENATE("Enter an '9% LIHTC Basis Calculation' value for '", C461, "' in cell ", D461, ".", CHAR(10))</f>
        <v xml:space="preserve">Enter an '9% LIHTC Basis Calculation' value for 'Other (Specify)' in cell D41.
</v>
      </c>
      <c r="G461" s="9" t="str">
        <f t="shared" ca="1" si="185"/>
        <v xml:space="preserve">The total of development budget in column B must be greater than zero.
</v>
      </c>
    </row>
    <row r="462" spans="1:7" ht="15" customHeight="1">
      <c r="A462" t="str">
        <f ca="1">IF(AND(OR(Calculations!$B$3:$B$4), E462=""), F462, "")</f>
        <v/>
      </c>
      <c r="B462" t="s">
        <v>476</v>
      </c>
      <c r="C462" t="str">
        <f ca="1">INDIRECT($F$291 &amp; ADDRESS(B459, 1,4  ))</f>
        <v>Other (Specify)</v>
      </c>
      <c r="D462" t="str">
        <f>ADDRESS(B459, 5,4  )</f>
        <v>E41</v>
      </c>
      <c r="E462">
        <f ca="1">IF(ISBLANK( INDIRECT($F$291 &amp; D462)),"", INDIRECT($F$291 &amp; D462))</f>
        <v>0</v>
      </c>
      <c r="F462" t="str">
        <f ca="1">CONCATENATE("Enter an 'Amount Last Provided to CHFA' value for '", C462, "' in cell ", D462, ".", CHAR(10))</f>
        <v xml:space="preserve">Enter an 'Amount Last Provided to CHFA' value for 'Other (Specify)' in cell E41.
</v>
      </c>
      <c r="G462" s="9" t="str">
        <f t="shared" ca="1" si="185"/>
        <v xml:space="preserve">The total of development budget in column B must be greater than zero.
</v>
      </c>
    </row>
    <row r="463" spans="1:7" ht="15" customHeight="1">
      <c r="A463" t="str">
        <f ca="1">IF(AND(Calculations!$B$3, E463=""), F463, "")</f>
        <v/>
      </c>
      <c r="B463" t="s">
        <v>476</v>
      </c>
      <c r="C463" t="str">
        <f ca="1">INDIRECT($F$291 &amp; ADDRESS(B459, 1,4  ))</f>
        <v>Other (Specify)</v>
      </c>
      <c r="D463" t="str">
        <f>ADDRESS(B459, 6,4  )</f>
        <v>F41</v>
      </c>
      <c r="E463">
        <f ca="1">IF(ISBLANK( INDIRECT($F$291 &amp; D463)),"", INDIRECT($F$291 &amp; D463))</f>
        <v>0</v>
      </c>
      <c r="F463" t="str">
        <f ca="1">CONCATENATE("Enter a '10% Carryover Actual Incurred Costs' value for '", C463, "' in cell ", D463, ".", CHAR(10))</f>
        <v xml:space="preserve">Enter a '10% Carryover Actual Incurred Costs' value for 'Other (Specify)' in cell F41.
</v>
      </c>
      <c r="G463" s="9" t="str">
        <f t="shared" ca="1" si="185"/>
        <v xml:space="preserve">The total of development budget in column B must be greater than zero.
</v>
      </c>
    </row>
    <row r="464" spans="1:7" ht="15" customHeight="1">
      <c r="A464" t="str">
        <f ca="1">IF(AND(E464, SUM(E459:E463) &gt; 0), F464, "")</f>
        <v/>
      </c>
      <c r="C464" t="str">
        <f ca="1">INDIRECT($F$291 &amp; ADDRESS(B459, 1,4  ))</f>
        <v>Other (Specify)</v>
      </c>
      <c r="D464" t="str">
        <f>ADDRESS(B459, 1,4  )</f>
        <v>A41</v>
      </c>
      <c r="E464" t="b">
        <f ca="1">INDIRECT($F$291 &amp; D464)="Other (specify)"</f>
        <v>1</v>
      </c>
      <c r="F464" t="str">
        <f ca="1">CONCATENATE("Please specify value for '", C464, "' in cell ", D464, ".", CHAR(10))</f>
        <v xml:space="preserve">Please specify value for 'Other (Specify)' in cell A41.
</v>
      </c>
      <c r="G464" s="9" t="str">
        <f t="shared" ca="1" si="185"/>
        <v xml:space="preserve">The total of development budget in column B must be greater than zero.
</v>
      </c>
    </row>
    <row r="465" spans="1:7" ht="15" customHeight="1">
      <c r="A465" t="str">
        <f ca="1">IF(E465="", F465, "")</f>
        <v/>
      </c>
      <c r="B465" s="52">
        <f>B459+1</f>
        <v>42</v>
      </c>
      <c r="C465" t="str">
        <f ca="1">INDIRECT($F$291 &amp; ADDRESS(B465, 1,4  ))</f>
        <v>Other (Specify)</v>
      </c>
      <c r="D465" t="str">
        <f>ADDRESS(B465, 2,4  )</f>
        <v>B42</v>
      </c>
      <c r="E465">
        <f ca="1">IF(ISBLANK( INDIRECT($F$291 &amp; D465)),"", INDIRECT($F$291 &amp; D465))</f>
        <v>0</v>
      </c>
      <c r="F465" t="str">
        <f ca="1">CONCATENATE("Enter a value for '", C465, "' in cell ", D465, ".", CHAR(10))</f>
        <v xml:space="preserve">Enter a value for 'Other (Specify)' in cell B42.
</v>
      </c>
      <c r="G465" s="9" t="str">
        <f t="shared" ca="1" si="185"/>
        <v xml:space="preserve">The total of development budget in column B must be greater than zero.
</v>
      </c>
    </row>
    <row r="466" spans="1:7" ht="15" customHeight="1">
      <c r="A466" t="str">
        <f ca="1">IF(AND(Calculations!$B$5, E466=""), F466, "")</f>
        <v/>
      </c>
      <c r="B466" t="s">
        <v>476</v>
      </c>
      <c r="C466" t="str">
        <f ca="1">INDIRECT($F$291 &amp; ADDRESS(B465, 1,4  ))</f>
        <v>Other (Specify)</v>
      </c>
      <c r="D466" t="str">
        <f>ADDRESS(B465, 3,4  )</f>
        <v>C42</v>
      </c>
      <c r="E466">
        <f ca="1">IF(ISBLANK( INDIRECT($F$291 &amp; D466)),"", INDIRECT($F$291 &amp; D466))</f>
        <v>0</v>
      </c>
      <c r="F466" t="str">
        <f ca="1">CONCATENATE("Enter an '4% LIHTC Basis Calculation' value for '", C466, "' in cell ", D466, ".", CHAR(10))</f>
        <v xml:space="preserve">Enter an '4% LIHTC Basis Calculation' value for 'Other (Specify)' in cell C42.
</v>
      </c>
      <c r="G466" s="9" t="str">
        <f t="shared" ca="1" si="185"/>
        <v xml:space="preserve">The total of development budget in column B must be greater than zero.
</v>
      </c>
    </row>
    <row r="467" spans="1:7" ht="15" customHeight="1">
      <c r="A467" t="str">
        <f ca="1">IF(AND(Calculations!$B$6, E467=""), F467, "")</f>
        <v/>
      </c>
      <c r="B467" t="s">
        <v>476</v>
      </c>
      <c r="C467" t="str">
        <f ca="1">INDIRECT($F$291 &amp; ADDRESS(B465, 1,4  ))</f>
        <v>Other (Specify)</v>
      </c>
      <c r="D467" t="str">
        <f>ADDRESS(B465, 4,4  )</f>
        <v>D42</v>
      </c>
      <c r="E467">
        <f ca="1">IF(ISBLANK( INDIRECT($F$291 &amp; D467)),"", INDIRECT($F$291 &amp; D467))</f>
        <v>0</v>
      </c>
      <c r="F467" t="str">
        <f ca="1">CONCATENATE("Enter an '9% LIHTC Basis Calculation' value for '", C467, "' in cell ", D467, ".", CHAR(10))</f>
        <v xml:space="preserve">Enter an '9% LIHTC Basis Calculation' value for 'Other (Specify)' in cell D42.
</v>
      </c>
      <c r="G467" s="9" t="str">
        <f t="shared" ca="1" si="185"/>
        <v xml:space="preserve">The total of development budget in column B must be greater than zero.
</v>
      </c>
    </row>
    <row r="468" spans="1:7" ht="15" customHeight="1">
      <c r="A468" t="str">
        <f ca="1">IF(AND(OR(Calculations!$B$3:$B$4), E468=""), F468, "")</f>
        <v/>
      </c>
      <c r="B468" t="s">
        <v>476</v>
      </c>
      <c r="C468" t="str">
        <f ca="1">INDIRECT($F$291 &amp; ADDRESS(B465, 1,4  ))</f>
        <v>Other (Specify)</v>
      </c>
      <c r="D468" t="str">
        <f>ADDRESS(B465, 5,4  )</f>
        <v>E42</v>
      </c>
      <c r="E468">
        <f ca="1">IF(ISBLANK( INDIRECT($F$291 &amp; D468)),"", INDIRECT($F$291 &amp; D468))</f>
        <v>0</v>
      </c>
      <c r="F468" t="str">
        <f ca="1">CONCATENATE("Enter an 'Amount Last Provided to CHFA' value for '", C468, "' in cell ", D468, ".", CHAR(10))</f>
        <v xml:space="preserve">Enter an 'Amount Last Provided to CHFA' value for 'Other (Specify)' in cell E42.
</v>
      </c>
      <c r="G468" s="9" t="str">
        <f t="shared" ca="1" si="185"/>
        <v xml:space="preserve">The total of development budget in column B must be greater than zero.
</v>
      </c>
    </row>
    <row r="469" spans="1:7" ht="15" customHeight="1">
      <c r="A469" t="str">
        <f ca="1">IF(AND(Calculations!$B$3, E469=""), F469, "")</f>
        <v/>
      </c>
      <c r="B469" t="s">
        <v>476</v>
      </c>
      <c r="C469" t="str">
        <f ca="1">INDIRECT($F$291 &amp; ADDRESS(B465, 1,4  ))</f>
        <v>Other (Specify)</v>
      </c>
      <c r="D469" t="str">
        <f>ADDRESS(B465, 6,4  )</f>
        <v>F42</v>
      </c>
      <c r="E469">
        <f ca="1">IF(ISBLANK( INDIRECT($F$291 &amp; D469)),"", INDIRECT($F$291 &amp; D469))</f>
        <v>0</v>
      </c>
      <c r="F469" t="str">
        <f ca="1">CONCATENATE("Enter a '10% Carryover Actual Incurred Costs' value for '", C469, "' in cell ", D469, ".", CHAR(10))</f>
        <v xml:space="preserve">Enter a '10% Carryover Actual Incurred Costs' value for 'Other (Specify)' in cell F42.
</v>
      </c>
      <c r="G469" s="9" t="str">
        <f t="shared" ca="1" si="185"/>
        <v xml:space="preserve">The total of development budget in column B must be greater than zero.
</v>
      </c>
    </row>
    <row r="470" spans="1:7" ht="15" customHeight="1">
      <c r="A470" t="str">
        <f ca="1">IF(AND(E470, SUM(E465:E469) &gt; 0), F470, "")</f>
        <v/>
      </c>
      <c r="C470" t="str">
        <f ca="1">INDIRECT($F$291 &amp; ADDRESS(B465, 1,4  ))</f>
        <v>Other (Specify)</v>
      </c>
      <c r="D470" t="str">
        <f>ADDRESS(B465, 1,4  )</f>
        <v>A42</v>
      </c>
      <c r="E470" t="b">
        <f ca="1">INDIRECT($F$291 &amp; D470)="Other (specify)"</f>
        <v>1</v>
      </c>
      <c r="F470" t="str">
        <f ca="1">CONCATENATE("Please specify value for '", C470, "' in cell ", D470, ".", CHAR(10))</f>
        <v xml:space="preserve">Please specify value for 'Other (Specify)' in cell A42.
</v>
      </c>
      <c r="G470" s="9" t="str">
        <f t="shared" ca="1" si="185"/>
        <v xml:space="preserve">The total of development budget in column B must be greater than zero.
</v>
      </c>
    </row>
    <row r="471" spans="1:7" ht="15" customHeight="1">
      <c r="A471" t="str">
        <f ca="1">IF(E471="", F471, "")</f>
        <v/>
      </c>
      <c r="B471">
        <f>ROW('Development Budget'!A45)</f>
        <v>45</v>
      </c>
      <c r="C471" t="str">
        <f ca="1">INDIRECT($F$291 &amp; ADDRESS(B471, 1,4  ))</f>
        <v>Hazard &amp; Liability Insurance</v>
      </c>
      <c r="D471" t="str">
        <f>ADDRESS(B471, 2,4  )</f>
        <v>B45</v>
      </c>
      <c r="E471">
        <f t="shared" ref="E471:E502" ca="1" si="187">IF(ISBLANK( INDIRECT($F$291 &amp; D471)),"", INDIRECT($F$291 &amp; D471))</f>
        <v>0</v>
      </c>
      <c r="F471" t="str">
        <f ca="1">CONCATENATE("Enter a value for '", C471, "' in cell ", D471, ".", CHAR(10))</f>
        <v xml:space="preserve">Enter a value for 'Hazard &amp; Liability Insurance' in cell B45.
</v>
      </c>
      <c r="G471" s="9" t="str">
        <f t="shared" ca="1" si="185"/>
        <v xml:space="preserve">The total of development budget in column B must be greater than zero.
</v>
      </c>
    </row>
    <row r="472" spans="1:7" ht="15" customHeight="1">
      <c r="A472" t="str">
        <f ca="1">IF(AND(Calculations!$B$5, E472=""), F472, "")</f>
        <v/>
      </c>
      <c r="B472" t="s">
        <v>476</v>
      </c>
      <c r="C472" t="str">
        <f ca="1">INDIRECT($F$291 &amp; ADDRESS(B471, 1,4  ))</f>
        <v>Hazard &amp; Liability Insurance</v>
      </c>
      <c r="D472" t="str">
        <f>ADDRESS(B471, 3,4  )</f>
        <v>C45</v>
      </c>
      <c r="E472">
        <f t="shared" ca="1" si="187"/>
        <v>0</v>
      </c>
      <c r="F472" t="str">
        <f ca="1">CONCATENATE("Enter an '4% LIHTC Basis Calculation' value for '", C472, "' in cell ", D472, ".", CHAR(10))</f>
        <v xml:space="preserve">Enter an '4% LIHTC Basis Calculation' value for 'Hazard &amp; Liability Insurance' in cell C45.
</v>
      </c>
      <c r="G472" s="9" t="str">
        <f t="shared" ca="1" si="185"/>
        <v xml:space="preserve">The total of development budget in column B must be greater than zero.
</v>
      </c>
    </row>
    <row r="473" spans="1:7" ht="15" customHeight="1">
      <c r="A473" t="str">
        <f ca="1">IF(AND(Calculations!$B$6, E473=""), F473, "")</f>
        <v/>
      </c>
      <c r="B473" t="s">
        <v>476</v>
      </c>
      <c r="C473" t="str">
        <f ca="1">INDIRECT($F$291 &amp; ADDRESS(B471, 1,4  ))</f>
        <v>Hazard &amp; Liability Insurance</v>
      </c>
      <c r="D473" t="str">
        <f>ADDRESS(B471, 4,4  )</f>
        <v>D45</v>
      </c>
      <c r="E473">
        <f t="shared" ca="1" si="187"/>
        <v>0</v>
      </c>
      <c r="F473" t="str">
        <f ca="1">CONCATENATE("Enter an '9% LIHTC Basis Calculation' value for '", C473, "' in cell ", D473, ".", CHAR(10))</f>
        <v xml:space="preserve">Enter an '9% LIHTC Basis Calculation' value for 'Hazard &amp; Liability Insurance' in cell D45.
</v>
      </c>
      <c r="G473" s="9" t="str">
        <f t="shared" ca="1" si="185"/>
        <v xml:space="preserve">The total of development budget in column B must be greater than zero.
</v>
      </c>
    </row>
    <row r="474" spans="1:7" ht="15" customHeight="1">
      <c r="A474" t="str">
        <f ca="1">IF(AND(OR(Calculations!$B$3:$B$4), E474=""), F474, "")</f>
        <v/>
      </c>
      <c r="B474" t="s">
        <v>476</v>
      </c>
      <c r="C474" t="str">
        <f ca="1">INDIRECT($F$291 &amp; ADDRESS(B471, 1,4  ))</f>
        <v>Hazard &amp; Liability Insurance</v>
      </c>
      <c r="D474" t="str">
        <f>ADDRESS(B471, 5,4  )</f>
        <v>E45</v>
      </c>
      <c r="E474">
        <f t="shared" ca="1" si="187"/>
        <v>0</v>
      </c>
      <c r="F474" t="str">
        <f ca="1">CONCATENATE("Enter an 'Amount Last Provided to CHFA' value for '", C474, "' in cell ", D474, ".", CHAR(10))</f>
        <v xml:space="preserve">Enter an 'Amount Last Provided to CHFA' value for 'Hazard &amp; Liability Insurance' in cell E45.
</v>
      </c>
      <c r="G474" s="9" t="str">
        <f t="shared" ca="1" si="185"/>
        <v xml:space="preserve">The total of development budget in column B must be greater than zero.
</v>
      </c>
    </row>
    <row r="475" spans="1:7" ht="15" customHeight="1">
      <c r="A475" t="str">
        <f ca="1">IF(AND(Calculations!$B$3, E475=""), F475, "")</f>
        <v/>
      </c>
      <c r="B475" t="s">
        <v>476</v>
      </c>
      <c r="C475" t="str">
        <f ca="1">INDIRECT($F$291 &amp; ADDRESS(B471, 1,4  ))</f>
        <v>Hazard &amp; Liability Insurance</v>
      </c>
      <c r="D475" t="str">
        <f>ADDRESS(B471, 6,4  )</f>
        <v>F45</v>
      </c>
      <c r="E475">
        <f t="shared" ca="1" si="187"/>
        <v>0</v>
      </c>
      <c r="F475" t="str">
        <f ca="1">CONCATENATE("Enter a '10% Carryover Actual Incurred Costs' value for '", C475, "' in cell ", D475, ".", CHAR(10))</f>
        <v xml:space="preserve">Enter a '10% Carryover Actual Incurred Costs' value for 'Hazard &amp; Liability Insurance' in cell F45.
</v>
      </c>
      <c r="G475" s="9" t="str">
        <f t="shared" ca="1" si="185"/>
        <v xml:space="preserve">The total of development budget in column B must be greater than zero.
</v>
      </c>
    </row>
    <row r="476" spans="1:7" ht="15" customHeight="1">
      <c r="A476" t="str">
        <f ca="1">IF(E476="", F476, "")</f>
        <v/>
      </c>
      <c r="B476" s="52">
        <f>B471+1</f>
        <v>46</v>
      </c>
      <c r="C476" t="str">
        <f ca="1">INDIRECT($F$291 &amp; ADDRESS(B476, 1,4  ))</f>
        <v>Builder's Risk Insurance</v>
      </c>
      <c r="D476" t="str">
        <f>ADDRESS(B476, 2,4  )</f>
        <v>B46</v>
      </c>
      <c r="E476">
        <f t="shared" ca="1" si="187"/>
        <v>0</v>
      </c>
      <c r="F476" t="str">
        <f ca="1">CONCATENATE("Enter a value for '", C476, "' in cell ", D476, ".", CHAR(10))</f>
        <v xml:space="preserve">Enter a value for 'Builder's Risk Insurance' in cell B46.
</v>
      </c>
      <c r="G476" s="9" t="str">
        <f t="shared" ca="1" si="185"/>
        <v xml:space="preserve">The total of development budget in column B must be greater than zero.
</v>
      </c>
    </row>
    <row r="477" spans="1:7" ht="15" customHeight="1">
      <c r="A477" t="str">
        <f ca="1">IF(AND(Calculations!$B$5, E477=""), F477, "")</f>
        <v/>
      </c>
      <c r="B477" t="s">
        <v>476</v>
      </c>
      <c r="C477" t="str">
        <f ca="1">INDIRECT($F$291 &amp; ADDRESS(B476, 1,4  ))</f>
        <v>Builder's Risk Insurance</v>
      </c>
      <c r="D477" t="str">
        <f>ADDRESS(B476, 3,4  )</f>
        <v>C46</v>
      </c>
      <c r="E477">
        <f t="shared" ca="1" si="187"/>
        <v>0</v>
      </c>
      <c r="F477" t="str">
        <f ca="1">CONCATENATE("Enter an '4% LIHTC Basis Calculation' value for '", C477, "' in cell ", D477, ".", CHAR(10))</f>
        <v xml:space="preserve">Enter an '4% LIHTC Basis Calculation' value for 'Builder's Risk Insurance' in cell C46.
</v>
      </c>
      <c r="G477" s="9" t="str">
        <f t="shared" ca="1" si="185"/>
        <v xml:space="preserve">The total of development budget in column B must be greater than zero.
</v>
      </c>
    </row>
    <row r="478" spans="1:7" ht="15" customHeight="1">
      <c r="A478" t="str">
        <f ca="1">IF(AND(Calculations!$B$6, E478=""), F478, "")</f>
        <v/>
      </c>
      <c r="B478" t="s">
        <v>476</v>
      </c>
      <c r="C478" t="str">
        <f ca="1">INDIRECT($F$291 &amp; ADDRESS(B476, 1,4  ))</f>
        <v>Builder's Risk Insurance</v>
      </c>
      <c r="D478" t="str">
        <f>ADDRESS(B476, 4,4  )</f>
        <v>D46</v>
      </c>
      <c r="E478">
        <f t="shared" ca="1" si="187"/>
        <v>0</v>
      </c>
      <c r="F478" t="str">
        <f ca="1">CONCATENATE("Enter an '9% LIHTC Basis Calculation' value for '", C478, "' in cell ", D478, ".", CHAR(10))</f>
        <v xml:space="preserve">Enter an '9% LIHTC Basis Calculation' value for 'Builder's Risk Insurance' in cell D46.
</v>
      </c>
      <c r="G478" s="9" t="str">
        <f t="shared" ca="1" si="185"/>
        <v xml:space="preserve">The total of development budget in column B must be greater than zero.
</v>
      </c>
    </row>
    <row r="479" spans="1:7" ht="15" customHeight="1">
      <c r="A479" t="str">
        <f ca="1">IF(AND(OR(Calculations!$B$3:$B$4), E479=""), F479, "")</f>
        <v/>
      </c>
      <c r="B479" t="s">
        <v>476</v>
      </c>
      <c r="C479" t="str">
        <f ca="1">INDIRECT($F$291 &amp; ADDRESS(B476, 1,4  ))</f>
        <v>Builder's Risk Insurance</v>
      </c>
      <c r="D479" t="str">
        <f>ADDRESS(B476, 5,4  )</f>
        <v>E46</v>
      </c>
      <c r="E479">
        <f t="shared" ca="1" si="187"/>
        <v>0</v>
      </c>
      <c r="F479" t="str">
        <f ca="1">CONCATENATE("Enter an 'Amount Last Provided to CHFA' value for '", C479, "' in cell ", D479, ".", CHAR(10))</f>
        <v xml:space="preserve">Enter an 'Amount Last Provided to CHFA' value for 'Builder's Risk Insurance' in cell E46.
</v>
      </c>
      <c r="G479" s="9" t="str">
        <f t="shared" ca="1" si="185"/>
        <v xml:space="preserve">The total of development budget in column B must be greater than zero.
</v>
      </c>
    </row>
    <row r="480" spans="1:7" ht="15" customHeight="1">
      <c r="A480" t="str">
        <f ca="1">IF(AND(Calculations!$B$3, E480=""), F480, "")</f>
        <v/>
      </c>
      <c r="B480" t="s">
        <v>476</v>
      </c>
      <c r="C480" t="str">
        <f ca="1">INDIRECT($F$291 &amp; ADDRESS(B476, 1,4  ))</f>
        <v>Builder's Risk Insurance</v>
      </c>
      <c r="D480" t="str">
        <f>ADDRESS(B476, 6,4  )</f>
        <v>F46</v>
      </c>
      <c r="E480">
        <f t="shared" ca="1" si="187"/>
        <v>0</v>
      </c>
      <c r="F480" t="str">
        <f ca="1">CONCATENATE("Enter a '10% Carryover Actual Incurred Costs' value for '", C480, "' in cell ", D480, ".", CHAR(10))</f>
        <v xml:space="preserve">Enter a '10% Carryover Actual Incurred Costs' value for 'Builder's Risk Insurance' in cell F46.
</v>
      </c>
      <c r="G480" s="9" t="str">
        <f t="shared" ca="1" si="185"/>
        <v xml:space="preserve">The total of development budget in column B must be greater than zero.
</v>
      </c>
    </row>
    <row r="481" spans="1:7" ht="15" customHeight="1">
      <c r="A481" t="str">
        <f ca="1">IF(E481="", F481, "")</f>
        <v/>
      </c>
      <c r="B481" s="52">
        <f>B476+1</f>
        <v>47</v>
      </c>
      <c r="C481" t="str">
        <f ca="1">INDIRECT($F$291 &amp; ADDRESS(B481, 1,4  ))</f>
        <v>Perform. &amp; Pymt Bonds</v>
      </c>
      <c r="D481" t="str">
        <f>ADDRESS(B481, 2,4  )</f>
        <v>B47</v>
      </c>
      <c r="E481">
        <f t="shared" ca="1" si="187"/>
        <v>0</v>
      </c>
      <c r="F481" t="str">
        <f ca="1">CONCATENATE("Enter a value for '", C481, "' in cell ", D481, ".", CHAR(10))</f>
        <v xml:space="preserve">Enter a value for 'Perform. &amp; Pymt Bonds' in cell B47.
</v>
      </c>
      <c r="G481" s="9" t="str">
        <f t="shared" ca="1" si="185"/>
        <v xml:space="preserve">The total of development budget in column B must be greater than zero.
</v>
      </c>
    </row>
    <row r="482" spans="1:7" ht="15" customHeight="1">
      <c r="A482" t="str">
        <f ca="1">IF(AND(Calculations!$B$5, E482=""), F482, "")</f>
        <v/>
      </c>
      <c r="B482" t="s">
        <v>476</v>
      </c>
      <c r="C482" t="str">
        <f ca="1">INDIRECT($F$291 &amp; ADDRESS(B481, 1,4  ))</f>
        <v>Perform. &amp; Pymt Bonds</v>
      </c>
      <c r="D482" t="str">
        <f>ADDRESS(B481, 3,4  )</f>
        <v>C47</v>
      </c>
      <c r="E482">
        <f t="shared" ca="1" si="187"/>
        <v>0</v>
      </c>
      <c r="F482" t="str">
        <f ca="1">CONCATENATE("Enter an '4% LIHTC Basis Calculation' value for '", C482, "' in cell ", D482, ".", CHAR(10))</f>
        <v xml:space="preserve">Enter an '4% LIHTC Basis Calculation' value for 'Perform. &amp; Pymt Bonds' in cell C47.
</v>
      </c>
      <c r="G482" s="9" t="str">
        <f t="shared" ca="1" si="185"/>
        <v xml:space="preserve">The total of development budget in column B must be greater than zero.
</v>
      </c>
    </row>
    <row r="483" spans="1:7" ht="15" customHeight="1">
      <c r="A483" t="str">
        <f ca="1">IF(AND(Calculations!$B$6, E483=""), F483, "")</f>
        <v/>
      </c>
      <c r="B483" t="s">
        <v>476</v>
      </c>
      <c r="C483" t="str">
        <f ca="1">INDIRECT($F$291 &amp; ADDRESS(B481, 1,4  ))</f>
        <v>Perform. &amp; Pymt Bonds</v>
      </c>
      <c r="D483" t="str">
        <f>ADDRESS(B481, 4,4  )</f>
        <v>D47</v>
      </c>
      <c r="E483">
        <f t="shared" ca="1" si="187"/>
        <v>0</v>
      </c>
      <c r="F483" t="str">
        <f ca="1">CONCATENATE("Enter an '9% LIHTC Basis Calculation' value for '", C483, "' in cell ", D483, ".", CHAR(10))</f>
        <v xml:space="preserve">Enter an '9% LIHTC Basis Calculation' value for 'Perform. &amp; Pymt Bonds' in cell D47.
</v>
      </c>
      <c r="G483" s="9" t="str">
        <f t="shared" ca="1" si="185"/>
        <v xml:space="preserve">The total of development budget in column B must be greater than zero.
</v>
      </c>
    </row>
    <row r="484" spans="1:7" ht="15" customHeight="1">
      <c r="A484" t="str">
        <f ca="1">IF(AND(OR(Calculations!$B$3:$B$4), E484=""), F484, "")</f>
        <v/>
      </c>
      <c r="B484" t="s">
        <v>476</v>
      </c>
      <c r="C484" t="str">
        <f ca="1">INDIRECT($F$291 &amp; ADDRESS(B481, 1,4  ))</f>
        <v>Perform. &amp; Pymt Bonds</v>
      </c>
      <c r="D484" t="str">
        <f>ADDRESS(B481, 5,4  )</f>
        <v>E47</v>
      </c>
      <c r="E484">
        <f t="shared" ca="1" si="187"/>
        <v>0</v>
      </c>
      <c r="F484" t="str">
        <f ca="1">CONCATENATE("Enter an 'Amount Last Provided to CHFA' value for '", C484, "' in cell ", D484, ".", CHAR(10))</f>
        <v xml:space="preserve">Enter an 'Amount Last Provided to CHFA' value for 'Perform. &amp; Pymt Bonds' in cell E47.
</v>
      </c>
      <c r="G484" s="9" t="str">
        <f t="shared" ref="G484:G552" ca="1" si="188">OFFSET(G484, -1, 0) &amp; A484</f>
        <v xml:space="preserve">The total of development budget in column B must be greater than zero.
</v>
      </c>
    </row>
    <row r="485" spans="1:7" ht="15" customHeight="1">
      <c r="A485" t="str">
        <f ca="1">IF(AND(Calculations!$B$3, E485=""), F485, "")</f>
        <v/>
      </c>
      <c r="B485" t="s">
        <v>476</v>
      </c>
      <c r="C485" t="str">
        <f ca="1">INDIRECT($F$291 &amp; ADDRESS(B481, 1,4  ))</f>
        <v>Perform. &amp; Pymt Bonds</v>
      </c>
      <c r="D485" t="str">
        <f>ADDRESS(B481, 6,4  )</f>
        <v>F47</v>
      </c>
      <c r="E485">
        <f t="shared" ca="1" si="187"/>
        <v>0</v>
      </c>
      <c r="F485" t="str">
        <f ca="1">CONCATENATE("Enter a '10% Carryover Actual Incurred Costs' value for '", C485, "' in cell ", D485, ".", CHAR(10))</f>
        <v xml:space="preserve">Enter a '10% Carryover Actual Incurred Costs' value for 'Perform. &amp; Pymt Bonds' in cell F47.
</v>
      </c>
      <c r="G485" s="9" t="str">
        <f t="shared" ca="1" si="188"/>
        <v xml:space="preserve">The total of development budget in column B must be greater than zero.
</v>
      </c>
    </row>
    <row r="486" spans="1:7" ht="15" customHeight="1">
      <c r="A486" t="str">
        <f ca="1">IF(E486="", F486, "")</f>
        <v/>
      </c>
      <c r="B486" s="52">
        <f>B481+1</f>
        <v>48</v>
      </c>
      <c r="C486" t="str">
        <f ca="1">INDIRECT($F$291 &amp; ADDRESS(B486, 1,4  ))</f>
        <v>Construction Interest</v>
      </c>
      <c r="D486" t="str">
        <f>ADDRESS(B486, 2,4  )</f>
        <v>B48</v>
      </c>
      <c r="E486">
        <f t="shared" ca="1" si="187"/>
        <v>0</v>
      </c>
      <c r="F486" t="str">
        <f ca="1">CONCATENATE("Enter a value for '", C486, "' in cell ", D486, ".", CHAR(10))</f>
        <v xml:space="preserve">Enter a value for 'Construction Interest' in cell B48.
</v>
      </c>
      <c r="G486" s="9" t="str">
        <f t="shared" ca="1" si="188"/>
        <v xml:space="preserve">The total of development budget in column B must be greater than zero.
</v>
      </c>
    </row>
    <row r="487" spans="1:7" ht="15" customHeight="1">
      <c r="A487" t="str">
        <f ca="1">IF(AND(Calculations!$B$5, E487=""), F487, "")</f>
        <v/>
      </c>
      <c r="B487" t="s">
        <v>476</v>
      </c>
      <c r="C487" t="str">
        <f ca="1">INDIRECT($F$291 &amp; ADDRESS(B486, 1,4  ))</f>
        <v>Construction Interest</v>
      </c>
      <c r="D487" t="str">
        <f>ADDRESS(B486, 3,4  )</f>
        <v>C48</v>
      </c>
      <c r="E487">
        <f t="shared" ca="1" si="187"/>
        <v>0</v>
      </c>
      <c r="F487" t="str">
        <f ca="1">CONCATENATE("Enter an '4% LIHTC Basis Calculation' value for '", C487, "' in cell ", D487, ".", CHAR(10))</f>
        <v xml:space="preserve">Enter an '4% LIHTC Basis Calculation' value for 'Construction Interest' in cell C48.
</v>
      </c>
      <c r="G487" s="9" t="str">
        <f t="shared" ca="1" si="188"/>
        <v xml:space="preserve">The total of development budget in column B must be greater than zero.
</v>
      </c>
    </row>
    <row r="488" spans="1:7" ht="15" customHeight="1">
      <c r="A488" t="str">
        <f ca="1">IF(AND(Calculations!$B$6, E488=""), F488, "")</f>
        <v/>
      </c>
      <c r="B488" t="s">
        <v>476</v>
      </c>
      <c r="C488" t="str">
        <f ca="1">INDIRECT($F$291 &amp; ADDRESS(B486, 1,4  ))</f>
        <v>Construction Interest</v>
      </c>
      <c r="D488" t="str">
        <f>ADDRESS(B486, 4,4  )</f>
        <v>D48</v>
      </c>
      <c r="E488">
        <f t="shared" ca="1" si="187"/>
        <v>0</v>
      </c>
      <c r="F488" t="str">
        <f ca="1">CONCATENATE("Enter an '9% LIHTC Basis Calculation' value for '", C488, "' in cell ", D488, ".", CHAR(10))</f>
        <v xml:space="preserve">Enter an '9% LIHTC Basis Calculation' value for 'Construction Interest' in cell D48.
</v>
      </c>
      <c r="G488" s="9" t="str">
        <f t="shared" ca="1" si="188"/>
        <v xml:space="preserve">The total of development budget in column B must be greater than zero.
</v>
      </c>
    </row>
    <row r="489" spans="1:7" ht="15" customHeight="1">
      <c r="A489" t="str">
        <f ca="1">IF(AND(OR(Calculations!$B$3:$B$4), E489=""), F489, "")</f>
        <v/>
      </c>
      <c r="B489" t="s">
        <v>476</v>
      </c>
      <c r="C489" t="str">
        <f ca="1">INDIRECT($F$291 &amp; ADDRESS(B486, 1,4  ))</f>
        <v>Construction Interest</v>
      </c>
      <c r="D489" t="str">
        <f>ADDRESS(B486, 5,4  )</f>
        <v>E48</v>
      </c>
      <c r="E489">
        <f t="shared" ca="1" si="187"/>
        <v>0</v>
      </c>
      <c r="F489" t="str">
        <f ca="1">CONCATENATE("Enter an 'Amount Last Provided to CHFA' value for '", C489, "' in cell ", D489, ".", CHAR(10))</f>
        <v xml:space="preserve">Enter an 'Amount Last Provided to CHFA' value for 'Construction Interest' in cell E48.
</v>
      </c>
      <c r="G489" s="9" t="str">
        <f t="shared" ca="1" si="188"/>
        <v xml:space="preserve">The total of development budget in column B must be greater than zero.
</v>
      </c>
    </row>
    <row r="490" spans="1:7" ht="15" customHeight="1">
      <c r="A490" t="str">
        <f ca="1">IF(AND(Calculations!$B$3, E490=""), F490, "")</f>
        <v/>
      </c>
      <c r="B490" t="s">
        <v>476</v>
      </c>
      <c r="C490" t="str">
        <f ca="1">INDIRECT($F$291 &amp; ADDRESS(B486, 1,4  ))</f>
        <v>Construction Interest</v>
      </c>
      <c r="D490" t="str">
        <f>ADDRESS(B486, 6,4  )</f>
        <v>F48</v>
      </c>
      <c r="E490">
        <f t="shared" ca="1" si="187"/>
        <v>0</v>
      </c>
      <c r="F490" t="str">
        <f ca="1">CONCATENATE("Enter a '10% Carryover Actual Incurred Costs' value for '", C490, "' in cell ", D490, ".", CHAR(10))</f>
        <v xml:space="preserve">Enter a '10% Carryover Actual Incurred Costs' value for 'Construction Interest' in cell F48.
</v>
      </c>
      <c r="G490" s="9" t="str">
        <f t="shared" ca="1" si="188"/>
        <v xml:space="preserve">The total of development budget in column B must be greater than zero.
</v>
      </c>
    </row>
    <row r="491" spans="1:7" ht="15" customHeight="1">
      <c r="A491" t="str">
        <f ca="1">IF(E491="", F491, "")</f>
        <v/>
      </c>
      <c r="B491" s="52">
        <f>B486+1</f>
        <v>49</v>
      </c>
      <c r="C491" t="str">
        <f ca="1">INDIRECT($F$291 &amp; ADDRESS(B491, 1,4  ))</f>
        <v>Constr. Origination Fees</v>
      </c>
      <c r="D491" t="str">
        <f>ADDRESS(B491, 2,4  )</f>
        <v>B49</v>
      </c>
      <c r="E491">
        <f t="shared" ca="1" si="187"/>
        <v>0</v>
      </c>
      <c r="F491" t="str">
        <f ca="1">CONCATENATE("Enter a value for '", C491, "' in cell ", D491, ".", CHAR(10))</f>
        <v xml:space="preserve">Enter a value for 'Constr. Origination Fees' in cell B49.
</v>
      </c>
      <c r="G491" s="9" t="str">
        <f t="shared" ca="1" si="188"/>
        <v xml:space="preserve">The total of development budget in column B must be greater than zero.
</v>
      </c>
    </row>
    <row r="492" spans="1:7" ht="15" customHeight="1">
      <c r="A492" t="str">
        <f ca="1">IF(AND(Calculations!$B$5, E492=""), F492, "")</f>
        <v/>
      </c>
      <c r="B492" t="s">
        <v>476</v>
      </c>
      <c r="C492" t="str">
        <f ca="1">INDIRECT($F$291 &amp; ADDRESS(B491, 1,4  ))</f>
        <v>Constr. Origination Fees</v>
      </c>
      <c r="D492" t="str">
        <f>ADDRESS(B491, 3,4  )</f>
        <v>C49</v>
      </c>
      <c r="E492">
        <f t="shared" ca="1" si="187"/>
        <v>0</v>
      </c>
      <c r="F492" t="str">
        <f ca="1">CONCATENATE("Enter an '4% LIHTC Basis Calculation' value for '", C492, "' in cell ", D492, ".", CHAR(10))</f>
        <v xml:space="preserve">Enter an '4% LIHTC Basis Calculation' value for 'Constr. Origination Fees' in cell C49.
</v>
      </c>
      <c r="G492" s="9" t="str">
        <f t="shared" ca="1" si="188"/>
        <v xml:space="preserve">The total of development budget in column B must be greater than zero.
</v>
      </c>
    </row>
    <row r="493" spans="1:7" ht="15" customHeight="1">
      <c r="A493" t="str">
        <f ca="1">IF(AND(Calculations!$B$6, E493=""), F493, "")</f>
        <v/>
      </c>
      <c r="B493" t="s">
        <v>476</v>
      </c>
      <c r="C493" t="str">
        <f ca="1">INDIRECT($F$291 &amp; ADDRESS(B491, 1,4  ))</f>
        <v>Constr. Origination Fees</v>
      </c>
      <c r="D493" t="str">
        <f>ADDRESS(B491, 4,4  )</f>
        <v>D49</v>
      </c>
      <c r="E493">
        <f t="shared" ca="1" si="187"/>
        <v>0</v>
      </c>
      <c r="F493" t="str">
        <f ca="1">CONCATENATE("Enter an '9% LIHTC Basis Calculation' value for '", C493, "' in cell ", D493, ".", CHAR(10))</f>
        <v xml:space="preserve">Enter an '9% LIHTC Basis Calculation' value for 'Constr. Origination Fees' in cell D49.
</v>
      </c>
      <c r="G493" s="9" t="str">
        <f t="shared" ca="1" si="188"/>
        <v xml:space="preserve">The total of development budget in column B must be greater than zero.
</v>
      </c>
    </row>
    <row r="494" spans="1:7" ht="15" customHeight="1">
      <c r="A494" t="str">
        <f ca="1">IF(AND(OR(Calculations!$B$3:$B$4), E494=""), F494, "")</f>
        <v/>
      </c>
      <c r="B494" t="s">
        <v>476</v>
      </c>
      <c r="C494" t="str">
        <f ca="1">INDIRECT($F$291 &amp; ADDRESS(B491, 1,4  ))</f>
        <v>Constr. Origination Fees</v>
      </c>
      <c r="D494" t="str">
        <f>ADDRESS(B491, 5,4  )</f>
        <v>E49</v>
      </c>
      <c r="E494">
        <f t="shared" ca="1" si="187"/>
        <v>0</v>
      </c>
      <c r="F494" t="str">
        <f ca="1">CONCATENATE("Enter an 'Amount Last Provided to CHFA' value for '", C494, "' in cell ", D494, ".", CHAR(10))</f>
        <v xml:space="preserve">Enter an 'Amount Last Provided to CHFA' value for 'Constr. Origination Fees' in cell E49.
</v>
      </c>
      <c r="G494" s="9" t="str">
        <f t="shared" ca="1" si="188"/>
        <v xml:space="preserve">The total of development budget in column B must be greater than zero.
</v>
      </c>
    </row>
    <row r="495" spans="1:7" ht="15" customHeight="1">
      <c r="A495" t="str">
        <f ca="1">IF(AND(Calculations!$B$3, E495=""), F495, "")</f>
        <v/>
      </c>
      <c r="B495" t="s">
        <v>476</v>
      </c>
      <c r="C495" t="str">
        <f ca="1">INDIRECT($F$291 &amp; ADDRESS(B491, 1,4  ))</f>
        <v>Constr. Origination Fees</v>
      </c>
      <c r="D495" t="str">
        <f>ADDRESS(B491, 6,4  )</f>
        <v>F49</v>
      </c>
      <c r="E495">
        <f t="shared" ca="1" si="187"/>
        <v>0</v>
      </c>
      <c r="F495" t="str">
        <f ca="1">CONCATENATE("Enter a '10% Carryover Actual Incurred Costs' value for '", C495, "' in cell ", D495, ".", CHAR(10))</f>
        <v xml:space="preserve">Enter a '10% Carryover Actual Incurred Costs' value for 'Constr. Origination Fees' in cell F49.
</v>
      </c>
      <c r="G495" s="9" t="str">
        <f t="shared" ca="1" si="188"/>
        <v xml:space="preserve">The total of development budget in column B must be greater than zero.
</v>
      </c>
    </row>
    <row r="496" spans="1:7" ht="15" customHeight="1">
      <c r="A496" t="str">
        <f ca="1">IF(E496="", F496, "")</f>
        <v/>
      </c>
      <c r="B496" s="52">
        <f>B491+1</f>
        <v>50</v>
      </c>
      <c r="C496" t="str">
        <f ca="1">INDIRECT($F$291 &amp; ADDRESS(B496, 1,4  ))</f>
        <v>Tap Fees (Water/Sewer)</v>
      </c>
      <c r="D496" t="str">
        <f>ADDRESS(B496, 2,4  )</f>
        <v>B50</v>
      </c>
      <c r="E496">
        <f t="shared" ca="1" si="187"/>
        <v>0</v>
      </c>
      <c r="F496" t="str">
        <f ca="1">CONCATENATE("Enter a value for '", C496, "' in cell ", D496, ".", CHAR(10))</f>
        <v xml:space="preserve">Enter a value for 'Tap Fees (Water/Sewer)' in cell B50.
</v>
      </c>
      <c r="G496" s="9" t="str">
        <f t="shared" ca="1" si="188"/>
        <v xml:space="preserve">The total of development budget in column B must be greater than zero.
</v>
      </c>
    </row>
    <row r="497" spans="1:7" ht="15" customHeight="1">
      <c r="A497" t="str">
        <f ca="1">IF(AND(Calculations!$B$5, E497=""), F497, "")</f>
        <v/>
      </c>
      <c r="B497" t="s">
        <v>476</v>
      </c>
      <c r="C497" t="str">
        <f ca="1">INDIRECT($F$291 &amp; ADDRESS(B496, 1,4  ))</f>
        <v>Tap Fees (Water/Sewer)</v>
      </c>
      <c r="D497" t="str">
        <f>ADDRESS(B496, 3,4  )</f>
        <v>C50</v>
      </c>
      <c r="E497">
        <f t="shared" ca="1" si="187"/>
        <v>0</v>
      </c>
      <c r="F497" t="str">
        <f ca="1">CONCATENATE("Enter an '4% LIHTC Basis Calculation' value for '", C497, "' in cell ", D497, ".", CHAR(10))</f>
        <v xml:space="preserve">Enter an '4% LIHTC Basis Calculation' value for 'Tap Fees (Water/Sewer)' in cell C50.
</v>
      </c>
      <c r="G497" s="9" t="str">
        <f t="shared" ca="1" si="188"/>
        <v xml:space="preserve">The total of development budget in column B must be greater than zero.
</v>
      </c>
    </row>
    <row r="498" spans="1:7" ht="15" customHeight="1">
      <c r="A498" t="str">
        <f ca="1">IF(AND(Calculations!$B$6, E498=""), F498, "")</f>
        <v/>
      </c>
      <c r="B498" t="s">
        <v>476</v>
      </c>
      <c r="C498" t="str">
        <f ca="1">INDIRECT($F$291 &amp; ADDRESS(B496, 1,4  ))</f>
        <v>Tap Fees (Water/Sewer)</v>
      </c>
      <c r="D498" t="str">
        <f>ADDRESS(B496, 4,4  )</f>
        <v>D50</v>
      </c>
      <c r="E498">
        <f t="shared" ca="1" si="187"/>
        <v>0</v>
      </c>
      <c r="F498" t="str">
        <f ca="1">CONCATENATE("Enter an '9% LIHTC Basis Calculation' value for '", C498, "' in cell ", D498, ".", CHAR(10))</f>
        <v xml:space="preserve">Enter an '9% LIHTC Basis Calculation' value for 'Tap Fees (Water/Sewer)' in cell D50.
</v>
      </c>
      <c r="G498" s="9" t="str">
        <f t="shared" ca="1" si="188"/>
        <v xml:space="preserve">The total of development budget in column B must be greater than zero.
</v>
      </c>
    </row>
    <row r="499" spans="1:7" ht="15" customHeight="1">
      <c r="A499" t="str">
        <f ca="1">IF(AND(OR(Calculations!$B$3:$B$4), E499=""), F499, "")</f>
        <v/>
      </c>
      <c r="B499" t="s">
        <v>476</v>
      </c>
      <c r="C499" t="str">
        <f ca="1">INDIRECT($F$291 &amp; ADDRESS(B496, 1,4  ))</f>
        <v>Tap Fees (Water/Sewer)</v>
      </c>
      <c r="D499" t="str">
        <f>ADDRESS(B496, 5,4  )</f>
        <v>E50</v>
      </c>
      <c r="E499">
        <f t="shared" ca="1" si="187"/>
        <v>0</v>
      </c>
      <c r="F499" t="str">
        <f ca="1">CONCATENATE("Enter an 'Amount Last Provided to CHFA' value for '", C499, "' in cell ", D499, ".", CHAR(10))</f>
        <v xml:space="preserve">Enter an 'Amount Last Provided to CHFA' value for 'Tap Fees (Water/Sewer)' in cell E50.
</v>
      </c>
      <c r="G499" s="9" t="str">
        <f t="shared" ca="1" si="188"/>
        <v xml:space="preserve">The total of development budget in column B must be greater than zero.
</v>
      </c>
    </row>
    <row r="500" spans="1:7" ht="15" customHeight="1">
      <c r="A500" t="str">
        <f ca="1">IF(AND(Calculations!$B$3, E500=""), F500, "")</f>
        <v/>
      </c>
      <c r="B500" t="s">
        <v>476</v>
      </c>
      <c r="C500" t="str">
        <f ca="1">INDIRECT($F$291 &amp; ADDRESS(B496, 1,4  ))</f>
        <v>Tap Fees (Water/Sewer)</v>
      </c>
      <c r="D500" t="str">
        <f>ADDRESS(B496, 6,4  )</f>
        <v>F50</v>
      </c>
      <c r="E500">
        <f t="shared" ca="1" si="187"/>
        <v>0</v>
      </c>
      <c r="F500" t="str">
        <f ca="1">CONCATENATE("Enter a '10% Carryover Actual Incurred Costs' value for '", C500, "' in cell ", D500, ".", CHAR(10))</f>
        <v xml:space="preserve">Enter a '10% Carryover Actual Incurred Costs' value for 'Tap Fees (Water/Sewer)' in cell F50.
</v>
      </c>
      <c r="G500" s="9" t="str">
        <f t="shared" ca="1" si="188"/>
        <v xml:space="preserve">The total of development budget in column B must be greater than zero.
</v>
      </c>
    </row>
    <row r="501" spans="1:7" ht="15" customHeight="1">
      <c r="A501" t="str">
        <f ca="1">IF(E501="", F501, "")</f>
        <v/>
      </c>
      <c r="B501" s="52">
        <f>B496+1</f>
        <v>51</v>
      </c>
      <c r="C501" t="str">
        <f ca="1">INDIRECT($F$291 &amp; ADDRESS(B501, 1,4  ))</f>
        <v>Impact fees</v>
      </c>
      <c r="D501" t="str">
        <f>ADDRESS(B501, 2,4  )</f>
        <v>B51</v>
      </c>
      <c r="E501">
        <f t="shared" ca="1" si="187"/>
        <v>0</v>
      </c>
      <c r="F501" t="str">
        <f ca="1">CONCATENATE("Enter a value for '", C501, "' in cell ", D501, ".", CHAR(10))</f>
        <v xml:space="preserve">Enter a value for 'Impact fees' in cell B51.
</v>
      </c>
      <c r="G501" s="9" t="str">
        <f t="shared" ca="1" si="188"/>
        <v xml:space="preserve">The total of development budget in column B must be greater than zero.
</v>
      </c>
    </row>
    <row r="502" spans="1:7" ht="15" customHeight="1">
      <c r="A502" t="str">
        <f ca="1">IF(AND(Calculations!$B$5, E502=""), F502, "")</f>
        <v/>
      </c>
      <c r="B502" t="s">
        <v>476</v>
      </c>
      <c r="C502" t="str">
        <f ca="1">INDIRECT($F$291 &amp; ADDRESS(B501, 1,4  ))</f>
        <v>Impact fees</v>
      </c>
      <c r="D502" t="str">
        <f>ADDRESS(B501, 3,4  )</f>
        <v>C51</v>
      </c>
      <c r="E502">
        <f t="shared" ca="1" si="187"/>
        <v>0</v>
      </c>
      <c r="F502" t="str">
        <f ca="1">CONCATENATE("Enter an '4% LIHTC Basis Calculation' value for '", C502, "' in cell ", D502, ".", CHAR(10))</f>
        <v xml:space="preserve">Enter an '4% LIHTC Basis Calculation' value for 'Impact fees' in cell C51.
</v>
      </c>
      <c r="G502" s="9" t="str">
        <f t="shared" ca="1" si="188"/>
        <v xml:space="preserve">The total of development budget in column B must be greater than zero.
</v>
      </c>
    </row>
    <row r="503" spans="1:7" ht="15" customHeight="1">
      <c r="A503" t="str">
        <f ca="1">IF(AND(Calculations!$B$6, E503=""), F503, "")</f>
        <v/>
      </c>
      <c r="B503" t="s">
        <v>476</v>
      </c>
      <c r="C503" t="str">
        <f ca="1">INDIRECT($F$291 &amp; ADDRESS(B501, 1,4  ))</f>
        <v>Impact fees</v>
      </c>
      <c r="D503" t="str">
        <f>ADDRESS(B501, 4,4  )</f>
        <v>D51</v>
      </c>
      <c r="E503">
        <f t="shared" ref="E503:E534" ca="1" si="189">IF(ISBLANK( INDIRECT($F$291 &amp; D503)),"", INDIRECT($F$291 &amp; D503))</f>
        <v>0</v>
      </c>
      <c r="F503" t="str">
        <f ca="1">CONCATENATE("Enter an '9% LIHTC Basis Calculation' value for '", C503, "' in cell ", D503, ".", CHAR(10))</f>
        <v xml:space="preserve">Enter an '9% LIHTC Basis Calculation' value for 'Impact fees' in cell D51.
</v>
      </c>
      <c r="G503" s="9" t="str">
        <f t="shared" ca="1" si="188"/>
        <v xml:space="preserve">The total of development budget in column B must be greater than zero.
</v>
      </c>
    </row>
    <row r="504" spans="1:7" ht="15" customHeight="1">
      <c r="A504" t="str">
        <f ca="1">IF(AND(OR(Calculations!$B$3:$B$4), E504=""), F504, "")</f>
        <v/>
      </c>
      <c r="B504" t="s">
        <v>476</v>
      </c>
      <c r="C504" t="str">
        <f ca="1">INDIRECT($F$291 &amp; ADDRESS(B501, 1,4  ))</f>
        <v>Impact fees</v>
      </c>
      <c r="D504" t="str">
        <f>ADDRESS(B501, 5,4  )</f>
        <v>E51</v>
      </c>
      <c r="E504">
        <f t="shared" ca="1" si="189"/>
        <v>0</v>
      </c>
      <c r="F504" t="str">
        <f ca="1">CONCATENATE("Enter an 'Amount Last Provided to CHFA' value for '", C504, "' in cell ", D504, ".", CHAR(10))</f>
        <v xml:space="preserve">Enter an 'Amount Last Provided to CHFA' value for 'Impact fees' in cell E51.
</v>
      </c>
      <c r="G504" s="9" t="str">
        <f t="shared" ca="1" si="188"/>
        <v xml:space="preserve">The total of development budget in column B must be greater than zero.
</v>
      </c>
    </row>
    <row r="505" spans="1:7" ht="15" customHeight="1">
      <c r="A505" t="str">
        <f ca="1">IF(AND(Calculations!$B$3, E505=""), F505, "")</f>
        <v/>
      </c>
      <c r="B505" t="s">
        <v>476</v>
      </c>
      <c r="C505" t="str">
        <f ca="1">INDIRECT($F$291 &amp; ADDRESS(B501, 1,4  ))</f>
        <v>Impact fees</v>
      </c>
      <c r="D505" t="str">
        <f>ADDRESS(B501, 6,4  )</f>
        <v>F51</v>
      </c>
      <c r="E505">
        <f t="shared" ca="1" si="189"/>
        <v>0</v>
      </c>
      <c r="F505" t="str">
        <f ca="1">CONCATENATE("Enter a '10% Carryover Actual Incurred Costs' value for '", C505, "' in cell ", D505, ".", CHAR(10))</f>
        <v xml:space="preserve">Enter a '10% Carryover Actual Incurred Costs' value for 'Impact fees' in cell F51.
</v>
      </c>
      <c r="G505" s="9" t="str">
        <f t="shared" ca="1" si="188"/>
        <v xml:space="preserve">The total of development budget in column B must be greater than zero.
</v>
      </c>
    </row>
    <row r="506" spans="1:7" ht="15" customHeight="1">
      <c r="A506" t="str">
        <f ca="1">IF(E506="", F506, "")</f>
        <v/>
      </c>
      <c r="B506" s="52">
        <f>B501+1</f>
        <v>52</v>
      </c>
      <c r="C506" t="str">
        <f ca="1">INDIRECT($F$291 &amp; ADDRESS(B506, 1,4  ))</f>
        <v>Materials Testing</v>
      </c>
      <c r="D506" t="str">
        <f>ADDRESS(B506, 2,4  )</f>
        <v>B52</v>
      </c>
      <c r="E506">
        <f t="shared" ca="1" si="189"/>
        <v>0</v>
      </c>
      <c r="F506" t="str">
        <f ca="1">CONCATENATE("Enter a value for '", C506, "' in cell ", D506, ".", CHAR(10))</f>
        <v xml:space="preserve">Enter a value for 'Materials Testing' in cell B52.
</v>
      </c>
      <c r="G506" s="9" t="str">
        <f t="shared" ca="1" si="188"/>
        <v xml:space="preserve">The total of development budget in column B must be greater than zero.
</v>
      </c>
    </row>
    <row r="507" spans="1:7" ht="15" customHeight="1">
      <c r="A507" t="str">
        <f ca="1">IF(AND(Calculations!$B$5, E507=""), F507, "")</f>
        <v/>
      </c>
      <c r="B507" t="s">
        <v>476</v>
      </c>
      <c r="C507" t="str">
        <f ca="1">INDIRECT($F$291 &amp; ADDRESS(B506, 1,4  ))</f>
        <v>Materials Testing</v>
      </c>
      <c r="D507" t="str">
        <f>ADDRESS(B506, 3,4  )</f>
        <v>C52</v>
      </c>
      <c r="E507">
        <f t="shared" ca="1" si="189"/>
        <v>0</v>
      </c>
      <c r="F507" t="str">
        <f ca="1">CONCATENATE("Enter an '4% LIHTC Basis Calculation' value for '", C507, "' in cell ", D507, ".", CHAR(10))</f>
        <v xml:space="preserve">Enter an '4% LIHTC Basis Calculation' value for 'Materials Testing' in cell C52.
</v>
      </c>
      <c r="G507" s="9" t="str">
        <f t="shared" ca="1" si="188"/>
        <v xml:space="preserve">The total of development budget in column B must be greater than zero.
</v>
      </c>
    </row>
    <row r="508" spans="1:7" ht="15" customHeight="1">
      <c r="A508" t="str">
        <f ca="1">IF(AND(Calculations!$B$6, E508=""), F508, "")</f>
        <v/>
      </c>
      <c r="B508" t="s">
        <v>476</v>
      </c>
      <c r="C508" t="str">
        <f ca="1">INDIRECT($F$291 &amp; ADDRESS(B506, 1,4  ))</f>
        <v>Materials Testing</v>
      </c>
      <c r="D508" t="str">
        <f>ADDRESS(B506, 4,4  )</f>
        <v>D52</v>
      </c>
      <c r="E508">
        <f t="shared" ca="1" si="189"/>
        <v>0</v>
      </c>
      <c r="F508" t="str">
        <f ca="1">CONCATENATE("Enter an '9% LIHTC Basis Calculation' value for '", C508, "' in cell ", D508, ".", CHAR(10))</f>
        <v xml:space="preserve">Enter an '9% LIHTC Basis Calculation' value for 'Materials Testing' in cell D52.
</v>
      </c>
      <c r="G508" s="9" t="str">
        <f t="shared" ca="1" si="188"/>
        <v xml:space="preserve">The total of development budget in column B must be greater than zero.
</v>
      </c>
    </row>
    <row r="509" spans="1:7" ht="15" customHeight="1">
      <c r="A509" t="str">
        <f ca="1">IF(AND(OR(Calculations!$B$3:$B$4), E509=""), F509, "")</f>
        <v/>
      </c>
      <c r="B509" t="s">
        <v>476</v>
      </c>
      <c r="C509" t="str">
        <f ca="1">INDIRECT($F$291 &amp; ADDRESS(B506, 1,4  ))</f>
        <v>Materials Testing</v>
      </c>
      <c r="D509" t="str">
        <f>ADDRESS(B506, 5,4  )</f>
        <v>E52</v>
      </c>
      <c r="E509">
        <f t="shared" ca="1" si="189"/>
        <v>0</v>
      </c>
      <c r="F509" t="str">
        <f ca="1">CONCATENATE("Enter an 'Amount Last Provided to CHFA' value for '", C509, "' in cell ", D509, ".", CHAR(10))</f>
        <v xml:space="preserve">Enter an 'Amount Last Provided to CHFA' value for 'Materials Testing' in cell E52.
</v>
      </c>
      <c r="G509" s="9" t="str">
        <f t="shared" ca="1" si="188"/>
        <v xml:space="preserve">The total of development budget in column B must be greater than zero.
</v>
      </c>
    </row>
    <row r="510" spans="1:7" ht="15" customHeight="1">
      <c r="A510" t="str">
        <f ca="1">IF(AND(Calculations!$B$3, E510=""), F510, "")</f>
        <v/>
      </c>
      <c r="B510" t="s">
        <v>476</v>
      </c>
      <c r="C510" t="str">
        <f ca="1">INDIRECT($F$291 &amp; ADDRESS(B506, 1,4  ))</f>
        <v>Materials Testing</v>
      </c>
      <c r="D510" t="str">
        <f>ADDRESS(B506, 6,4  )</f>
        <v>F52</v>
      </c>
      <c r="E510">
        <f t="shared" ca="1" si="189"/>
        <v>0</v>
      </c>
      <c r="F510" t="str">
        <f ca="1">CONCATENATE("Enter a '10% Carryover Actual Incurred Costs' value for '", C510, "' in cell ", D510, ".", CHAR(10))</f>
        <v xml:space="preserve">Enter a '10% Carryover Actual Incurred Costs' value for 'Materials Testing' in cell F52.
</v>
      </c>
      <c r="G510" s="9" t="str">
        <f t="shared" ca="1" si="188"/>
        <v xml:space="preserve">The total of development budget in column B must be greater than zero.
</v>
      </c>
    </row>
    <row r="511" spans="1:7" ht="15" customHeight="1">
      <c r="A511" t="str">
        <f ca="1">IF(E511="", F511, "")</f>
        <v/>
      </c>
      <c r="B511" s="52">
        <f>B506+1</f>
        <v>53</v>
      </c>
      <c r="C511" t="str">
        <f ca="1">INDIRECT($F$291 &amp; ADDRESS(B511, 1,4  ))</f>
        <v>Power and Telecom Provider fees</v>
      </c>
      <c r="D511" t="str">
        <f>ADDRESS(B511, 2,4  )</f>
        <v>B53</v>
      </c>
      <c r="E511">
        <f t="shared" ca="1" si="189"/>
        <v>0</v>
      </c>
      <c r="F511" t="str">
        <f ca="1">CONCATENATE("Enter a value for '", C511, "' in cell ", D511, ".", CHAR(10))</f>
        <v xml:space="preserve">Enter a value for 'Power and Telecom Provider fees' in cell B53.
</v>
      </c>
      <c r="G511" s="9" t="str">
        <f t="shared" ca="1" si="188"/>
        <v xml:space="preserve">The total of development budget in column B must be greater than zero.
</v>
      </c>
    </row>
    <row r="512" spans="1:7" ht="15" customHeight="1">
      <c r="A512" t="str">
        <f ca="1">IF(AND(Calculations!$B$5, E512=""), F512, "")</f>
        <v/>
      </c>
      <c r="B512" t="s">
        <v>476</v>
      </c>
      <c r="C512" t="str">
        <f ca="1">INDIRECT($F$291 &amp; ADDRESS(B511, 1,4  ))</f>
        <v>Power and Telecom Provider fees</v>
      </c>
      <c r="D512" t="str">
        <f>ADDRESS(B511, 3,4  )</f>
        <v>C53</v>
      </c>
      <c r="E512">
        <f t="shared" ca="1" si="189"/>
        <v>0</v>
      </c>
      <c r="F512" t="str">
        <f ca="1">CONCATENATE("Enter an '4% LIHTC Basis Calculation' value for '", C512, "' in cell ", D512, ".", CHAR(10))</f>
        <v xml:space="preserve">Enter an '4% LIHTC Basis Calculation' value for 'Power and Telecom Provider fees' in cell C53.
</v>
      </c>
      <c r="G512" s="9" t="str">
        <f t="shared" ca="1" si="188"/>
        <v xml:space="preserve">The total of development budget in column B must be greater than zero.
</v>
      </c>
    </row>
    <row r="513" spans="1:7" ht="15" customHeight="1">
      <c r="A513" t="str">
        <f ca="1">IF(AND(Calculations!$B$6, E513=""), F513, "")</f>
        <v/>
      </c>
      <c r="B513" t="s">
        <v>476</v>
      </c>
      <c r="C513" t="str">
        <f ca="1">INDIRECT($F$291 &amp; ADDRESS(B511, 1,4  ))</f>
        <v>Power and Telecom Provider fees</v>
      </c>
      <c r="D513" t="str">
        <f>ADDRESS(B511, 4,4  )</f>
        <v>D53</v>
      </c>
      <c r="E513">
        <f t="shared" ca="1" si="189"/>
        <v>0</v>
      </c>
      <c r="F513" t="str">
        <f ca="1">CONCATENATE("Enter an '9% LIHTC Basis Calculation' value for '", C513, "' in cell ", D513, ".", CHAR(10))</f>
        <v xml:space="preserve">Enter an '9% LIHTC Basis Calculation' value for 'Power and Telecom Provider fees' in cell D53.
</v>
      </c>
      <c r="G513" s="9" t="str">
        <f t="shared" ca="1" si="188"/>
        <v xml:space="preserve">The total of development budget in column B must be greater than zero.
</v>
      </c>
    </row>
    <row r="514" spans="1:7" ht="15" customHeight="1">
      <c r="A514" t="str">
        <f ca="1">IF(AND(OR(Calculations!$B$3:$B$4), E514=""), F514, "")</f>
        <v/>
      </c>
      <c r="B514" t="s">
        <v>476</v>
      </c>
      <c r="C514" t="str">
        <f ca="1">INDIRECT($F$291 &amp; ADDRESS(B511, 1,4  ))</f>
        <v>Power and Telecom Provider fees</v>
      </c>
      <c r="D514" t="str">
        <f>ADDRESS(B511, 5,4  )</f>
        <v>E53</v>
      </c>
      <c r="E514">
        <f t="shared" ca="1" si="189"/>
        <v>0</v>
      </c>
      <c r="F514" t="str">
        <f ca="1">CONCATENATE("Enter an 'Amount Last Provided to CHFA' value for '", C514, "' in cell ", D514, ".", CHAR(10))</f>
        <v xml:space="preserve">Enter an 'Amount Last Provided to CHFA' value for 'Power and Telecom Provider fees' in cell E53.
</v>
      </c>
      <c r="G514" s="9" t="str">
        <f t="shared" ca="1" si="188"/>
        <v xml:space="preserve">The total of development budget in column B must be greater than zero.
</v>
      </c>
    </row>
    <row r="515" spans="1:7" ht="15" customHeight="1">
      <c r="A515" t="str">
        <f ca="1">IF(AND(Calculations!$B$3, E515=""), F515, "")</f>
        <v/>
      </c>
      <c r="B515" t="s">
        <v>476</v>
      </c>
      <c r="C515" t="str">
        <f ca="1">INDIRECT($F$291 &amp; ADDRESS(B511, 1,4  ))</f>
        <v>Power and Telecom Provider fees</v>
      </c>
      <c r="D515" t="str">
        <f>ADDRESS(B511, 6,4  )</f>
        <v>F53</v>
      </c>
      <c r="E515">
        <f t="shared" ca="1" si="189"/>
        <v>0</v>
      </c>
      <c r="F515" t="str">
        <f ca="1">CONCATENATE("Enter a '10% Carryover Actual Incurred Costs' value for '", C515, "' in cell ", D515, ".", CHAR(10))</f>
        <v xml:space="preserve">Enter a '10% Carryover Actual Incurred Costs' value for 'Power and Telecom Provider fees' in cell F53.
</v>
      </c>
      <c r="G515" s="9" t="str">
        <f t="shared" ca="1" si="188"/>
        <v xml:space="preserve">The total of development budget in column B must be greater than zero.
</v>
      </c>
    </row>
    <row r="516" spans="1:7" ht="15" customHeight="1">
      <c r="A516" t="str">
        <f ca="1">IF(E516="", F516, "")</f>
        <v/>
      </c>
      <c r="B516" s="52">
        <f>B511+1</f>
        <v>54</v>
      </c>
      <c r="C516" t="str">
        <f ca="1">INDIRECT($F$291 &amp; ADDRESS(B516, 1,4  ))</f>
        <v>3rd Party/Bank Inspections/Admin</v>
      </c>
      <c r="D516" t="str">
        <f>ADDRESS(B516, 2,4  )</f>
        <v>B54</v>
      </c>
      <c r="E516">
        <f t="shared" ca="1" si="189"/>
        <v>0</v>
      </c>
      <c r="F516" t="str">
        <f ca="1">CONCATENATE("Enter a value for '", C516, "' in cell ", D516, ".", CHAR(10))</f>
        <v xml:space="preserve">Enter a value for '3rd Party/Bank Inspections/Admin' in cell B54.
</v>
      </c>
      <c r="G516" s="9" t="str">
        <f t="shared" ca="1" si="188"/>
        <v xml:space="preserve">The total of development budget in column B must be greater than zero.
</v>
      </c>
    </row>
    <row r="517" spans="1:7" ht="15" customHeight="1">
      <c r="A517" t="str">
        <f ca="1">IF(AND(Calculations!$B$5, E517=""), F517, "")</f>
        <v/>
      </c>
      <c r="B517" t="s">
        <v>476</v>
      </c>
      <c r="C517" t="str">
        <f ca="1">INDIRECT($F$291 &amp; ADDRESS(B516, 1,4  ))</f>
        <v>3rd Party/Bank Inspections/Admin</v>
      </c>
      <c r="D517" t="str">
        <f>ADDRESS(B516, 3,4  )</f>
        <v>C54</v>
      </c>
      <c r="E517">
        <f t="shared" ca="1" si="189"/>
        <v>0</v>
      </c>
      <c r="F517" t="str">
        <f ca="1">CONCATENATE("Enter an '4% LIHTC Basis Calculation' value for '", C517, "' in cell ", D517, ".", CHAR(10))</f>
        <v xml:space="preserve">Enter an '4% LIHTC Basis Calculation' value for '3rd Party/Bank Inspections/Admin' in cell C54.
</v>
      </c>
      <c r="G517" s="9" t="str">
        <f t="shared" ca="1" si="188"/>
        <v xml:space="preserve">The total of development budget in column B must be greater than zero.
</v>
      </c>
    </row>
    <row r="518" spans="1:7" ht="15" customHeight="1">
      <c r="A518" t="str">
        <f ca="1">IF(AND(Calculations!$B$6, E518=""), F518, "")</f>
        <v/>
      </c>
      <c r="B518" t="s">
        <v>476</v>
      </c>
      <c r="C518" t="str">
        <f ca="1">INDIRECT($F$291 &amp; ADDRESS(B516, 1,4  ))</f>
        <v>3rd Party/Bank Inspections/Admin</v>
      </c>
      <c r="D518" t="str">
        <f>ADDRESS(B516, 4,4  )</f>
        <v>D54</v>
      </c>
      <c r="E518">
        <f t="shared" ca="1" si="189"/>
        <v>0</v>
      </c>
      <c r="F518" t="str">
        <f ca="1">CONCATENATE("Enter an '9% LIHTC Basis Calculation' value for '", C518, "' in cell ", D518, ".", CHAR(10))</f>
        <v xml:space="preserve">Enter an '9% LIHTC Basis Calculation' value for '3rd Party/Bank Inspections/Admin' in cell D54.
</v>
      </c>
      <c r="G518" s="9" t="str">
        <f t="shared" ca="1" si="188"/>
        <v xml:space="preserve">The total of development budget in column B must be greater than zero.
</v>
      </c>
    </row>
    <row r="519" spans="1:7" ht="15" customHeight="1">
      <c r="A519" t="str">
        <f ca="1">IF(AND(OR(Calculations!$B$3:$B$4), E519=""), F519, "")</f>
        <v/>
      </c>
      <c r="B519" t="s">
        <v>476</v>
      </c>
      <c r="C519" t="str">
        <f ca="1">INDIRECT($F$291 &amp; ADDRESS(B516, 1,4  ))</f>
        <v>3rd Party/Bank Inspections/Admin</v>
      </c>
      <c r="D519" t="str">
        <f>ADDRESS(B516, 5,4  )</f>
        <v>E54</v>
      </c>
      <c r="E519">
        <f t="shared" ca="1" si="189"/>
        <v>0</v>
      </c>
      <c r="F519" t="str">
        <f ca="1">CONCATENATE("Enter an 'Amount Last Provided to CHFA' value for '", C519, "' in cell ", D519, ".", CHAR(10))</f>
        <v xml:space="preserve">Enter an 'Amount Last Provided to CHFA' value for '3rd Party/Bank Inspections/Admin' in cell E54.
</v>
      </c>
      <c r="G519" s="9" t="str">
        <f t="shared" ca="1" si="188"/>
        <v xml:space="preserve">The total of development budget in column B must be greater than zero.
</v>
      </c>
    </row>
    <row r="520" spans="1:7" ht="15" customHeight="1">
      <c r="A520" t="str">
        <f ca="1">IF(AND(Calculations!$B$3, E520=""), F520, "")</f>
        <v/>
      </c>
      <c r="B520" t="s">
        <v>476</v>
      </c>
      <c r="C520" t="str">
        <f ca="1">INDIRECT($F$291 &amp; ADDRESS(B516, 1,4  ))</f>
        <v>3rd Party/Bank Inspections/Admin</v>
      </c>
      <c r="D520" t="str">
        <f>ADDRESS(B516, 6,4  )</f>
        <v>F54</v>
      </c>
      <c r="E520">
        <f t="shared" ca="1" si="189"/>
        <v>0</v>
      </c>
      <c r="F520" t="str">
        <f ca="1">CONCATENATE("Enter a '10% Carryover Actual Incurred Costs' value for '", C520, "' in cell ", D520, ".", CHAR(10))</f>
        <v xml:space="preserve">Enter a '10% Carryover Actual Incurred Costs' value for '3rd Party/Bank Inspections/Admin' in cell F54.
</v>
      </c>
      <c r="G520" s="9" t="str">
        <f t="shared" ca="1" si="188"/>
        <v xml:space="preserve">The total of development budget in column B must be greater than zero.
</v>
      </c>
    </row>
    <row r="521" spans="1:7" ht="15" customHeight="1">
      <c r="A521" t="str">
        <f ca="1">IF(E521="", F521, "")</f>
        <v/>
      </c>
      <c r="B521" s="52">
        <f>B516+1</f>
        <v>55</v>
      </c>
      <c r="C521" t="str">
        <f ca="1">INDIRECT($F$291 &amp; ADDRESS(B521, 1,4  ))</f>
        <v>Title &amp; Recording</v>
      </c>
      <c r="D521" t="str">
        <f>ADDRESS(B521, 2,4  )</f>
        <v>B55</v>
      </c>
      <c r="E521">
        <f t="shared" ca="1" si="189"/>
        <v>0</v>
      </c>
      <c r="F521" t="str">
        <f ca="1">CONCATENATE("Enter a value for '", C521, "' in cell ", D521, ".", CHAR(10))</f>
        <v xml:space="preserve">Enter a value for 'Title &amp; Recording' in cell B55.
</v>
      </c>
      <c r="G521" s="9" t="str">
        <f t="shared" ca="1" si="188"/>
        <v xml:space="preserve">The total of development budget in column B must be greater than zero.
</v>
      </c>
    </row>
    <row r="522" spans="1:7" ht="15" customHeight="1">
      <c r="A522" t="str">
        <f ca="1">IF(AND(Calculations!$B$5, E522=""), F522, "")</f>
        <v/>
      </c>
      <c r="B522" t="s">
        <v>476</v>
      </c>
      <c r="C522" t="str">
        <f ca="1">INDIRECT($F$291 &amp; ADDRESS(B521, 1,4  ))</f>
        <v>Title &amp; Recording</v>
      </c>
      <c r="D522" t="str">
        <f>ADDRESS(B521, 3,4  )</f>
        <v>C55</v>
      </c>
      <c r="E522">
        <f t="shared" ca="1" si="189"/>
        <v>0</v>
      </c>
      <c r="F522" t="str">
        <f ca="1">CONCATENATE("Enter an '4% LIHTC Basis Calculation' value for '", C522, "' in cell ", D522, ".", CHAR(10))</f>
        <v xml:space="preserve">Enter an '4% LIHTC Basis Calculation' value for 'Title &amp; Recording' in cell C55.
</v>
      </c>
      <c r="G522" s="9" t="str">
        <f t="shared" ca="1" si="188"/>
        <v xml:space="preserve">The total of development budget in column B must be greater than zero.
</v>
      </c>
    </row>
    <row r="523" spans="1:7" ht="15" customHeight="1">
      <c r="A523" t="str">
        <f ca="1">IF(AND(Calculations!$B$6, E523=""), F523, "")</f>
        <v/>
      </c>
      <c r="B523" t="s">
        <v>476</v>
      </c>
      <c r="C523" t="str">
        <f ca="1">INDIRECT($F$291 &amp; ADDRESS(B521, 1,4  ))</f>
        <v>Title &amp; Recording</v>
      </c>
      <c r="D523" t="str">
        <f>ADDRESS(B521, 4,4  )</f>
        <v>D55</v>
      </c>
      <c r="E523">
        <f t="shared" ca="1" si="189"/>
        <v>0</v>
      </c>
      <c r="F523" t="str">
        <f ca="1">CONCATENATE("Enter an '9% LIHTC Basis Calculation' value for '", C523, "' in cell ", D523, ".", CHAR(10))</f>
        <v xml:space="preserve">Enter an '9% LIHTC Basis Calculation' value for 'Title &amp; Recording' in cell D55.
</v>
      </c>
      <c r="G523" s="9" t="str">
        <f t="shared" ca="1" si="188"/>
        <v xml:space="preserve">The total of development budget in column B must be greater than zero.
</v>
      </c>
    </row>
    <row r="524" spans="1:7" ht="15" customHeight="1">
      <c r="A524" t="str">
        <f ca="1">IF(AND(OR(Calculations!$B$3:$B$4), E524=""), F524, "")</f>
        <v/>
      </c>
      <c r="B524" t="s">
        <v>476</v>
      </c>
      <c r="C524" t="str">
        <f ca="1">INDIRECT($F$291 &amp; ADDRESS(B521, 1,4  ))</f>
        <v>Title &amp; Recording</v>
      </c>
      <c r="D524" t="str">
        <f>ADDRESS(B521, 5,4  )</f>
        <v>E55</v>
      </c>
      <c r="E524">
        <f t="shared" ca="1" si="189"/>
        <v>0</v>
      </c>
      <c r="F524" t="str">
        <f ca="1">CONCATENATE("Enter an 'Amount Last Provided to CHFA' value for '", C524, "' in cell ", D524, ".", CHAR(10))</f>
        <v xml:space="preserve">Enter an 'Amount Last Provided to CHFA' value for 'Title &amp; Recording' in cell E55.
</v>
      </c>
      <c r="G524" s="9" t="str">
        <f t="shared" ca="1" si="188"/>
        <v xml:space="preserve">The total of development budget in column B must be greater than zero.
</v>
      </c>
    </row>
    <row r="525" spans="1:7" ht="15" customHeight="1">
      <c r="A525" t="str">
        <f ca="1">IF(AND(Calculations!$B$3, E525=""), F525, "")</f>
        <v/>
      </c>
      <c r="B525" t="s">
        <v>476</v>
      </c>
      <c r="C525" t="str">
        <f ca="1">INDIRECT($F$291 &amp; ADDRESS(B521, 1,4  ))</f>
        <v>Title &amp; Recording</v>
      </c>
      <c r="D525" t="str">
        <f>ADDRESS(B521, 6,4  )</f>
        <v>F55</v>
      </c>
      <c r="E525">
        <f t="shared" ca="1" si="189"/>
        <v>0</v>
      </c>
      <c r="F525" t="str">
        <f ca="1">CONCATENATE("Enter a '10% Carryover Actual Incurred Costs' value for '", C525, "' in cell ", D525, ".", CHAR(10))</f>
        <v xml:space="preserve">Enter a '10% Carryover Actual Incurred Costs' value for 'Title &amp; Recording' in cell F55.
</v>
      </c>
      <c r="G525" s="9" t="str">
        <f t="shared" ca="1" si="188"/>
        <v xml:space="preserve">The total of development budget in column B must be greater than zero.
</v>
      </c>
    </row>
    <row r="526" spans="1:7" ht="15" customHeight="1">
      <c r="A526" t="str">
        <f ca="1">IF(E526="", F526, "")</f>
        <v/>
      </c>
      <c r="B526" s="52">
        <f>B521+1</f>
        <v>56</v>
      </c>
      <c r="C526" t="str">
        <f ca="1">INDIRECT($F$291 &amp; ADDRESS(B526, 1,4  ))</f>
        <v>Construction Lender Legal Fees</v>
      </c>
      <c r="D526" t="str">
        <f>ADDRESS(B526, 2,4  )</f>
        <v>B56</v>
      </c>
      <c r="E526">
        <f t="shared" ca="1" si="189"/>
        <v>0</v>
      </c>
      <c r="F526" t="str">
        <f ca="1">CONCATENATE("Enter a value for '", C526, "' in cell ", D526, ".", CHAR(10))</f>
        <v xml:space="preserve">Enter a value for 'Construction Lender Legal Fees' in cell B56.
</v>
      </c>
      <c r="G526" s="9" t="str">
        <f t="shared" ca="1" si="188"/>
        <v xml:space="preserve">The total of development budget in column B must be greater than zero.
</v>
      </c>
    </row>
    <row r="527" spans="1:7" ht="15" customHeight="1">
      <c r="A527" t="str">
        <f ca="1">IF(AND(Calculations!$B$5, E527=""), F527, "")</f>
        <v/>
      </c>
      <c r="B527" t="s">
        <v>476</v>
      </c>
      <c r="C527" t="str">
        <f ca="1">INDIRECT($F$291 &amp; ADDRESS(B526, 1,4  ))</f>
        <v>Construction Lender Legal Fees</v>
      </c>
      <c r="D527" t="str">
        <f>ADDRESS(B526, 3,4  )</f>
        <v>C56</v>
      </c>
      <c r="E527">
        <f t="shared" ca="1" si="189"/>
        <v>0</v>
      </c>
      <c r="F527" t="str">
        <f ca="1">CONCATENATE("Enter an '4% LIHTC Basis Calculation' value for '", C527, "' in cell ", D527, ".", CHAR(10))</f>
        <v xml:space="preserve">Enter an '4% LIHTC Basis Calculation' value for 'Construction Lender Legal Fees' in cell C56.
</v>
      </c>
      <c r="G527" s="9" t="str">
        <f t="shared" ca="1" si="188"/>
        <v xml:space="preserve">The total of development budget in column B must be greater than zero.
</v>
      </c>
    </row>
    <row r="528" spans="1:7" ht="15" customHeight="1">
      <c r="A528" t="str">
        <f ca="1">IF(AND(Calculations!$B$6, E528=""), F528, "")</f>
        <v/>
      </c>
      <c r="B528" t="s">
        <v>476</v>
      </c>
      <c r="C528" t="str">
        <f ca="1">INDIRECT($F$291 &amp; ADDRESS(B526, 1,4  ))</f>
        <v>Construction Lender Legal Fees</v>
      </c>
      <c r="D528" t="str">
        <f>ADDRESS(B526, 4,4  )</f>
        <v>D56</v>
      </c>
      <c r="E528">
        <f t="shared" ca="1" si="189"/>
        <v>0</v>
      </c>
      <c r="F528" t="str">
        <f ca="1">CONCATENATE("Enter an '9% LIHTC Basis Calculation' value for '", C528, "' in cell ", D528, ".", CHAR(10))</f>
        <v xml:space="preserve">Enter an '9% LIHTC Basis Calculation' value for 'Construction Lender Legal Fees' in cell D56.
</v>
      </c>
      <c r="G528" s="9" t="str">
        <f t="shared" ca="1" si="188"/>
        <v xml:space="preserve">The total of development budget in column B must be greater than zero.
</v>
      </c>
    </row>
    <row r="529" spans="1:7" ht="15" customHeight="1">
      <c r="A529" t="str">
        <f ca="1">IF(AND(OR(Calculations!$B$3:$B$4), E529=""), F529, "")</f>
        <v/>
      </c>
      <c r="B529" t="s">
        <v>476</v>
      </c>
      <c r="C529" t="str">
        <f ca="1">INDIRECT($F$291 &amp; ADDRESS(B526, 1,4  ))</f>
        <v>Construction Lender Legal Fees</v>
      </c>
      <c r="D529" t="str">
        <f>ADDRESS(B526, 5,4  )</f>
        <v>E56</v>
      </c>
      <c r="E529">
        <f t="shared" ca="1" si="189"/>
        <v>0</v>
      </c>
      <c r="F529" t="str">
        <f ca="1">CONCATENATE("Enter an 'Amount Last Provided to CHFA' value for '", C529, "' in cell ", D529, ".", CHAR(10))</f>
        <v xml:space="preserve">Enter an 'Amount Last Provided to CHFA' value for 'Construction Lender Legal Fees' in cell E56.
</v>
      </c>
      <c r="G529" s="9" t="str">
        <f t="shared" ca="1" si="188"/>
        <v xml:space="preserve">The total of development budget in column B must be greater than zero.
</v>
      </c>
    </row>
    <row r="530" spans="1:7" ht="15" customHeight="1">
      <c r="A530" t="str">
        <f ca="1">IF(AND(Calculations!$B$3, E530=""), F530, "")</f>
        <v/>
      </c>
      <c r="B530" t="s">
        <v>476</v>
      </c>
      <c r="C530" t="str">
        <f ca="1">INDIRECT($F$291 &amp; ADDRESS(B526, 1,4  ))</f>
        <v>Construction Lender Legal Fees</v>
      </c>
      <c r="D530" t="str">
        <f>ADDRESS(B526, 6,4  )</f>
        <v>F56</v>
      </c>
      <c r="E530">
        <f t="shared" ca="1" si="189"/>
        <v>0</v>
      </c>
      <c r="F530" t="str">
        <f ca="1">CONCATENATE("Enter a '10% Carryover Actual Incurred Costs' value for '", C530, "' in cell ", D530, ".", CHAR(10))</f>
        <v xml:space="preserve">Enter a '10% Carryover Actual Incurred Costs' value for 'Construction Lender Legal Fees' in cell F56.
</v>
      </c>
      <c r="G530" s="9" t="str">
        <f t="shared" ca="1" si="188"/>
        <v xml:space="preserve">The total of development budget in column B must be greater than zero.
</v>
      </c>
    </row>
    <row r="531" spans="1:7" ht="15" customHeight="1">
      <c r="A531" t="str">
        <f ca="1">IF(E531="", F531, "")</f>
        <v/>
      </c>
      <c r="B531" s="52">
        <f>B526+1</f>
        <v>57</v>
      </c>
      <c r="C531" t="str">
        <f ca="1">INDIRECT($F$291 &amp; ADDRESS(B531, 1,4  ))</f>
        <v>Prop. Taxes During Construction</v>
      </c>
      <c r="D531" t="str">
        <f>ADDRESS(B531, 2,4  )</f>
        <v>B57</v>
      </c>
      <c r="E531">
        <f t="shared" ca="1" si="189"/>
        <v>0</v>
      </c>
      <c r="F531" t="str">
        <f ca="1">CONCATENATE("Enter a value for '", C531, "' in cell ", D531, ".", CHAR(10))</f>
        <v xml:space="preserve">Enter a value for 'Prop. Taxes During Construction' in cell B57.
</v>
      </c>
      <c r="G531" s="9" t="str">
        <f t="shared" ca="1" si="188"/>
        <v xml:space="preserve">The total of development budget in column B must be greater than zero.
</v>
      </c>
    </row>
    <row r="532" spans="1:7" ht="15" customHeight="1">
      <c r="A532" t="str">
        <f ca="1">IF(AND(Calculations!$B$5, E532=""), F532, "")</f>
        <v/>
      </c>
      <c r="B532" t="s">
        <v>476</v>
      </c>
      <c r="C532" t="str">
        <f ca="1">INDIRECT($F$291 &amp; ADDRESS(B531, 1,4  ))</f>
        <v>Prop. Taxes During Construction</v>
      </c>
      <c r="D532" t="str">
        <f>ADDRESS(B531, 3,4  )</f>
        <v>C57</v>
      </c>
      <c r="E532">
        <f t="shared" ca="1" si="189"/>
        <v>0</v>
      </c>
      <c r="F532" t="str">
        <f ca="1">CONCATENATE("Enter an '4% LIHTC Basis Calculation' value for '", C532, "' in cell ", D532, ".", CHAR(10))</f>
        <v xml:space="preserve">Enter an '4% LIHTC Basis Calculation' value for 'Prop. Taxes During Construction' in cell C57.
</v>
      </c>
      <c r="G532" s="9" t="str">
        <f t="shared" ca="1" si="188"/>
        <v xml:space="preserve">The total of development budget in column B must be greater than zero.
</v>
      </c>
    </row>
    <row r="533" spans="1:7" ht="15" customHeight="1">
      <c r="A533" t="str">
        <f ca="1">IF(AND(Calculations!$B$6, E533=""), F533, "")</f>
        <v/>
      </c>
      <c r="B533" t="s">
        <v>476</v>
      </c>
      <c r="C533" t="str">
        <f ca="1">INDIRECT($F$291 &amp; ADDRESS(B531, 1,4  ))</f>
        <v>Prop. Taxes During Construction</v>
      </c>
      <c r="D533" t="str">
        <f>ADDRESS(B531, 4,4  )</f>
        <v>D57</v>
      </c>
      <c r="E533">
        <f t="shared" ca="1" si="189"/>
        <v>0</v>
      </c>
      <c r="F533" t="str">
        <f ca="1">CONCATENATE("Enter an '9% LIHTC Basis Calculation' value for '", C533, "' in cell ", D533, ".", CHAR(10))</f>
        <v xml:space="preserve">Enter an '9% LIHTC Basis Calculation' value for 'Prop. Taxes During Construction' in cell D57.
</v>
      </c>
      <c r="G533" s="9" t="str">
        <f t="shared" ca="1" si="188"/>
        <v xml:space="preserve">The total of development budget in column B must be greater than zero.
</v>
      </c>
    </row>
    <row r="534" spans="1:7" ht="15" customHeight="1">
      <c r="A534" t="str">
        <f ca="1">IF(AND(OR(Calculations!$B$3:$B$4), E534=""), F534, "")</f>
        <v/>
      </c>
      <c r="B534" t="s">
        <v>476</v>
      </c>
      <c r="C534" t="str">
        <f ca="1">INDIRECT($F$291 &amp; ADDRESS(B531, 1,4  ))</f>
        <v>Prop. Taxes During Construction</v>
      </c>
      <c r="D534" t="str">
        <f>ADDRESS(B531, 5,4  )</f>
        <v>E57</v>
      </c>
      <c r="E534">
        <f t="shared" ca="1" si="189"/>
        <v>0</v>
      </c>
      <c r="F534" t="str">
        <f ca="1">CONCATENATE("Enter an 'Amount Last Provided to CHFA' value for '", C534, "' in cell ", D534, ".", CHAR(10))</f>
        <v xml:space="preserve">Enter an 'Amount Last Provided to CHFA' value for 'Prop. Taxes During Construction' in cell E57.
</v>
      </c>
      <c r="G534" s="9" t="str">
        <f t="shared" ca="1" si="188"/>
        <v xml:space="preserve">The total of development budget in column B must be greater than zero.
</v>
      </c>
    </row>
    <row r="535" spans="1:7" ht="15" customHeight="1">
      <c r="A535" t="str">
        <f ca="1">IF(AND(Calculations!$B$3, E535=""), F535, "")</f>
        <v/>
      </c>
      <c r="B535" t="s">
        <v>476</v>
      </c>
      <c r="C535" t="str">
        <f ca="1">INDIRECT($F$291 &amp; ADDRESS(B531, 1,4  ))</f>
        <v>Prop. Taxes During Construction</v>
      </c>
      <c r="D535" t="str">
        <f>ADDRESS(B531, 6,4  )</f>
        <v>F57</v>
      </c>
      <c r="E535">
        <f t="shared" ref="E535:E550" ca="1" si="190">IF(ISBLANK( INDIRECT($F$291 &amp; D535)),"", INDIRECT($F$291 &amp; D535))</f>
        <v>0</v>
      </c>
      <c r="F535" t="str">
        <f ca="1">CONCATENATE("Enter a '10% Carryover Actual Incurred Costs' value for '", C535, "' in cell ", D535, ".", CHAR(10))</f>
        <v xml:space="preserve">Enter a '10% Carryover Actual Incurred Costs' value for 'Prop. Taxes During Construction' in cell F57.
</v>
      </c>
      <c r="G535" s="9" t="str">
        <f t="shared" ca="1" si="188"/>
        <v xml:space="preserve">The total of development budget in column B must be greater than zero.
</v>
      </c>
    </row>
    <row r="536" spans="1:7" ht="15" customHeight="1">
      <c r="A536" t="str">
        <f ca="1">IF(E536="", F536, "")</f>
        <v/>
      </c>
      <c r="B536" s="52">
        <f>B531+1</f>
        <v>58</v>
      </c>
      <c r="C536" t="str">
        <f ca="1">INDIRECT($F$291 &amp; ADDRESS(B536, 1,4  ))</f>
        <v>Bridge Loan</v>
      </c>
      <c r="D536" t="str">
        <f>ADDRESS(B536, 2,4  )</f>
        <v>B58</v>
      </c>
      <c r="E536">
        <f t="shared" ca="1" si="190"/>
        <v>0</v>
      </c>
      <c r="F536" t="str">
        <f ca="1">CONCATENATE("Enter a value for '", C536, "' in cell ", D536, ".", CHAR(10))</f>
        <v xml:space="preserve">Enter a value for 'Bridge Loan' in cell B58.
</v>
      </c>
      <c r="G536" s="9" t="str">
        <f t="shared" ca="1" si="188"/>
        <v xml:space="preserve">The total of development budget in column B must be greater than zero.
</v>
      </c>
    </row>
    <row r="537" spans="1:7" ht="15" customHeight="1">
      <c r="A537" t="str">
        <f ca="1">IF(AND(Calculations!$B$5, E537=""), F537, "")</f>
        <v/>
      </c>
      <c r="B537" t="s">
        <v>476</v>
      </c>
      <c r="C537" t="str">
        <f ca="1">INDIRECT($F$291 &amp; ADDRESS(B536, 1,4  ))</f>
        <v>Bridge Loan</v>
      </c>
      <c r="D537" t="str">
        <f>ADDRESS(B536, 3,4  )</f>
        <v>C58</v>
      </c>
      <c r="E537">
        <f t="shared" ca="1" si="190"/>
        <v>0</v>
      </c>
      <c r="F537" t="str">
        <f ca="1">CONCATENATE("Enter an '4% LIHTC Basis Calculation' value for '", C537, "' in cell ", D537, ".", CHAR(10))</f>
        <v xml:space="preserve">Enter an '4% LIHTC Basis Calculation' value for 'Bridge Loan' in cell C58.
</v>
      </c>
      <c r="G537" s="9" t="str">
        <f t="shared" ca="1" si="188"/>
        <v xml:space="preserve">The total of development budget in column B must be greater than zero.
</v>
      </c>
    </row>
    <row r="538" spans="1:7" ht="15" customHeight="1">
      <c r="A538" t="str">
        <f ca="1">IF(AND(Calculations!$B$6, E538=""), F538, "")</f>
        <v/>
      </c>
      <c r="B538" t="s">
        <v>476</v>
      </c>
      <c r="C538" t="str">
        <f ca="1">INDIRECT($F$291 &amp; ADDRESS(B536, 1,4  ))</f>
        <v>Bridge Loan</v>
      </c>
      <c r="D538" t="str">
        <f>ADDRESS(B536, 4,4  )</f>
        <v>D58</v>
      </c>
      <c r="E538">
        <f t="shared" ca="1" si="190"/>
        <v>0</v>
      </c>
      <c r="F538" t="str">
        <f ca="1">CONCATENATE("Enter an '9% LIHTC Basis Calculation' value for '", C538, "' in cell ", D538, ".", CHAR(10))</f>
        <v xml:space="preserve">Enter an '9% LIHTC Basis Calculation' value for 'Bridge Loan' in cell D58.
</v>
      </c>
      <c r="G538" s="9" t="str">
        <f t="shared" ca="1" si="188"/>
        <v xml:space="preserve">The total of development budget in column B must be greater than zero.
</v>
      </c>
    </row>
    <row r="539" spans="1:7" ht="15" customHeight="1">
      <c r="A539" t="str">
        <f ca="1">IF(AND(OR(Calculations!$B$3:$B$4), E539=""), F539, "")</f>
        <v/>
      </c>
      <c r="B539" t="s">
        <v>476</v>
      </c>
      <c r="C539" t="str">
        <f ca="1">INDIRECT($F$291 &amp; ADDRESS(B536, 1,4  ))</f>
        <v>Bridge Loan</v>
      </c>
      <c r="D539" t="str">
        <f>ADDRESS(B536, 5,4  )</f>
        <v>E58</v>
      </c>
      <c r="E539">
        <f t="shared" ca="1" si="190"/>
        <v>0</v>
      </c>
      <c r="F539" t="str">
        <f ca="1">CONCATENATE("Enter an 'Amount Last Provided to CHFA' value for '", C539, "' in cell ", D539, ".", CHAR(10))</f>
        <v xml:space="preserve">Enter an 'Amount Last Provided to CHFA' value for 'Bridge Loan' in cell E58.
</v>
      </c>
      <c r="G539" s="9" t="str">
        <f t="shared" ca="1" si="188"/>
        <v xml:space="preserve">The total of development budget in column B must be greater than zero.
</v>
      </c>
    </row>
    <row r="540" spans="1:7" ht="15" customHeight="1">
      <c r="A540" t="str">
        <f ca="1">IF(AND(Calculations!$B$3, E540=""), F540, "")</f>
        <v/>
      </c>
      <c r="C540" t="str">
        <f ca="1">INDIRECT($F$291 &amp; ADDRESS(B536, 1,4  ))</f>
        <v>Bridge Loan</v>
      </c>
      <c r="D540" t="str">
        <f>ADDRESS(B536, 6,4  )</f>
        <v>F58</v>
      </c>
      <c r="E540">
        <f t="shared" ca="1" si="190"/>
        <v>0</v>
      </c>
      <c r="F540" t="str">
        <f ca="1">CONCATENATE("Enter a '10% Carryover Actual Incurred Costs' value for '", C540, "' in cell ", D540, ".", CHAR(10))</f>
        <v xml:space="preserve">Enter a '10% Carryover Actual Incurred Costs' value for 'Bridge Loan' in cell F58.
</v>
      </c>
      <c r="G540" s="9" t="str">
        <f t="shared" ca="1" si="188"/>
        <v xml:space="preserve">The total of development budget in column B must be greater than zero.
</v>
      </c>
    </row>
    <row r="541" spans="1:7" ht="15" customHeight="1">
      <c r="B541" s="52">
        <f>B536+1</f>
        <v>59</v>
      </c>
      <c r="C541" t="str">
        <f ca="1">INDIRECT($F$291 &amp; ADDRESS(B541, 1,4  ))</f>
        <v>Bond Issuance Costs amortized during construction</v>
      </c>
      <c r="D541" t="str">
        <f>ADDRESS(B541, 2,4  )</f>
        <v>B59</v>
      </c>
      <c r="E541">
        <f t="shared" ref="E541" ca="1" si="191">IF(ISBLANK( INDIRECT($F$291 &amp; D541)),"", INDIRECT($F$291 &amp; D541))</f>
        <v>0</v>
      </c>
      <c r="F541" t="str">
        <f ca="1">CONCATENATE("Enter a value for '", C541, "' in cell ", D541, ".", CHAR(10))</f>
        <v xml:space="preserve">Enter a value for 'Bond Issuance Costs amortized during construction' in cell B59.
</v>
      </c>
      <c r="G541" s="9" t="str">
        <f t="shared" ref="G541" ca="1" si="192">OFFSET(G541, -1, 0) &amp; A541</f>
        <v xml:space="preserve">The total of development budget in column B must be greater than zero.
</v>
      </c>
    </row>
    <row r="542" spans="1:7" ht="15" customHeight="1">
      <c r="C542" t="str">
        <f ca="1">INDIRECT($F$291 &amp; ADDRESS(B541, 1,4  ))</f>
        <v>Bond Issuance Costs amortized during construction</v>
      </c>
      <c r="D542" t="str">
        <f>ADDRESS(B541, 3,4  )</f>
        <v>C59</v>
      </c>
      <c r="E542">
        <f t="shared" ref="E542:E545" ca="1" si="193">IF(ISBLANK( INDIRECT($F$291 &amp; D542)),"", INDIRECT($F$291 &amp; D542))</f>
        <v>0</v>
      </c>
      <c r="F542" t="str">
        <f ca="1">CONCATENATE("Enter an '4% LIHTC Basis Calculation' value for '", C542, "' in cell ", D542, ".", CHAR(10))</f>
        <v xml:space="preserve">Enter an '4% LIHTC Basis Calculation' value for 'Bond Issuance Costs amortized during construction' in cell C59.
</v>
      </c>
      <c r="G542" s="9" t="str">
        <f t="shared" ref="G542:G545" ca="1" si="194">OFFSET(G542, -1, 0) &amp; A542</f>
        <v xml:space="preserve">The total of development budget in column B must be greater than zero.
</v>
      </c>
    </row>
    <row r="543" spans="1:7" ht="15" customHeight="1">
      <c r="C543" t="str">
        <f ca="1">INDIRECT($F$291 &amp; ADDRESS(B541, 1,4  ))</f>
        <v>Bond Issuance Costs amortized during construction</v>
      </c>
      <c r="D543" t="str">
        <f>ADDRESS(B541, 4,4  )</f>
        <v>D59</v>
      </c>
      <c r="E543">
        <f t="shared" ca="1" si="193"/>
        <v>0</v>
      </c>
      <c r="F543" t="str">
        <f ca="1">CONCATENATE("Enter an '9% LIHTC Basis Calculation' value for '", C543, "' in cell ", D543, ".", CHAR(10))</f>
        <v xml:space="preserve">Enter an '9% LIHTC Basis Calculation' value for 'Bond Issuance Costs amortized during construction' in cell D59.
</v>
      </c>
      <c r="G543" s="9" t="str">
        <f t="shared" ca="1" si="194"/>
        <v xml:space="preserve">The total of development budget in column B must be greater than zero.
</v>
      </c>
    </row>
    <row r="544" spans="1:7" ht="15" customHeight="1">
      <c r="C544" t="str">
        <f ca="1">INDIRECT($F$291 &amp; ADDRESS(B541, 1,4  ))</f>
        <v>Bond Issuance Costs amortized during construction</v>
      </c>
      <c r="D544" t="str">
        <f>ADDRESS(B541, 5,4  )</f>
        <v>E59</v>
      </c>
      <c r="E544">
        <f t="shared" ca="1" si="193"/>
        <v>0</v>
      </c>
      <c r="F544" t="str">
        <f ca="1">CONCATENATE("Enter an 'Amount Last Provided to CHFA' value for '", C544, "' in cell ", D544, ".", CHAR(10))</f>
        <v xml:space="preserve">Enter an 'Amount Last Provided to CHFA' value for 'Bond Issuance Costs amortized during construction' in cell E59.
</v>
      </c>
      <c r="G544" s="9" t="str">
        <f t="shared" ca="1" si="194"/>
        <v xml:space="preserve">The total of development budget in column B must be greater than zero.
</v>
      </c>
    </row>
    <row r="545" spans="1:7" ht="15" customHeight="1">
      <c r="C545" t="str">
        <f ca="1">INDIRECT($F$291 &amp; ADDRESS(B541, 1,4  ))</f>
        <v>Bond Issuance Costs amortized during construction</v>
      </c>
      <c r="D545" t="str">
        <f>ADDRESS(B541, 6,4  )</f>
        <v>F59</v>
      </c>
      <c r="E545">
        <f t="shared" ca="1" si="193"/>
        <v>0</v>
      </c>
      <c r="F545" t="str">
        <f ca="1">CONCATENATE("Enter a '10% Carryover Actual Incurred Costs' value for '", C545, "' in cell ", D545, ".", CHAR(10))</f>
        <v xml:space="preserve">Enter a '10% Carryover Actual Incurred Costs' value for 'Bond Issuance Costs amortized during construction' in cell F59.
</v>
      </c>
      <c r="G545" s="9" t="str">
        <f t="shared" ca="1" si="194"/>
        <v xml:space="preserve">The total of development budget in column B must be greater than zero.
</v>
      </c>
    </row>
    <row r="546" spans="1:7" ht="15" customHeight="1">
      <c r="A546" t="str">
        <f ca="1">IF(E546="", F546, "")</f>
        <v/>
      </c>
      <c r="B546" s="52">
        <f>B541+1</f>
        <v>60</v>
      </c>
      <c r="C546" t="str">
        <f ca="1">INDIRECT($F$291 &amp; ADDRESS(B546, 1,4  ))</f>
        <v>Other (Specify)</v>
      </c>
      <c r="D546" t="str">
        <f>ADDRESS(B546, 2,4  )</f>
        <v>B60</v>
      </c>
      <c r="E546">
        <f t="shared" ca="1" si="190"/>
        <v>0</v>
      </c>
      <c r="F546" t="str">
        <f ca="1">CONCATENATE("Enter a value for '", C546, "' in cell ", D546, ".", CHAR(10))</f>
        <v xml:space="preserve">Enter a value for 'Other (Specify)' in cell B60.
</v>
      </c>
      <c r="G546" s="9" t="str">
        <f t="shared" ca="1" si="188"/>
        <v xml:space="preserve">The total of development budget in column B must be greater than zero.
</v>
      </c>
    </row>
    <row r="547" spans="1:7" ht="15" customHeight="1">
      <c r="A547" t="str">
        <f ca="1">IF(AND(Calculations!$B$5, E547=""), F547, "")</f>
        <v/>
      </c>
      <c r="B547" t="s">
        <v>476</v>
      </c>
      <c r="C547" t="str">
        <f ca="1">INDIRECT($F$291 &amp; ADDRESS(B546, 1,4  ))</f>
        <v>Other (Specify)</v>
      </c>
      <c r="D547" t="str">
        <f>ADDRESS(B546, 3,4  )</f>
        <v>C60</v>
      </c>
      <c r="E547">
        <f t="shared" ca="1" si="190"/>
        <v>0</v>
      </c>
      <c r="F547" t="str">
        <f ca="1">CONCATENATE("Enter an '4% LIHTC Basis Calculation' value for '", C547, "' in cell ", D547, ".", CHAR(10))</f>
        <v xml:space="preserve">Enter an '4% LIHTC Basis Calculation' value for 'Other (Specify)' in cell C60.
</v>
      </c>
      <c r="G547" s="9" t="str">
        <f t="shared" ca="1" si="188"/>
        <v xml:space="preserve">The total of development budget in column B must be greater than zero.
</v>
      </c>
    </row>
    <row r="548" spans="1:7" ht="15" customHeight="1">
      <c r="A548" t="str">
        <f ca="1">IF(AND(Calculations!$B$6, E548=""), F548, "")</f>
        <v/>
      </c>
      <c r="B548" t="s">
        <v>476</v>
      </c>
      <c r="C548" t="str">
        <f ca="1">INDIRECT($F$291 &amp; ADDRESS(B546, 1,4  ))</f>
        <v>Other (Specify)</v>
      </c>
      <c r="D548" t="str">
        <f>ADDRESS(B546, 4,4  )</f>
        <v>D60</v>
      </c>
      <c r="E548">
        <f t="shared" ca="1" si="190"/>
        <v>0</v>
      </c>
      <c r="F548" t="str">
        <f ca="1">CONCATENATE("Enter an '9% LIHTC Basis Calculation' value for '", C548, "' in cell ", D548, ".", CHAR(10))</f>
        <v xml:space="preserve">Enter an '9% LIHTC Basis Calculation' value for 'Other (Specify)' in cell D60.
</v>
      </c>
      <c r="G548" s="9" t="str">
        <f t="shared" ca="1" si="188"/>
        <v xml:space="preserve">The total of development budget in column B must be greater than zero.
</v>
      </c>
    </row>
    <row r="549" spans="1:7" ht="15" customHeight="1">
      <c r="A549" t="str">
        <f ca="1">IF(AND(OR(Calculations!$B$3:$B$4), E549=""), F549, "")</f>
        <v/>
      </c>
      <c r="B549" t="s">
        <v>476</v>
      </c>
      <c r="C549" t="str">
        <f ca="1">INDIRECT($F$291 &amp; ADDRESS(B546, 1,4  ))</f>
        <v>Other (Specify)</v>
      </c>
      <c r="D549" t="str">
        <f>ADDRESS(B546, 5,4  )</f>
        <v>E60</v>
      </c>
      <c r="E549">
        <f t="shared" ca="1" si="190"/>
        <v>0</v>
      </c>
      <c r="F549" t="str">
        <f ca="1">CONCATENATE("Enter an 'Amount Last Provided to CHFA' value for '", C549, "' in cell ", D549, ".", CHAR(10))</f>
        <v xml:space="preserve">Enter an 'Amount Last Provided to CHFA' value for 'Other (Specify)' in cell E60.
</v>
      </c>
      <c r="G549" s="9" t="str">
        <f t="shared" ca="1" si="188"/>
        <v xml:space="preserve">The total of development budget in column B must be greater than zero.
</v>
      </c>
    </row>
    <row r="550" spans="1:7" ht="15" customHeight="1">
      <c r="A550" t="str">
        <f ca="1">IF(AND(Calculations!$B$3, E550=""), F550, "")</f>
        <v/>
      </c>
      <c r="B550" t="s">
        <v>476</v>
      </c>
      <c r="C550" t="str">
        <f ca="1">INDIRECT($F$291 &amp; ADDRESS(B546, 1,4  ))</f>
        <v>Other (Specify)</v>
      </c>
      <c r="D550" t="str">
        <f>ADDRESS(B546, 6,4  )</f>
        <v>F60</v>
      </c>
      <c r="E550">
        <f t="shared" ca="1" si="190"/>
        <v>0</v>
      </c>
      <c r="F550" t="str">
        <f ca="1">CONCATENATE("Enter a '10% Carryover Actual Incurred Costs' value for '", C550, "' in cell ", D550, ".", CHAR(10))</f>
        <v xml:space="preserve">Enter a '10% Carryover Actual Incurred Costs' value for 'Other (Specify)' in cell F60.
</v>
      </c>
      <c r="G550" s="9" t="str">
        <f t="shared" ca="1" si="188"/>
        <v xml:space="preserve">The total of development budget in column B must be greater than zero.
</v>
      </c>
    </row>
    <row r="551" spans="1:7" ht="15" customHeight="1">
      <c r="A551" t="str">
        <f ca="1">IF(AND(E551, SUM(E546:E550) &gt; 0), F551, "")</f>
        <v/>
      </c>
      <c r="C551" t="str">
        <f ca="1">INDIRECT($F$291 &amp; ADDRESS(B546, 1,4  ))</f>
        <v>Other (Specify)</v>
      </c>
      <c r="D551" t="str">
        <f>ADDRESS(B546, 1,4  )</f>
        <v>A60</v>
      </c>
      <c r="E551" t="b">
        <f ca="1">INDIRECT($F$291 &amp; D551)="Other (specify)"</f>
        <v>1</v>
      </c>
      <c r="F551" t="str">
        <f ca="1">CONCATENATE("Please specify value for '", C551, "' in cell ", D551, ".", CHAR(10))</f>
        <v xml:space="preserve">Please specify value for 'Other (Specify)' in cell A60.
</v>
      </c>
      <c r="G551" s="9" t="str">
        <f t="shared" ca="1" si="188"/>
        <v xml:space="preserve">The total of development budget in column B must be greater than zero.
</v>
      </c>
    </row>
    <row r="552" spans="1:7" ht="15" customHeight="1">
      <c r="A552" t="str">
        <f ca="1">IF(E552="", F552, "")</f>
        <v/>
      </c>
      <c r="B552" s="52">
        <f>B546+1</f>
        <v>61</v>
      </c>
      <c r="C552" t="str">
        <f ca="1">INDIRECT($F$291 &amp; ADDRESS(B552, 1,4  ))</f>
        <v>Other (Specify)</v>
      </c>
      <c r="D552" t="str">
        <f>ADDRESS(B552, 2,4  )</f>
        <v>B61</v>
      </c>
      <c r="E552">
        <f ca="1">IF(ISBLANK( INDIRECT($F$291 &amp; D552)),"", INDIRECT($F$291 &amp; D552))</f>
        <v>0</v>
      </c>
      <c r="F552" t="str">
        <f ca="1">CONCATENATE("Enter a value for '", C552, "' in cell ", D552, ".", CHAR(10))</f>
        <v xml:space="preserve">Enter a value for 'Other (Specify)' in cell B61.
</v>
      </c>
      <c r="G552" s="9" t="str">
        <f t="shared" ca="1" si="188"/>
        <v xml:space="preserve">The total of development budget in column B must be greater than zero.
</v>
      </c>
    </row>
    <row r="553" spans="1:7" ht="15" customHeight="1">
      <c r="A553" t="str">
        <f ca="1">IF(AND(Calculations!$B$5, E553=""), F553, "")</f>
        <v/>
      </c>
      <c r="B553" t="s">
        <v>476</v>
      </c>
      <c r="C553" t="str">
        <f ca="1">INDIRECT($F$291 &amp; ADDRESS(B552, 1,4  ))</f>
        <v>Other (Specify)</v>
      </c>
      <c r="D553" t="str">
        <f>ADDRESS(B552, 3,4  )</f>
        <v>C61</v>
      </c>
      <c r="E553">
        <f ca="1">IF(ISBLANK( INDIRECT($F$291 &amp; D553)),"", INDIRECT($F$291 &amp; D553))</f>
        <v>0</v>
      </c>
      <c r="F553" t="str">
        <f ca="1">CONCATENATE("Enter an '4% LIHTC Basis Calculation' value for '", C553, "' in cell ", D553, ".", CHAR(10))</f>
        <v xml:space="preserve">Enter an '4% LIHTC Basis Calculation' value for 'Other (Specify)' in cell C61.
</v>
      </c>
      <c r="G553" s="9" t="str">
        <f t="shared" ref="G553:G616" ca="1" si="195">OFFSET(G553, -1, 0) &amp; A553</f>
        <v xml:space="preserve">The total of development budget in column B must be greater than zero.
</v>
      </c>
    </row>
    <row r="554" spans="1:7" ht="15" customHeight="1">
      <c r="A554" t="str">
        <f ca="1">IF(AND(Calculations!$B$6, E554=""), F554, "")</f>
        <v/>
      </c>
      <c r="B554" t="s">
        <v>476</v>
      </c>
      <c r="C554" t="str">
        <f ca="1">INDIRECT($F$291 &amp; ADDRESS(B552, 1,4  ))</f>
        <v>Other (Specify)</v>
      </c>
      <c r="D554" t="str">
        <f>ADDRESS(B552, 4,4  )</f>
        <v>D61</v>
      </c>
      <c r="E554">
        <f ca="1">IF(ISBLANK( INDIRECT($F$291 &amp; D554)),"", INDIRECT($F$291 &amp; D554))</f>
        <v>0</v>
      </c>
      <c r="F554" t="str">
        <f ca="1">CONCATENATE("Enter an '9% LIHTC Basis Calculation' value for '", C554, "' in cell ", D554, ".", CHAR(10))</f>
        <v xml:space="preserve">Enter an '9% LIHTC Basis Calculation' value for 'Other (Specify)' in cell D61.
</v>
      </c>
      <c r="G554" s="9" t="str">
        <f t="shared" ca="1" si="195"/>
        <v xml:space="preserve">The total of development budget in column B must be greater than zero.
</v>
      </c>
    </row>
    <row r="555" spans="1:7" ht="15" customHeight="1">
      <c r="A555" t="str">
        <f ca="1">IF(AND(OR(Calculations!$B$3:$B$4), E555=""), F555, "")</f>
        <v/>
      </c>
      <c r="B555" t="s">
        <v>476</v>
      </c>
      <c r="C555" t="str">
        <f ca="1">INDIRECT($F$291 &amp; ADDRESS(B552, 1,4  ))</f>
        <v>Other (Specify)</v>
      </c>
      <c r="D555" t="str">
        <f>ADDRESS(B552, 5,4  )</f>
        <v>E61</v>
      </c>
      <c r="E555">
        <f ca="1">IF(ISBLANK( INDIRECT($F$291 &amp; D555)),"", INDIRECT($F$291 &amp; D555))</f>
        <v>0</v>
      </c>
      <c r="F555" t="str">
        <f ca="1">CONCATENATE("Enter an 'Amount Last Provided to CHFA' value for '", C555, "' in cell ", D555, ".", CHAR(10))</f>
        <v xml:space="preserve">Enter an 'Amount Last Provided to CHFA' value for 'Other (Specify)' in cell E61.
</v>
      </c>
      <c r="G555" s="9" t="str">
        <f t="shared" ca="1" si="195"/>
        <v xml:space="preserve">The total of development budget in column B must be greater than zero.
</v>
      </c>
    </row>
    <row r="556" spans="1:7" ht="15" customHeight="1">
      <c r="A556" t="str">
        <f ca="1">IF(AND(Calculations!$B$3, E556=""), F556, "")</f>
        <v/>
      </c>
      <c r="B556" t="s">
        <v>476</v>
      </c>
      <c r="C556" t="str">
        <f ca="1">INDIRECT($F$291 &amp; ADDRESS(B552, 1,4  ))</f>
        <v>Other (Specify)</v>
      </c>
      <c r="D556" t="str">
        <f>ADDRESS(B552, 6,4  )</f>
        <v>F61</v>
      </c>
      <c r="E556">
        <f ca="1">IF(ISBLANK( INDIRECT($F$291 &amp; D556)),"", INDIRECT($F$291 &amp; D556))</f>
        <v>0</v>
      </c>
      <c r="F556" t="str">
        <f ca="1">CONCATENATE("Enter a '10% Carryover Actual Incurred Costs' value for '", C556, "' in cell ", D556, ".", CHAR(10))</f>
        <v xml:space="preserve">Enter a '10% Carryover Actual Incurred Costs' value for 'Other (Specify)' in cell F61.
</v>
      </c>
      <c r="G556" s="9" t="str">
        <f t="shared" ca="1" si="195"/>
        <v xml:space="preserve">The total of development budget in column B must be greater than zero.
</v>
      </c>
    </row>
    <row r="557" spans="1:7" ht="15" customHeight="1">
      <c r="A557" t="str">
        <f ca="1">IF(AND(E557, SUM(E552:E556) &gt; 0), F557, "")</f>
        <v/>
      </c>
      <c r="C557" t="str">
        <f ca="1">INDIRECT($F$291 &amp; ADDRESS(B552, 1,4  ))</f>
        <v>Other (Specify)</v>
      </c>
      <c r="D557" t="str">
        <f>ADDRESS(B552, 1,4  )</f>
        <v>A61</v>
      </c>
      <c r="E557" t="b">
        <f ca="1">INDIRECT($F$291 &amp; D557)="Other (specify)"</f>
        <v>1</v>
      </c>
      <c r="F557" t="str">
        <f ca="1">CONCATENATE("Please specify value for '", C557, "' in cell ", D557, ".", CHAR(10))</f>
        <v xml:space="preserve">Please specify value for 'Other (Specify)' in cell A61.
</v>
      </c>
      <c r="G557" s="9" t="str">
        <f t="shared" ca="1" si="195"/>
        <v xml:space="preserve">The total of development budget in column B must be greater than zero.
</v>
      </c>
    </row>
    <row r="558" spans="1:7" ht="15" customHeight="1">
      <c r="A558" t="str">
        <f ca="1">IF(E558="", F558, "")</f>
        <v/>
      </c>
      <c r="B558" s="52">
        <f>B552+1</f>
        <v>62</v>
      </c>
      <c r="C558" t="str">
        <f ca="1">INDIRECT($F$291 &amp; ADDRESS(B558, 1,4  ))</f>
        <v>Other (Specify)</v>
      </c>
      <c r="D558" t="str">
        <f>ADDRESS(B558, 2,4  )</f>
        <v>B62</v>
      </c>
      <c r="E558">
        <f ca="1">IF(ISBLANK( INDIRECT($F$291 &amp; D558)),"", INDIRECT($F$291 &amp; D558))</f>
        <v>0</v>
      </c>
      <c r="F558" t="str">
        <f ca="1">CONCATENATE("Enter a value for '", C558, "' in cell ", D558, ".", CHAR(10))</f>
        <v xml:space="preserve">Enter a value for 'Other (Specify)' in cell B62.
</v>
      </c>
      <c r="G558" s="9" t="str">
        <f t="shared" ca="1" si="195"/>
        <v xml:space="preserve">The total of development budget in column B must be greater than zero.
</v>
      </c>
    </row>
    <row r="559" spans="1:7" ht="15" customHeight="1">
      <c r="A559" t="str">
        <f ca="1">IF(AND(Calculations!$B$5, E559=""), F559, "")</f>
        <v/>
      </c>
      <c r="B559" t="s">
        <v>476</v>
      </c>
      <c r="C559" t="str">
        <f ca="1">INDIRECT($F$291 &amp; ADDRESS(B558, 1,4  ))</f>
        <v>Other (Specify)</v>
      </c>
      <c r="D559" t="str">
        <f>ADDRESS(B558, 3,4  )</f>
        <v>C62</v>
      </c>
      <c r="E559">
        <f ca="1">IF(ISBLANK( INDIRECT($F$291 &amp; D559)),"", INDIRECT($F$291 &amp; D559))</f>
        <v>0</v>
      </c>
      <c r="F559" t="str">
        <f ca="1">CONCATENATE("Enter an '4% LIHTC Basis Calculation' value for '", C559, "' in cell ", D559, ".", CHAR(10))</f>
        <v xml:space="preserve">Enter an '4% LIHTC Basis Calculation' value for 'Other (Specify)' in cell C62.
</v>
      </c>
      <c r="G559" s="9" t="str">
        <f t="shared" ca="1" si="195"/>
        <v xml:space="preserve">The total of development budget in column B must be greater than zero.
</v>
      </c>
    </row>
    <row r="560" spans="1:7" ht="15" customHeight="1">
      <c r="A560" t="str">
        <f ca="1">IF(AND(Calculations!$B$6, E560=""), F560, "")</f>
        <v/>
      </c>
      <c r="B560" t="s">
        <v>476</v>
      </c>
      <c r="C560" t="str">
        <f ca="1">INDIRECT($F$291 &amp; ADDRESS(B558, 1,4  ))</f>
        <v>Other (Specify)</v>
      </c>
      <c r="D560" t="str">
        <f>ADDRESS(B558, 4,4  )</f>
        <v>D62</v>
      </c>
      <c r="E560">
        <f ca="1">IF(ISBLANK( INDIRECT($F$291 &amp; D560)),"", INDIRECT($F$291 &amp; D560))</f>
        <v>0</v>
      </c>
      <c r="F560" t="str">
        <f ca="1">CONCATENATE("Enter an '9% LIHTC Basis Calculation' value for '", C560, "' in cell ", D560, ".", CHAR(10))</f>
        <v xml:space="preserve">Enter an '9% LIHTC Basis Calculation' value for 'Other (Specify)' in cell D62.
</v>
      </c>
      <c r="G560" s="9" t="str">
        <f t="shared" ca="1" si="195"/>
        <v xml:space="preserve">The total of development budget in column B must be greater than zero.
</v>
      </c>
    </row>
    <row r="561" spans="1:7" ht="15" customHeight="1">
      <c r="A561" t="str">
        <f ca="1">IF(AND(OR(Calculations!$B$3:$B$4), E561=""), F561, "")</f>
        <v/>
      </c>
      <c r="B561" t="s">
        <v>476</v>
      </c>
      <c r="C561" t="str">
        <f ca="1">INDIRECT($F$291 &amp; ADDRESS(B558, 1,4  ))</f>
        <v>Other (Specify)</v>
      </c>
      <c r="D561" t="str">
        <f>ADDRESS(B558, 5,4  )</f>
        <v>E62</v>
      </c>
      <c r="E561">
        <f ca="1">IF(ISBLANK( INDIRECT($F$291 &amp; D561)),"", INDIRECT($F$291 &amp; D561))</f>
        <v>0</v>
      </c>
      <c r="F561" t="str">
        <f ca="1">CONCATENATE("Enter an 'Amount Last Provided to CHFA' value for '", C561, "' in cell ", D561, ".", CHAR(10))</f>
        <v xml:space="preserve">Enter an 'Amount Last Provided to CHFA' value for 'Other (Specify)' in cell E62.
</v>
      </c>
      <c r="G561" s="9" t="str">
        <f t="shared" ca="1" si="195"/>
        <v xml:space="preserve">The total of development budget in column B must be greater than zero.
</v>
      </c>
    </row>
    <row r="562" spans="1:7" ht="15" customHeight="1">
      <c r="A562" t="str">
        <f ca="1">IF(AND(Calculations!$B$3, E562=""), F562, "")</f>
        <v/>
      </c>
      <c r="B562" t="s">
        <v>476</v>
      </c>
      <c r="C562" t="str">
        <f ca="1">INDIRECT($F$291 &amp; ADDRESS(B558, 1,4  ))</f>
        <v>Other (Specify)</v>
      </c>
      <c r="D562" t="str">
        <f>ADDRESS(B558, 6,4  )</f>
        <v>F62</v>
      </c>
      <c r="E562">
        <f ca="1">IF(ISBLANK( INDIRECT($F$291 &amp; D562)),"", INDIRECT($F$291 &amp; D562))</f>
        <v>0</v>
      </c>
      <c r="F562" t="str">
        <f ca="1">CONCATENATE("Enter a '10% Carryover Actual Incurred Costs' value for '", C562, "' in cell ", D562, ".", CHAR(10))</f>
        <v xml:space="preserve">Enter a '10% Carryover Actual Incurred Costs' value for 'Other (Specify)' in cell F62.
</v>
      </c>
      <c r="G562" s="9" t="str">
        <f t="shared" ca="1" si="195"/>
        <v xml:space="preserve">The total of development budget in column B must be greater than zero.
</v>
      </c>
    </row>
    <row r="563" spans="1:7" ht="15" customHeight="1">
      <c r="A563" t="str">
        <f ca="1">IF(AND(E563, SUM(E558:E562) &gt; 0), F563, "")</f>
        <v/>
      </c>
      <c r="C563" t="str">
        <f ca="1">INDIRECT($F$291 &amp; ADDRESS(B558, 1,4  ))</f>
        <v>Other (Specify)</v>
      </c>
      <c r="D563" t="str">
        <f>ADDRESS(B558, 1,4  )</f>
        <v>A62</v>
      </c>
      <c r="E563" t="b">
        <f ca="1">INDIRECT($F$291 &amp; D563)="Other (specify)"</f>
        <v>1</v>
      </c>
      <c r="F563" t="str">
        <f ca="1">CONCATENATE("Please specify value for '", C563, "' in cell ", D563, ".", CHAR(10))</f>
        <v xml:space="preserve">Please specify value for 'Other (Specify)' in cell A62.
</v>
      </c>
      <c r="G563" s="9" t="str">
        <f t="shared" ca="1" si="195"/>
        <v xml:space="preserve">The total of development budget in column B must be greater than zero.
</v>
      </c>
    </row>
    <row r="564" spans="1:7" ht="15" customHeight="1">
      <c r="A564" t="str">
        <f ca="1">IF(E564="", F564, "")</f>
        <v/>
      </c>
      <c r="B564">
        <f>ROW('Development Budget'!A65)</f>
        <v>65</v>
      </c>
      <c r="C564" t="str">
        <f ca="1">INDIRECT($F$291 &amp; ADDRESS(B564, 1,4  ))</f>
        <v>Bond Premium</v>
      </c>
      <c r="D564" t="str">
        <f>ADDRESS(B564, 2,4  )</f>
        <v>B65</v>
      </c>
      <c r="E564">
        <f t="shared" ref="E564:E588" ca="1" si="196">IF(ISBLANK( INDIRECT($F$291 &amp; D564)),"", INDIRECT($F$291 &amp; D564))</f>
        <v>0</v>
      </c>
      <c r="F564" t="str">
        <f ca="1">CONCATENATE("Enter a value for '", C564, "' in cell ", D564, ".", CHAR(10))</f>
        <v xml:space="preserve">Enter a value for 'Bond Premium' in cell B65.
</v>
      </c>
      <c r="G564" s="9" t="str">
        <f t="shared" ca="1" si="195"/>
        <v xml:space="preserve">The total of development budget in column B must be greater than zero.
</v>
      </c>
    </row>
    <row r="565" spans="1:7" ht="15" customHeight="1">
      <c r="A565" t="str">
        <f ca="1">IF(AND(OR(Calculations!$B$3:$B$4), E565=""), F565, "")</f>
        <v/>
      </c>
      <c r="B565" t="s">
        <v>476</v>
      </c>
      <c r="C565" t="str">
        <f ca="1">INDIRECT($F$291 &amp; ADDRESS(B564, 1,4  ))</f>
        <v>Bond Premium</v>
      </c>
      <c r="D565" t="str">
        <f>ADDRESS(B564, 5,4  )</f>
        <v>E65</v>
      </c>
      <c r="E565">
        <f t="shared" ca="1" si="196"/>
        <v>0</v>
      </c>
      <c r="F565" t="str">
        <f ca="1">CONCATENATE("Enter an 'Amount Last Provided to CHFA' value for '", C565, "' in cell ", D565, ".", CHAR(10))</f>
        <v xml:space="preserve">Enter an 'Amount Last Provided to CHFA' value for 'Bond Premium' in cell E65.
</v>
      </c>
      <c r="G565" s="9" t="str">
        <f t="shared" ca="1" si="195"/>
        <v xml:space="preserve">The total of development budget in column B must be greater than zero.
</v>
      </c>
    </row>
    <row r="566" spans="1:7" ht="15" customHeight="1">
      <c r="A566" t="str">
        <f ca="1">IF(E566="", F566, "")</f>
        <v/>
      </c>
      <c r="B566" s="52">
        <f>B564+1</f>
        <v>66</v>
      </c>
      <c r="C566" t="str">
        <f ca="1">INDIRECT($F$291 &amp; ADDRESS(B566, 1,4  ))</f>
        <v>Bond Issue 30-day lag reserve</v>
      </c>
      <c r="D566" t="str">
        <f>ADDRESS(B566, 2,4  )</f>
        <v>B66</v>
      </c>
      <c r="E566">
        <f t="shared" ca="1" si="196"/>
        <v>0</v>
      </c>
      <c r="F566" t="str">
        <f ca="1">CONCATENATE("Enter a value for '", C566, "' in cell ", D566, ".", CHAR(10))</f>
        <v xml:space="preserve">Enter a value for 'Bond Issue 30-day lag reserve' in cell B66.
</v>
      </c>
      <c r="G566" s="9" t="str">
        <f t="shared" ca="1" si="195"/>
        <v xml:space="preserve">The total of development budget in column B must be greater than zero.
</v>
      </c>
    </row>
    <row r="567" spans="1:7" ht="15" customHeight="1">
      <c r="A567" t="str">
        <f ca="1">IF(AND(OR(Calculations!$B$3:$B$4), E567=""), F567, "")</f>
        <v/>
      </c>
      <c r="B567" t="s">
        <v>476</v>
      </c>
      <c r="C567" t="str">
        <f ca="1">INDIRECT($F$291 &amp; ADDRESS(B566, 1,4  ))</f>
        <v>Bond Issue 30-day lag reserve</v>
      </c>
      <c r="D567" t="str">
        <f>ADDRESS(B566, 5,4  )</f>
        <v>E66</v>
      </c>
      <c r="E567">
        <f t="shared" ca="1" si="196"/>
        <v>0</v>
      </c>
      <c r="F567" t="str">
        <f ca="1">CONCATENATE("Enter an 'Amount Last Provided to CHFA' value for '", C567, "' in cell ", D567, ".", CHAR(10))</f>
        <v xml:space="preserve">Enter an 'Amount Last Provided to CHFA' value for 'Bond Issue 30-day lag reserve' in cell E66.
</v>
      </c>
      <c r="G567" s="9" t="str">
        <f t="shared" ca="1" si="195"/>
        <v xml:space="preserve">The total of development budget in column B must be greater than zero.
</v>
      </c>
    </row>
    <row r="568" spans="1:7" ht="15" customHeight="1">
      <c r="A568" t="str">
        <f ca="1">IF(E568="", F568, "")</f>
        <v/>
      </c>
      <c r="B568" s="52">
        <f>B566+1</f>
        <v>67</v>
      </c>
      <c r="C568" t="str">
        <f ca="1">INDIRECT($F$291 &amp; ADDRESS(B568, 1,4  ))</f>
        <v>Bond Cost of Issuance</v>
      </c>
      <c r="D568" t="str">
        <f>ADDRESS(B568, 2,4  )</f>
        <v>B67</v>
      </c>
      <c r="E568">
        <f t="shared" ca="1" si="196"/>
        <v>0</v>
      </c>
      <c r="F568" t="str">
        <f ca="1">CONCATENATE("Enter a value for '", C568, "' in cell ", D568, ".", CHAR(10))</f>
        <v xml:space="preserve">Enter a value for 'Bond Cost of Issuance' in cell B67.
</v>
      </c>
      <c r="G568" s="9" t="str">
        <f t="shared" ca="1" si="195"/>
        <v xml:space="preserve">The total of development budget in column B must be greater than zero.
</v>
      </c>
    </row>
    <row r="569" spans="1:7" ht="15" customHeight="1">
      <c r="A569" t="str">
        <f ca="1">IF(AND(OR(Calculations!$B$3:$B$4), E569=""), F569, "")</f>
        <v/>
      </c>
      <c r="B569" t="s">
        <v>476</v>
      </c>
      <c r="C569" t="str">
        <f ca="1">INDIRECT($F$291 &amp; ADDRESS(B568, 1,4  ))</f>
        <v>Bond Cost of Issuance</v>
      </c>
      <c r="D569" t="str">
        <f>ADDRESS(B568, 5,4  )</f>
        <v>E67</v>
      </c>
      <c r="E569">
        <f t="shared" ca="1" si="196"/>
        <v>0</v>
      </c>
      <c r="F569" t="str">
        <f ca="1">CONCATENATE("Enter an 'Amount Last Provided to CHFA' value for '", C569, "' in cell ", D569, ".", CHAR(10))</f>
        <v xml:space="preserve">Enter an 'Amount Last Provided to CHFA' value for 'Bond Cost of Issuance' in cell E67.
</v>
      </c>
      <c r="G569" s="9" t="str">
        <f t="shared" ca="1" si="195"/>
        <v xml:space="preserve">The total of development budget in column B must be greater than zero.
</v>
      </c>
    </row>
    <row r="570" spans="1:7" ht="15" customHeight="1">
      <c r="A570" t="str">
        <f ca="1">IF(E570="", F570, "")</f>
        <v/>
      </c>
      <c r="B570" s="52">
        <f>B568+1</f>
        <v>68</v>
      </c>
      <c r="C570" t="str">
        <f ca="1">INDIRECT($F$291 &amp; ADDRESS(B570, 1,4  ))</f>
        <v>Discount Points</v>
      </c>
      <c r="D570" t="str">
        <f>ADDRESS(B570, 2,4  )</f>
        <v>B68</v>
      </c>
      <c r="E570">
        <f t="shared" ca="1" si="196"/>
        <v>0</v>
      </c>
      <c r="F570" t="str">
        <f ca="1">CONCATENATE("Enter a value for '", C570, "' in cell ", D570, ".", CHAR(10))</f>
        <v xml:space="preserve">Enter a value for 'Discount Points' in cell B68.
</v>
      </c>
      <c r="G570" s="9" t="str">
        <f t="shared" ca="1" si="195"/>
        <v xml:space="preserve">The total of development budget in column B must be greater than zero.
</v>
      </c>
    </row>
    <row r="571" spans="1:7" ht="15" customHeight="1">
      <c r="A571" t="str">
        <f ca="1">IF(AND(OR(Calculations!$B$3:$B$4), E571=""), F571, "")</f>
        <v/>
      </c>
      <c r="B571" t="s">
        <v>476</v>
      </c>
      <c r="C571" t="str">
        <f ca="1">INDIRECT($F$291 &amp; ADDRESS(B570, 1,4  ))</f>
        <v>Discount Points</v>
      </c>
      <c r="D571" t="str">
        <f>ADDRESS(B570, 5,4  )</f>
        <v>E68</v>
      </c>
      <c r="E571">
        <f t="shared" ca="1" si="196"/>
        <v>0</v>
      </c>
      <c r="F571" t="str">
        <f ca="1">CONCATENATE("Enter an 'Amount Last Provided to CHFA' value for '", C571, "' in cell ", D571, ".", CHAR(10))</f>
        <v xml:space="preserve">Enter an 'Amount Last Provided to CHFA' value for 'Discount Points' in cell E68.
</v>
      </c>
      <c r="G571" s="9" t="str">
        <f t="shared" ca="1" si="195"/>
        <v xml:space="preserve">The total of development budget in column B must be greater than zero.
</v>
      </c>
    </row>
    <row r="572" spans="1:7" ht="15" customHeight="1">
      <c r="A572" t="str">
        <f ca="1">IF(AND(Calculations!$B$3, E572=""), F572, "")</f>
        <v/>
      </c>
      <c r="B572" t="s">
        <v>476</v>
      </c>
      <c r="C572" t="str">
        <f ca="1">INDIRECT($F$291 &amp; ADDRESS(B570, 1,4  ))</f>
        <v>Discount Points</v>
      </c>
      <c r="D572" t="str">
        <f>ADDRESS(B570, 6,4  )</f>
        <v>F68</v>
      </c>
      <c r="E572" t="str">
        <f t="shared" ca="1" si="196"/>
        <v/>
      </c>
      <c r="F572" t="str">
        <f ca="1">CONCATENATE("Enter a '10% Carryover Actual Incurred Costs' value for '", C572, "' in cell ", D572, ".", CHAR(10))</f>
        <v xml:space="preserve">Enter a '10% Carryover Actual Incurred Costs' value for 'Discount Points' in cell F68.
</v>
      </c>
      <c r="G572" s="9" t="str">
        <f t="shared" ca="1" si="195"/>
        <v xml:space="preserve">The total of development budget in column B must be greater than zero.
</v>
      </c>
    </row>
    <row r="573" spans="1:7" ht="15" customHeight="1">
      <c r="A573" t="str">
        <f ca="1">IF(E573="", F573, "")</f>
        <v/>
      </c>
      <c r="B573" s="52">
        <f>B570+1</f>
        <v>69</v>
      </c>
      <c r="C573" t="str">
        <f ca="1">INDIRECT($F$291 &amp; ADDRESS(B573, 1,4  ))</f>
        <v>Perm Loan Origination</v>
      </c>
      <c r="D573" t="str">
        <f>ADDRESS(B573, 2,4  )</f>
        <v>B69</v>
      </c>
      <c r="E573">
        <f t="shared" ca="1" si="196"/>
        <v>0</v>
      </c>
      <c r="F573" t="str">
        <f ca="1">CONCATENATE("Enter a value for '", C573, "' in cell ", D573, ".", CHAR(10))</f>
        <v xml:space="preserve">Enter a value for 'Perm Loan Origination' in cell B69.
</v>
      </c>
      <c r="G573" s="9" t="str">
        <f t="shared" ca="1" si="195"/>
        <v xml:space="preserve">The total of development budget in column B must be greater than zero.
</v>
      </c>
    </row>
    <row r="574" spans="1:7" ht="15" customHeight="1">
      <c r="A574" t="str">
        <f ca="1">IF(AND(Calculations!$B$5, E574=""), F574, "")</f>
        <v/>
      </c>
      <c r="B574" t="s">
        <v>476</v>
      </c>
      <c r="C574" t="str">
        <f ca="1">INDIRECT($F$291 &amp; ADDRESS(B573, 1,4  ))</f>
        <v>Perm Loan Origination</v>
      </c>
      <c r="D574" t="str">
        <f>ADDRESS(B573, 5,4  )</f>
        <v>E69</v>
      </c>
      <c r="E574">
        <f t="shared" ca="1" si="196"/>
        <v>0</v>
      </c>
      <c r="F574" t="str">
        <f ca="1">CONCATENATE("Enter an '4% LIHTC Basis Calculation' value for '", C574, "' in cell ", D574, ".", CHAR(10))</f>
        <v xml:space="preserve">Enter an '4% LIHTC Basis Calculation' value for 'Perm Loan Origination' in cell E69.
</v>
      </c>
      <c r="G574" s="9" t="str">
        <f t="shared" ca="1" si="195"/>
        <v xml:space="preserve">The total of development budget in column B must be greater than zero.
</v>
      </c>
    </row>
    <row r="575" spans="1:7" ht="15" customHeight="1">
      <c r="A575" t="str">
        <f ca="1">IF(E575="", F575, "")</f>
        <v/>
      </c>
      <c r="B575" s="52">
        <f>B573+1</f>
        <v>70</v>
      </c>
      <c r="C575" t="str">
        <f ca="1">INDIRECT($F$291 &amp; ADDRESS(B575, 1,4  ))</f>
        <v>Credit Enhancement</v>
      </c>
      <c r="D575" t="str">
        <f>ADDRESS(B575, 2,4  )</f>
        <v>B70</v>
      </c>
      <c r="E575">
        <f t="shared" ca="1" si="196"/>
        <v>0</v>
      </c>
      <c r="F575" t="str">
        <f ca="1">CONCATENATE("Enter a value for '", C575, "' in cell ", D575, ".", CHAR(10))</f>
        <v xml:space="preserve">Enter a value for 'Credit Enhancement' in cell B70.
</v>
      </c>
      <c r="G575" s="9" t="str">
        <f t="shared" ca="1" si="195"/>
        <v xml:space="preserve">The total of development budget in column B must be greater than zero.
</v>
      </c>
    </row>
    <row r="576" spans="1:7" ht="15" customHeight="1">
      <c r="A576" t="str">
        <f ca="1">IF(AND(OR(Calculations!$B$3:$B$4), E576=""), F576, "")</f>
        <v/>
      </c>
      <c r="B576" t="s">
        <v>476</v>
      </c>
      <c r="C576" t="str">
        <f ca="1">INDIRECT($F$291 &amp; ADDRESS(B575, 1,4  ))</f>
        <v>Credit Enhancement</v>
      </c>
      <c r="D576" t="str">
        <f>ADDRESS(B575, 5,4  )</f>
        <v>E70</v>
      </c>
      <c r="E576">
        <f t="shared" ca="1" si="196"/>
        <v>0</v>
      </c>
      <c r="F576" t="str">
        <f ca="1">CONCATENATE("Enter an 'Amount Last Provided to CHFA' value for '", C576, "' in cell ", D576, ".", CHAR(10))</f>
        <v xml:space="preserve">Enter an 'Amount Last Provided to CHFA' value for 'Credit Enhancement' in cell E70.
</v>
      </c>
      <c r="G576" s="9" t="str">
        <f t="shared" ca="1" si="195"/>
        <v xml:space="preserve">The total of development budget in column B must be greater than zero.
</v>
      </c>
    </row>
    <row r="577" spans="1:7" ht="15" customHeight="1">
      <c r="A577" t="str">
        <f ca="1">IF(E577="", F577, "")</f>
        <v/>
      </c>
      <c r="B577" s="52">
        <f>B575+1</f>
        <v>71</v>
      </c>
      <c r="C577" t="str">
        <f ca="1">INDIRECT($F$291 &amp; ADDRESS(B577, 1,4  ))</f>
        <v>Title &amp; Recording</v>
      </c>
      <c r="D577" t="str">
        <f>ADDRESS(B577, 2,4  )</f>
        <v>B71</v>
      </c>
      <c r="E577">
        <f t="shared" ca="1" si="196"/>
        <v>0</v>
      </c>
      <c r="F577" t="str">
        <f ca="1">CONCATENATE("Enter a value for '", C577, "' in cell ", D577, ".", CHAR(10))</f>
        <v xml:space="preserve">Enter a value for 'Title &amp; Recording' in cell B71.
</v>
      </c>
      <c r="G577" s="9" t="str">
        <f t="shared" ca="1" si="195"/>
        <v xml:space="preserve">The total of development budget in column B must be greater than zero.
</v>
      </c>
    </row>
    <row r="578" spans="1:7" ht="15" customHeight="1">
      <c r="A578" t="str">
        <f ca="1">IF(AND(OR(Calculations!$B$3:$B$4), E578=""), F578, "")</f>
        <v/>
      </c>
      <c r="B578" t="s">
        <v>476</v>
      </c>
      <c r="C578" t="str">
        <f ca="1">INDIRECT($F$291 &amp; ADDRESS(B577, 1,4  ))</f>
        <v>Title &amp; Recording</v>
      </c>
      <c r="D578" t="str">
        <f>ADDRESS(B577, 5,4  )</f>
        <v>E71</v>
      </c>
      <c r="E578">
        <f t="shared" ca="1" si="196"/>
        <v>0</v>
      </c>
      <c r="F578" t="str">
        <f ca="1">CONCATENATE("Enter an 'Amount Last Provided to CHFA' value for '", C578, "' in cell ", D578, ".", CHAR(10))</f>
        <v xml:space="preserve">Enter an 'Amount Last Provided to CHFA' value for 'Title &amp; Recording' in cell E71.
</v>
      </c>
      <c r="G578" s="9" t="str">
        <f t="shared" ca="1" si="195"/>
        <v xml:space="preserve">The total of development budget in column B must be greater than zero.
</v>
      </c>
    </row>
    <row r="579" spans="1:7" ht="15" customHeight="1">
      <c r="A579" t="str">
        <f ca="1">IF(E579="", F579, "")</f>
        <v/>
      </c>
      <c r="B579" s="52">
        <f>B577+1</f>
        <v>72</v>
      </c>
      <c r="C579" t="str">
        <f ca="1">INDIRECT($F$291 &amp; ADDRESS(B579, 1,4  ))</f>
        <v>Legal Fees</v>
      </c>
      <c r="D579" t="str">
        <f>ADDRESS(B579, 2,4  )</f>
        <v>B72</v>
      </c>
      <c r="E579">
        <f t="shared" ca="1" si="196"/>
        <v>0</v>
      </c>
      <c r="F579" t="str">
        <f ca="1">CONCATENATE("Enter a value for '", C579, "' in cell ", D579, ".", CHAR(10))</f>
        <v xml:space="preserve">Enter a value for 'Legal Fees' in cell B72.
</v>
      </c>
      <c r="G579" s="9" t="str">
        <f t="shared" ca="1" si="195"/>
        <v xml:space="preserve">The total of development budget in column B must be greater than zero.
</v>
      </c>
    </row>
    <row r="580" spans="1:7" ht="15" customHeight="1">
      <c r="A580" t="str">
        <f ca="1">IF(AND(OR(Calculations!$B$3:$B$4), E580=""), F580, "")</f>
        <v/>
      </c>
      <c r="B580" t="s">
        <v>476</v>
      </c>
      <c r="C580" t="str">
        <f ca="1">INDIRECT($F$291 &amp; ADDRESS(B579, 1,4  ))</f>
        <v>Legal Fees</v>
      </c>
      <c r="D580" t="str">
        <f>ADDRESS(B579, 5,4  )</f>
        <v>E72</v>
      </c>
      <c r="E580">
        <f t="shared" ca="1" si="196"/>
        <v>0</v>
      </c>
      <c r="F580" t="str">
        <f ca="1">CONCATENATE("Enter an 'Amount Last Provided to CHFA' value for '", C580, "' in cell ", D580, ".", CHAR(10))</f>
        <v xml:space="preserve">Enter an 'Amount Last Provided to CHFA' value for 'Legal Fees' in cell E72.
</v>
      </c>
      <c r="G580" s="9" t="str">
        <f t="shared" ca="1" si="195"/>
        <v xml:space="preserve">The total of development budget in column B must be greater than zero.
</v>
      </c>
    </row>
    <row r="581" spans="1:7" ht="15" customHeight="1">
      <c r="A581" t="str">
        <f ca="1">IF(E581="", F581, "")</f>
        <v/>
      </c>
      <c r="B581" s="52">
        <f>B579+1</f>
        <v>73</v>
      </c>
      <c r="C581" t="str">
        <f ca="1">INDIRECT($F$291 &amp; ADDRESS(B581, 1,4  ))</f>
        <v>Prepaid MIP</v>
      </c>
      <c r="D581" t="str">
        <f>ADDRESS(B581, 2,4  )</f>
        <v>B73</v>
      </c>
      <c r="E581">
        <f t="shared" ca="1" si="196"/>
        <v>0</v>
      </c>
      <c r="F581" t="str">
        <f ca="1">CONCATENATE("Enter a value for '", C581, "' in cell ", D581, ".", CHAR(10))</f>
        <v xml:space="preserve">Enter a value for 'Prepaid MIP' in cell B73.
</v>
      </c>
      <c r="G581" s="9" t="str">
        <f t="shared" ca="1" si="195"/>
        <v xml:space="preserve">The total of development budget in column B must be greater than zero.
</v>
      </c>
    </row>
    <row r="582" spans="1:7" ht="15" customHeight="1">
      <c r="A582" t="str">
        <f ca="1">IF(AND(OR(Calculations!$B$3:$B$4), E582=""), F582, "")</f>
        <v/>
      </c>
      <c r="B582" t="s">
        <v>476</v>
      </c>
      <c r="C582" t="str">
        <f ca="1">INDIRECT($F$291 &amp; ADDRESS(B581, 1,4  ))</f>
        <v>Prepaid MIP</v>
      </c>
      <c r="D582" t="str">
        <f>ADDRESS(B581, 5,4  )</f>
        <v>E73</v>
      </c>
      <c r="E582">
        <f t="shared" ca="1" si="196"/>
        <v>0</v>
      </c>
      <c r="F582" t="str">
        <f ca="1">CONCATENATE("Enter an 'Amount Last Provided to CHFA' value for '", C582, "' in cell ", D582, ".", CHAR(10))</f>
        <v xml:space="preserve">Enter an 'Amount Last Provided to CHFA' value for 'Prepaid MIP' in cell E73.
</v>
      </c>
      <c r="G582" s="9" t="str">
        <f t="shared" ca="1" si="195"/>
        <v xml:space="preserve">The total of development budget in column B must be greater than zero.
</v>
      </c>
    </row>
    <row r="583" spans="1:7" ht="15" customHeight="1">
      <c r="A583" t="str">
        <f ca="1">IF(E583="", F583, "")</f>
        <v/>
      </c>
      <c r="B583" s="52">
        <f>B581+1</f>
        <v>74</v>
      </c>
      <c r="C583" t="str">
        <f ca="1">INDIRECT($F$291 &amp; ADDRESS(B583, 1,4  ))</f>
        <v>Forward Rate Lock</v>
      </c>
      <c r="D583" t="str">
        <f>ADDRESS(B583, 2,4  )</f>
        <v>B74</v>
      </c>
      <c r="E583">
        <f t="shared" ca="1" si="196"/>
        <v>0</v>
      </c>
      <c r="F583" t="str">
        <f ca="1">CONCATENATE("Enter a value for '", C583, "' in cell ", D583, ".", CHAR(10))</f>
        <v xml:space="preserve">Enter a value for 'Forward Rate Lock' in cell B74.
</v>
      </c>
      <c r="G583" s="9" t="str">
        <f t="shared" ca="1" si="195"/>
        <v xml:space="preserve">The total of development budget in column B must be greater than zero.
</v>
      </c>
    </row>
    <row r="584" spans="1:7" ht="15" customHeight="1">
      <c r="A584" t="str">
        <f ca="1">IF(AND(OR(Calculations!$B$3:$B$4), E584=""), F584, "")</f>
        <v/>
      </c>
      <c r="B584" t="s">
        <v>476</v>
      </c>
      <c r="C584" t="str">
        <f ca="1">INDIRECT($F$291 &amp; ADDRESS(B583, 1,4  ))</f>
        <v>Forward Rate Lock</v>
      </c>
      <c r="D584" t="str">
        <f>ADDRESS(B583, 5,4  )</f>
        <v>E74</v>
      </c>
      <c r="E584">
        <f t="shared" ca="1" si="196"/>
        <v>0</v>
      </c>
      <c r="F584" t="str">
        <f ca="1">CONCATENATE("Enter an 'Amount Last Provided to CHFA' value for '", C584, "' in cell ", D584, ".", CHAR(10))</f>
        <v xml:space="preserve">Enter an 'Amount Last Provided to CHFA' value for 'Forward Rate Lock' in cell E74.
</v>
      </c>
      <c r="G584" s="9" t="str">
        <f t="shared" ca="1" si="195"/>
        <v xml:space="preserve">The total of development budget in column B must be greater than zero.
</v>
      </c>
    </row>
    <row r="585" spans="1:7" ht="15" customHeight="1">
      <c r="A585" t="str">
        <f ca="1">IF(E585="", F585, "")</f>
        <v/>
      </c>
      <c r="B585" s="52">
        <f>B583+1</f>
        <v>75</v>
      </c>
      <c r="C585" t="str">
        <f ca="1">INDIRECT($F$291 &amp; ADDRESS(B585, 1,4  ))</f>
        <v>Conversion Fee</v>
      </c>
      <c r="D585" t="str">
        <f>ADDRESS(B585, 2,4  )</f>
        <v>B75</v>
      </c>
      <c r="E585">
        <f t="shared" ca="1" si="196"/>
        <v>0</v>
      </c>
      <c r="F585" t="str">
        <f ca="1">CONCATENATE("Enter a value for '", C585, "' in cell ", D585, ".", CHAR(10))</f>
        <v xml:space="preserve">Enter a value for 'Conversion Fee' in cell B75.
</v>
      </c>
      <c r="G585" s="9" t="str">
        <f t="shared" ca="1" si="195"/>
        <v xml:space="preserve">The total of development budget in column B must be greater than zero.
</v>
      </c>
    </row>
    <row r="586" spans="1:7" ht="15" customHeight="1">
      <c r="A586" t="str">
        <f ca="1">IF(AND(OR(Calculations!$B$3:$B$4), E586=""), F586, "")</f>
        <v/>
      </c>
      <c r="B586" t="s">
        <v>476</v>
      </c>
      <c r="C586" t="str">
        <f ca="1">INDIRECT($F$291 &amp; ADDRESS(B585, 1,4  ))</f>
        <v>Conversion Fee</v>
      </c>
      <c r="D586" t="str">
        <f>ADDRESS(B585, 5,4  )</f>
        <v>E75</v>
      </c>
      <c r="E586">
        <f t="shared" ca="1" si="196"/>
        <v>0</v>
      </c>
      <c r="F586" t="str">
        <f ca="1">CONCATENATE("Enter an 'Amount Last Provided to CHFA' value for '", C586, "' in cell ", D586, ".", CHAR(10))</f>
        <v xml:space="preserve">Enter an 'Amount Last Provided to CHFA' value for 'Conversion Fee' in cell E75.
</v>
      </c>
      <c r="G586" s="9" t="str">
        <f t="shared" ca="1" si="195"/>
        <v xml:space="preserve">The total of development budget in column B must be greater than zero.
</v>
      </c>
    </row>
    <row r="587" spans="1:7" ht="15" customHeight="1">
      <c r="A587" t="str">
        <f ca="1">IF(E587="", F587, "")</f>
        <v/>
      </c>
      <c r="B587" s="52">
        <f>B585+1</f>
        <v>76</v>
      </c>
      <c r="C587" t="str">
        <f ca="1">INDIRECT($F$291 &amp; ADDRESS(B587, 1,4  ))</f>
        <v>Other (Specify)</v>
      </c>
      <c r="D587" t="str">
        <f>ADDRESS(B587, 2,4  )</f>
        <v>B76</v>
      </c>
      <c r="E587">
        <f t="shared" ca="1" si="196"/>
        <v>0</v>
      </c>
      <c r="F587" t="str">
        <f ca="1">CONCATENATE("Enter a value for '", C587, "' in cell ", D587, ".", CHAR(10))</f>
        <v xml:space="preserve">Enter a value for 'Other (Specify)' in cell B76.
</v>
      </c>
      <c r="G587" s="9" t="str">
        <f t="shared" ca="1" si="195"/>
        <v xml:space="preserve">The total of development budget in column B must be greater than zero.
</v>
      </c>
    </row>
    <row r="588" spans="1:7" ht="15" customHeight="1">
      <c r="A588" t="str">
        <f ca="1">IF(AND(OR(Calculations!$B$3:$B$4), E588=""), F588, "")</f>
        <v/>
      </c>
      <c r="B588" t="s">
        <v>476</v>
      </c>
      <c r="C588" t="str">
        <f ca="1">INDIRECT($F$291 &amp; ADDRESS(B587, 1,4  ))</f>
        <v>Other (Specify)</v>
      </c>
      <c r="D588" t="str">
        <f>ADDRESS(B587, 5,4  )</f>
        <v>E76</v>
      </c>
      <c r="E588">
        <f t="shared" ca="1" si="196"/>
        <v>0</v>
      </c>
      <c r="F588" t="str">
        <f ca="1">CONCATENATE("Enter an 'Amount Last Provided to CHFA' value for '", C588, "' in cell ", D588, ".", CHAR(10))</f>
        <v xml:space="preserve">Enter an 'Amount Last Provided to CHFA' value for 'Other (Specify)' in cell E76.
</v>
      </c>
      <c r="G588" s="9" t="str">
        <f t="shared" ca="1" si="195"/>
        <v xml:space="preserve">The total of development budget in column B must be greater than zero.
</v>
      </c>
    </row>
    <row r="589" spans="1:7" ht="15" customHeight="1">
      <c r="A589" t="str">
        <f ca="1">IF(AND(E589, SUM(E587:E588) &gt; 0), F589, "")</f>
        <v/>
      </c>
      <c r="C589" t="str">
        <f ca="1">INDIRECT($F$291 &amp; ADDRESS(B587, 1,4  ))</f>
        <v>Other (Specify)</v>
      </c>
      <c r="D589" t="str">
        <f>ADDRESS(B587, 1,4  )</f>
        <v>A76</v>
      </c>
      <c r="E589" t="b">
        <f ca="1">INDIRECT($F$291 &amp; D589)="Other (specify)"</f>
        <v>1</v>
      </c>
      <c r="F589" t="str">
        <f ca="1">CONCATENATE("Please specify value for '", C589, "' in cell ", D589, ".", CHAR(10))</f>
        <v xml:space="preserve">Please specify value for 'Other (Specify)' in cell A76.
</v>
      </c>
      <c r="G589" s="9" t="str">
        <f t="shared" ca="1" si="195"/>
        <v xml:space="preserve">The total of development budget in column B must be greater than zero.
</v>
      </c>
    </row>
    <row r="590" spans="1:7" ht="15" customHeight="1">
      <c r="A590" t="str">
        <f ca="1">IF(E590="", F590, "")</f>
        <v/>
      </c>
      <c r="B590" s="52">
        <f>B587+1</f>
        <v>77</v>
      </c>
      <c r="C590" t="str">
        <f ca="1">INDIRECT($F$291 &amp; ADDRESS(B590, 1,4  ))</f>
        <v>Other (Specify)</v>
      </c>
      <c r="D590" t="str">
        <f>ADDRESS(B590, 2,4  )</f>
        <v>B77</v>
      </c>
      <c r="E590">
        <f ca="1">IF(ISBLANK( INDIRECT($F$291 &amp; D590)),"", INDIRECT($F$291 &amp; D590))</f>
        <v>0</v>
      </c>
      <c r="F590" t="str">
        <f ca="1">CONCATENATE("Enter a value for '", C590, "' in cell ", D590, ".", CHAR(10))</f>
        <v xml:space="preserve">Enter a value for 'Other (Specify)' in cell B77.
</v>
      </c>
      <c r="G590" s="9" t="str">
        <f t="shared" ca="1" si="195"/>
        <v xml:space="preserve">The total of development budget in column B must be greater than zero.
</v>
      </c>
    </row>
    <row r="591" spans="1:7" ht="15" customHeight="1">
      <c r="A591" t="str">
        <f ca="1">IF(AND(OR(Calculations!$B$3:$B$4), E591=""), F591, "")</f>
        <v/>
      </c>
      <c r="B591" t="s">
        <v>476</v>
      </c>
      <c r="C591" t="str">
        <f ca="1">INDIRECT($F$291 &amp; ADDRESS(B590, 1,4  ))</f>
        <v>Other (Specify)</v>
      </c>
      <c r="D591" t="str">
        <f>ADDRESS(B590, 5,4  )</f>
        <v>E77</v>
      </c>
      <c r="E591">
        <f ca="1">IF(ISBLANK( INDIRECT($F$291 &amp; D591)),"", INDIRECT($F$291 &amp; D591))</f>
        <v>0</v>
      </c>
      <c r="F591" t="str">
        <f ca="1">CONCATENATE("Enter an 'Amount Last Provided to CHFA' value for '", C591, "' in cell ", D591, ".", CHAR(10))</f>
        <v xml:space="preserve">Enter an 'Amount Last Provided to CHFA' value for 'Other (Specify)' in cell E77.
</v>
      </c>
      <c r="G591" s="9" t="str">
        <f t="shared" ca="1" si="195"/>
        <v xml:space="preserve">The total of development budget in column B must be greater than zero.
</v>
      </c>
    </row>
    <row r="592" spans="1:7" ht="15" customHeight="1">
      <c r="A592" t="str">
        <f ca="1">IF(AND(E592, SUM(E590:E591) &gt; 0), F592, "")</f>
        <v/>
      </c>
      <c r="C592" t="str">
        <f ca="1">INDIRECT($F$291 &amp; ADDRESS(B590, 1,4  ))</f>
        <v>Other (Specify)</v>
      </c>
      <c r="D592" t="str">
        <f>ADDRESS(B590, 1,4  )</f>
        <v>A77</v>
      </c>
      <c r="E592" t="b">
        <f ca="1">INDIRECT($F$291 &amp; D592)="Other (specify)"</f>
        <v>1</v>
      </c>
      <c r="F592" t="str">
        <f ca="1">CONCATENATE("Please specify value for '", C592, "' in cell ", D592, ".", CHAR(10))</f>
        <v xml:space="preserve">Please specify value for 'Other (Specify)' in cell A77.
</v>
      </c>
      <c r="G592" s="9" t="str">
        <f t="shared" ca="1" si="195"/>
        <v xml:space="preserve">The total of development budget in column B must be greater than zero.
</v>
      </c>
    </row>
    <row r="593" spans="1:7" ht="15" customHeight="1">
      <c r="A593" t="str">
        <f ca="1">IF(E593="", F593, "")</f>
        <v/>
      </c>
      <c r="B593" s="52">
        <f>B590+1</f>
        <v>78</v>
      </c>
      <c r="C593" t="str">
        <f ca="1">INDIRECT($F$291 &amp; ADDRESS(B593, 1,4  ))</f>
        <v>Other (Specify)</v>
      </c>
      <c r="D593" t="str">
        <f>ADDRESS(B593, 2,4  )</f>
        <v>B78</v>
      </c>
      <c r="E593">
        <f ca="1">IF(ISBLANK( INDIRECT($F$291 &amp; D593)),"", INDIRECT($F$291 &amp; D593))</f>
        <v>0</v>
      </c>
      <c r="F593" t="str">
        <f ca="1">CONCATENATE("Enter a value for '", C593, "' in cell ", D593, ".", CHAR(10))</f>
        <v xml:space="preserve">Enter a value for 'Other (Specify)' in cell B78.
</v>
      </c>
      <c r="G593" s="9" t="str">
        <f t="shared" ca="1" si="195"/>
        <v xml:space="preserve">The total of development budget in column B must be greater than zero.
</v>
      </c>
    </row>
    <row r="594" spans="1:7" ht="15" customHeight="1">
      <c r="A594" t="str">
        <f ca="1">IF(AND(OR(Calculations!$B$3:$B$4), E594=""), F594, "")</f>
        <v/>
      </c>
      <c r="B594" t="s">
        <v>476</v>
      </c>
      <c r="C594" t="str">
        <f ca="1">INDIRECT($F$291 &amp; ADDRESS(B593, 1,4  ))</f>
        <v>Other (Specify)</v>
      </c>
      <c r="D594" t="str">
        <f>ADDRESS(B593, 5,4  )</f>
        <v>E78</v>
      </c>
      <c r="E594">
        <f ca="1">IF(ISBLANK( INDIRECT($F$291 &amp; D594)),"", INDIRECT($F$291 &amp; D594))</f>
        <v>0</v>
      </c>
      <c r="F594" t="str">
        <f ca="1">CONCATENATE("Enter an 'Amount Last Provided to CHFA' value for '", C594, "' in cell ", D594, ".", CHAR(10))</f>
        <v xml:space="preserve">Enter an 'Amount Last Provided to CHFA' value for 'Other (Specify)' in cell E78.
</v>
      </c>
      <c r="G594" s="9" t="str">
        <f t="shared" ca="1" si="195"/>
        <v xml:space="preserve">The total of development budget in column B must be greater than zero.
</v>
      </c>
    </row>
    <row r="595" spans="1:7" ht="15" customHeight="1">
      <c r="A595" t="str">
        <f ca="1">IF(AND(E595, SUM(E593:E594) &gt; 0), F595, "")</f>
        <v/>
      </c>
      <c r="C595" t="str">
        <f ca="1">INDIRECT($F$291 &amp; ADDRESS(B593, 1,4  ))</f>
        <v>Other (Specify)</v>
      </c>
      <c r="D595" t="str">
        <f>ADDRESS(B593, 1,4  )</f>
        <v>A78</v>
      </c>
      <c r="E595" t="b">
        <f ca="1">INDIRECT($F$291 &amp; D595)="Other (specify)"</f>
        <v>1</v>
      </c>
      <c r="F595" t="str">
        <f ca="1">CONCATENATE("Please specify value for '", C595, "' in cell ", D595, ".", CHAR(10))</f>
        <v xml:space="preserve">Please specify value for 'Other (Specify)' in cell A78.
</v>
      </c>
      <c r="G595" s="9" t="str">
        <f t="shared" ca="1" si="195"/>
        <v xml:space="preserve">The total of development budget in column B must be greater than zero.
</v>
      </c>
    </row>
    <row r="596" spans="1:7" ht="15" customHeight="1">
      <c r="A596" t="str">
        <f ca="1">IF(E596="", F596, "")</f>
        <v/>
      </c>
      <c r="B596">
        <f>ROW('Development Budget'!A81)</f>
        <v>81</v>
      </c>
      <c r="C596" t="str">
        <f ca="1">INDIRECT($F$291 &amp; ADDRESS(B596, 1,4  ))</f>
        <v>Marketing/Leasing Costs</v>
      </c>
      <c r="D596" t="str">
        <f>ADDRESS(B596, 2,4  )</f>
        <v>B81</v>
      </c>
      <c r="E596">
        <f t="shared" ref="E596:E627" ca="1" si="197">IF(ISBLANK( INDIRECT($F$291 &amp; D596)),"", INDIRECT($F$291 &amp; D596))</f>
        <v>0</v>
      </c>
      <c r="F596" t="str">
        <f ca="1">CONCATENATE("Enter a value for '", C596, "' in cell ", D596, ".", CHAR(10))</f>
        <v xml:space="preserve">Enter a value for 'Marketing/Leasing Costs' in cell B81.
</v>
      </c>
      <c r="G596" s="9" t="str">
        <f t="shared" ca="1" si="195"/>
        <v xml:space="preserve">The total of development budget in column B must be greater than zero.
</v>
      </c>
    </row>
    <row r="597" spans="1:7" ht="15" customHeight="1">
      <c r="A597" t="str">
        <f ca="1">IF(AND(OR(Calculations!$B$3:$B$4), E597=""), F597, "")</f>
        <v/>
      </c>
      <c r="B597" t="s">
        <v>476</v>
      </c>
      <c r="C597" t="str">
        <f ca="1">INDIRECT($F$291 &amp; ADDRESS(B596, 1,4  ))</f>
        <v>Marketing/Leasing Costs</v>
      </c>
      <c r="D597" t="str">
        <f>ADDRESS(B596, 5,4  )</f>
        <v>E81</v>
      </c>
      <c r="E597">
        <f t="shared" ca="1" si="197"/>
        <v>0</v>
      </c>
      <c r="F597" t="str">
        <f ca="1">CONCATENATE("Enter an 'Amount Last Provided to CHFA' value for '", C597, "' in cell ", D597, ".", CHAR(10))</f>
        <v xml:space="preserve">Enter an 'Amount Last Provided to CHFA' value for 'Marketing/Leasing Costs' in cell E81.
</v>
      </c>
      <c r="G597" s="9" t="str">
        <f t="shared" ca="1" si="195"/>
        <v xml:space="preserve">The total of development budget in column B must be greater than zero.
</v>
      </c>
    </row>
    <row r="598" spans="1:7" ht="15" customHeight="1">
      <c r="A598" t="str">
        <f ca="1">IF(E598="", F598, "")</f>
        <v/>
      </c>
      <c r="B598" s="52">
        <f>B596+1</f>
        <v>82</v>
      </c>
      <c r="C598" t="str">
        <f ca="1">INDIRECT($F$291 &amp; ADDRESS(B598, 1,4  ))</f>
        <v>Cost Estimating/Capital Needs Assessment</v>
      </c>
      <c r="D598" t="str">
        <f>ADDRESS(B598, 2,4  )</f>
        <v>B82</v>
      </c>
      <c r="E598">
        <f t="shared" ca="1" si="197"/>
        <v>0</v>
      </c>
      <c r="F598" t="str">
        <f ca="1">CONCATENATE("Enter a value for '", C598, "' in cell ", D598, ".", CHAR(10))</f>
        <v xml:space="preserve">Enter a value for 'Cost Estimating/Capital Needs Assessment' in cell B82.
</v>
      </c>
      <c r="G598" s="9" t="str">
        <f t="shared" ca="1" si="195"/>
        <v xml:space="preserve">The total of development budget in column B must be greater than zero.
</v>
      </c>
    </row>
    <row r="599" spans="1:7" ht="15" customHeight="1">
      <c r="A599" t="str">
        <f ca="1">IF(AND(Calculations!$B$5, E599=""), F599, "")</f>
        <v/>
      </c>
      <c r="B599" t="s">
        <v>476</v>
      </c>
      <c r="C599" t="str">
        <f ca="1">INDIRECT($F$291 &amp; ADDRESS(B598, 1,4  ))</f>
        <v>Cost Estimating/Capital Needs Assessment</v>
      </c>
      <c r="D599" t="str">
        <f>ADDRESS(B598, 3,4  )</f>
        <v>C82</v>
      </c>
      <c r="E599">
        <f t="shared" ca="1" si="197"/>
        <v>0</v>
      </c>
      <c r="F599" t="str">
        <f ca="1">CONCATENATE("Enter an '4% LIHTC Basis Calculation' value for '", C599, "' in cell ", D599, ".", CHAR(10))</f>
        <v xml:space="preserve">Enter an '4% LIHTC Basis Calculation' value for 'Cost Estimating/Capital Needs Assessment' in cell C82.
</v>
      </c>
      <c r="G599" s="9" t="str">
        <f t="shared" ca="1" si="195"/>
        <v xml:space="preserve">The total of development budget in column B must be greater than zero.
</v>
      </c>
    </row>
    <row r="600" spans="1:7" ht="15" customHeight="1">
      <c r="A600" t="str">
        <f ca="1">IF(AND(Calculations!$B$6, E600=""), F600, "")</f>
        <v/>
      </c>
      <c r="B600" t="s">
        <v>476</v>
      </c>
      <c r="C600" t="str">
        <f ca="1">INDIRECT($F$291 &amp; ADDRESS(B598, 1,4  ))</f>
        <v>Cost Estimating/Capital Needs Assessment</v>
      </c>
      <c r="D600" t="str">
        <f>ADDRESS(B598, 4,4  )</f>
        <v>D82</v>
      </c>
      <c r="E600">
        <f t="shared" ca="1" si="197"/>
        <v>0</v>
      </c>
      <c r="F600" t="str">
        <f ca="1">CONCATENATE("Enter an '9% LIHTC Basis Calculation' value for '", C600, "' in cell ", D600, ".", CHAR(10))</f>
        <v xml:space="preserve">Enter an '9% LIHTC Basis Calculation' value for 'Cost Estimating/Capital Needs Assessment' in cell D82.
</v>
      </c>
      <c r="G600" s="9" t="str">
        <f t="shared" ca="1" si="195"/>
        <v xml:space="preserve">The total of development budget in column B must be greater than zero.
</v>
      </c>
    </row>
    <row r="601" spans="1:7" ht="15" customHeight="1">
      <c r="A601" t="str">
        <f ca="1">IF(AND(OR(Calculations!$B$3:$B$4), E601=""), F601, "")</f>
        <v/>
      </c>
      <c r="B601" t="s">
        <v>476</v>
      </c>
      <c r="C601" t="str">
        <f ca="1">INDIRECT($F$291 &amp; ADDRESS(B598, 1,4  ))</f>
        <v>Cost Estimating/Capital Needs Assessment</v>
      </c>
      <c r="D601" t="str">
        <f>ADDRESS(B598, 5,4  )</f>
        <v>E82</v>
      </c>
      <c r="E601">
        <f t="shared" ca="1" si="197"/>
        <v>0</v>
      </c>
      <c r="F601" t="str">
        <f ca="1">CONCATENATE("Enter an 'Amount Last Provided to CHFA' value for '", C601, "' in cell ", D601, ".", CHAR(10))</f>
        <v xml:space="preserve">Enter an 'Amount Last Provided to CHFA' value for 'Cost Estimating/Capital Needs Assessment' in cell E82.
</v>
      </c>
      <c r="G601" s="9" t="str">
        <f t="shared" ca="1" si="195"/>
        <v xml:space="preserve">The total of development budget in column B must be greater than zero.
</v>
      </c>
    </row>
    <row r="602" spans="1:7" ht="15" customHeight="1">
      <c r="A602" t="str">
        <f ca="1">IF(AND(Calculations!$B$3, E602=""), F602, "")</f>
        <v/>
      </c>
      <c r="B602" t="s">
        <v>476</v>
      </c>
      <c r="C602" t="str">
        <f ca="1">INDIRECT($F$291 &amp; ADDRESS(B598, 1,4  ))</f>
        <v>Cost Estimating/Capital Needs Assessment</v>
      </c>
      <c r="D602" t="str">
        <f>ADDRESS(B598, 6,4  )</f>
        <v>F82</v>
      </c>
      <c r="E602">
        <f t="shared" ca="1" si="197"/>
        <v>0</v>
      </c>
      <c r="F602" t="str">
        <f ca="1">CONCATENATE("Enter a '10% Carryover Actual Incurred Costs' value for '", C602, "' in cell ", D602, ".", CHAR(10))</f>
        <v xml:space="preserve">Enter a '10% Carryover Actual Incurred Costs' value for 'Cost Estimating/Capital Needs Assessment' in cell F82.
</v>
      </c>
      <c r="G602" s="9" t="str">
        <f t="shared" ca="1" si="195"/>
        <v xml:space="preserve">The total of development budget in column B must be greater than zero.
</v>
      </c>
    </row>
    <row r="603" spans="1:7" ht="15" customHeight="1">
      <c r="A603" t="str">
        <f ca="1">IF(E603="", F603, "")</f>
        <v/>
      </c>
      <c r="B603" s="52">
        <f>B598+1</f>
        <v>83</v>
      </c>
      <c r="C603" t="str">
        <f ca="1">INDIRECT($F$291 &amp; ADDRESS(B603, 1,4  ))</f>
        <v>Geotechnical/Soils Study</v>
      </c>
      <c r="D603" t="str">
        <f>ADDRESS(B603, 2,4  )</f>
        <v>B83</v>
      </c>
      <c r="E603">
        <f t="shared" ca="1" si="197"/>
        <v>0</v>
      </c>
      <c r="F603" t="str">
        <f ca="1">CONCATENATE("Enter a value for '", C603, "' in cell ", D603, ".", CHAR(10))</f>
        <v xml:space="preserve">Enter a value for 'Geotechnical/Soils Study' in cell B83.
</v>
      </c>
      <c r="G603" s="9" t="str">
        <f t="shared" ca="1" si="195"/>
        <v xml:space="preserve">The total of development budget in column B must be greater than zero.
</v>
      </c>
    </row>
    <row r="604" spans="1:7" ht="15" customHeight="1">
      <c r="A604" t="str">
        <f ca="1">IF(AND(Calculations!$B$5, E604=""), F604, "")</f>
        <v/>
      </c>
      <c r="B604" t="s">
        <v>476</v>
      </c>
      <c r="C604" t="str">
        <f ca="1">INDIRECT($F$291 &amp; ADDRESS(B603, 1,4  ))</f>
        <v>Geotechnical/Soils Study</v>
      </c>
      <c r="D604" t="str">
        <f>ADDRESS(B603, 3,4  )</f>
        <v>C83</v>
      </c>
      <c r="E604">
        <f t="shared" ca="1" si="197"/>
        <v>0</v>
      </c>
      <c r="F604" t="str">
        <f ca="1">CONCATENATE("Enter an '4% LIHTC Basis Calculation' value for '", C604, "' in cell ", D604, ".", CHAR(10))</f>
        <v xml:space="preserve">Enter an '4% LIHTC Basis Calculation' value for 'Geotechnical/Soils Study' in cell C83.
</v>
      </c>
      <c r="G604" s="9" t="str">
        <f t="shared" ca="1" si="195"/>
        <v xml:space="preserve">The total of development budget in column B must be greater than zero.
</v>
      </c>
    </row>
    <row r="605" spans="1:7" ht="15" customHeight="1">
      <c r="A605" t="str">
        <f ca="1">IF(AND(Calculations!$B$6, E605=""), F605, "")</f>
        <v/>
      </c>
      <c r="B605" t="s">
        <v>476</v>
      </c>
      <c r="C605" t="str">
        <f ca="1">INDIRECT($F$291 &amp; ADDRESS(B603, 1,4  ))</f>
        <v>Geotechnical/Soils Study</v>
      </c>
      <c r="D605" t="str">
        <f>ADDRESS(B603, 4,4  )</f>
        <v>D83</v>
      </c>
      <c r="E605">
        <f t="shared" ca="1" si="197"/>
        <v>0</v>
      </c>
      <c r="F605" t="str">
        <f ca="1">CONCATENATE("Enter an '9% LIHTC Basis Calculation' value for '", C605, "' in cell ", D605, ".", CHAR(10))</f>
        <v xml:space="preserve">Enter an '9% LIHTC Basis Calculation' value for 'Geotechnical/Soils Study' in cell D83.
</v>
      </c>
      <c r="G605" s="9" t="str">
        <f t="shared" ca="1" si="195"/>
        <v xml:space="preserve">The total of development budget in column B must be greater than zero.
</v>
      </c>
    </row>
    <row r="606" spans="1:7" ht="15" customHeight="1">
      <c r="A606" t="str">
        <f ca="1">IF(AND(OR(Calculations!$B$3:$B$4), E606=""), F606, "")</f>
        <v/>
      </c>
      <c r="B606" t="s">
        <v>476</v>
      </c>
      <c r="C606" t="str">
        <f ca="1">INDIRECT($F$291 &amp; ADDRESS(B603, 1,4  ))</f>
        <v>Geotechnical/Soils Study</v>
      </c>
      <c r="D606" t="str">
        <f>ADDRESS(B603, 5,4  )</f>
        <v>E83</v>
      </c>
      <c r="E606">
        <f t="shared" ca="1" si="197"/>
        <v>0</v>
      </c>
      <c r="F606" t="str">
        <f ca="1">CONCATENATE("Enter an 'Amount Last Provided to CHFA' value for '", C606, "' in cell ", D606, ".", CHAR(10))</f>
        <v xml:space="preserve">Enter an 'Amount Last Provided to CHFA' value for 'Geotechnical/Soils Study' in cell E83.
</v>
      </c>
      <c r="G606" s="9" t="str">
        <f t="shared" ca="1" si="195"/>
        <v xml:space="preserve">The total of development budget in column B must be greater than zero.
</v>
      </c>
    </row>
    <row r="607" spans="1:7" ht="15" customHeight="1">
      <c r="A607" t="str">
        <f ca="1">IF(AND(Calculations!$B$3, E607=""), F607, "")</f>
        <v/>
      </c>
      <c r="B607" t="s">
        <v>476</v>
      </c>
      <c r="C607" t="str">
        <f ca="1">INDIRECT($F$291 &amp; ADDRESS(B603, 1,4  ))</f>
        <v>Geotechnical/Soils Study</v>
      </c>
      <c r="D607" t="str">
        <f>ADDRESS(B603, 6,4  )</f>
        <v>F83</v>
      </c>
      <c r="E607">
        <f t="shared" ca="1" si="197"/>
        <v>0</v>
      </c>
      <c r="F607" t="str">
        <f ca="1">CONCATENATE("Enter a '10% Carryover Actual Incurred Costs' value for '", C607, "' in cell ", D607, ".", CHAR(10))</f>
        <v xml:space="preserve">Enter a '10% Carryover Actual Incurred Costs' value for 'Geotechnical/Soils Study' in cell F83.
</v>
      </c>
      <c r="G607" s="9" t="str">
        <f t="shared" ca="1" si="195"/>
        <v xml:space="preserve">The total of development budget in column B must be greater than zero.
</v>
      </c>
    </row>
    <row r="608" spans="1:7" ht="15" customHeight="1">
      <c r="A608" t="str">
        <f ca="1">IF(E608="", F608, "")</f>
        <v/>
      </c>
      <c r="B608" s="52">
        <f>B603+1</f>
        <v>84</v>
      </c>
      <c r="C608" t="str">
        <f ca="1">INDIRECT($F$291 &amp; ADDRESS(B608, 1,4  ))</f>
        <v>Appraisal</v>
      </c>
      <c r="D608" t="str">
        <f>ADDRESS(B608, 2,4  )</f>
        <v>B84</v>
      </c>
      <c r="E608">
        <f t="shared" ca="1" si="197"/>
        <v>0</v>
      </c>
      <c r="F608" t="str">
        <f ca="1">CONCATENATE("Enter a value for '", C608, "' in cell ", D608, ".", CHAR(10))</f>
        <v xml:space="preserve">Enter a value for 'Appraisal' in cell B84.
</v>
      </c>
      <c r="G608" s="9" t="str">
        <f t="shared" ca="1" si="195"/>
        <v xml:space="preserve">The total of development budget in column B must be greater than zero.
</v>
      </c>
    </row>
    <row r="609" spans="1:7" ht="15" customHeight="1">
      <c r="A609" t="str">
        <f ca="1">IF(AND(Calculations!$B$5, E609=""), F609, "")</f>
        <v/>
      </c>
      <c r="B609" t="s">
        <v>476</v>
      </c>
      <c r="C609" t="str">
        <f ca="1">INDIRECT($F$291 &amp; ADDRESS(B608, 1,4  ))</f>
        <v>Appraisal</v>
      </c>
      <c r="D609" t="str">
        <f>ADDRESS(B608, 3,4  )</f>
        <v>C84</v>
      </c>
      <c r="E609">
        <f t="shared" ca="1" si="197"/>
        <v>0</v>
      </c>
      <c r="F609" t="str">
        <f ca="1">CONCATENATE("Enter an '4% LIHTC Basis Calculation' value for '", C609, "' in cell ", D609, ".", CHAR(10))</f>
        <v xml:space="preserve">Enter an '4% LIHTC Basis Calculation' value for 'Appraisal' in cell C84.
</v>
      </c>
      <c r="G609" s="9" t="str">
        <f t="shared" ca="1" si="195"/>
        <v xml:space="preserve">The total of development budget in column B must be greater than zero.
</v>
      </c>
    </row>
    <row r="610" spans="1:7" ht="15" customHeight="1">
      <c r="A610" t="str">
        <f ca="1">IF(AND(Calculations!$B$6, E610=""), F610, "")</f>
        <v/>
      </c>
      <c r="B610" t="s">
        <v>476</v>
      </c>
      <c r="C610" t="str">
        <f ca="1">INDIRECT($F$291 &amp; ADDRESS(B608, 1,4  ))</f>
        <v>Appraisal</v>
      </c>
      <c r="D610" t="str">
        <f>ADDRESS(B608, 4,4  )</f>
        <v>D84</v>
      </c>
      <c r="E610">
        <f t="shared" ca="1" si="197"/>
        <v>0</v>
      </c>
      <c r="F610" t="str">
        <f ca="1">CONCATENATE("Enter an '9% LIHTC Basis Calculation' value for '", C610, "' in cell ", D610, ".", CHAR(10))</f>
        <v xml:space="preserve">Enter an '9% LIHTC Basis Calculation' value for 'Appraisal' in cell D84.
</v>
      </c>
      <c r="G610" s="9" t="str">
        <f t="shared" ca="1" si="195"/>
        <v xml:space="preserve">The total of development budget in column B must be greater than zero.
</v>
      </c>
    </row>
    <row r="611" spans="1:7" ht="15" customHeight="1">
      <c r="A611" t="str">
        <f ca="1">IF(AND(OR(Calculations!$B$3:$B$4), E611=""), F611, "")</f>
        <v/>
      </c>
      <c r="B611" t="s">
        <v>476</v>
      </c>
      <c r="C611" t="str">
        <f ca="1">INDIRECT($F$291 &amp; ADDRESS(B608, 1,4  ))</f>
        <v>Appraisal</v>
      </c>
      <c r="D611" t="str">
        <f>ADDRESS(B608, 5,4  )</f>
        <v>E84</v>
      </c>
      <c r="E611">
        <f t="shared" ca="1" si="197"/>
        <v>0</v>
      </c>
      <c r="F611" t="str">
        <f ca="1">CONCATENATE("Enter an 'Amount Last Provided to CHFA' value for '", C611, "' in cell ", D611, ".", CHAR(10))</f>
        <v xml:space="preserve">Enter an 'Amount Last Provided to CHFA' value for 'Appraisal' in cell E84.
</v>
      </c>
      <c r="G611" s="9" t="str">
        <f t="shared" ca="1" si="195"/>
        <v xml:space="preserve">The total of development budget in column B must be greater than zero.
</v>
      </c>
    </row>
    <row r="612" spans="1:7" ht="15" customHeight="1">
      <c r="A612" t="str">
        <f ca="1">IF(AND(Calculations!$B$3, E612=""), F612, "")</f>
        <v/>
      </c>
      <c r="B612" t="s">
        <v>476</v>
      </c>
      <c r="C612" t="str">
        <f ca="1">INDIRECT($F$291 &amp; ADDRESS(B608, 1,4  ))</f>
        <v>Appraisal</v>
      </c>
      <c r="D612" t="str">
        <f>ADDRESS(B608, 6,4  )</f>
        <v>F84</v>
      </c>
      <c r="E612">
        <f t="shared" ca="1" si="197"/>
        <v>0</v>
      </c>
      <c r="F612" t="str">
        <f ca="1">CONCATENATE("Enter a '10% Carryover Actual Incurred Costs' value for '", C612, "' in cell ", D612, ".", CHAR(10))</f>
        <v xml:space="preserve">Enter a '10% Carryover Actual Incurred Costs' value for 'Appraisal' in cell F84.
</v>
      </c>
      <c r="G612" s="9" t="str">
        <f t="shared" ca="1" si="195"/>
        <v xml:space="preserve">The total of development budget in column B must be greater than zero.
</v>
      </c>
    </row>
    <row r="613" spans="1:7" ht="15" customHeight="1">
      <c r="A613" t="str">
        <f ca="1">IF(E613="", F613, "")</f>
        <v/>
      </c>
      <c r="B613" s="52">
        <f>B608+1</f>
        <v>85</v>
      </c>
      <c r="C613" t="str">
        <f ca="1">INDIRECT($F$291 &amp; ADDRESS(B613, 1,4  ))</f>
        <v>Market Study</v>
      </c>
      <c r="D613" t="str">
        <f>ADDRESS(B613, 2,4  )</f>
        <v>B85</v>
      </c>
      <c r="E613">
        <f t="shared" ca="1" si="197"/>
        <v>0</v>
      </c>
      <c r="F613" t="str">
        <f ca="1">CONCATENATE("Enter a value for '", C613, "' in cell ", D613, ".", CHAR(10))</f>
        <v xml:space="preserve">Enter a value for 'Market Study' in cell B85.
</v>
      </c>
      <c r="G613" s="9" t="str">
        <f t="shared" ca="1" si="195"/>
        <v xml:space="preserve">The total of development budget in column B must be greater than zero.
</v>
      </c>
    </row>
    <row r="614" spans="1:7" ht="15" customHeight="1">
      <c r="A614" t="str">
        <f ca="1">IF(AND(Calculations!$B$5, E614=""), F614, "")</f>
        <v/>
      </c>
      <c r="B614" t="s">
        <v>476</v>
      </c>
      <c r="C614" t="str">
        <f ca="1">INDIRECT($F$291 &amp; ADDRESS(B613, 1,4  ))</f>
        <v>Market Study</v>
      </c>
      <c r="D614" t="str">
        <f>ADDRESS(B613, 3,4  )</f>
        <v>C85</v>
      </c>
      <c r="E614">
        <f t="shared" ca="1" si="197"/>
        <v>0</v>
      </c>
      <c r="F614" t="str">
        <f ca="1">CONCATENATE("Enter an '4% LIHTC Basis Calculation' value for '", C614, "' in cell ", D614, ".", CHAR(10))</f>
        <v xml:space="preserve">Enter an '4% LIHTC Basis Calculation' value for 'Market Study' in cell C85.
</v>
      </c>
      <c r="G614" s="9" t="str">
        <f t="shared" ca="1" si="195"/>
        <v xml:space="preserve">The total of development budget in column B must be greater than zero.
</v>
      </c>
    </row>
    <row r="615" spans="1:7" ht="15" customHeight="1">
      <c r="A615" t="str">
        <f ca="1">IF(AND(Calculations!$B$6, E615=""), F615, "")</f>
        <v/>
      </c>
      <c r="B615" t="s">
        <v>476</v>
      </c>
      <c r="C615" t="str">
        <f ca="1">INDIRECT($F$291 &amp; ADDRESS(B613, 1,4  ))</f>
        <v>Market Study</v>
      </c>
      <c r="D615" t="str">
        <f>ADDRESS(B613, 4,4  )</f>
        <v>D85</v>
      </c>
      <c r="E615">
        <f t="shared" ca="1" si="197"/>
        <v>0</v>
      </c>
      <c r="F615" t="str">
        <f ca="1">CONCATENATE("Enter an '9% LIHTC Basis Calculation' value for '", C615, "' in cell ", D615, ".", CHAR(10))</f>
        <v xml:space="preserve">Enter an '9% LIHTC Basis Calculation' value for 'Market Study' in cell D85.
</v>
      </c>
      <c r="G615" s="9" t="str">
        <f t="shared" ca="1" si="195"/>
        <v xml:space="preserve">The total of development budget in column B must be greater than zero.
</v>
      </c>
    </row>
    <row r="616" spans="1:7" ht="15" customHeight="1">
      <c r="A616" t="str">
        <f ca="1">IF(AND(OR(Calculations!$B$3:$B$4), E616=""), F616, "")</f>
        <v/>
      </c>
      <c r="B616" t="s">
        <v>476</v>
      </c>
      <c r="C616" t="str">
        <f ca="1">INDIRECT($F$291 &amp; ADDRESS(B613, 1,4  ))</f>
        <v>Market Study</v>
      </c>
      <c r="D616" t="str">
        <f>ADDRESS(B613, 5,4  )</f>
        <v>E85</v>
      </c>
      <c r="E616">
        <f t="shared" ca="1" si="197"/>
        <v>0</v>
      </c>
      <c r="F616" t="str">
        <f ca="1">CONCATENATE("Enter an 'Amount Last Provided to CHFA' value for '", C616, "' in cell ", D616, ".", CHAR(10))</f>
        <v xml:space="preserve">Enter an 'Amount Last Provided to CHFA' value for 'Market Study' in cell E85.
</v>
      </c>
      <c r="G616" s="9" t="str">
        <f t="shared" ca="1" si="195"/>
        <v xml:space="preserve">The total of development budget in column B must be greater than zero.
</v>
      </c>
    </row>
    <row r="617" spans="1:7" ht="15" customHeight="1">
      <c r="A617" t="str">
        <f ca="1">IF(AND(Calculations!$B$3, E617=""), F617, "")</f>
        <v/>
      </c>
      <c r="B617" t="s">
        <v>476</v>
      </c>
      <c r="C617" t="str">
        <f ca="1">INDIRECT($F$291 &amp; ADDRESS(B613, 1,4  ))</f>
        <v>Market Study</v>
      </c>
      <c r="D617" t="str">
        <f>ADDRESS(B613, 6,4  )</f>
        <v>F85</v>
      </c>
      <c r="E617">
        <f t="shared" ca="1" si="197"/>
        <v>0</v>
      </c>
      <c r="F617" t="str">
        <f ca="1">CONCATENATE("Enter a '10% Carryover Actual Incurred Costs' value for '", C617, "' in cell ", D617, ".", CHAR(10))</f>
        <v xml:space="preserve">Enter a '10% Carryover Actual Incurred Costs' value for 'Market Study' in cell F85.
</v>
      </c>
      <c r="G617" s="9" t="str">
        <f t="shared" ref="G617:G679" ca="1" si="198">OFFSET(G617, -1, 0) &amp; A617</f>
        <v xml:space="preserve">The total of development budget in column B must be greater than zero.
</v>
      </c>
    </row>
    <row r="618" spans="1:7" ht="15" customHeight="1">
      <c r="A618" t="str">
        <f ca="1">IF(E618="", F618, "")</f>
        <v/>
      </c>
      <c r="B618" s="52">
        <f>B613+1</f>
        <v>86</v>
      </c>
      <c r="C618" t="str">
        <f ca="1">INDIRECT($F$291 &amp; ADDRESS(B618, 1,4  ))</f>
        <v>Environmental Study (Phase 1, Phase 2, Lead, Asbestos, etc.)</v>
      </c>
      <c r="D618" t="str">
        <f>ADDRESS(B618, 2,4  )</f>
        <v>B86</v>
      </c>
      <c r="E618">
        <f t="shared" ca="1" si="197"/>
        <v>0</v>
      </c>
      <c r="F618" t="str">
        <f ca="1">CONCATENATE("Enter a value for '", C618, "' in cell ", D618, ".", CHAR(10))</f>
        <v xml:space="preserve">Enter a value for 'Environmental Study (Phase 1, Phase 2, Lead, Asbestos, etc.)' in cell B86.
</v>
      </c>
      <c r="G618" s="9" t="str">
        <f t="shared" ca="1" si="198"/>
        <v xml:space="preserve">The total of development budget in column B must be greater than zero.
</v>
      </c>
    </row>
    <row r="619" spans="1:7" ht="15" customHeight="1">
      <c r="A619" t="str">
        <f ca="1">IF(AND(Calculations!$B$5, E619=""), F619, "")</f>
        <v/>
      </c>
      <c r="B619" t="s">
        <v>476</v>
      </c>
      <c r="C619" t="str">
        <f ca="1">INDIRECT($F$291 &amp; ADDRESS(B618, 1,4  ))</f>
        <v>Environmental Study (Phase 1, Phase 2, Lead, Asbestos, etc.)</v>
      </c>
      <c r="D619" t="str">
        <f>ADDRESS(B618, 3,4  )</f>
        <v>C86</v>
      </c>
      <c r="E619">
        <f t="shared" ca="1" si="197"/>
        <v>0</v>
      </c>
      <c r="F619" t="str">
        <f ca="1">CONCATENATE("Enter an '4% LIHTC Basis Calculation' value for '", C619, "' in cell ", D619, ".", CHAR(10))</f>
        <v xml:space="preserve">Enter an '4% LIHTC Basis Calculation' value for 'Environmental Study (Phase 1, Phase 2, Lead, Asbestos, etc.)' in cell C86.
</v>
      </c>
      <c r="G619" s="9" t="str">
        <f t="shared" ca="1" si="198"/>
        <v xml:space="preserve">The total of development budget in column B must be greater than zero.
</v>
      </c>
    </row>
    <row r="620" spans="1:7" ht="15" customHeight="1">
      <c r="A620" t="str">
        <f ca="1">IF(AND(Calculations!$B$6, E620=""), F620, "")</f>
        <v/>
      </c>
      <c r="B620" t="s">
        <v>476</v>
      </c>
      <c r="C620" t="str">
        <f ca="1">INDIRECT($F$291 &amp; ADDRESS(B618, 1,4  ))</f>
        <v>Environmental Study (Phase 1, Phase 2, Lead, Asbestos, etc.)</v>
      </c>
      <c r="D620" t="str">
        <f>ADDRESS(B618, 4,4  )</f>
        <v>D86</v>
      </c>
      <c r="E620">
        <f t="shared" ca="1" si="197"/>
        <v>0</v>
      </c>
      <c r="F620" t="str">
        <f ca="1">CONCATENATE("Enter an '9% LIHTC Basis Calculation' value for '", C620, "' in cell ", D620, ".", CHAR(10))</f>
        <v xml:space="preserve">Enter an '9% LIHTC Basis Calculation' value for 'Environmental Study (Phase 1, Phase 2, Lead, Asbestos, etc.)' in cell D86.
</v>
      </c>
      <c r="G620" s="9" t="str">
        <f t="shared" ca="1" si="198"/>
        <v xml:space="preserve">The total of development budget in column B must be greater than zero.
</v>
      </c>
    </row>
    <row r="621" spans="1:7" ht="15" customHeight="1">
      <c r="A621" t="str">
        <f ca="1">IF(AND(OR(Calculations!$B$3:$B$4), E621=""), F621, "")</f>
        <v/>
      </c>
      <c r="B621" t="s">
        <v>476</v>
      </c>
      <c r="C621" t="str">
        <f ca="1">INDIRECT($F$291 &amp; ADDRESS(B618, 1,4  ))</f>
        <v>Environmental Study (Phase 1, Phase 2, Lead, Asbestos, etc.)</v>
      </c>
      <c r="D621" t="str">
        <f>ADDRESS(B618, 5,4  )</f>
        <v>E86</v>
      </c>
      <c r="E621">
        <f t="shared" ca="1" si="197"/>
        <v>0</v>
      </c>
      <c r="F621" t="str">
        <f ca="1">CONCATENATE("Enter an 'Amount Last Provided to CHFA' value for '", C621, "' in cell ", D621, ".", CHAR(10))</f>
        <v xml:space="preserve">Enter an 'Amount Last Provided to CHFA' value for 'Environmental Study (Phase 1, Phase 2, Lead, Asbestos, etc.)' in cell E86.
</v>
      </c>
      <c r="G621" s="9" t="str">
        <f t="shared" ca="1" si="198"/>
        <v xml:space="preserve">The total of development budget in column B must be greater than zero.
</v>
      </c>
    </row>
    <row r="622" spans="1:7" ht="15" customHeight="1">
      <c r="A622" t="str">
        <f ca="1">IF(AND(Calculations!$B$3, E622=""), F622, "")</f>
        <v/>
      </c>
      <c r="B622" t="s">
        <v>476</v>
      </c>
      <c r="C622" t="str">
        <f ca="1">INDIRECT($F$291 &amp; ADDRESS(B618, 1,4  ))</f>
        <v>Environmental Study (Phase 1, Phase 2, Lead, Asbestos, etc.)</v>
      </c>
      <c r="D622" t="str">
        <f>ADDRESS(B618, 6,4  )</f>
        <v>F86</v>
      </c>
      <c r="E622">
        <f t="shared" ca="1" si="197"/>
        <v>0</v>
      </c>
      <c r="F622" t="str">
        <f ca="1">CONCATENATE("Enter a '10% Carryover Actual Incurred Costs' value for '", C622, "' in cell ", D622, ".", CHAR(10))</f>
        <v xml:space="preserve">Enter a '10% Carryover Actual Incurred Costs' value for 'Environmental Study (Phase 1, Phase 2, Lead, Asbestos, etc.)' in cell F86.
</v>
      </c>
      <c r="G622" s="9" t="str">
        <f t="shared" ca="1" si="198"/>
        <v xml:space="preserve">The total of development budget in column B must be greater than zero.
</v>
      </c>
    </row>
    <row r="623" spans="1:7" ht="15" customHeight="1">
      <c r="A623" t="str">
        <f ca="1">IF(E623="", F623, "")</f>
        <v/>
      </c>
      <c r="B623" s="52">
        <f>B618+1</f>
        <v>87</v>
      </c>
      <c r="C623" t="str">
        <f ca="1">INDIRECT($F$291 &amp; ADDRESS(B623, 1,4  ))</f>
        <v>Other Studies (traffic, wetlands, etc.)</v>
      </c>
      <c r="D623" t="str">
        <f>ADDRESS(B623, 2,4  )</f>
        <v>B87</v>
      </c>
      <c r="E623">
        <f t="shared" ca="1" si="197"/>
        <v>0</v>
      </c>
      <c r="F623" t="str">
        <f ca="1">CONCATENATE("Enter a value for '", C623, "' in cell ", D623, ".", CHAR(10))</f>
        <v xml:space="preserve">Enter a value for 'Other Studies (traffic, wetlands, etc.)' in cell B87.
</v>
      </c>
      <c r="G623" s="9" t="str">
        <f t="shared" ca="1" si="198"/>
        <v xml:space="preserve">The total of development budget in column B must be greater than zero.
</v>
      </c>
    </row>
    <row r="624" spans="1:7" ht="15" customHeight="1">
      <c r="A624" t="str">
        <f ca="1">IF(AND(Calculations!$B$5, E624=""), F624, "")</f>
        <v/>
      </c>
      <c r="B624" t="s">
        <v>476</v>
      </c>
      <c r="C624" t="str">
        <f ca="1">INDIRECT($F$291 &amp; ADDRESS(B623, 1,4  ))</f>
        <v>Other Studies (traffic, wetlands, etc.)</v>
      </c>
      <c r="D624" t="str">
        <f>ADDRESS(B623, 3,4  )</f>
        <v>C87</v>
      </c>
      <c r="E624">
        <f t="shared" ca="1" si="197"/>
        <v>0</v>
      </c>
      <c r="F624" t="str">
        <f ca="1">CONCATENATE("Enter an '4% LIHTC Basis Calculation' value for '", C624, "' in cell ", D624, ".", CHAR(10))</f>
        <v xml:space="preserve">Enter an '4% LIHTC Basis Calculation' value for 'Other Studies (traffic, wetlands, etc.)' in cell C87.
</v>
      </c>
      <c r="G624" s="9" t="str">
        <f t="shared" ca="1" si="198"/>
        <v xml:space="preserve">The total of development budget in column B must be greater than zero.
</v>
      </c>
    </row>
    <row r="625" spans="1:7" ht="15" customHeight="1">
      <c r="A625" t="str">
        <f ca="1">IF(AND(Calculations!$B$6, E625=""), F625, "")</f>
        <v/>
      </c>
      <c r="B625" t="s">
        <v>476</v>
      </c>
      <c r="C625" t="str">
        <f ca="1">INDIRECT($F$291 &amp; ADDRESS(B623, 1,4  ))</f>
        <v>Other Studies (traffic, wetlands, etc.)</v>
      </c>
      <c r="D625" t="str">
        <f>ADDRESS(B623, 4,4  )</f>
        <v>D87</v>
      </c>
      <c r="E625">
        <f t="shared" ca="1" si="197"/>
        <v>0</v>
      </c>
      <c r="F625" t="str">
        <f ca="1">CONCATENATE("Enter an '9% LIHTC Basis Calculation' value for '", C625, "' in cell ", D625, ".", CHAR(10))</f>
        <v xml:space="preserve">Enter an '9% LIHTC Basis Calculation' value for 'Other Studies (traffic, wetlands, etc.)' in cell D87.
</v>
      </c>
      <c r="G625" s="9" t="str">
        <f t="shared" ca="1" si="198"/>
        <v xml:space="preserve">The total of development budget in column B must be greater than zero.
</v>
      </c>
    </row>
    <row r="626" spans="1:7" ht="15" customHeight="1">
      <c r="A626" t="str">
        <f ca="1">IF(AND(OR(Calculations!$B$3:$B$4), E626=""), F626, "")</f>
        <v/>
      </c>
      <c r="B626" t="s">
        <v>476</v>
      </c>
      <c r="C626" t="str">
        <f ca="1">INDIRECT($F$291 &amp; ADDRESS(B623, 1,4  ))</f>
        <v>Other Studies (traffic, wetlands, etc.)</v>
      </c>
      <c r="D626" t="str">
        <f>ADDRESS(B623, 5,4  )</f>
        <v>E87</v>
      </c>
      <c r="E626">
        <f t="shared" ca="1" si="197"/>
        <v>0</v>
      </c>
      <c r="F626" t="str">
        <f ca="1">CONCATENATE("Enter an 'Amount Last Provided to CHFA' value for '", C626, "' in cell ", D626, ".", CHAR(10))</f>
        <v xml:space="preserve">Enter an 'Amount Last Provided to CHFA' value for 'Other Studies (traffic, wetlands, etc.)' in cell E87.
</v>
      </c>
      <c r="G626" s="9" t="str">
        <f t="shared" ca="1" si="198"/>
        <v xml:space="preserve">The total of development budget in column B must be greater than zero.
</v>
      </c>
    </row>
    <row r="627" spans="1:7" ht="15" customHeight="1">
      <c r="A627" t="str">
        <f ca="1">IF(AND(Calculations!$B$3, E627=""), F627, "")</f>
        <v/>
      </c>
      <c r="B627" t="s">
        <v>476</v>
      </c>
      <c r="C627" t="str">
        <f ca="1">INDIRECT($F$291 &amp; ADDRESS(B623, 1,4  ))</f>
        <v>Other Studies (traffic, wetlands, etc.)</v>
      </c>
      <c r="D627" t="str">
        <f>ADDRESS(B623, 6,4  )</f>
        <v>F87</v>
      </c>
      <c r="E627">
        <f t="shared" ca="1" si="197"/>
        <v>0</v>
      </c>
      <c r="F627" t="str">
        <f ca="1">CONCATENATE("Enter a '10% Carryover Actual Incurred Costs' value for '", C627, "' in cell ", D627, ".", CHAR(10))</f>
        <v xml:space="preserve">Enter a '10% Carryover Actual Incurred Costs' value for 'Other Studies (traffic, wetlands, etc.)' in cell F87.
</v>
      </c>
      <c r="G627" s="9" t="str">
        <f t="shared" ca="1" si="198"/>
        <v xml:space="preserve">The total of development budget in column B must be greater than zero.
</v>
      </c>
    </row>
    <row r="628" spans="1:7" ht="15" customHeight="1">
      <c r="A628" t="str">
        <f ca="1">IF(E628="", F628, "")</f>
        <v/>
      </c>
      <c r="B628" s="52">
        <f>B623+1</f>
        <v>88</v>
      </c>
      <c r="C628" t="str">
        <f ca="1">INDIRECT($F$291 &amp; ADDRESS(B628, 1,4  ))</f>
        <v>Tax Credit Fees</v>
      </c>
      <c r="D628" t="str">
        <f>ADDRESS(B628, 2,4  )</f>
        <v>B88</v>
      </c>
      <c r="E628">
        <f t="shared" ref="E628:E658" ca="1" si="199">IF(ISBLANK( INDIRECT($F$291 &amp; D628)),"", INDIRECT($F$291 &amp; D628))</f>
        <v>0</v>
      </c>
      <c r="F628" t="str">
        <f ca="1">CONCATENATE("Enter a value for '", C628, "' in cell ", D628, ".", CHAR(10))</f>
        <v xml:space="preserve">Enter a value for 'Tax Credit Fees' in cell B88.
</v>
      </c>
      <c r="G628" s="9" t="str">
        <f t="shared" ca="1" si="198"/>
        <v xml:space="preserve">The total of development budget in column B must be greater than zero.
</v>
      </c>
    </row>
    <row r="629" spans="1:7" ht="15" customHeight="1">
      <c r="A629" t="str">
        <f ca="1">IF(AND(OR(Calculations!$B$3:$B$4), E629=""), F629, "")</f>
        <v/>
      </c>
      <c r="B629" t="s">
        <v>476</v>
      </c>
      <c r="C629" t="str">
        <f ca="1">INDIRECT($F$291 &amp; ADDRESS(B628, 1,4  ))</f>
        <v>Tax Credit Fees</v>
      </c>
      <c r="D629" t="str">
        <f>ADDRESS(B628, 5,4  )</f>
        <v>E88</v>
      </c>
      <c r="E629">
        <f t="shared" ca="1" si="199"/>
        <v>0</v>
      </c>
      <c r="F629" t="str">
        <f ca="1">CONCATENATE("Enter an 'Amount Last Provided to CHFA' value for '", C629, "' in cell ", D629, ".", CHAR(10))</f>
        <v xml:space="preserve">Enter an 'Amount Last Provided to CHFA' value for 'Tax Credit Fees' in cell E88.
</v>
      </c>
      <c r="G629" s="9" t="str">
        <f t="shared" ca="1" si="198"/>
        <v xml:space="preserve">The total of development budget in column B must be greater than zero.
</v>
      </c>
    </row>
    <row r="630" spans="1:7" ht="15" customHeight="1">
      <c r="A630" t="str">
        <f ca="1">IF(AND(Calculations!$B$3, E630=""), F630, "")</f>
        <v/>
      </c>
      <c r="B630" t="s">
        <v>476</v>
      </c>
      <c r="C630" t="str">
        <f ca="1">INDIRECT($F$291 &amp; ADDRESS(B628, 1,4  ))</f>
        <v>Tax Credit Fees</v>
      </c>
      <c r="D630" t="str">
        <f>ADDRESS(B628, 6,4  )</f>
        <v>F88</v>
      </c>
      <c r="E630">
        <f t="shared" ca="1" si="199"/>
        <v>0</v>
      </c>
      <c r="F630" t="str">
        <f ca="1">CONCATENATE("Enter a '10% Carryover Actual Incurred Costs' value for '", C630, "' in cell ", D630, ".", CHAR(10))</f>
        <v xml:space="preserve">Enter a '10% Carryover Actual Incurred Costs' value for 'Tax Credit Fees' in cell F88.
</v>
      </c>
      <c r="G630" s="9" t="str">
        <f t="shared" ca="1" si="198"/>
        <v xml:space="preserve">The total of development budget in column B must be greater than zero.
</v>
      </c>
    </row>
    <row r="631" spans="1:7" ht="15" customHeight="1">
      <c r="A631" t="str">
        <f ca="1">IF(E631="", F631, "")</f>
        <v/>
      </c>
      <c r="B631" s="52">
        <f>B628+1</f>
        <v>89</v>
      </c>
      <c r="C631" t="str">
        <f ca="1">INDIRECT($F$291 &amp; ADDRESS(B631, 1,4  ))</f>
        <v>Compliance Fees</v>
      </c>
      <c r="D631" t="str">
        <f>ADDRESS(B631, 2,4  )</f>
        <v>B89</v>
      </c>
      <c r="E631">
        <f t="shared" ca="1" si="199"/>
        <v>0</v>
      </c>
      <c r="F631" t="str">
        <f ca="1">CONCATENATE("Enter a value for '", C631, "' in cell ", D631, ".", CHAR(10))</f>
        <v xml:space="preserve">Enter a value for 'Compliance Fees' in cell B89.
</v>
      </c>
      <c r="G631" s="9" t="str">
        <f t="shared" ca="1" si="198"/>
        <v xml:space="preserve">The total of development budget in column B must be greater than zero.
</v>
      </c>
    </row>
    <row r="632" spans="1:7" ht="15" customHeight="1">
      <c r="A632" t="str">
        <f ca="1">IF(AND(OR(Calculations!$B$3:$B$4), E632=""), F632, "")</f>
        <v/>
      </c>
      <c r="B632" t="s">
        <v>476</v>
      </c>
      <c r="C632" t="str">
        <f ca="1">INDIRECT($F$291 &amp; ADDRESS(B631, 1,4  ))</f>
        <v>Compliance Fees</v>
      </c>
      <c r="D632" t="str">
        <f>ADDRESS(B631, 5,4  )</f>
        <v>E89</v>
      </c>
      <c r="E632">
        <f t="shared" ca="1" si="199"/>
        <v>0</v>
      </c>
      <c r="F632" t="str">
        <f ca="1">CONCATENATE("Enter an 'Amount Last Provided to CHFA' value for '", C632, "' in cell ", D632, ".", CHAR(10))</f>
        <v xml:space="preserve">Enter an 'Amount Last Provided to CHFA' value for 'Compliance Fees' in cell E89.
</v>
      </c>
      <c r="G632" s="9" t="str">
        <f t="shared" ca="1" si="198"/>
        <v xml:space="preserve">The total of development budget in column B must be greater than zero.
</v>
      </c>
    </row>
    <row r="633" spans="1:7" ht="15" customHeight="1">
      <c r="A633" t="str">
        <f ca="1">IF(AND(Calculations!$B$3, E633=""), F633, "")</f>
        <v/>
      </c>
      <c r="B633" t="s">
        <v>476</v>
      </c>
      <c r="C633" t="str">
        <f ca="1">INDIRECT($F$291 &amp; ADDRESS(B631, 1,4  ))</f>
        <v>Compliance Fees</v>
      </c>
      <c r="D633" t="str">
        <f>ADDRESS(B631, 6,4  )</f>
        <v>F89</v>
      </c>
      <c r="E633">
        <f t="shared" ca="1" si="199"/>
        <v>0</v>
      </c>
      <c r="F633" t="str">
        <f ca="1">CONCATENATE("Enter a '10% Carryover Actual Incurred Costs' value for '", C633, "' in cell ", D633, ".", CHAR(10))</f>
        <v xml:space="preserve">Enter a '10% Carryover Actual Incurred Costs' value for 'Compliance Fees' in cell F89.
</v>
      </c>
      <c r="G633" s="9" t="str">
        <f t="shared" ca="1" si="198"/>
        <v xml:space="preserve">The total of development budget in column B must be greater than zero.
</v>
      </c>
    </row>
    <row r="634" spans="1:7" ht="15" customHeight="1">
      <c r="A634" t="str">
        <f ca="1">IF(E634="", F634, "")</f>
        <v/>
      </c>
      <c r="B634" s="52">
        <f>B631+1</f>
        <v>90</v>
      </c>
      <c r="C634" t="str">
        <f ca="1">INDIRECT($F$291 &amp; ADDRESS(B634, 1,4  ))</f>
        <v>Cost Certification</v>
      </c>
      <c r="D634" t="str">
        <f>ADDRESS(B634, 2,4  )</f>
        <v>B90</v>
      </c>
      <c r="E634">
        <f t="shared" ca="1" si="199"/>
        <v>0</v>
      </c>
      <c r="F634" t="str">
        <f ca="1">CONCATENATE("Enter a value for '", C634, "' in cell ", D634, ".", CHAR(10))</f>
        <v xml:space="preserve">Enter a value for 'Cost Certification' in cell B90.
</v>
      </c>
      <c r="G634" s="9" t="str">
        <f t="shared" ca="1" si="198"/>
        <v xml:space="preserve">The total of development budget in column B must be greater than zero.
</v>
      </c>
    </row>
    <row r="635" spans="1:7" ht="15" customHeight="1">
      <c r="A635" t="str">
        <f ca="1">IF(AND(Calculations!$B$5, E635=""), F635, "")</f>
        <v/>
      </c>
      <c r="B635" t="s">
        <v>476</v>
      </c>
      <c r="C635" t="str">
        <f ca="1">INDIRECT($F$291 &amp; ADDRESS(B634, 1,4  ))</f>
        <v>Cost Certification</v>
      </c>
      <c r="D635" t="str">
        <f>ADDRESS(B634, 3,4  )</f>
        <v>C90</v>
      </c>
      <c r="E635">
        <f t="shared" ca="1" si="199"/>
        <v>0</v>
      </c>
      <c r="F635" t="str">
        <f ca="1">CONCATENATE("Enter an '4% LIHTC Basis Calculation' value for '", C635, "' in cell ", D635, ".", CHAR(10))</f>
        <v xml:space="preserve">Enter an '4% LIHTC Basis Calculation' value for 'Cost Certification' in cell C90.
</v>
      </c>
      <c r="G635" s="9" t="str">
        <f t="shared" ca="1" si="198"/>
        <v xml:space="preserve">The total of development budget in column B must be greater than zero.
</v>
      </c>
    </row>
    <row r="636" spans="1:7" ht="15" customHeight="1">
      <c r="A636" t="str">
        <f ca="1">IF(AND(Calculations!$B$6, E636=""), F636, "")</f>
        <v/>
      </c>
      <c r="B636" t="s">
        <v>476</v>
      </c>
      <c r="C636" t="str">
        <f ca="1">INDIRECT($F$291 &amp; ADDRESS(B634, 1,4  ))</f>
        <v>Cost Certification</v>
      </c>
      <c r="D636" t="str">
        <f>ADDRESS(B634, 4,4  )</f>
        <v>D90</v>
      </c>
      <c r="E636">
        <f t="shared" ca="1" si="199"/>
        <v>0</v>
      </c>
      <c r="F636" t="str">
        <f ca="1">CONCATENATE("Enter an '9% LIHTC Basis Calculation' value for '", C636, "' in cell ", D636, ".", CHAR(10))</f>
        <v xml:space="preserve">Enter an '9% LIHTC Basis Calculation' value for 'Cost Certification' in cell D90.
</v>
      </c>
      <c r="G636" s="9" t="str">
        <f t="shared" ca="1" si="198"/>
        <v xml:space="preserve">The total of development budget in column B must be greater than zero.
</v>
      </c>
    </row>
    <row r="637" spans="1:7" ht="15" customHeight="1">
      <c r="A637" t="str">
        <f ca="1">IF(AND(OR(Calculations!$B$3:$B$4), E637=""), F637, "")</f>
        <v/>
      </c>
      <c r="B637" t="s">
        <v>476</v>
      </c>
      <c r="C637" t="str">
        <f ca="1">INDIRECT($F$291 &amp; ADDRESS(B634, 1,4  ))</f>
        <v>Cost Certification</v>
      </c>
      <c r="D637" t="str">
        <f>ADDRESS(B634, 5,4  )</f>
        <v>E90</v>
      </c>
      <c r="E637">
        <f t="shared" ca="1" si="199"/>
        <v>0</v>
      </c>
      <c r="F637" t="str">
        <f ca="1">CONCATENATE("Enter an 'Amount Last Provided to CHFA' value for '", C637, "' in cell ", D637, ".", CHAR(10))</f>
        <v xml:space="preserve">Enter an 'Amount Last Provided to CHFA' value for 'Cost Certification' in cell E90.
</v>
      </c>
      <c r="G637" s="9" t="str">
        <f t="shared" ca="1" si="198"/>
        <v xml:space="preserve">The total of development budget in column B must be greater than zero.
</v>
      </c>
    </row>
    <row r="638" spans="1:7" ht="15" customHeight="1">
      <c r="A638" t="str">
        <f ca="1">IF(AND(Calculations!$B$3, E638=""), F638, "")</f>
        <v/>
      </c>
      <c r="B638" t="s">
        <v>476</v>
      </c>
      <c r="C638" t="str">
        <f ca="1">INDIRECT($F$291 &amp; ADDRESS(B634, 1,4  ))</f>
        <v>Cost Certification</v>
      </c>
      <c r="D638" t="str">
        <f>ADDRESS(B634, 6,4  )</f>
        <v>F90</v>
      </c>
      <c r="E638">
        <f t="shared" ca="1" si="199"/>
        <v>0</v>
      </c>
      <c r="F638" t="str">
        <f ca="1">CONCATENATE("Enter a '10% Carryover Actual Incurred Costs' value for '", C638, "' in cell ", D638, ".", CHAR(10))</f>
        <v xml:space="preserve">Enter a '10% Carryover Actual Incurred Costs' value for 'Cost Certification' in cell F90.
</v>
      </c>
      <c r="G638" s="9" t="str">
        <f t="shared" ca="1" si="198"/>
        <v xml:space="preserve">The total of development budget in column B must be greater than zero.
</v>
      </c>
    </row>
    <row r="639" spans="1:7" ht="15" customHeight="1">
      <c r="A639" t="str">
        <f ca="1">IF(E639="", F639, "")</f>
        <v/>
      </c>
      <c r="B639" s="52">
        <f>B634+1</f>
        <v>91</v>
      </c>
      <c r="C639" t="str">
        <f ca="1">INDIRECT($F$291 &amp; ADDRESS(B639, 1,4  ))</f>
        <v>Green Certification Fees (LEED Certification, etc.)</v>
      </c>
      <c r="D639" t="str">
        <f>ADDRESS(B639, 2,4  )</f>
        <v>B91</v>
      </c>
      <c r="E639">
        <f t="shared" ca="1" si="199"/>
        <v>0</v>
      </c>
      <c r="F639" t="str">
        <f ca="1">CONCATENATE("Enter a value for '", C639, "' in cell ", D639, ".", CHAR(10))</f>
        <v xml:space="preserve">Enter a value for 'Green Certification Fees (LEED Certification, etc.)' in cell B91.
</v>
      </c>
      <c r="G639" s="9" t="str">
        <f t="shared" ca="1" si="198"/>
        <v xml:space="preserve">The total of development budget in column B must be greater than zero.
</v>
      </c>
    </row>
    <row r="640" spans="1:7" ht="15" customHeight="1">
      <c r="A640" t="str">
        <f ca="1">IF(AND(Calculations!$B$5, E640=""), F640, "")</f>
        <v/>
      </c>
      <c r="B640" t="s">
        <v>476</v>
      </c>
      <c r="C640" t="str">
        <f ca="1">INDIRECT($F$291 &amp; ADDRESS(B639, 1,4  ))</f>
        <v>Green Certification Fees (LEED Certification, etc.)</v>
      </c>
      <c r="D640" t="str">
        <f>ADDRESS(B639, 3,4  )</f>
        <v>C91</v>
      </c>
      <c r="E640">
        <f t="shared" ca="1" si="199"/>
        <v>0</v>
      </c>
      <c r="F640" t="str">
        <f ca="1">CONCATENATE("Enter an '4% LIHTC Basis Calculation' value for '", C640, "' in cell ", D640, ".", CHAR(10))</f>
        <v xml:space="preserve">Enter an '4% LIHTC Basis Calculation' value for 'Green Certification Fees (LEED Certification, etc.)' in cell C91.
</v>
      </c>
      <c r="G640" s="9" t="str">
        <f t="shared" ca="1" si="198"/>
        <v xml:space="preserve">The total of development budget in column B must be greater than zero.
</v>
      </c>
    </row>
    <row r="641" spans="1:7" ht="15" customHeight="1">
      <c r="A641" t="str">
        <f ca="1">IF(AND(Calculations!$B$6, E641=""), F641, "")</f>
        <v/>
      </c>
      <c r="B641" t="s">
        <v>476</v>
      </c>
      <c r="C641" t="str">
        <f ca="1">INDIRECT($F$291 &amp; ADDRESS(B639, 1,4  ))</f>
        <v>Green Certification Fees (LEED Certification, etc.)</v>
      </c>
      <c r="D641" t="str">
        <f>ADDRESS(B639, 4,4  )</f>
        <v>D91</v>
      </c>
      <c r="E641">
        <f t="shared" ca="1" si="199"/>
        <v>0</v>
      </c>
      <c r="F641" t="str">
        <f ca="1">CONCATENATE("Enter an '9% LIHTC Basis Calculation' value for '", C641, "' in cell ", D641, ".", CHAR(10))</f>
        <v xml:space="preserve">Enter an '9% LIHTC Basis Calculation' value for 'Green Certification Fees (LEED Certification, etc.)' in cell D91.
</v>
      </c>
      <c r="G641" s="9" t="str">
        <f t="shared" ca="1" si="198"/>
        <v xml:space="preserve">The total of development budget in column B must be greater than zero.
</v>
      </c>
    </row>
    <row r="642" spans="1:7" ht="15" customHeight="1">
      <c r="A642" t="str">
        <f ca="1">IF(AND(OR(Calculations!$B$3:$B$4), E642=""), F642, "")</f>
        <v/>
      </c>
      <c r="B642" t="s">
        <v>476</v>
      </c>
      <c r="C642" t="str">
        <f ca="1">INDIRECT($F$291 &amp; ADDRESS(B639, 1,4  ))</f>
        <v>Green Certification Fees (LEED Certification, etc.)</v>
      </c>
      <c r="D642" t="str">
        <f>ADDRESS(B639, 5,4  )</f>
        <v>E91</v>
      </c>
      <c r="E642">
        <f t="shared" ca="1" si="199"/>
        <v>0</v>
      </c>
      <c r="F642" t="str">
        <f ca="1">CONCATENATE("Enter an 'Amount Last Provided to CHFA' value for '", C642, "' in cell ", D642, ".", CHAR(10))</f>
        <v xml:space="preserve">Enter an 'Amount Last Provided to CHFA' value for 'Green Certification Fees (LEED Certification, etc.)' in cell E91.
</v>
      </c>
      <c r="G642" s="9" t="str">
        <f t="shared" ca="1" si="198"/>
        <v xml:space="preserve">The total of development budget in column B must be greater than zero.
</v>
      </c>
    </row>
    <row r="643" spans="1:7" ht="15" customHeight="1">
      <c r="A643" t="str">
        <f ca="1">IF(AND(Calculations!$B$3, E643=""), F643, "")</f>
        <v/>
      </c>
      <c r="B643" t="s">
        <v>476</v>
      </c>
      <c r="C643" t="str">
        <f ca="1">INDIRECT($F$291 &amp; ADDRESS(B639, 1,4  ))</f>
        <v>Green Certification Fees (LEED Certification, etc.)</v>
      </c>
      <c r="D643" t="str">
        <f>ADDRESS(B639, 6,4  )</f>
        <v>F91</v>
      </c>
      <c r="E643">
        <f t="shared" ca="1" si="199"/>
        <v>0</v>
      </c>
      <c r="F643" t="str">
        <f ca="1">CONCATENATE("Enter a '10% Carryover Actual Incurred Costs' value for '", C643, "' in cell ", D643, ".", CHAR(10))</f>
        <v xml:space="preserve">Enter a '10% Carryover Actual Incurred Costs' value for 'Green Certification Fees (LEED Certification, etc.)' in cell F91.
</v>
      </c>
      <c r="G643" s="9" t="str">
        <f t="shared" ca="1" si="198"/>
        <v xml:space="preserve">The total of development budget in column B must be greater than zero.
</v>
      </c>
    </row>
    <row r="644" spans="1:7" ht="15" customHeight="1">
      <c r="A644" t="str">
        <f ca="1">IF(E644="", F644, "")</f>
        <v/>
      </c>
      <c r="B644" s="52">
        <f>B639+1</f>
        <v>92</v>
      </c>
      <c r="C644" t="str">
        <f ca="1">INDIRECT($F$291 &amp; ADDRESS(B644, 1,4  ))</f>
        <v>Relocation - Temporary</v>
      </c>
      <c r="D644" t="str">
        <f>ADDRESS(B644, 2,4  )</f>
        <v>B92</v>
      </c>
      <c r="E644">
        <f t="shared" ca="1" si="199"/>
        <v>0</v>
      </c>
      <c r="F644" t="str">
        <f ca="1">CONCATENATE("Enter a value for '", C644, "' in cell ", D644, ".", CHAR(10))</f>
        <v xml:space="preserve">Enter a value for 'Relocation - Temporary' in cell B92.
</v>
      </c>
      <c r="G644" s="9" t="str">
        <f t="shared" ca="1" si="198"/>
        <v xml:space="preserve">The total of development budget in column B must be greater than zero.
</v>
      </c>
    </row>
    <row r="645" spans="1:7" ht="15" customHeight="1">
      <c r="A645" t="str">
        <f ca="1">IF(AND(Calculations!$B$5, E645=""), F645, "")</f>
        <v/>
      </c>
      <c r="B645" t="s">
        <v>476</v>
      </c>
      <c r="C645" t="str">
        <f ca="1">INDIRECT($F$291 &amp; ADDRESS(B644, 1,4  ))</f>
        <v>Relocation - Temporary</v>
      </c>
      <c r="D645" t="str">
        <f>ADDRESS(B644, 3,4  )</f>
        <v>C92</v>
      </c>
      <c r="E645">
        <f t="shared" ca="1" si="199"/>
        <v>0</v>
      </c>
      <c r="F645" t="str">
        <f ca="1">CONCATENATE("Enter an '4% LIHTC Basis Calculation' value for '", C645, "' in cell ", D645, ".", CHAR(10))</f>
        <v xml:space="preserve">Enter an '4% LIHTC Basis Calculation' value for 'Relocation - Temporary' in cell C92.
</v>
      </c>
      <c r="G645" s="9" t="str">
        <f t="shared" ca="1" si="198"/>
        <v xml:space="preserve">The total of development budget in column B must be greater than zero.
</v>
      </c>
    </row>
    <row r="646" spans="1:7" ht="15" customHeight="1">
      <c r="A646" t="str">
        <f ca="1">IF(AND(Calculations!$B$6, E646=""), F646, "")</f>
        <v/>
      </c>
      <c r="B646" t="s">
        <v>476</v>
      </c>
      <c r="C646" t="str">
        <f ca="1">INDIRECT($F$291 &amp; ADDRESS(B644, 1,4  ))</f>
        <v>Relocation - Temporary</v>
      </c>
      <c r="D646" t="str">
        <f>ADDRESS(B644, 4,4  )</f>
        <v>D92</v>
      </c>
      <c r="E646">
        <f t="shared" ca="1" si="199"/>
        <v>0</v>
      </c>
      <c r="F646" t="str">
        <f ca="1">CONCATENATE("Enter an '9% LIHTC Basis Calculation' value for '", C646, "' in cell ", D646, ".", CHAR(10))</f>
        <v xml:space="preserve">Enter an '9% LIHTC Basis Calculation' value for 'Relocation - Temporary' in cell D92.
</v>
      </c>
      <c r="G646" s="9" t="str">
        <f t="shared" ca="1" si="198"/>
        <v xml:space="preserve">The total of development budget in column B must be greater than zero.
</v>
      </c>
    </row>
    <row r="647" spans="1:7" ht="15" customHeight="1">
      <c r="A647" t="str">
        <f ca="1">IF(AND(OR(Calculations!$B$3:$B$4), E647=""), F647, "")</f>
        <v/>
      </c>
      <c r="B647" t="s">
        <v>476</v>
      </c>
      <c r="C647" t="str">
        <f ca="1">INDIRECT($F$291 &amp; ADDRESS(B644, 1,4  ))</f>
        <v>Relocation - Temporary</v>
      </c>
      <c r="D647" t="str">
        <f>ADDRESS(B644, 5,4  )</f>
        <v>E92</v>
      </c>
      <c r="E647">
        <f t="shared" ca="1" si="199"/>
        <v>0</v>
      </c>
      <c r="F647" t="str">
        <f ca="1">CONCATENATE("Enter an 'Amount Last Provided to CHFA' value for '", C647, "' in cell ", D647, ".", CHAR(10))</f>
        <v xml:space="preserve">Enter an 'Amount Last Provided to CHFA' value for 'Relocation - Temporary' in cell E92.
</v>
      </c>
      <c r="G647" s="9" t="str">
        <f t="shared" ca="1" si="198"/>
        <v xml:space="preserve">The total of development budget in column B must be greater than zero.
</v>
      </c>
    </row>
    <row r="648" spans="1:7" ht="15" customHeight="1">
      <c r="A648" t="str">
        <f ca="1">IF(AND(Calculations!$B$3, E648=""), F648, "")</f>
        <v/>
      </c>
      <c r="B648" t="s">
        <v>476</v>
      </c>
      <c r="C648" t="str">
        <f ca="1">INDIRECT($F$291 &amp; ADDRESS(B644, 1,4  ))</f>
        <v>Relocation - Temporary</v>
      </c>
      <c r="D648" t="str">
        <f>ADDRESS(B644, 6,4  )</f>
        <v>F92</v>
      </c>
      <c r="E648">
        <f t="shared" ca="1" si="199"/>
        <v>0</v>
      </c>
      <c r="F648" t="str">
        <f ca="1">CONCATENATE("Enter a '10% Carryover Actual Incurred Costs' value for '", C648, "' in cell ", D648, ".", CHAR(10))</f>
        <v xml:space="preserve">Enter a '10% Carryover Actual Incurred Costs' value for 'Relocation - Temporary' in cell F92.
</v>
      </c>
      <c r="G648" s="9" t="str">
        <f t="shared" ca="1" si="198"/>
        <v xml:space="preserve">The total of development budget in column B must be greater than zero.
</v>
      </c>
    </row>
    <row r="649" spans="1:7" ht="15" customHeight="1">
      <c r="A649" t="str">
        <f ca="1">IF(E649="", F649, "")</f>
        <v/>
      </c>
      <c r="B649" s="52">
        <f>B644+1</f>
        <v>93</v>
      </c>
      <c r="C649" t="str">
        <f ca="1">INDIRECT($F$291 &amp; ADDRESS(B649, 1,4  ))</f>
        <v>Relocation - Permanent</v>
      </c>
      <c r="D649" t="str">
        <f>ADDRESS(B649, 2,4  )</f>
        <v>B93</v>
      </c>
      <c r="E649">
        <f t="shared" ca="1" si="199"/>
        <v>0</v>
      </c>
      <c r="F649" t="str">
        <f ca="1">CONCATENATE("Enter a value for '", C649, "' in cell ", D649, ".", CHAR(10))</f>
        <v xml:space="preserve">Enter a value for 'Relocation - Permanent' in cell B93.
</v>
      </c>
      <c r="G649" s="9" t="str">
        <f t="shared" ca="1" si="198"/>
        <v xml:space="preserve">The total of development budget in column B must be greater than zero.
</v>
      </c>
    </row>
    <row r="650" spans="1:7" ht="15" customHeight="1">
      <c r="A650" t="str">
        <f ca="1">IF(AND(Calculations!$B$5, E650=""), F650, "")</f>
        <v/>
      </c>
      <c r="B650" t="s">
        <v>476</v>
      </c>
      <c r="C650" t="str">
        <f ca="1">INDIRECT($F$291 &amp; ADDRESS(B649, 1,4  ))</f>
        <v>Relocation - Permanent</v>
      </c>
      <c r="D650" t="str">
        <f>ADDRESS(B649, 3,4  )</f>
        <v>C93</v>
      </c>
      <c r="E650">
        <f t="shared" ca="1" si="199"/>
        <v>0</v>
      </c>
      <c r="F650" t="str">
        <f ca="1">CONCATENATE("Enter an '4% LIHTC Basis Calculation' value for '", C650, "' in cell ", D650, ".", CHAR(10))</f>
        <v xml:space="preserve">Enter an '4% LIHTC Basis Calculation' value for 'Relocation - Permanent' in cell C93.
</v>
      </c>
      <c r="G650" s="9" t="str">
        <f t="shared" ca="1" si="198"/>
        <v xml:space="preserve">The total of development budget in column B must be greater than zero.
</v>
      </c>
    </row>
    <row r="651" spans="1:7" ht="15" customHeight="1">
      <c r="A651" t="str">
        <f ca="1">IF(AND(Calculations!$B$6, E651=""), F651, "")</f>
        <v/>
      </c>
      <c r="B651" t="s">
        <v>476</v>
      </c>
      <c r="C651" t="str">
        <f ca="1">INDIRECT($F$291 &amp; ADDRESS(B649, 1,4  ))</f>
        <v>Relocation - Permanent</v>
      </c>
      <c r="D651" t="str">
        <f>ADDRESS(B649, 4,4  )</f>
        <v>D93</v>
      </c>
      <c r="E651">
        <f t="shared" ca="1" si="199"/>
        <v>0</v>
      </c>
      <c r="F651" t="str">
        <f ca="1">CONCATENATE("Enter an '9% LIHTC Basis Calculation' value for '", C651, "' in cell ", D651, ".", CHAR(10))</f>
        <v xml:space="preserve">Enter an '9% LIHTC Basis Calculation' value for 'Relocation - Permanent' in cell D93.
</v>
      </c>
      <c r="G651" s="9" t="str">
        <f t="shared" ca="1" si="198"/>
        <v xml:space="preserve">The total of development budget in column B must be greater than zero.
</v>
      </c>
    </row>
    <row r="652" spans="1:7" ht="15" customHeight="1">
      <c r="A652" t="str">
        <f ca="1">IF(AND(OR(Calculations!$B$3:$B$4), E652=""), F652, "")</f>
        <v/>
      </c>
      <c r="B652" t="s">
        <v>476</v>
      </c>
      <c r="C652" t="str">
        <f ca="1">INDIRECT($F$291 &amp; ADDRESS(B649, 1,4  ))</f>
        <v>Relocation - Permanent</v>
      </c>
      <c r="D652" t="str">
        <f>ADDRESS(B649, 5,4  )</f>
        <v>E93</v>
      </c>
      <c r="E652">
        <f t="shared" ca="1" si="199"/>
        <v>0</v>
      </c>
      <c r="F652" t="str">
        <f ca="1">CONCATENATE("Enter an 'Amount Last Provided to CHFA' value for '", C652, "' in cell ", D652, ".", CHAR(10))</f>
        <v xml:space="preserve">Enter an 'Amount Last Provided to CHFA' value for 'Relocation - Permanent' in cell E93.
</v>
      </c>
      <c r="G652" s="9" t="str">
        <f t="shared" ca="1" si="198"/>
        <v xml:space="preserve">The total of development budget in column B must be greater than zero.
</v>
      </c>
    </row>
    <row r="653" spans="1:7" ht="15" customHeight="1">
      <c r="A653" t="str">
        <f ca="1">IF(AND(Calculations!$B$3, E653=""), F653, "")</f>
        <v/>
      </c>
      <c r="B653" t="s">
        <v>476</v>
      </c>
      <c r="C653" t="str">
        <f ca="1">INDIRECT($F$291 &amp; ADDRESS(B649, 1,4  ))</f>
        <v>Relocation - Permanent</v>
      </c>
      <c r="D653" t="str">
        <f>ADDRESS(B649, 6,4  )</f>
        <v>F93</v>
      </c>
      <c r="E653">
        <f t="shared" ca="1" si="199"/>
        <v>0</v>
      </c>
      <c r="F653" t="str">
        <f ca="1">CONCATENATE("Enter a '10% Carryover Actual Incurred Costs' value for '", C653, "' in cell ", D653, ".", CHAR(10))</f>
        <v xml:space="preserve">Enter a '10% Carryover Actual Incurred Costs' value for 'Relocation - Permanent' in cell F93.
</v>
      </c>
      <c r="G653" s="9" t="str">
        <f t="shared" ca="1" si="198"/>
        <v xml:space="preserve">The total of development budget in column B must be greater than zero.
</v>
      </c>
    </row>
    <row r="654" spans="1:7" ht="15" customHeight="1">
      <c r="A654" t="str">
        <f ca="1">IF(E654="", F654, "")</f>
        <v/>
      </c>
      <c r="B654" s="52">
        <f>B649+1</f>
        <v>94</v>
      </c>
      <c r="C654" t="str">
        <f ca="1">INDIRECT($F$291 &amp; ADDRESS(B654, 1,4  ))</f>
        <v>Soft Cost Contingency</v>
      </c>
      <c r="D654" t="str">
        <f>ADDRESS(B654, 2,4  )</f>
        <v>B94</v>
      </c>
      <c r="E654">
        <f t="shared" ca="1" si="199"/>
        <v>0</v>
      </c>
      <c r="F654" t="str">
        <f ca="1">CONCATENATE("Enter a value for '", C654, "' in cell ", D654, ".", CHAR(10))</f>
        <v xml:space="preserve">Enter a value for 'Soft Cost Contingency' in cell B94.
</v>
      </c>
      <c r="G654" s="9" t="str">
        <f t="shared" ca="1" si="198"/>
        <v xml:space="preserve">The total of development budget in column B must be greater than zero.
</v>
      </c>
    </row>
    <row r="655" spans="1:7" ht="15" customHeight="1">
      <c r="A655" t="str">
        <f ca="1">IF(AND(Calculations!$B$5, E655=""), F655, "")</f>
        <v/>
      </c>
      <c r="B655" t="s">
        <v>476</v>
      </c>
      <c r="C655" t="str">
        <f ca="1">INDIRECT($F$291 &amp; ADDRESS(B654, 1,4  ))</f>
        <v>Soft Cost Contingency</v>
      </c>
      <c r="D655" t="str">
        <f>ADDRESS(B654, 3,4  )</f>
        <v>C94</v>
      </c>
      <c r="E655">
        <f t="shared" ca="1" si="199"/>
        <v>0</v>
      </c>
      <c r="F655" t="str">
        <f ca="1">CONCATENATE("Enter an '4% LIHTC Basis Calculation' value for '", C655, "' in cell ", D655, ".", CHAR(10))</f>
        <v xml:space="preserve">Enter an '4% LIHTC Basis Calculation' value for 'Soft Cost Contingency' in cell C94.
</v>
      </c>
      <c r="G655" s="9" t="str">
        <f t="shared" ca="1" si="198"/>
        <v xml:space="preserve">The total of development budget in column B must be greater than zero.
</v>
      </c>
    </row>
    <row r="656" spans="1:7" ht="15" customHeight="1">
      <c r="A656" t="str">
        <f ca="1">IF(AND(Calculations!$B$6, E656=""), F656, "")</f>
        <v/>
      </c>
      <c r="B656" t="s">
        <v>476</v>
      </c>
      <c r="C656" t="str">
        <f ca="1">INDIRECT($F$291 &amp; ADDRESS(B654, 1,4  ))</f>
        <v>Soft Cost Contingency</v>
      </c>
      <c r="D656" t="str">
        <f>ADDRESS(B654, 4,4  )</f>
        <v>D94</v>
      </c>
      <c r="E656">
        <f t="shared" ca="1" si="199"/>
        <v>0</v>
      </c>
      <c r="F656" t="str">
        <f ca="1">CONCATENATE("Enter an '9% LIHTC Basis Calculation' value for '", C656, "' in cell ", D656, ".", CHAR(10))</f>
        <v xml:space="preserve">Enter an '9% LIHTC Basis Calculation' value for 'Soft Cost Contingency' in cell D94.
</v>
      </c>
      <c r="G656" s="9" t="str">
        <f t="shared" ca="1" si="198"/>
        <v xml:space="preserve">The total of development budget in column B must be greater than zero.
</v>
      </c>
    </row>
    <row r="657" spans="1:7" ht="15" customHeight="1">
      <c r="A657" t="str">
        <f ca="1">IF(AND(OR(Calculations!$B$3:$B$4), E657=""), F657, "")</f>
        <v/>
      </c>
      <c r="B657" t="s">
        <v>476</v>
      </c>
      <c r="C657" t="str">
        <f ca="1">INDIRECT($F$291 &amp; ADDRESS(B654, 1,4  ))</f>
        <v>Soft Cost Contingency</v>
      </c>
      <c r="D657" t="str">
        <f>ADDRESS(B654, 5,4  )</f>
        <v>E94</v>
      </c>
      <c r="E657">
        <f t="shared" ca="1" si="199"/>
        <v>0</v>
      </c>
      <c r="F657" t="str">
        <f ca="1">CONCATENATE("Enter an 'Amount Last Provided to CHFA' value for '", C657, "' in cell ", D657, ".", CHAR(10))</f>
        <v xml:space="preserve">Enter an 'Amount Last Provided to CHFA' value for 'Soft Cost Contingency' in cell E94.
</v>
      </c>
      <c r="G657" s="9" t="str">
        <f t="shared" ca="1" si="198"/>
        <v xml:space="preserve">The total of development budget in column B must be greater than zero.
</v>
      </c>
    </row>
    <row r="658" spans="1:7" ht="15" customHeight="1">
      <c r="A658" t="str">
        <f ca="1">IF(AND(Calculations!$B$3, E658=""), F658, "")</f>
        <v/>
      </c>
      <c r="B658" t="s">
        <v>476</v>
      </c>
      <c r="C658" t="str">
        <f ca="1">INDIRECT($F$291 &amp; ADDRESS(B654, 1,4  ))</f>
        <v>Soft Cost Contingency</v>
      </c>
      <c r="D658" t="str">
        <f>ADDRESS(B654, 6,4  )</f>
        <v>F94</v>
      </c>
      <c r="E658">
        <f t="shared" ca="1" si="199"/>
        <v>0</v>
      </c>
      <c r="F658" t="str">
        <f ca="1">CONCATENATE("Enter a '10% Carryover Actual Incurred Costs' value for '", C658, "' in cell ", D658, ".", CHAR(10))</f>
        <v xml:space="preserve">Enter a '10% Carryover Actual Incurred Costs' value for 'Soft Cost Contingency' in cell F94.
</v>
      </c>
      <c r="G658" s="9" t="str">
        <f t="shared" ca="1" si="198"/>
        <v xml:space="preserve">The total of development budget in column B must be greater than zero.
</v>
      </c>
    </row>
    <row r="659" spans="1:7" ht="15" customHeight="1">
      <c r="A659" t="str">
        <f ca="1">IF(E659="", F659, "")</f>
        <v/>
      </c>
      <c r="B659" s="52">
        <f>B654+1</f>
        <v>95</v>
      </c>
      <c r="C659" t="str">
        <f ca="1">INDIRECT($F$291 &amp; ADDRESS(B659, 1,4  ))</f>
        <v>Other (Specify)</v>
      </c>
      <c r="D659" t="str">
        <f>ADDRESS(B659, 2,4  )</f>
        <v>B95</v>
      </c>
      <c r="E659">
        <f ca="1">IF(ISBLANK( INDIRECT($F$291 &amp; D659)),"", INDIRECT($F$291 &amp; D659))</f>
        <v>0</v>
      </c>
      <c r="F659" t="str">
        <f ca="1">CONCATENATE("Enter a value for '", C659, "' in cell ", D659, ".", CHAR(10))</f>
        <v xml:space="preserve">Enter a value for 'Other (Specify)' in cell B95.
</v>
      </c>
      <c r="G659" s="9" t="str">
        <f t="shared" ca="1" si="198"/>
        <v xml:space="preserve">The total of development budget in column B must be greater than zero.
</v>
      </c>
    </row>
    <row r="660" spans="1:7" ht="15" customHeight="1">
      <c r="A660" t="str">
        <f ca="1">IF(AND(Calculations!$B$5, E660=""), F660, "")</f>
        <v/>
      </c>
      <c r="B660" t="s">
        <v>476</v>
      </c>
      <c r="C660" t="str">
        <f ca="1">INDIRECT($F$291 &amp; ADDRESS(B659, 1,4  ))</f>
        <v>Other (Specify)</v>
      </c>
      <c r="D660" t="str">
        <f>ADDRESS(B659, 3,4  )</f>
        <v>C95</v>
      </c>
      <c r="E660">
        <f ca="1">IF(ISBLANK( INDIRECT($F$291 &amp; D660)),"", INDIRECT($F$291 &amp; D660))</f>
        <v>0</v>
      </c>
      <c r="F660" t="str">
        <f ca="1">CONCATENATE("Enter an '4% LIHTC Basis Calculation' value for '", C660, "' in cell ", D660, ".", CHAR(10))</f>
        <v xml:space="preserve">Enter an '4% LIHTC Basis Calculation' value for 'Other (Specify)' in cell C95.
</v>
      </c>
      <c r="G660" s="9" t="str">
        <f t="shared" ca="1" si="198"/>
        <v xml:space="preserve">The total of development budget in column B must be greater than zero.
</v>
      </c>
    </row>
    <row r="661" spans="1:7" ht="15" customHeight="1">
      <c r="A661" t="str">
        <f ca="1">IF(AND(Calculations!$B$6, E661=""), F661, "")</f>
        <v/>
      </c>
      <c r="B661" t="s">
        <v>476</v>
      </c>
      <c r="C661" t="str">
        <f ca="1">INDIRECT($F$291 &amp; ADDRESS(B659, 1,4  ))</f>
        <v>Other (Specify)</v>
      </c>
      <c r="D661" t="str">
        <f>ADDRESS(B659, 4,4  )</f>
        <v>D95</v>
      </c>
      <c r="E661">
        <f ca="1">IF(ISBLANK( INDIRECT($F$291 &amp; D661)),"", INDIRECT($F$291 &amp; D661))</f>
        <v>0</v>
      </c>
      <c r="F661" t="str">
        <f ca="1">CONCATENATE("Enter an '9% LIHTC Basis Calculation' value for '", C661, "' in cell ", D661, ".", CHAR(10))</f>
        <v xml:space="preserve">Enter an '9% LIHTC Basis Calculation' value for 'Other (Specify)' in cell D95.
</v>
      </c>
      <c r="G661" s="9" t="str">
        <f t="shared" ca="1" si="198"/>
        <v xml:space="preserve">The total of development budget in column B must be greater than zero.
</v>
      </c>
    </row>
    <row r="662" spans="1:7" ht="15" customHeight="1">
      <c r="A662" t="str">
        <f ca="1">IF(AND(OR(Calculations!$B$3:$B$4), E662=""), F662, "")</f>
        <v/>
      </c>
      <c r="B662" t="s">
        <v>476</v>
      </c>
      <c r="C662" t="str">
        <f ca="1">INDIRECT($F$291 &amp; ADDRESS(B659, 1,4  ))</f>
        <v>Other (Specify)</v>
      </c>
      <c r="D662" t="str">
        <f>ADDRESS(B659, 5,4  )</f>
        <v>E95</v>
      </c>
      <c r="E662">
        <f ca="1">IF(ISBLANK( INDIRECT($F$291 &amp; D662)),"", INDIRECT($F$291 &amp; D662))</f>
        <v>0</v>
      </c>
      <c r="F662" t="str">
        <f ca="1">CONCATENATE("Enter an 'Amount Last Provided to CHFA' value for '", C662, "' in cell ", D662, ".", CHAR(10))</f>
        <v xml:space="preserve">Enter an 'Amount Last Provided to CHFA' value for 'Other (Specify)' in cell E95.
</v>
      </c>
      <c r="G662" s="9" t="str">
        <f t="shared" ca="1" si="198"/>
        <v xml:space="preserve">The total of development budget in column B must be greater than zero.
</v>
      </c>
    </row>
    <row r="663" spans="1:7" ht="15" customHeight="1">
      <c r="A663" t="str">
        <f ca="1">IF(AND(Calculations!$B$3, E663=""), F663, "")</f>
        <v/>
      </c>
      <c r="B663" t="s">
        <v>476</v>
      </c>
      <c r="C663" t="str">
        <f ca="1">INDIRECT($F$291 &amp; ADDRESS(B659, 1,4  ))</f>
        <v>Other (Specify)</v>
      </c>
      <c r="D663" t="str">
        <f>ADDRESS(B659, 6,4  )</f>
        <v>F95</v>
      </c>
      <c r="E663">
        <f ca="1">IF(ISBLANK( INDIRECT($F$291 &amp; D663)),"", INDIRECT($F$291 &amp; D663))</f>
        <v>0</v>
      </c>
      <c r="F663" t="str">
        <f ca="1">CONCATENATE("Enter a '10% Carryover Actual Incurred Costs' value for '", C663, "' in cell ", D663, ".", CHAR(10))</f>
        <v xml:space="preserve">Enter a '10% Carryover Actual Incurred Costs' value for 'Other (Specify)' in cell F95.
</v>
      </c>
      <c r="G663" s="9" t="str">
        <f t="shared" ca="1" si="198"/>
        <v xml:space="preserve">The total of development budget in column B must be greater than zero.
</v>
      </c>
    </row>
    <row r="664" spans="1:7" ht="15" customHeight="1">
      <c r="A664" t="str">
        <f ca="1">IF(AND(E664, SUM(E659:E663) &gt; 0), F664, "")</f>
        <v/>
      </c>
      <c r="C664" t="str">
        <f ca="1">INDIRECT($F$291 &amp; ADDRESS(B659, 1,4  ))</f>
        <v>Other (Specify)</v>
      </c>
      <c r="D664" t="str">
        <f>ADDRESS(B659, 1,4  )</f>
        <v>A95</v>
      </c>
      <c r="E664" t="b">
        <f ca="1">INDIRECT($F$291 &amp; D664)="Other (specify)"</f>
        <v>1</v>
      </c>
      <c r="F664" t="str">
        <f ca="1">CONCATENATE("Please specify value for '", C664, "' in cell ", D664, ".", CHAR(10))</f>
        <v xml:space="preserve">Please specify value for 'Other (Specify)' in cell A95.
</v>
      </c>
      <c r="G664" s="9" t="str">
        <f t="shared" ca="1" si="198"/>
        <v xml:space="preserve">The total of development budget in column B must be greater than zero.
</v>
      </c>
    </row>
    <row r="665" spans="1:7" ht="15" customHeight="1">
      <c r="A665" t="str">
        <f ca="1">IF(E665="", F665, "")</f>
        <v/>
      </c>
      <c r="B665" s="52">
        <f>B659+1</f>
        <v>96</v>
      </c>
      <c r="C665" t="str">
        <f ca="1">INDIRECT($F$291 &amp; ADDRESS(B665, 1,4  ))</f>
        <v>Other (Specify)</v>
      </c>
      <c r="D665" t="str">
        <f>ADDRESS(B665, 2,4  )</f>
        <v>B96</v>
      </c>
      <c r="E665">
        <f ca="1">IF(ISBLANK( INDIRECT($F$291 &amp; D665)),"", INDIRECT($F$291 &amp; D665))</f>
        <v>0</v>
      </c>
      <c r="F665" t="str">
        <f ca="1">CONCATENATE("Enter a value for '", C665, "' in cell ", D665, ".", CHAR(10))</f>
        <v xml:space="preserve">Enter a value for 'Other (Specify)' in cell B96.
</v>
      </c>
      <c r="G665" s="9" t="str">
        <f t="shared" ca="1" si="198"/>
        <v xml:space="preserve">The total of development budget in column B must be greater than zero.
</v>
      </c>
    </row>
    <row r="666" spans="1:7" ht="15" customHeight="1">
      <c r="A666" t="str">
        <f ca="1">IF(AND(Calculations!$B$5, E666=""), F666, "")</f>
        <v/>
      </c>
      <c r="B666" t="s">
        <v>476</v>
      </c>
      <c r="C666" t="str">
        <f ca="1">INDIRECT($F$291 &amp; ADDRESS(B665, 1,4  ))</f>
        <v>Other (Specify)</v>
      </c>
      <c r="D666" t="str">
        <f>ADDRESS(B665, 3,4  )</f>
        <v>C96</v>
      </c>
      <c r="E666">
        <f ca="1">IF(ISBLANK( INDIRECT($F$291 &amp; D666)),"", INDIRECT($F$291 &amp; D666))</f>
        <v>0</v>
      </c>
      <c r="F666" t="str">
        <f ca="1">CONCATENATE("Enter an '4% LIHTC Basis Calculation' value for '", C666, "' in cell ", D666, ".", CHAR(10))</f>
        <v xml:space="preserve">Enter an '4% LIHTC Basis Calculation' value for 'Other (Specify)' in cell C96.
</v>
      </c>
      <c r="G666" s="9" t="str">
        <f t="shared" ca="1" si="198"/>
        <v xml:space="preserve">The total of development budget in column B must be greater than zero.
</v>
      </c>
    </row>
    <row r="667" spans="1:7" ht="15" customHeight="1">
      <c r="A667" t="str">
        <f ca="1">IF(AND(Calculations!$B$6, E667=""), F667, "")</f>
        <v/>
      </c>
      <c r="B667" t="s">
        <v>476</v>
      </c>
      <c r="C667" t="str">
        <f ca="1">INDIRECT($F$291 &amp; ADDRESS(B665, 1,4  ))</f>
        <v>Other (Specify)</v>
      </c>
      <c r="D667" t="str">
        <f>ADDRESS(B665, 4,4  )</f>
        <v>D96</v>
      </c>
      <c r="E667">
        <f ca="1">IF(ISBLANK( INDIRECT($F$291 &amp; D667)),"", INDIRECT($F$291 &amp; D667))</f>
        <v>0</v>
      </c>
      <c r="F667" t="str">
        <f ca="1">CONCATENATE("Enter an '9% LIHTC Basis Calculation' value for '", C667, "' in cell ", D667, ".", CHAR(10))</f>
        <v xml:space="preserve">Enter an '9% LIHTC Basis Calculation' value for 'Other (Specify)' in cell D96.
</v>
      </c>
      <c r="G667" s="9" t="str">
        <f t="shared" ca="1" si="198"/>
        <v xml:space="preserve">The total of development budget in column B must be greater than zero.
</v>
      </c>
    </row>
    <row r="668" spans="1:7" ht="15" customHeight="1">
      <c r="A668" t="str">
        <f ca="1">IF(AND(OR(Calculations!$B$3:$B$4), E668=""), F668, "")</f>
        <v/>
      </c>
      <c r="B668" t="s">
        <v>476</v>
      </c>
      <c r="C668" t="str">
        <f ca="1">INDIRECT($F$291 &amp; ADDRESS(B665, 1,4  ))</f>
        <v>Other (Specify)</v>
      </c>
      <c r="D668" t="str">
        <f>ADDRESS(B665, 5,4  )</f>
        <v>E96</v>
      </c>
      <c r="E668">
        <f ca="1">IF(ISBLANK( INDIRECT($F$291 &amp; D668)),"", INDIRECT($F$291 &amp; D668))</f>
        <v>0</v>
      </c>
      <c r="F668" t="str">
        <f ca="1">CONCATENATE("Enter an 'Amount Last Provided to CHFA' value for '", C668, "' in cell ", D668, ".", CHAR(10))</f>
        <v xml:space="preserve">Enter an 'Amount Last Provided to CHFA' value for 'Other (Specify)' in cell E96.
</v>
      </c>
      <c r="G668" s="9" t="str">
        <f t="shared" ca="1" si="198"/>
        <v xml:space="preserve">The total of development budget in column B must be greater than zero.
</v>
      </c>
    </row>
    <row r="669" spans="1:7" ht="15" customHeight="1">
      <c r="A669" t="str">
        <f ca="1">IF(AND(Calculations!$B$3, E669=""), F669, "")</f>
        <v/>
      </c>
      <c r="B669" t="s">
        <v>476</v>
      </c>
      <c r="C669" t="str">
        <f ca="1">INDIRECT($F$291 &amp; ADDRESS(B665, 1,4  ))</f>
        <v>Other (Specify)</v>
      </c>
      <c r="D669" t="str">
        <f>ADDRESS(B665, 6,4  )</f>
        <v>F96</v>
      </c>
      <c r="E669">
        <f ca="1">IF(ISBLANK( INDIRECT($F$291 &amp; D669)),"", INDIRECT($F$291 &amp; D669))</f>
        <v>0</v>
      </c>
      <c r="F669" t="str">
        <f ca="1">CONCATENATE("Enter a '10% Carryover Actual Incurred Costs' value for '", C669, "' in cell ", D669, ".", CHAR(10))</f>
        <v xml:space="preserve">Enter a '10% Carryover Actual Incurred Costs' value for 'Other (Specify)' in cell F96.
</v>
      </c>
      <c r="G669" s="9" t="str">
        <f t="shared" ca="1" si="198"/>
        <v xml:space="preserve">The total of development budget in column B must be greater than zero.
</v>
      </c>
    </row>
    <row r="670" spans="1:7" ht="15" customHeight="1">
      <c r="A670" t="str">
        <f ca="1">IF(AND(E670, SUM(E665:E669) &gt; 0), F670, "")</f>
        <v/>
      </c>
      <c r="C670" t="str">
        <f ca="1">INDIRECT($F$291 &amp; ADDRESS(B665, 1,4  ))</f>
        <v>Other (Specify)</v>
      </c>
      <c r="D670" t="str">
        <f>ADDRESS(B665, 1,4  )</f>
        <v>A96</v>
      </c>
      <c r="E670" t="b">
        <f ca="1">INDIRECT($F$291 &amp; D670)="Other (specify)"</f>
        <v>1</v>
      </c>
      <c r="F670" t="str">
        <f ca="1">CONCATENATE("Please specify value for '", C670, "' in cell ", D670, ".", CHAR(10))</f>
        <v xml:space="preserve">Please specify value for 'Other (Specify)' in cell A96.
</v>
      </c>
      <c r="G670" s="9" t="str">
        <f t="shared" ca="1" si="198"/>
        <v xml:space="preserve">The total of development budget in column B must be greater than zero.
</v>
      </c>
    </row>
    <row r="671" spans="1:7" ht="15" customHeight="1">
      <c r="A671" t="str">
        <f ca="1">IF(E671="", F671, "")</f>
        <v/>
      </c>
      <c r="B671" s="52">
        <f>B665+1</f>
        <v>97</v>
      </c>
      <c r="C671" t="str">
        <f ca="1">INDIRECT($F$291 &amp; ADDRESS(B671, 1,4  ))</f>
        <v>Other (Specify)</v>
      </c>
      <c r="D671" t="str">
        <f>ADDRESS(B671, 2,4  )</f>
        <v>B97</v>
      </c>
      <c r="E671">
        <f ca="1">IF(ISBLANK( INDIRECT($F$291 &amp; D671)),"", INDIRECT($F$291 &amp; D671))</f>
        <v>0</v>
      </c>
      <c r="F671" t="str">
        <f ca="1">CONCATENATE("Enter a value for '", C671, "' in cell ", D671, ".", CHAR(10))</f>
        <v xml:space="preserve">Enter a value for 'Other (Specify)' in cell B97.
</v>
      </c>
      <c r="G671" s="9" t="str">
        <f t="shared" ca="1" si="198"/>
        <v xml:space="preserve">The total of development budget in column B must be greater than zero.
</v>
      </c>
    </row>
    <row r="672" spans="1:7" ht="15" customHeight="1">
      <c r="A672" t="str">
        <f ca="1">IF(AND(Calculations!$B$5, E672=""), F672, "")</f>
        <v/>
      </c>
      <c r="B672" t="s">
        <v>476</v>
      </c>
      <c r="C672" t="str">
        <f ca="1">INDIRECT($F$291 &amp; ADDRESS(B671, 1,4  ))</f>
        <v>Other (Specify)</v>
      </c>
      <c r="D672" t="str">
        <f>ADDRESS(B671, 3,4  )</f>
        <v>C97</v>
      </c>
      <c r="E672">
        <f ca="1">IF(ISBLANK( INDIRECT($F$291 &amp; D672)),"", INDIRECT($F$291 &amp; D672))</f>
        <v>0</v>
      </c>
      <c r="F672" t="str">
        <f ca="1">CONCATENATE("Enter an '4% LIHTC Basis Calculation' value for '", C672, "' in cell ", D672, ".", CHAR(10))</f>
        <v xml:space="preserve">Enter an '4% LIHTC Basis Calculation' value for 'Other (Specify)' in cell C97.
</v>
      </c>
      <c r="G672" s="9" t="str">
        <f t="shared" ca="1" si="198"/>
        <v xml:space="preserve">The total of development budget in column B must be greater than zero.
</v>
      </c>
    </row>
    <row r="673" spans="1:7" ht="15" customHeight="1">
      <c r="A673" t="str">
        <f ca="1">IF(AND(Calculations!$B$6, E673=""), F673, "")</f>
        <v/>
      </c>
      <c r="B673" t="s">
        <v>476</v>
      </c>
      <c r="C673" t="str">
        <f ca="1">INDIRECT($F$291 &amp; ADDRESS(B671, 1,4  ))</f>
        <v>Other (Specify)</v>
      </c>
      <c r="D673" t="str">
        <f>ADDRESS(B671, 4,4  )</f>
        <v>D97</v>
      </c>
      <c r="E673">
        <f ca="1">IF(ISBLANK( INDIRECT($F$291 &amp; D673)),"", INDIRECT($F$291 &amp; D673))</f>
        <v>0</v>
      </c>
      <c r="F673" t="str">
        <f ca="1">CONCATENATE("Enter an '9% LIHTC Basis Calculation' value for '", C673, "' in cell ", D673, ".", CHAR(10))</f>
        <v xml:space="preserve">Enter an '9% LIHTC Basis Calculation' value for 'Other (Specify)' in cell D97.
</v>
      </c>
      <c r="G673" s="9" t="str">
        <f t="shared" ca="1" si="198"/>
        <v xml:space="preserve">The total of development budget in column B must be greater than zero.
</v>
      </c>
    </row>
    <row r="674" spans="1:7" ht="15" customHeight="1">
      <c r="A674" t="str">
        <f ca="1">IF(AND(OR(Calculations!$B$3:$B$4), E674=""), F674, "")</f>
        <v/>
      </c>
      <c r="B674" t="s">
        <v>476</v>
      </c>
      <c r="C674" t="str">
        <f ca="1">INDIRECT($F$291 &amp; ADDRESS(B671, 1,4  ))</f>
        <v>Other (Specify)</v>
      </c>
      <c r="D674" t="str">
        <f>ADDRESS(B671, 5,4  )</f>
        <v>E97</v>
      </c>
      <c r="E674">
        <f ca="1">IF(ISBLANK( INDIRECT($F$291 &amp; D674)),"", INDIRECT($F$291 &amp; D674))</f>
        <v>0</v>
      </c>
      <c r="F674" t="str">
        <f ca="1">CONCATENATE("Enter an 'Amount Last Provided to CHFA' value for '", C674, "' in cell ", D674, ".", CHAR(10))</f>
        <v xml:space="preserve">Enter an 'Amount Last Provided to CHFA' value for 'Other (Specify)' in cell E97.
</v>
      </c>
      <c r="G674" s="9" t="str">
        <f t="shared" ca="1" si="198"/>
        <v xml:space="preserve">The total of development budget in column B must be greater than zero.
</v>
      </c>
    </row>
    <row r="675" spans="1:7" ht="15" customHeight="1">
      <c r="A675" t="str">
        <f ca="1">IF(AND(Calculations!$B$3, E675=""), F675, "")</f>
        <v/>
      </c>
      <c r="B675" t="s">
        <v>476</v>
      </c>
      <c r="C675" t="str">
        <f ca="1">INDIRECT($F$291 &amp; ADDRESS(B671, 1,4  ))</f>
        <v>Other (Specify)</v>
      </c>
      <c r="D675" t="str">
        <f>ADDRESS(B671, 6,4  )</f>
        <v>F97</v>
      </c>
      <c r="E675">
        <f ca="1">IF(ISBLANK( INDIRECT($F$291 &amp; D675)),"", INDIRECT($F$291 &amp; D675))</f>
        <v>0</v>
      </c>
      <c r="F675" t="str">
        <f ca="1">CONCATENATE("Enter a '10% Carryover Actual Incurred Costs' value for '", C675, "' in cell ", D675, ".", CHAR(10))</f>
        <v xml:space="preserve">Enter a '10% Carryover Actual Incurred Costs' value for 'Other (Specify)' in cell F97.
</v>
      </c>
      <c r="G675" s="9" t="str">
        <f t="shared" ca="1" si="198"/>
        <v xml:space="preserve">The total of development budget in column B must be greater than zero.
</v>
      </c>
    </row>
    <row r="676" spans="1:7" ht="15" customHeight="1">
      <c r="A676" t="str">
        <f ca="1">IF(AND(E676, SUM(E671:E675) &gt; 0), F676, "")</f>
        <v/>
      </c>
      <c r="C676" t="str">
        <f ca="1">INDIRECT($F$291 &amp; ADDRESS(B671, 1,4  ))</f>
        <v>Other (Specify)</v>
      </c>
      <c r="D676" t="str">
        <f>ADDRESS(B671, 1,4  )</f>
        <v>A97</v>
      </c>
      <c r="E676" t="b">
        <f ca="1">INDIRECT($F$291 &amp; D676)="Other (specify)"</f>
        <v>1</v>
      </c>
      <c r="F676" t="str">
        <f ca="1">CONCATENATE("Please specify value for '", C676, "' in cell ", D676, ".", CHAR(10))</f>
        <v xml:space="preserve">Please specify value for 'Other (Specify)' in cell A97.
</v>
      </c>
      <c r="G676" s="9" t="str">
        <f t="shared" ca="1" si="198"/>
        <v xml:space="preserve">The total of development budget in column B must be greater than zero.
</v>
      </c>
    </row>
    <row r="677" spans="1:7" ht="15" customHeight="1">
      <c r="A677" t="str">
        <f ca="1">IF(E677="", F677, "")</f>
        <v/>
      </c>
      <c r="B677">
        <f>ROW('Development Budget'!A100)</f>
        <v>100</v>
      </c>
      <c r="C677" t="str">
        <f ca="1">INDIRECT($F$291 &amp; ADDRESS(B677, 1,4  ))</f>
        <v>Organization Costs</v>
      </c>
      <c r="D677" t="str">
        <f>ADDRESS(B677, 2,4  )</f>
        <v>B100</v>
      </c>
      <c r="E677">
        <f t="shared" ref="E677:E684" ca="1" si="200">IF(ISBLANK( INDIRECT($F$291 &amp; D677)),"", INDIRECT($F$291 &amp; D677))</f>
        <v>0</v>
      </c>
      <c r="F677" t="str">
        <f ca="1">CONCATENATE("Enter a value for '", C677, "' in cell ", D677, ".", CHAR(10))</f>
        <v xml:space="preserve">Enter a value for 'Organization Costs' in cell B100.
</v>
      </c>
      <c r="G677" s="9" t="str">
        <f t="shared" ca="1" si="198"/>
        <v xml:space="preserve">The total of development budget in column B must be greater than zero.
</v>
      </c>
    </row>
    <row r="678" spans="1:7" ht="15" customHeight="1">
      <c r="A678" t="str">
        <f ca="1">IF(AND(OR(Calculations!$B$3:$B$4), E678=""), F678, "")</f>
        <v/>
      </c>
      <c r="B678" t="s">
        <v>476</v>
      </c>
      <c r="C678" t="str">
        <f ca="1">INDIRECT($F$291 &amp; ADDRESS(B677, 1,4  ))</f>
        <v>Organization Costs</v>
      </c>
      <c r="D678" t="str">
        <f>ADDRESS(B677, 5,4  )</f>
        <v>E100</v>
      </c>
      <c r="E678" t="str">
        <f t="shared" ca="1" si="200"/>
        <v/>
      </c>
      <c r="F678" t="str">
        <f ca="1">CONCATENATE("Enter an 'Amount Last Provided to CHFA' value for '", C678, "' in cell ", D678, ".", CHAR(10))</f>
        <v xml:space="preserve">Enter an 'Amount Last Provided to CHFA' value for 'Organization Costs' in cell E100.
</v>
      </c>
      <c r="G678" s="9" t="str">
        <f t="shared" ca="1" si="198"/>
        <v xml:space="preserve">The total of development budget in column B must be greater than zero.
</v>
      </c>
    </row>
    <row r="679" spans="1:7" ht="15" customHeight="1">
      <c r="A679" t="str">
        <f ca="1">IF(E679="", F679, "")</f>
        <v/>
      </c>
      <c r="B679" s="52">
        <f>B677+1</f>
        <v>101</v>
      </c>
      <c r="C679" t="str">
        <f ca="1">INDIRECT($F$291 &amp; ADDRESS(B679, 1,4  ))</f>
        <v>Tax Opinion</v>
      </c>
      <c r="D679" t="str">
        <f>ADDRESS(B679, 2,4  )</f>
        <v>B101</v>
      </c>
      <c r="E679">
        <f t="shared" ca="1" si="200"/>
        <v>0</v>
      </c>
      <c r="F679" t="str">
        <f ca="1">CONCATENATE("Enter a value for '", C679, "' in cell ", D679, ".", CHAR(10))</f>
        <v xml:space="preserve">Enter a value for 'Tax Opinion' in cell B101.
</v>
      </c>
      <c r="G679" s="9" t="str">
        <f t="shared" ca="1" si="198"/>
        <v xml:space="preserve">The total of development budget in column B must be greater than zero.
</v>
      </c>
    </row>
    <row r="680" spans="1:7" ht="15" customHeight="1">
      <c r="A680" t="str">
        <f ca="1">IF(AND(OR(Calculations!$B$3:$B$4), E680=""), F680, "")</f>
        <v/>
      </c>
      <c r="B680" t="s">
        <v>476</v>
      </c>
      <c r="C680" t="str">
        <f ca="1">INDIRECT($F$291 &amp; ADDRESS(B679, 1,4  ))</f>
        <v>Tax Opinion</v>
      </c>
      <c r="D680" t="str">
        <f>ADDRESS(B679, 5,4  )</f>
        <v>E101</v>
      </c>
      <c r="E680">
        <f t="shared" ca="1" si="200"/>
        <v>0</v>
      </c>
      <c r="F680" t="str">
        <f ca="1">CONCATENATE("Enter an 'Amount Last Provided to CHFA' value for '", C680, "' in cell ", D680, ".", CHAR(10))</f>
        <v xml:space="preserve">Enter an 'Amount Last Provided to CHFA' value for 'Tax Opinion' in cell E101.
</v>
      </c>
      <c r="G680" s="9" t="str">
        <f t="shared" ref="G680:G737" ca="1" si="201">OFFSET(G680, -1, 0) &amp; A680</f>
        <v xml:space="preserve">The total of development budget in column B must be greater than zero.
</v>
      </c>
    </row>
    <row r="681" spans="1:7" ht="15" customHeight="1">
      <c r="A681" t="str">
        <f ca="1">IF(E681="", F681, "")</f>
        <v/>
      </c>
      <c r="B681" s="52">
        <f>B679+1</f>
        <v>102</v>
      </c>
      <c r="C681" t="str">
        <f ca="1">INDIRECT($F$291 &amp; ADDRESS(B681, 1,4  ))</f>
        <v>Syndication Legal Fees</v>
      </c>
      <c r="D681" t="str">
        <f>ADDRESS(B681, 2,4  )</f>
        <v>B102</v>
      </c>
      <c r="E681">
        <f t="shared" ca="1" si="200"/>
        <v>0</v>
      </c>
      <c r="F681" t="str">
        <f ca="1">CONCATENATE("Enter a value for '", C681, "' in cell ", D681, ".", CHAR(10))</f>
        <v xml:space="preserve">Enter a value for 'Syndication Legal Fees' in cell B102.
</v>
      </c>
      <c r="G681" s="9" t="str">
        <f t="shared" ca="1" si="201"/>
        <v xml:space="preserve">The total of development budget in column B must be greater than zero.
</v>
      </c>
    </row>
    <row r="682" spans="1:7" ht="15" customHeight="1">
      <c r="A682" t="str">
        <f ca="1">IF(AND(OR(Calculations!$B$3:$B$4), E682=""), F682, "")</f>
        <v/>
      </c>
      <c r="B682" t="s">
        <v>476</v>
      </c>
      <c r="C682" t="str">
        <f ca="1">INDIRECT($F$291 &amp; ADDRESS(B681, 1,4  ))</f>
        <v>Syndication Legal Fees</v>
      </c>
      <c r="D682" t="str">
        <f>ADDRESS(B681, 5,4  )</f>
        <v>E102</v>
      </c>
      <c r="E682">
        <f t="shared" ca="1" si="200"/>
        <v>0</v>
      </c>
      <c r="F682" t="str">
        <f ca="1">CONCATENATE("Enter an 'Amount Last Provided to CHFA' value for '", C682, "' in cell ", D682, ".", CHAR(10))</f>
        <v xml:space="preserve">Enter an 'Amount Last Provided to CHFA' value for 'Syndication Legal Fees' in cell E102.
</v>
      </c>
      <c r="G682" s="9" t="str">
        <f t="shared" ca="1" si="201"/>
        <v xml:space="preserve">The total of development budget in column B must be greater than zero.
</v>
      </c>
    </row>
    <row r="683" spans="1:7" ht="15" customHeight="1">
      <c r="A683" t="str">
        <f ca="1">IF(E683="", F683, "")</f>
        <v/>
      </c>
      <c r="B683" s="52">
        <f>B681+1</f>
        <v>103</v>
      </c>
      <c r="C683" t="str">
        <f ca="1">INDIRECT($F$291 &amp; ADDRESS(B683, 1,4  ))</f>
        <v>Other (Specify)</v>
      </c>
      <c r="D683" t="str">
        <f>ADDRESS(B683, 2,4  )</f>
        <v>B103</v>
      </c>
      <c r="E683">
        <f t="shared" ca="1" si="200"/>
        <v>0</v>
      </c>
      <c r="F683" t="str">
        <f ca="1">CONCATENATE("Enter a value for '", C683, "' in cell ", D683, ".", CHAR(10))</f>
        <v xml:space="preserve">Enter a value for 'Other (Specify)' in cell B103.
</v>
      </c>
      <c r="G683" s="9" t="str">
        <f t="shared" ca="1" si="201"/>
        <v xml:space="preserve">The total of development budget in column B must be greater than zero.
</v>
      </c>
    </row>
    <row r="684" spans="1:7" ht="15" customHeight="1">
      <c r="A684" t="str">
        <f ca="1">IF(AND(OR(Calculations!$B$3:$B$4), E684=""), F684, "")</f>
        <v/>
      </c>
      <c r="B684" t="s">
        <v>476</v>
      </c>
      <c r="C684" t="str">
        <f ca="1">INDIRECT($F$291 &amp; ADDRESS(B683, 1,4  ))</f>
        <v>Other (Specify)</v>
      </c>
      <c r="D684" t="str">
        <f>ADDRESS(B683, 5,4  )</f>
        <v>E103</v>
      </c>
      <c r="E684">
        <f t="shared" ca="1" si="200"/>
        <v>0</v>
      </c>
      <c r="F684" t="str">
        <f ca="1">CONCATENATE("Enter an 'Amount Last Provided to CHFA' value for '", C684, "' in cell ", D684, ".", CHAR(10))</f>
        <v xml:space="preserve">Enter an 'Amount Last Provided to CHFA' value for 'Other (Specify)' in cell E103.
</v>
      </c>
      <c r="G684" s="9" t="str">
        <f t="shared" ca="1" si="201"/>
        <v xml:space="preserve">The total of development budget in column B must be greater than zero.
</v>
      </c>
    </row>
    <row r="685" spans="1:7" ht="15" customHeight="1">
      <c r="A685" t="str">
        <f ca="1">IF(AND(E685, SUM(E683:E684) &gt; 0), F685, "")</f>
        <v/>
      </c>
      <c r="C685" t="str">
        <f ca="1">INDIRECT($F$291 &amp; ADDRESS(B683, 1,4  ))</f>
        <v>Other (Specify)</v>
      </c>
      <c r="D685" t="str">
        <f>ADDRESS(B683, 1,4  )</f>
        <v>A103</v>
      </c>
      <c r="E685" t="b">
        <f ca="1">INDIRECT($F$291 &amp; D685)="Other (specify)"</f>
        <v>1</v>
      </c>
      <c r="F685" t="str">
        <f ca="1">CONCATENATE("Please specify value for '", C685, "' in cell ", D685, ".", CHAR(10))</f>
        <v xml:space="preserve">Please specify value for 'Other (Specify)' in cell A103.
</v>
      </c>
      <c r="G685" s="9" t="str">
        <f t="shared" ca="1" si="201"/>
        <v xml:space="preserve">The total of development budget in column B must be greater than zero.
</v>
      </c>
    </row>
    <row r="686" spans="1:7" ht="15" customHeight="1">
      <c r="A686" t="str">
        <f ca="1">IF(E686="", F686, "")</f>
        <v/>
      </c>
      <c r="B686" s="52">
        <f>B683+1</f>
        <v>104</v>
      </c>
      <c r="C686" t="str">
        <f ca="1">INDIRECT($F$291 &amp; ADDRESS(B686, 1,4  ))</f>
        <v>Other (Specify)</v>
      </c>
      <c r="D686" t="str">
        <f>ADDRESS(B686, 2,4  )</f>
        <v>B104</v>
      </c>
      <c r="E686">
        <f ca="1">IF(ISBLANK( INDIRECT($F$291 &amp; D686)),"", INDIRECT($F$291 &amp; D686))</f>
        <v>0</v>
      </c>
      <c r="F686" t="str">
        <f ca="1">CONCATENATE("Enter a value for '", C686, "' in cell ", D686, ".", CHAR(10))</f>
        <v xml:space="preserve">Enter a value for 'Other (Specify)' in cell B104.
</v>
      </c>
      <c r="G686" s="9" t="str">
        <f t="shared" ca="1" si="201"/>
        <v xml:space="preserve">The total of development budget in column B must be greater than zero.
</v>
      </c>
    </row>
    <row r="687" spans="1:7" ht="15" customHeight="1">
      <c r="A687" t="str">
        <f ca="1">IF(AND(OR(Calculations!$B$3:$B$4), E687=""), F687, "")</f>
        <v/>
      </c>
      <c r="B687" t="s">
        <v>476</v>
      </c>
      <c r="C687" t="str">
        <f ca="1">INDIRECT($F$291 &amp; ADDRESS(B686, 1,4  ))</f>
        <v>Other (Specify)</v>
      </c>
      <c r="D687" t="str">
        <f>ADDRESS(B686, 5,4  )</f>
        <v>E104</v>
      </c>
      <c r="E687">
        <f ca="1">IF(ISBLANK( INDIRECT($F$291 &amp; D687)),"", INDIRECT($F$291 &amp; D687))</f>
        <v>0</v>
      </c>
      <c r="F687" t="str">
        <f ca="1">CONCATENATE("Enter an 'Amount Last Provided to CHFA' value for '", C687, "' in cell ", D687, ".", CHAR(10))</f>
        <v xml:space="preserve">Enter an 'Amount Last Provided to CHFA' value for 'Other (Specify)' in cell E104.
</v>
      </c>
      <c r="G687" s="9" t="str">
        <f t="shared" ca="1" si="201"/>
        <v xml:space="preserve">The total of development budget in column B must be greater than zero.
</v>
      </c>
    </row>
    <row r="688" spans="1:7" ht="15" customHeight="1">
      <c r="A688" t="str">
        <f ca="1">IF(AND(E688, SUM(E686:E687) &gt; 0), F688, "")</f>
        <v/>
      </c>
      <c r="C688" t="str">
        <f ca="1">INDIRECT($F$291 &amp; ADDRESS(B686, 1,4  ))</f>
        <v>Other (Specify)</v>
      </c>
      <c r="D688" t="str">
        <f>ADDRESS(B686, 1,4  )</f>
        <v>A104</v>
      </c>
      <c r="E688" t="b">
        <f ca="1">INDIRECT($F$291 &amp; D688)="Other (specify)"</f>
        <v>1</v>
      </c>
      <c r="F688" t="str">
        <f ca="1">CONCATENATE("Please specify value for '", C688, "' in cell ", D688, ".", CHAR(10))</f>
        <v xml:space="preserve">Please specify value for 'Other (Specify)' in cell A104.
</v>
      </c>
      <c r="G688" s="9" t="str">
        <f t="shared" ca="1" si="201"/>
        <v xml:space="preserve">The total of development budget in column B must be greater than zero.
</v>
      </c>
    </row>
    <row r="689" spans="1:7" ht="15" customHeight="1">
      <c r="A689" t="str">
        <f ca="1">IF(E689="", F689, "")</f>
        <v/>
      </c>
      <c r="B689" s="52">
        <f>B686+1</f>
        <v>105</v>
      </c>
      <c r="C689" t="str">
        <f ca="1">INDIRECT($F$291 &amp; ADDRESS(B689, 1,4  ))</f>
        <v>Other (Specify)</v>
      </c>
      <c r="D689" t="str">
        <f>ADDRESS(B689, 2,4  )</f>
        <v>B105</v>
      </c>
      <c r="E689">
        <f ca="1">IF(ISBLANK( INDIRECT($F$291 &amp; D689)),"", INDIRECT($F$291 &amp; D689))</f>
        <v>0</v>
      </c>
      <c r="F689" t="str">
        <f ca="1">CONCATENATE("Enter a value for '", C689, "' in cell ", D689, ".", CHAR(10))</f>
        <v xml:space="preserve">Enter a value for 'Other (Specify)' in cell B105.
</v>
      </c>
      <c r="G689" s="9" t="str">
        <f t="shared" ca="1" si="201"/>
        <v xml:space="preserve">The total of development budget in column B must be greater than zero.
</v>
      </c>
    </row>
    <row r="690" spans="1:7" ht="15" customHeight="1">
      <c r="A690" t="str">
        <f ca="1">IF(AND(OR(Calculations!$B$3:$B$4), E690=""), F690, "")</f>
        <v/>
      </c>
      <c r="B690" t="s">
        <v>476</v>
      </c>
      <c r="C690" t="str">
        <f ca="1">INDIRECT($F$291 &amp; ADDRESS(B689, 1,4  ))</f>
        <v>Other (Specify)</v>
      </c>
      <c r="D690" t="str">
        <f>ADDRESS(B689, 5,4  )</f>
        <v>E105</v>
      </c>
      <c r="E690">
        <f ca="1">IF(ISBLANK( INDIRECT($F$291 &amp; D690)),"", INDIRECT($F$291 &amp; D690))</f>
        <v>0</v>
      </c>
      <c r="F690" t="str">
        <f ca="1">CONCATENATE("Enter an 'Amount Last Provided to CHFA' value for '", C690, "' in cell ", D690, ".", CHAR(10))</f>
        <v xml:space="preserve">Enter an 'Amount Last Provided to CHFA' value for 'Other (Specify)' in cell E105.
</v>
      </c>
      <c r="G690" s="9" t="str">
        <f t="shared" ca="1" si="201"/>
        <v xml:space="preserve">The total of development budget in column B must be greater than zero.
</v>
      </c>
    </row>
    <row r="691" spans="1:7" ht="15" customHeight="1">
      <c r="A691" t="str">
        <f ca="1">IF(AND(E691, SUM(E689:E690) &gt; 0), F691, "")</f>
        <v/>
      </c>
      <c r="C691" t="str">
        <f ca="1">INDIRECT($F$291 &amp; ADDRESS(B689, 1,4  ))</f>
        <v>Other (Specify)</v>
      </c>
      <c r="D691" t="str">
        <f>ADDRESS(B689, 1,4  )</f>
        <v>A105</v>
      </c>
      <c r="E691" t="b">
        <f ca="1">INDIRECT($F$291 &amp; D691)="Other (specify)"</f>
        <v>1</v>
      </c>
      <c r="F691" t="str">
        <f ca="1">CONCATENATE("Please specify value for '", C691, "' in cell ", D691, ".", CHAR(10))</f>
        <v xml:space="preserve">Please specify value for 'Other (Specify)' in cell A105.
</v>
      </c>
      <c r="G691" s="9" t="str">
        <f t="shared" ca="1" si="201"/>
        <v xml:space="preserve">The total of development budget in column B must be greater than zero.
</v>
      </c>
    </row>
    <row r="692" spans="1:7" ht="15" customHeight="1">
      <c r="A692" t="str">
        <f ca="1">IF(E692="", F692, "")</f>
        <v/>
      </c>
      <c r="B692">
        <f>ROW('Development Budget'!A108)</f>
        <v>108</v>
      </c>
      <c r="C692" t="str">
        <f ca="1">INDIRECT($F$291 &amp; ADDRESS(B692, 1,4  ))</f>
        <v>Developer Fee</v>
      </c>
      <c r="D692" t="str">
        <f>ADDRESS(B692, 2,4  )</f>
        <v>B108</v>
      </c>
      <c r="E692">
        <f t="shared" ref="E692:E731" ca="1" si="202">IF(ISBLANK( INDIRECT($F$291 &amp; D692)),"", INDIRECT($F$291 &amp; D692))</f>
        <v>0</v>
      </c>
      <c r="F692" t="str">
        <f ca="1">CONCATENATE("Enter a value for '", C692, "' in cell ", D692, ".", CHAR(10))</f>
        <v xml:space="preserve">Enter a value for 'Developer Fee' in cell B108.
</v>
      </c>
      <c r="G692" s="9" t="str">
        <f t="shared" ca="1" si="201"/>
        <v xml:space="preserve">The total of development budget in column B must be greater than zero.
</v>
      </c>
    </row>
    <row r="693" spans="1:7" ht="15" customHeight="1">
      <c r="A693" t="str">
        <f ca="1">IF(AND(Calculations!$B$5, E693=""), F693, "")</f>
        <v/>
      </c>
      <c r="B693" t="s">
        <v>476</v>
      </c>
      <c r="C693" t="str">
        <f ca="1">INDIRECT($F$291 &amp; ADDRESS(B692, 1,4  ))</f>
        <v>Developer Fee</v>
      </c>
      <c r="D693" t="str">
        <f>ADDRESS(B692, 3,4  )</f>
        <v>C108</v>
      </c>
      <c r="E693">
        <f t="shared" ca="1" si="202"/>
        <v>0</v>
      </c>
      <c r="F693" t="str">
        <f ca="1">CONCATENATE("Enter an '4% LIHTC Basis Calculation' value for '", C693, "' in cell ", D693, ".", CHAR(10))</f>
        <v xml:space="preserve">Enter an '4% LIHTC Basis Calculation' value for 'Developer Fee' in cell C108.
</v>
      </c>
      <c r="G693" s="9" t="str">
        <f t="shared" ca="1" si="201"/>
        <v xml:space="preserve">The total of development budget in column B must be greater than zero.
</v>
      </c>
    </row>
    <row r="694" spans="1:7" ht="15" customHeight="1">
      <c r="A694" t="str">
        <f ca="1">IF(AND(Calculations!$B$6, E694=""), F694, "")</f>
        <v/>
      </c>
      <c r="B694" t="s">
        <v>476</v>
      </c>
      <c r="C694" t="str">
        <f ca="1">INDIRECT($F$291 &amp; ADDRESS(B692, 1,4  ))</f>
        <v>Developer Fee</v>
      </c>
      <c r="D694" t="str">
        <f>ADDRESS(B692, 4,4  )</f>
        <v>D108</v>
      </c>
      <c r="E694">
        <f t="shared" ca="1" si="202"/>
        <v>0</v>
      </c>
      <c r="F694" t="str">
        <f ca="1">CONCATENATE("Enter an '9% LIHTC Basis Calculation' value for '", C694, "' in cell ", D694, ".", CHAR(10))</f>
        <v xml:space="preserve">Enter an '9% LIHTC Basis Calculation' value for 'Developer Fee' in cell D108.
</v>
      </c>
      <c r="G694" s="9" t="str">
        <f t="shared" ca="1" si="201"/>
        <v xml:space="preserve">The total of development budget in column B must be greater than zero.
</v>
      </c>
    </row>
    <row r="695" spans="1:7" ht="15" customHeight="1">
      <c r="A695" t="str">
        <f ca="1">IF(AND(OR(Calculations!$B$3:$B$4), E695=""), F695, "")</f>
        <v/>
      </c>
      <c r="B695" t="s">
        <v>476</v>
      </c>
      <c r="C695" t="str">
        <f ca="1">INDIRECT($F$291 &amp; ADDRESS(B692, 1,4  ))</f>
        <v>Developer Fee</v>
      </c>
      <c r="D695" t="str">
        <f>ADDRESS(B692, 5,4  )</f>
        <v>E108</v>
      </c>
      <c r="E695">
        <f t="shared" ca="1" si="202"/>
        <v>0</v>
      </c>
      <c r="F695" t="str">
        <f ca="1">CONCATENATE("Enter an 'Amount Last Provided to CHFA' value for '", C695, "' in cell ", D695, ".", CHAR(10))</f>
        <v xml:space="preserve">Enter an 'Amount Last Provided to CHFA' value for 'Developer Fee' in cell E108.
</v>
      </c>
      <c r="G695" s="9" t="str">
        <f t="shared" ca="1" si="201"/>
        <v xml:space="preserve">The total of development budget in column B must be greater than zero.
</v>
      </c>
    </row>
    <row r="696" spans="1:7" ht="15" customHeight="1">
      <c r="A696" t="str">
        <f ca="1">IF(AND(Calculations!$B$3, E696=""), F696, "")</f>
        <v/>
      </c>
      <c r="B696" t="s">
        <v>476</v>
      </c>
      <c r="C696" t="str">
        <f ca="1">INDIRECT($F$291 &amp; ADDRESS(B692, 1,4  ))</f>
        <v>Developer Fee</v>
      </c>
      <c r="D696" t="str">
        <f>ADDRESS(B692, 6,4  )</f>
        <v>F108</v>
      </c>
      <c r="E696">
        <f t="shared" ca="1" si="202"/>
        <v>0</v>
      </c>
      <c r="F696" t="str">
        <f ca="1">CONCATENATE("Enter a '10% Carryover Actual Incurred Costs' value for '", C696, "' in cell ", D696, ".", CHAR(10))</f>
        <v xml:space="preserve">Enter a '10% Carryover Actual Incurred Costs' value for 'Developer Fee' in cell F108.
</v>
      </c>
      <c r="G696" s="9" t="str">
        <f t="shared" ca="1" si="201"/>
        <v xml:space="preserve">The total of development budget in column B must be greater than zero.
</v>
      </c>
    </row>
    <row r="697" spans="1:7" ht="15" customHeight="1">
      <c r="A697" t="str">
        <f ca="1">IF(E697="", F697, "")</f>
        <v/>
      </c>
      <c r="B697" s="52">
        <f>B692+1</f>
        <v>109</v>
      </c>
      <c r="C697" t="str">
        <f ca="1">INDIRECT($F$291 &amp; ADDRESS(B697, 1,4  ))</f>
        <v>Developer Overhead</v>
      </c>
      <c r="D697" t="str">
        <f>ADDRESS(B697, 2,4  )</f>
        <v>B109</v>
      </c>
      <c r="E697">
        <f t="shared" ca="1" si="202"/>
        <v>0</v>
      </c>
      <c r="F697" t="str">
        <f ca="1">CONCATENATE("Enter a value for '", C697, "' in cell ", D697, ".", CHAR(10))</f>
        <v xml:space="preserve">Enter a value for 'Developer Overhead' in cell B109.
</v>
      </c>
      <c r="G697" s="9" t="str">
        <f t="shared" ca="1" si="201"/>
        <v xml:space="preserve">The total of development budget in column B must be greater than zero.
</v>
      </c>
    </row>
    <row r="698" spans="1:7" ht="15" customHeight="1">
      <c r="A698" t="str">
        <f ca="1">IF(AND(Calculations!$B$5, E698=""), F698, "")</f>
        <v/>
      </c>
      <c r="B698" t="s">
        <v>476</v>
      </c>
      <c r="C698" t="str">
        <f ca="1">INDIRECT($F$291 &amp; ADDRESS(B697, 1,4  ))</f>
        <v>Developer Overhead</v>
      </c>
      <c r="D698" t="str">
        <f>ADDRESS(B697, 3,4  )</f>
        <v>C109</v>
      </c>
      <c r="E698">
        <f t="shared" ca="1" si="202"/>
        <v>0</v>
      </c>
      <c r="F698" t="str">
        <f ca="1">CONCATENATE("Enter an '4% LIHTC Basis Calculation' value for '", C698, "' in cell ", D698, ".", CHAR(10))</f>
        <v xml:space="preserve">Enter an '4% LIHTC Basis Calculation' value for 'Developer Overhead' in cell C109.
</v>
      </c>
      <c r="G698" s="9" t="str">
        <f t="shared" ca="1" si="201"/>
        <v xml:space="preserve">The total of development budget in column B must be greater than zero.
</v>
      </c>
    </row>
    <row r="699" spans="1:7" ht="15" customHeight="1">
      <c r="A699" t="str">
        <f ca="1">IF(AND(Calculations!$B$6, E699=""), F699, "")</f>
        <v/>
      </c>
      <c r="B699" t="s">
        <v>476</v>
      </c>
      <c r="C699" t="str">
        <f ca="1">INDIRECT($F$291 &amp; ADDRESS(B697, 1,4  ))</f>
        <v>Developer Overhead</v>
      </c>
      <c r="D699" t="str">
        <f>ADDRESS(B697, 4,4  )</f>
        <v>D109</v>
      </c>
      <c r="E699">
        <f t="shared" ca="1" si="202"/>
        <v>0</v>
      </c>
      <c r="F699" t="str">
        <f ca="1">CONCATENATE("Enter an '9% LIHTC Basis Calculation' value for '", C699, "' in cell ", D699, ".", CHAR(10))</f>
        <v xml:space="preserve">Enter an '9% LIHTC Basis Calculation' value for 'Developer Overhead' in cell D109.
</v>
      </c>
      <c r="G699" s="9" t="str">
        <f t="shared" ca="1" si="201"/>
        <v xml:space="preserve">The total of development budget in column B must be greater than zero.
</v>
      </c>
    </row>
    <row r="700" spans="1:7" ht="15" customHeight="1">
      <c r="A700" t="str">
        <f ca="1">IF(AND(OR(Calculations!$B$3:$B$4), E700=""), F700, "")</f>
        <v/>
      </c>
      <c r="B700" t="s">
        <v>476</v>
      </c>
      <c r="C700" t="str">
        <f ca="1">INDIRECT($F$291 &amp; ADDRESS(B697, 1,4  ))</f>
        <v>Developer Overhead</v>
      </c>
      <c r="D700" t="str">
        <f>ADDRESS(B697, 5,4  )</f>
        <v>E109</v>
      </c>
      <c r="E700">
        <f t="shared" ca="1" si="202"/>
        <v>0</v>
      </c>
      <c r="F700" t="str">
        <f ca="1">CONCATENATE("Enter an 'Amount Last Provided to CHFA' value for '", C700, "' in cell ", D700, ".", CHAR(10))</f>
        <v xml:space="preserve">Enter an 'Amount Last Provided to CHFA' value for 'Developer Overhead' in cell E109.
</v>
      </c>
      <c r="G700" s="9" t="str">
        <f t="shared" ca="1" si="201"/>
        <v xml:space="preserve">The total of development budget in column B must be greater than zero.
</v>
      </c>
    </row>
    <row r="701" spans="1:7" ht="15" customHeight="1">
      <c r="A701" t="str">
        <f ca="1">IF(AND(Calculations!$B$3, E701=""), F701, "")</f>
        <v/>
      </c>
      <c r="B701" t="s">
        <v>476</v>
      </c>
      <c r="C701" t="str">
        <f ca="1">INDIRECT($F$291 &amp; ADDRESS(B697, 1,4  ))</f>
        <v>Developer Overhead</v>
      </c>
      <c r="D701" t="str">
        <f>ADDRESS(B697, 6,4  )</f>
        <v>F109</v>
      </c>
      <c r="E701">
        <f t="shared" ca="1" si="202"/>
        <v>0</v>
      </c>
      <c r="F701" t="str">
        <f ca="1">CONCATENATE("Enter a '10% Carryover Actual Incurred Costs' value for '", C701, "' in cell ", D701, ".", CHAR(10))</f>
        <v xml:space="preserve">Enter a '10% Carryover Actual Incurred Costs' value for 'Developer Overhead' in cell F109.
</v>
      </c>
      <c r="G701" s="9" t="str">
        <f t="shared" ca="1" si="201"/>
        <v xml:space="preserve">The total of development budget in column B must be greater than zero.
</v>
      </c>
    </row>
    <row r="702" spans="1:7" ht="15" customHeight="1">
      <c r="A702" t="str">
        <f ca="1">IF(E702="", F702, "")</f>
        <v/>
      </c>
      <c r="B702" s="52">
        <f>B697+1</f>
        <v>110</v>
      </c>
      <c r="C702" t="str">
        <f ca="1">INDIRECT($F$291 &amp; ADDRESS(B702, 1,4  ))</f>
        <v>Developer Profit</v>
      </c>
      <c r="D702" t="str">
        <f>ADDRESS(B702, 2,4  )</f>
        <v>B110</v>
      </c>
      <c r="E702">
        <f t="shared" ca="1" si="202"/>
        <v>0</v>
      </c>
      <c r="F702" t="str">
        <f ca="1">CONCATENATE("Enter a value for '", C702, "' in cell ", D702, ".", CHAR(10))</f>
        <v xml:space="preserve">Enter a value for 'Developer Profit' in cell B110.
</v>
      </c>
      <c r="G702" s="9" t="str">
        <f t="shared" ca="1" si="201"/>
        <v xml:space="preserve">The total of development budget in column B must be greater than zero.
</v>
      </c>
    </row>
    <row r="703" spans="1:7" ht="15" customHeight="1">
      <c r="A703" t="str">
        <f ca="1">IF(AND(Calculations!$B$5, E703=""), F703, "")</f>
        <v/>
      </c>
      <c r="B703" t="s">
        <v>476</v>
      </c>
      <c r="C703" t="str">
        <f ca="1">INDIRECT($F$291 &amp; ADDRESS(B702, 1,4  ))</f>
        <v>Developer Profit</v>
      </c>
      <c r="D703" t="str">
        <f>ADDRESS(B702, 3,4  )</f>
        <v>C110</v>
      </c>
      <c r="E703">
        <f t="shared" ca="1" si="202"/>
        <v>0</v>
      </c>
      <c r="F703" t="str">
        <f ca="1">CONCATENATE("Enter an '4% LIHTC Basis Calculation' value for '", C703, "' in cell ", D703, ".", CHAR(10))</f>
        <v xml:space="preserve">Enter an '4% LIHTC Basis Calculation' value for 'Developer Profit' in cell C110.
</v>
      </c>
      <c r="G703" s="9" t="str">
        <f t="shared" ca="1" si="201"/>
        <v xml:space="preserve">The total of development budget in column B must be greater than zero.
</v>
      </c>
    </row>
    <row r="704" spans="1:7" ht="15" customHeight="1">
      <c r="A704" t="str">
        <f ca="1">IF(AND(Calculations!$B$6, E704=""), F704, "")</f>
        <v/>
      </c>
      <c r="B704" t="s">
        <v>476</v>
      </c>
      <c r="C704" t="str">
        <f ca="1">INDIRECT($F$291 &amp; ADDRESS(B702, 1,4  ))</f>
        <v>Developer Profit</v>
      </c>
      <c r="D704" t="str">
        <f>ADDRESS(B702, 4,4  )</f>
        <v>D110</v>
      </c>
      <c r="E704">
        <f t="shared" ca="1" si="202"/>
        <v>0</v>
      </c>
      <c r="F704" t="str">
        <f ca="1">CONCATENATE("Enter an '9% LIHTC Basis Calculation' value for '", C704, "' in cell ", D704, ".", CHAR(10))</f>
        <v xml:space="preserve">Enter an '9% LIHTC Basis Calculation' value for 'Developer Profit' in cell D110.
</v>
      </c>
      <c r="G704" s="9" t="str">
        <f t="shared" ca="1" si="201"/>
        <v xml:space="preserve">The total of development budget in column B must be greater than zero.
</v>
      </c>
    </row>
    <row r="705" spans="1:7" ht="15" customHeight="1">
      <c r="A705" t="str">
        <f ca="1">IF(AND(OR(Calculations!$B$3:$B$4), E705=""), F705, "")</f>
        <v/>
      </c>
      <c r="B705" t="s">
        <v>476</v>
      </c>
      <c r="C705" t="str">
        <f ca="1">INDIRECT($F$291 &amp; ADDRESS(B702, 1,4  ))</f>
        <v>Developer Profit</v>
      </c>
      <c r="D705" t="str">
        <f>ADDRESS(B702, 5,4  )</f>
        <v>E110</v>
      </c>
      <c r="E705">
        <f t="shared" ca="1" si="202"/>
        <v>0</v>
      </c>
      <c r="F705" t="str">
        <f ca="1">CONCATENATE("Enter an 'Amount Last Provided to CHFA' value for '", C705, "' in cell ", D705, ".", CHAR(10))</f>
        <v xml:space="preserve">Enter an 'Amount Last Provided to CHFA' value for 'Developer Profit' in cell E110.
</v>
      </c>
      <c r="G705" s="9" t="str">
        <f t="shared" ca="1" si="201"/>
        <v xml:space="preserve">The total of development budget in column B must be greater than zero.
</v>
      </c>
    </row>
    <row r="706" spans="1:7" ht="15" customHeight="1">
      <c r="A706" t="str">
        <f ca="1">IF(AND(Calculations!$B$3, E706=""), F706, "")</f>
        <v/>
      </c>
      <c r="B706" t="s">
        <v>476</v>
      </c>
      <c r="C706" t="str">
        <f ca="1">INDIRECT($F$291 &amp; ADDRESS(B702, 1,4  ))</f>
        <v>Developer Profit</v>
      </c>
      <c r="D706" t="str">
        <f>ADDRESS(B702, 6,4  )</f>
        <v>F110</v>
      </c>
      <c r="E706">
        <f t="shared" ca="1" si="202"/>
        <v>0</v>
      </c>
      <c r="F706" t="str">
        <f ca="1">CONCATENATE("Enter a '10% Carryover Actual Incurred Costs' value for '", C706, "' in cell ", D706, ".", CHAR(10))</f>
        <v xml:space="preserve">Enter a '10% Carryover Actual Incurred Costs' value for 'Developer Profit' in cell F110.
</v>
      </c>
      <c r="G706" s="9" t="str">
        <f t="shared" ca="1" si="201"/>
        <v xml:space="preserve">The total of development budget in column B must be greater than zero.
</v>
      </c>
    </row>
    <row r="707" spans="1:7" ht="15" customHeight="1">
      <c r="A707" t="str">
        <f ca="1">IF(E707="", F707, "")</f>
        <v/>
      </c>
      <c r="B707" s="52">
        <f>B702+1</f>
        <v>111</v>
      </c>
      <c r="C707" t="str">
        <f ca="1">INDIRECT($F$291 &amp; ADDRESS(B707, 1,4  ))</f>
        <v>PSH developer fee boost (up to 5%)</v>
      </c>
      <c r="D707" t="str">
        <f>ADDRESS(B707, 2,4  )</f>
        <v>B111</v>
      </c>
      <c r="E707">
        <f t="shared" ca="1" si="202"/>
        <v>0</v>
      </c>
      <c r="F707" t="str">
        <f ca="1">CONCATENATE("Enter a value for '", C707, "' in cell ", D707, ".", CHAR(10))</f>
        <v xml:space="preserve">Enter a value for 'PSH developer fee boost (up to 5%)' in cell B111.
</v>
      </c>
      <c r="G707" s="9" t="str">
        <f t="shared" ca="1" si="201"/>
        <v xml:space="preserve">The total of development budget in column B must be greater than zero.
</v>
      </c>
    </row>
    <row r="708" spans="1:7" ht="15" customHeight="1">
      <c r="A708" t="str">
        <f ca="1">IF(AND(Calculations!$B$5, E708=""), F708, "")</f>
        <v/>
      </c>
      <c r="B708" t="s">
        <v>476</v>
      </c>
      <c r="C708" t="str">
        <f ca="1">INDIRECT($F$291 &amp; ADDRESS(B707, 1,4  ))</f>
        <v>PSH developer fee boost (up to 5%)</v>
      </c>
      <c r="D708" t="str">
        <f>ADDRESS(B707, 3,4  )</f>
        <v>C111</v>
      </c>
      <c r="E708">
        <f t="shared" ca="1" si="202"/>
        <v>0</v>
      </c>
      <c r="F708" t="str">
        <f ca="1">CONCATENATE("Enter an '4% LIHTC Basis Calculation' value for '", C708, "' in cell ", D708, ".", CHAR(10))</f>
        <v xml:space="preserve">Enter an '4% LIHTC Basis Calculation' value for 'PSH developer fee boost (up to 5%)' in cell C111.
</v>
      </c>
      <c r="G708" s="9" t="str">
        <f t="shared" ca="1" si="201"/>
        <v xml:space="preserve">The total of development budget in column B must be greater than zero.
</v>
      </c>
    </row>
    <row r="709" spans="1:7" ht="15" customHeight="1">
      <c r="A709" t="str">
        <f ca="1">IF(AND(Calculations!$B$6, E709=""), F709, "")</f>
        <v/>
      </c>
      <c r="B709" t="s">
        <v>476</v>
      </c>
      <c r="C709" t="str">
        <f ca="1">INDIRECT($F$291 &amp; ADDRESS(B707, 1,4  ))</f>
        <v>PSH developer fee boost (up to 5%)</v>
      </c>
      <c r="D709" t="str">
        <f>ADDRESS(B707, 4,4  )</f>
        <v>D111</v>
      </c>
      <c r="E709">
        <f t="shared" ca="1" si="202"/>
        <v>0</v>
      </c>
      <c r="F709" t="str">
        <f ca="1">CONCATENATE("Enter an '9% LIHTC Basis Calculation' value for '", C709, "' in cell ", D709, ".", CHAR(10))</f>
        <v xml:space="preserve">Enter an '9% LIHTC Basis Calculation' value for 'PSH developer fee boost (up to 5%)' in cell D111.
</v>
      </c>
      <c r="G709" s="9" t="str">
        <f t="shared" ca="1" si="201"/>
        <v xml:space="preserve">The total of development budget in column B must be greater than zero.
</v>
      </c>
    </row>
    <row r="710" spans="1:7" ht="15" customHeight="1">
      <c r="A710" t="str">
        <f ca="1">IF(AND(OR(Calculations!$B$3:$B$4), E710=""), F710, "")</f>
        <v/>
      </c>
      <c r="B710" t="s">
        <v>476</v>
      </c>
      <c r="C710" t="str">
        <f ca="1">INDIRECT($F$291 &amp; ADDRESS(B707, 1,4  ))</f>
        <v>PSH developer fee boost (up to 5%)</v>
      </c>
      <c r="D710" t="str">
        <f>ADDRESS(B707, 5,4  )</f>
        <v>E111</v>
      </c>
      <c r="E710">
        <f t="shared" ca="1" si="202"/>
        <v>0</v>
      </c>
      <c r="F710" t="str">
        <f ca="1">CONCATENATE("Enter an 'Amount Last Provided to CHFA' value for '", C710, "' in cell ", D710, ".", CHAR(10))</f>
        <v xml:space="preserve">Enter an 'Amount Last Provided to CHFA' value for 'PSH developer fee boost (up to 5%)' in cell E111.
</v>
      </c>
      <c r="G710" s="9" t="str">
        <f t="shared" ca="1" si="201"/>
        <v xml:space="preserve">The total of development budget in column B must be greater than zero.
</v>
      </c>
    </row>
    <row r="711" spans="1:7" ht="15" customHeight="1">
      <c r="A711" t="str">
        <f ca="1">IF(AND(Calculations!$B$3, E711=""), F711, "")</f>
        <v/>
      </c>
      <c r="B711" t="s">
        <v>476</v>
      </c>
      <c r="C711" t="str">
        <f ca="1">INDIRECT($F$291 &amp; ADDRESS(B707, 1,4  ))</f>
        <v>PSH developer fee boost (up to 5%)</v>
      </c>
      <c r="D711" t="str">
        <f>ADDRESS(B707, 6,4  )</f>
        <v>F111</v>
      </c>
      <c r="E711">
        <f t="shared" ca="1" si="202"/>
        <v>0</v>
      </c>
      <c r="F711" t="str">
        <f ca="1">CONCATENATE("Enter a '10% Carryover Actual Incurred Costs' value for '", C711, "' in cell ", D711, ".", CHAR(10))</f>
        <v xml:space="preserve">Enter a '10% Carryover Actual Incurred Costs' value for 'PSH developer fee boost (up to 5%)' in cell F111.
</v>
      </c>
      <c r="G711" s="9" t="str">
        <f t="shared" ca="1" si="201"/>
        <v xml:space="preserve">The total of development budget in column B must be greater than zero.
</v>
      </c>
    </row>
    <row r="712" spans="1:7" ht="15" customHeight="1">
      <c r="A712" t="str">
        <f ca="1">IF(E712="", F712, "")</f>
        <v/>
      </c>
      <c r="B712" s="52">
        <f>B707+1</f>
        <v>112</v>
      </c>
      <c r="C712" t="str">
        <f ca="1">INDIRECT($F$291 &amp; ADDRESS(B712, 1,4  ))</f>
        <v>Third Party Development Management/Owner's Rep</v>
      </c>
      <c r="D712" t="str">
        <f>ADDRESS(B712, 2,4  )</f>
        <v>B112</v>
      </c>
      <c r="E712">
        <f t="shared" ca="1" si="202"/>
        <v>0</v>
      </c>
      <c r="F712" t="str">
        <f ca="1">CONCATENATE("Enter a value for '", C712, "' in cell ", D712, ".", CHAR(10))</f>
        <v xml:space="preserve">Enter a value for 'Third Party Development Management/Owner's Rep' in cell B112.
</v>
      </c>
      <c r="G712" s="9" t="str">
        <f t="shared" ca="1" si="201"/>
        <v xml:space="preserve">The total of development budget in column B must be greater than zero.
</v>
      </c>
    </row>
    <row r="713" spans="1:7" ht="15" customHeight="1">
      <c r="A713" t="str">
        <f ca="1">IF(AND(Calculations!$B$5, E713=""), F713, "")</f>
        <v/>
      </c>
      <c r="B713" t="s">
        <v>476</v>
      </c>
      <c r="C713" t="str">
        <f ca="1">INDIRECT($F$291 &amp; ADDRESS(B712, 1,4  ))</f>
        <v>Third Party Development Management/Owner's Rep</v>
      </c>
      <c r="D713" t="str">
        <f>ADDRESS(B712, 3,4  )</f>
        <v>C112</v>
      </c>
      <c r="E713">
        <f t="shared" ca="1" si="202"/>
        <v>0</v>
      </c>
      <c r="F713" t="str">
        <f ca="1">CONCATENATE("Enter an '4% LIHTC Basis Calculation' value for '", C713, "' in cell ", D713, ".", CHAR(10))</f>
        <v xml:space="preserve">Enter an '4% LIHTC Basis Calculation' value for 'Third Party Development Management/Owner's Rep' in cell C112.
</v>
      </c>
      <c r="G713" s="9" t="str">
        <f t="shared" ca="1" si="201"/>
        <v xml:space="preserve">The total of development budget in column B must be greater than zero.
</v>
      </c>
    </row>
    <row r="714" spans="1:7" ht="15" customHeight="1">
      <c r="A714" t="str">
        <f ca="1">IF(AND(Calculations!$B$6, E714=""), F714, "")</f>
        <v/>
      </c>
      <c r="B714" t="s">
        <v>476</v>
      </c>
      <c r="C714" t="str">
        <f ca="1">INDIRECT($F$291 &amp; ADDRESS(B712, 1,4  ))</f>
        <v>Third Party Development Management/Owner's Rep</v>
      </c>
      <c r="D714" t="str">
        <f>ADDRESS(B712, 4,4  )</f>
        <v>D112</v>
      </c>
      <c r="E714">
        <f t="shared" ca="1" si="202"/>
        <v>0</v>
      </c>
      <c r="F714" t="str">
        <f ca="1">CONCATENATE("Enter an '9% LIHTC Basis Calculation' value for '", C714, "' in cell ", D714, ".", CHAR(10))</f>
        <v xml:space="preserve">Enter an '9% LIHTC Basis Calculation' value for 'Third Party Development Management/Owner's Rep' in cell D112.
</v>
      </c>
      <c r="G714" s="9" t="str">
        <f t="shared" ca="1" si="201"/>
        <v xml:space="preserve">The total of development budget in column B must be greater than zero.
</v>
      </c>
    </row>
    <row r="715" spans="1:7" ht="15" customHeight="1">
      <c r="A715" t="str">
        <f ca="1">IF(AND(OR(Calculations!$B$3:$B$4), E715=""), F715, "")</f>
        <v/>
      </c>
      <c r="B715" t="s">
        <v>476</v>
      </c>
      <c r="C715" t="str">
        <f ca="1">INDIRECT($F$291 &amp; ADDRESS(B712, 1,4  ))</f>
        <v>Third Party Development Management/Owner's Rep</v>
      </c>
      <c r="D715" t="str">
        <f>ADDRESS(B712, 5,4  )</f>
        <v>E112</v>
      </c>
      <c r="E715">
        <f t="shared" ca="1" si="202"/>
        <v>0</v>
      </c>
      <c r="F715" t="str">
        <f ca="1">CONCATENATE("Enter an 'Amount Last Provided to CHFA' value for '", C715, "' in cell ", D715, ".", CHAR(10))</f>
        <v xml:space="preserve">Enter an 'Amount Last Provided to CHFA' value for 'Third Party Development Management/Owner's Rep' in cell E112.
</v>
      </c>
      <c r="G715" s="9" t="str">
        <f t="shared" ca="1" si="201"/>
        <v xml:space="preserve">The total of development budget in column B must be greater than zero.
</v>
      </c>
    </row>
    <row r="716" spans="1:7" ht="15" customHeight="1">
      <c r="A716" t="str">
        <f ca="1">IF(AND(Calculations!$B$3, E716=""), F716, "")</f>
        <v/>
      </c>
      <c r="B716" t="s">
        <v>476</v>
      </c>
      <c r="C716" t="str">
        <f ca="1">INDIRECT($F$291 &amp; ADDRESS(B712, 1,4  ))</f>
        <v>Third Party Development Management/Owner's Rep</v>
      </c>
      <c r="D716" t="str">
        <f>ADDRESS(B712, 6,4  )</f>
        <v>F112</v>
      </c>
      <c r="E716">
        <f t="shared" ca="1" si="202"/>
        <v>0</v>
      </c>
      <c r="F716" t="str">
        <f ca="1">CONCATENATE("Enter a '10% Carryover Actual Incurred Costs' value for '", C716, "' in cell ", D716, ".", CHAR(10))</f>
        <v xml:space="preserve">Enter a '10% Carryover Actual Incurred Costs' value for 'Third Party Development Management/Owner's Rep' in cell F112.
</v>
      </c>
      <c r="G716" s="9" t="str">
        <f t="shared" ca="1" si="201"/>
        <v xml:space="preserve">The total of development budget in column B must be greater than zero.
</v>
      </c>
    </row>
    <row r="717" spans="1:7" ht="15" customHeight="1">
      <c r="A717" t="str">
        <f ca="1">IF(E717="", F717, "")</f>
        <v/>
      </c>
      <c r="B717" s="52">
        <f>B712+1</f>
        <v>113</v>
      </c>
      <c r="C717" t="str">
        <f ca="1">INDIRECT($F$291 &amp; ADDRESS(B717, 1,4  ))</f>
        <v>Financial/Tax Credit Consultant, Application Preparation, etc.</v>
      </c>
      <c r="D717" t="str">
        <f>ADDRESS(B717, 2,4  )</f>
        <v>B113</v>
      </c>
      <c r="E717">
        <f t="shared" ca="1" si="202"/>
        <v>0</v>
      </c>
      <c r="F717" t="str">
        <f ca="1">CONCATENATE("Enter a value for '", C717, "' in cell ", D717, ".", CHAR(10))</f>
        <v xml:space="preserve">Enter a value for 'Financial/Tax Credit Consultant, Application Preparation, etc.' in cell B113.
</v>
      </c>
      <c r="G717" s="9" t="str">
        <f t="shared" ca="1" si="201"/>
        <v xml:space="preserve">The total of development budget in column B must be greater than zero.
</v>
      </c>
    </row>
    <row r="718" spans="1:7" ht="15" customHeight="1">
      <c r="A718" t="str">
        <f ca="1">IF(AND(Calculations!$B$5, E718=""), F718, "")</f>
        <v/>
      </c>
      <c r="B718" t="s">
        <v>476</v>
      </c>
      <c r="C718" t="str">
        <f ca="1">INDIRECT($F$291 &amp; ADDRESS(B717, 1,4  ))</f>
        <v>Financial/Tax Credit Consultant, Application Preparation, etc.</v>
      </c>
      <c r="D718" t="str">
        <f>ADDRESS(B717, 3,4  )</f>
        <v>C113</v>
      </c>
      <c r="E718">
        <f t="shared" ca="1" si="202"/>
        <v>0</v>
      </c>
      <c r="F718" t="str">
        <f ca="1">CONCATENATE("Enter an '4% LIHTC Basis Calculation' value for '", C718, "' in cell ", D718, ".", CHAR(10))</f>
        <v xml:space="preserve">Enter an '4% LIHTC Basis Calculation' value for 'Financial/Tax Credit Consultant, Application Preparation, etc.' in cell C113.
</v>
      </c>
      <c r="G718" s="9" t="str">
        <f t="shared" ca="1" si="201"/>
        <v xml:space="preserve">The total of development budget in column B must be greater than zero.
</v>
      </c>
    </row>
    <row r="719" spans="1:7" ht="15" customHeight="1">
      <c r="A719" t="str">
        <f ca="1">IF(AND(Calculations!$B$6, E719=""), F719, "")</f>
        <v/>
      </c>
      <c r="B719" t="s">
        <v>476</v>
      </c>
      <c r="C719" t="str">
        <f ca="1">INDIRECT($F$291 &amp; ADDRESS(B717, 1,4  ))</f>
        <v>Financial/Tax Credit Consultant, Application Preparation, etc.</v>
      </c>
      <c r="D719" t="str">
        <f>ADDRESS(B717, 4,4  )</f>
        <v>D113</v>
      </c>
      <c r="E719">
        <f t="shared" ca="1" si="202"/>
        <v>0</v>
      </c>
      <c r="F719" t="str">
        <f ca="1">CONCATENATE("Enter an '9% LIHTC Basis Calculation' value for '", C719, "' in cell ", D719, ".", CHAR(10))</f>
        <v xml:space="preserve">Enter an '9% LIHTC Basis Calculation' value for 'Financial/Tax Credit Consultant, Application Preparation, etc.' in cell D113.
</v>
      </c>
      <c r="G719" s="9" t="str">
        <f t="shared" ca="1" si="201"/>
        <v xml:space="preserve">The total of development budget in column B must be greater than zero.
</v>
      </c>
    </row>
    <row r="720" spans="1:7" ht="15" customHeight="1">
      <c r="A720" t="str">
        <f ca="1">IF(AND(OR(Calculations!$B$3:$B$4), E720=""), F720, "")</f>
        <v/>
      </c>
      <c r="B720" t="s">
        <v>476</v>
      </c>
      <c r="C720" t="str">
        <f ca="1">INDIRECT($F$291 &amp; ADDRESS(B717, 1,4  ))</f>
        <v>Financial/Tax Credit Consultant, Application Preparation, etc.</v>
      </c>
      <c r="D720" t="str">
        <f>ADDRESS(B717, 5,4  )</f>
        <v>E113</v>
      </c>
      <c r="E720">
        <f t="shared" ca="1" si="202"/>
        <v>0</v>
      </c>
      <c r="F720" t="str">
        <f ca="1">CONCATENATE("Enter an 'Amount Last Provided to CHFA' value for '", C720, "' in cell ", D720, ".", CHAR(10))</f>
        <v xml:space="preserve">Enter an 'Amount Last Provided to CHFA' value for 'Financial/Tax Credit Consultant, Application Preparation, etc.' in cell E113.
</v>
      </c>
      <c r="G720" s="9" t="str">
        <f t="shared" ca="1" si="201"/>
        <v xml:space="preserve">The total of development budget in column B must be greater than zero.
</v>
      </c>
    </row>
    <row r="721" spans="1:7" ht="15" customHeight="1">
      <c r="A721" t="str">
        <f ca="1">IF(AND(Calculations!$B$3, E721=""), F721, "")</f>
        <v/>
      </c>
      <c r="B721" t="s">
        <v>476</v>
      </c>
      <c r="C721" t="str">
        <f ca="1">INDIRECT($F$291 &amp; ADDRESS(B717, 1,4  ))</f>
        <v>Financial/Tax Credit Consultant, Application Preparation, etc.</v>
      </c>
      <c r="D721" t="str">
        <f>ADDRESS(B717, 6,4  )</f>
        <v>F113</v>
      </c>
      <c r="E721">
        <f t="shared" ca="1" si="202"/>
        <v>0</v>
      </c>
      <c r="F721" t="str">
        <f ca="1">CONCATENATE("Enter a '10% Carryover Actual Incurred Costs' value for '", C721, "' in cell ", D721, ".", CHAR(10))</f>
        <v xml:space="preserve">Enter a '10% Carryover Actual Incurred Costs' value for 'Financial/Tax Credit Consultant, Application Preparation, etc.' in cell F113.
</v>
      </c>
      <c r="G721" s="9" t="str">
        <f t="shared" ca="1" si="201"/>
        <v xml:space="preserve">The total of development budget in column B must be greater than zero.
</v>
      </c>
    </row>
    <row r="722" spans="1:7" ht="15" customHeight="1">
      <c r="A722" t="str">
        <f ca="1">IF(E722="", F722, "")</f>
        <v/>
      </c>
      <c r="B722">
        <f>ROW('Development Budget'!A117)</f>
        <v>117</v>
      </c>
      <c r="C722" t="str">
        <f ca="1">INDIRECT($F$291 &amp; ADDRESS(B722, 1,4  ))</f>
        <v>Rent-up Reserves</v>
      </c>
      <c r="D722" t="str">
        <f>ADDRESS(B722, 2,4  )</f>
        <v>B117</v>
      </c>
      <c r="E722">
        <f t="shared" ca="1" si="202"/>
        <v>0</v>
      </c>
      <c r="F722" t="str">
        <f ca="1">CONCATENATE("Enter a value for '", C722, "' in cell ", D722, ".", CHAR(10))</f>
        <v xml:space="preserve">Enter a value for 'Rent-up Reserves' in cell B117.
</v>
      </c>
      <c r="G722" s="9" t="str">
        <f t="shared" ca="1" si="201"/>
        <v xml:space="preserve">The total of development budget in column B must be greater than zero.
</v>
      </c>
    </row>
    <row r="723" spans="1:7" ht="15" customHeight="1">
      <c r="A723" t="str">
        <f ca="1">IF(AND(OR(Calculations!$B$3:$B$4), E723=""), F723, "")</f>
        <v/>
      </c>
      <c r="B723" t="s">
        <v>476</v>
      </c>
      <c r="C723" t="str">
        <f ca="1">INDIRECT($F$291 &amp; ADDRESS(B722, 1,4  ))</f>
        <v>Rent-up Reserves</v>
      </c>
      <c r="D723" t="str">
        <f>ADDRESS(B722, 5,4  )</f>
        <v>E117</v>
      </c>
      <c r="E723">
        <f t="shared" ca="1" si="202"/>
        <v>0</v>
      </c>
      <c r="F723" t="str">
        <f ca="1">CONCATENATE("Enter an 'Amount Last Provided to CHFA' value for '", C723, "' in cell ", D723, ".", CHAR(10))</f>
        <v xml:space="preserve">Enter an 'Amount Last Provided to CHFA' value for 'Rent-up Reserves' in cell E117.
</v>
      </c>
      <c r="G723" s="9" t="str">
        <f t="shared" ca="1" si="201"/>
        <v xml:space="preserve">The total of development budget in column B must be greater than zero.
</v>
      </c>
    </row>
    <row r="724" spans="1:7" ht="15" customHeight="1">
      <c r="A724" t="str">
        <f ca="1">IF(E724="", F724, "")</f>
        <v/>
      </c>
      <c r="B724" s="52">
        <f>B722+1</f>
        <v>118</v>
      </c>
      <c r="C724" t="str">
        <f ca="1">INDIRECT($F$291 &amp; ADDRESS(B724, 1,4  ))</f>
        <v>Operating Reserves</v>
      </c>
      <c r="D724" t="str">
        <f>ADDRESS(B724, 2,4  )</f>
        <v>B118</v>
      </c>
      <c r="E724">
        <f t="shared" ca="1" si="202"/>
        <v>0</v>
      </c>
      <c r="F724" t="str">
        <f ca="1">CONCATENATE("Enter a value for '", C724, "' in cell ", D724, ".", CHAR(10))</f>
        <v xml:space="preserve">Enter a value for 'Operating Reserves' in cell B118.
</v>
      </c>
      <c r="G724" s="9" t="str">
        <f t="shared" ca="1" si="201"/>
        <v xml:space="preserve">The total of development budget in column B must be greater than zero.
</v>
      </c>
    </row>
    <row r="725" spans="1:7" ht="15" customHeight="1">
      <c r="A725" t="str">
        <f ca="1">IF(AND(OR(Calculations!$B$3:$B$4), E725=""), F725, "")</f>
        <v/>
      </c>
      <c r="B725" t="s">
        <v>476</v>
      </c>
      <c r="C725" t="str">
        <f ca="1">INDIRECT($F$291 &amp; ADDRESS(B724, 1,4  ))</f>
        <v>Operating Reserves</v>
      </c>
      <c r="D725" t="str">
        <f>ADDRESS(B724, 5,4  )</f>
        <v>E118</v>
      </c>
      <c r="E725">
        <f t="shared" ca="1" si="202"/>
        <v>0</v>
      </c>
      <c r="F725" t="str">
        <f ca="1">CONCATENATE("Enter an 'Amount Last Provided to CHFA' value for '", C725, "' in cell ", D725, ".", CHAR(10))</f>
        <v xml:space="preserve">Enter an 'Amount Last Provided to CHFA' value for 'Operating Reserves' in cell E118.
</v>
      </c>
      <c r="G725" s="9" t="str">
        <f t="shared" ca="1" si="201"/>
        <v xml:space="preserve">The total of development budget in column B must be greater than zero.
</v>
      </c>
    </row>
    <row r="726" spans="1:7" ht="15" customHeight="1">
      <c r="A726" t="str">
        <f ca="1">IF(E726="", F726, "")</f>
        <v/>
      </c>
      <c r="B726" s="52">
        <f>B724+1</f>
        <v>119</v>
      </c>
      <c r="C726" t="str">
        <f ca="1">INDIRECT($F$291 &amp; ADDRESS(B726, 1,4  ))</f>
        <v>Replacement Reserves</v>
      </c>
      <c r="D726" t="str">
        <f>ADDRESS(B726, 2,4  )</f>
        <v>B119</v>
      </c>
      <c r="E726">
        <f t="shared" ca="1" si="202"/>
        <v>0</v>
      </c>
      <c r="F726" t="str">
        <f ca="1">CONCATENATE("Enter a value for '", C726, "' in cell ", D726, ".", CHAR(10))</f>
        <v xml:space="preserve">Enter a value for 'Replacement Reserves' in cell B119.
</v>
      </c>
      <c r="G726" s="9" t="str">
        <f t="shared" ca="1" si="201"/>
        <v xml:space="preserve">The total of development budget in column B must be greater than zero.
</v>
      </c>
    </row>
    <row r="727" spans="1:7" ht="15" customHeight="1">
      <c r="A727" t="str">
        <f ca="1">IF(AND(OR(Calculations!$B$3:$B$4), E727=""), F727, "")</f>
        <v/>
      </c>
      <c r="B727" t="s">
        <v>476</v>
      </c>
      <c r="C727" t="str">
        <f ca="1">INDIRECT($F$291 &amp; ADDRESS(B726, 1,4  ))</f>
        <v>Replacement Reserves</v>
      </c>
      <c r="D727" t="str">
        <f>ADDRESS(B726, 5,4  )</f>
        <v>E119</v>
      </c>
      <c r="E727">
        <f t="shared" ca="1" si="202"/>
        <v>0</v>
      </c>
      <c r="F727" t="str">
        <f ca="1">CONCATENATE("Enter an 'Amount Last Provided to CHFA' value for '", C727, "' in cell ", D727, ".", CHAR(10))</f>
        <v xml:space="preserve">Enter an 'Amount Last Provided to CHFA' value for 'Replacement Reserves' in cell E119.
</v>
      </c>
      <c r="G727" s="9" t="str">
        <f t="shared" ca="1" si="201"/>
        <v xml:space="preserve">The total of development budget in column B must be greater than zero.
</v>
      </c>
    </row>
    <row r="728" spans="1:7" ht="15" customHeight="1">
      <c r="A728" t="str">
        <f ca="1">IF(E728="", F728, "")</f>
        <v/>
      </c>
      <c r="B728" s="52">
        <f>B726+1</f>
        <v>120</v>
      </c>
      <c r="C728" t="str">
        <f ca="1">INDIRECT($F$291 &amp; ADDRESS(B728, 1,4  ))</f>
        <v>Debt Service Reserves</v>
      </c>
      <c r="D728" t="str">
        <f>ADDRESS(B728, 2,4  )</f>
        <v>B120</v>
      </c>
      <c r="E728">
        <f t="shared" ca="1" si="202"/>
        <v>0</v>
      </c>
      <c r="F728" t="str">
        <f ca="1">CONCATENATE("Enter a value for '", C728, "' in cell ", D728, ".", CHAR(10))</f>
        <v xml:space="preserve">Enter a value for 'Debt Service Reserves' in cell B120.
</v>
      </c>
      <c r="G728" s="9" t="str">
        <f t="shared" ca="1" si="201"/>
        <v xml:space="preserve">The total of development budget in column B must be greater than zero.
</v>
      </c>
    </row>
    <row r="729" spans="1:7" ht="15" customHeight="1">
      <c r="A729" t="str">
        <f ca="1">IF(AND(OR(Calculations!$B$3:$B$4), E729=""), F729, "")</f>
        <v/>
      </c>
      <c r="B729" t="s">
        <v>476</v>
      </c>
      <c r="C729" t="str">
        <f ca="1">INDIRECT($F$291 &amp; ADDRESS(B728, 1,4  ))</f>
        <v>Debt Service Reserves</v>
      </c>
      <c r="D729" t="str">
        <f>ADDRESS(B728, 5,4  )</f>
        <v>E120</v>
      </c>
      <c r="E729">
        <f t="shared" ca="1" si="202"/>
        <v>0</v>
      </c>
      <c r="F729" t="str">
        <f ca="1">CONCATENATE("Enter an 'Amount Last Provided to CHFA' value for '", C729, "' in cell ", D729, ".", CHAR(10))</f>
        <v xml:space="preserve">Enter an 'Amount Last Provided to CHFA' value for 'Debt Service Reserves' in cell E120.
</v>
      </c>
      <c r="G729" s="9" t="str">
        <f t="shared" ca="1" si="201"/>
        <v xml:space="preserve">The total of development budget in column B must be greater than zero.
</v>
      </c>
    </row>
    <row r="730" spans="1:7" ht="15" customHeight="1">
      <c r="A730" t="str">
        <f ca="1">IF(E730="", F730, "")</f>
        <v/>
      </c>
      <c r="B730" s="52">
        <f>B728+1</f>
        <v>121</v>
      </c>
      <c r="C730" t="str">
        <f ca="1">INDIRECT($F$291 &amp; ADDRESS(B730, 1,4  ))</f>
        <v>Other (Specify)</v>
      </c>
      <c r="D730" t="str">
        <f>ADDRESS(B730, 2,4  )</f>
        <v>B121</v>
      </c>
      <c r="E730">
        <f t="shared" ca="1" si="202"/>
        <v>0</v>
      </c>
      <c r="F730" t="str">
        <f ca="1">CONCATENATE("Enter a value for '", C730, "' in cell ", D730, ".", CHAR(10))</f>
        <v xml:space="preserve">Enter a value for 'Other (Specify)' in cell B121.
</v>
      </c>
      <c r="G730" s="9" t="str">
        <f t="shared" ca="1" si="201"/>
        <v xml:space="preserve">The total of development budget in column B must be greater than zero.
</v>
      </c>
    </row>
    <row r="731" spans="1:7" ht="15" customHeight="1">
      <c r="A731" t="str">
        <f ca="1">IF(AND(OR(Calculations!$B$3:$B$4), E731=""), F731, "")</f>
        <v/>
      </c>
      <c r="B731" t="s">
        <v>476</v>
      </c>
      <c r="C731" t="str">
        <f ca="1">INDIRECT($F$291 &amp; ADDRESS(B730, 1,4  ))</f>
        <v>Other (Specify)</v>
      </c>
      <c r="D731" t="str">
        <f>ADDRESS(B730, 5,4  )</f>
        <v>E121</v>
      </c>
      <c r="E731">
        <f t="shared" ca="1" si="202"/>
        <v>0</v>
      </c>
      <c r="F731" t="str">
        <f ca="1">CONCATENATE("Enter an 'Amount Last Provided to CHFA' value for '", C731, "' in cell ", D731, ".", CHAR(10))</f>
        <v xml:space="preserve">Enter an 'Amount Last Provided to CHFA' value for 'Other (Specify)' in cell E121.
</v>
      </c>
      <c r="G731" s="9" t="str">
        <f t="shared" ca="1" si="201"/>
        <v xml:space="preserve">The total of development budget in column B must be greater than zero.
</v>
      </c>
    </row>
    <row r="732" spans="1:7" ht="15" customHeight="1">
      <c r="A732" t="str">
        <f ca="1">IF(AND(E732, SUM(E730:E731) &gt; 0), F732, "")</f>
        <v/>
      </c>
      <c r="C732" t="str">
        <f ca="1">INDIRECT($F$291 &amp; ADDRESS(B730, 1,4  ))</f>
        <v>Other (Specify)</v>
      </c>
      <c r="D732" t="str">
        <f>ADDRESS(B730, 1,4  )</f>
        <v>A121</v>
      </c>
      <c r="E732" t="b">
        <f ca="1">INDIRECT($F$291 &amp; D732)="Other (specify)"</f>
        <v>1</v>
      </c>
      <c r="F732" t="str">
        <f ca="1">CONCATENATE("Please specify value for '", C732, "' in cell ", D732, ".", CHAR(10))</f>
        <v xml:space="preserve">Please specify value for 'Other (Specify)' in cell A121.
</v>
      </c>
      <c r="G732" s="9" t="str">
        <f t="shared" ca="1" si="201"/>
        <v xml:space="preserve">The total of development budget in column B must be greater than zero.
</v>
      </c>
    </row>
    <row r="733" spans="1:7" ht="15" customHeight="1">
      <c r="A733" t="str">
        <f ca="1">IF(E733="", F733, "")</f>
        <v/>
      </c>
      <c r="B733" s="52">
        <f>B730+1</f>
        <v>122</v>
      </c>
      <c r="C733" t="str">
        <f ca="1">INDIRECT($F$291 &amp; ADDRESS(B733, 1,4  ))</f>
        <v>Other (Specify)</v>
      </c>
      <c r="D733" t="str">
        <f>ADDRESS(B733, 2,4  )</f>
        <v>B122</v>
      </c>
      <c r="E733">
        <f ca="1">IF(ISBLANK( INDIRECT($F$291 &amp; D733)),"", INDIRECT($F$291 &amp; D733))</f>
        <v>0</v>
      </c>
      <c r="F733" t="str">
        <f ca="1">CONCATENATE("Enter a value for '", C733, "' in cell ", D733, ".", CHAR(10))</f>
        <v xml:space="preserve">Enter a value for 'Other (Specify)' in cell B122.
</v>
      </c>
      <c r="G733" s="9" t="str">
        <f t="shared" ca="1" si="201"/>
        <v xml:space="preserve">The total of development budget in column B must be greater than zero.
</v>
      </c>
    </row>
    <row r="734" spans="1:7" ht="15" customHeight="1">
      <c r="A734" t="str">
        <f ca="1">IF(AND(OR(Calculations!$B$3:$B$4), E734=""), F734, "")</f>
        <v/>
      </c>
      <c r="B734" t="s">
        <v>476</v>
      </c>
      <c r="C734" t="str">
        <f ca="1">INDIRECT($F$291 &amp; ADDRESS(B733, 1,4  ))</f>
        <v>Other (Specify)</v>
      </c>
      <c r="D734" t="str">
        <f>ADDRESS(B733, 5,4  )</f>
        <v>E122</v>
      </c>
      <c r="E734">
        <f ca="1">IF(ISBLANK( INDIRECT($F$291 &amp; D734)),"", INDIRECT($F$291 &amp; D734))</f>
        <v>0</v>
      </c>
      <c r="F734" t="str">
        <f ca="1">CONCATENATE("Enter an 'Amount Last Provided to CHFA' value for '", C734, "' in cell ", D734, ".", CHAR(10))</f>
        <v xml:space="preserve">Enter an 'Amount Last Provided to CHFA' value for 'Other (Specify)' in cell E122.
</v>
      </c>
      <c r="G734" s="9" t="str">
        <f t="shared" ca="1" si="201"/>
        <v xml:space="preserve">The total of development budget in column B must be greater than zero.
</v>
      </c>
    </row>
    <row r="735" spans="1:7" ht="15" customHeight="1">
      <c r="A735" t="str">
        <f ca="1">IF(AND(E735, SUM(E733:E734) &gt; 0), F735, "")</f>
        <v/>
      </c>
      <c r="C735" t="str">
        <f ca="1">INDIRECT($F$291 &amp; ADDRESS(B733, 1,4  ))</f>
        <v>Other (Specify)</v>
      </c>
      <c r="D735" t="str">
        <f>ADDRESS(B733, 1,4  )</f>
        <v>A122</v>
      </c>
      <c r="E735" t="b">
        <f ca="1">INDIRECT($F$291 &amp; D735)="Other (specify)"</f>
        <v>1</v>
      </c>
      <c r="F735" t="str">
        <f ca="1">CONCATENATE("Please specify value for '", C735, "' in cell ", D735, ".", CHAR(10))</f>
        <v xml:space="preserve">Please specify value for 'Other (Specify)' in cell A122.
</v>
      </c>
      <c r="G735" s="9" t="str">
        <f t="shared" ca="1" si="201"/>
        <v xml:space="preserve">The total of development budget in column B must be greater than zero.
</v>
      </c>
    </row>
    <row r="736" spans="1:7" ht="15" customHeight="1">
      <c r="G736" s="9" t="str">
        <f t="shared" ca="1" si="201"/>
        <v xml:space="preserve">The total of development budget in column B must be greater than zero.
</v>
      </c>
    </row>
    <row r="737" spans="1:17" ht="15" customHeight="1">
      <c r="G737" s="9" t="str">
        <f t="shared" ca="1" si="201"/>
        <v xml:space="preserve">The total of development budget in column B must be greater than zero.
</v>
      </c>
    </row>
    <row r="738" spans="1:17" ht="15" customHeight="1">
      <c r="A738" s="55" t="s">
        <v>3873</v>
      </c>
      <c r="B738" s="53"/>
      <c r="C738" s="53"/>
      <c r="D738" s="53"/>
      <c r="E738" s="53"/>
      <c r="F738" s="53"/>
      <c r="G738" s="56" t="str">
        <f ca="1">OFFSET(G738, -1, 0)</f>
        <v xml:space="preserve">The total of development budget in column B must be greater than zero.
</v>
      </c>
    </row>
    <row r="739" spans="1:17" ht="15" customHeight="1">
      <c r="A739" t="str">
        <f>IF(TRIM(Application!B32)="","The census tract number where the development is located must be entered in cell B24","")</f>
        <v>The census tract number where the development is located must be entered in cell B24</v>
      </c>
    </row>
    <row r="740" spans="1:17" ht="15" customHeight="1"/>
    <row r="741" spans="1:17" ht="15" customHeight="1">
      <c r="A741" s="22" t="s">
        <v>105</v>
      </c>
      <c r="F741" s="49" t="s">
        <v>3874</v>
      </c>
    </row>
    <row r="742" spans="1:17" ht="15" customHeight="1">
      <c r="A742" s="53" t="s">
        <v>3831</v>
      </c>
      <c r="B742" s="53" t="s">
        <v>3832</v>
      </c>
      <c r="C742" s="53" t="s">
        <v>3833</v>
      </c>
      <c r="D742" s="53" t="s">
        <v>3834</v>
      </c>
      <c r="E742" s="53" t="s">
        <v>3835</v>
      </c>
      <c r="F742" s="53" t="s">
        <v>3836</v>
      </c>
      <c r="G742" s="54" t="s">
        <v>3837</v>
      </c>
    </row>
    <row r="743" spans="1:17" ht="15" customHeight="1">
      <c r="A743" s="52" t="str">
        <f>IF(E743&gt;0, F743, "")</f>
        <v/>
      </c>
      <c r="B743" s="52" t="s">
        <v>3865</v>
      </c>
      <c r="C743" s="52"/>
      <c r="D743" s="52"/>
      <c r="E743" s="52">
        <f>IFERROR(SUM(H743:Q743), 0)</f>
        <v>0</v>
      </c>
      <c r="F743" s="52" t="str">
        <f>CONCATENATE("Formulas are not permitted in the Amount column (column B).", CHAR(10))</f>
        <v xml:space="preserve">Formulas are not permitted in the Amount column (column B).
</v>
      </c>
      <c r="G743" s="9" t="str">
        <f>A743</f>
        <v/>
      </c>
      <c r="H743">
        <f>SUMPRODUCT(--_xlfn.ISFORMULA('Commercial Budget'!B4:B6))</f>
        <v>0</v>
      </c>
      <c r="I743">
        <f>SUMPRODUCT(--_xlfn.ISFORMULA('Commercial Budget'!B9:B10))</f>
        <v>0</v>
      </c>
      <c r="J743">
        <f>SUMPRODUCT(--_xlfn.ISFORMULA('Commercial Budget'!B13:B23))</f>
        <v>0</v>
      </c>
      <c r="K743">
        <f>SUMPRODUCT(--_xlfn.ISFORMULA('Commercial Budget'!B26:B33))</f>
        <v>0</v>
      </c>
      <c r="L743">
        <f>SUMPRODUCT(--_xlfn.ISFORMULA('Commercial Budget'!B36:B50))</f>
        <v>0</v>
      </c>
      <c r="M743">
        <f>SUMPRODUCT(--_xlfn.ISFORMULA('Commercial Budget'!B53:B63))</f>
        <v>0</v>
      </c>
      <c r="N743">
        <f>SUMPRODUCT(--_xlfn.ISFORMULA('Commercial Budget'!B66:B75))</f>
        <v>0</v>
      </c>
      <c r="O743">
        <f>SUMPRODUCT(--_xlfn.ISFORMULA('Commercial Budget'!B78:B83))</f>
        <v>0</v>
      </c>
      <c r="P743">
        <f>SUMPRODUCT(--_xlfn.ISFORMULA('Commercial Budget'!B86:B89))</f>
        <v>0</v>
      </c>
      <c r="Q743">
        <f>SUMPRODUCT(--_xlfn.ISFORMULA('Commercial Budget'!B92:B96))</f>
        <v>0</v>
      </c>
    </row>
    <row r="744" spans="1:17" ht="15" customHeight="1">
      <c r="A744" s="52" t="str">
        <f>IF(E744&gt;0, F744, "")</f>
        <v/>
      </c>
      <c r="B744" s="52" t="s">
        <v>3868</v>
      </c>
      <c r="C744" s="52"/>
      <c r="D744" s="52"/>
      <c r="E744" s="52">
        <f>IFERROR(SUM(H744:Q744), 0)</f>
        <v>0</v>
      </c>
      <c r="F744" s="52" t="str">
        <f>CONCATENATE("Formulas are not permitted in the Amount Last Provided to CHFA column (column C).", CHAR(10))</f>
        <v xml:space="preserve">Formulas are not permitted in the Amount Last Provided to CHFA column (column C).
</v>
      </c>
      <c r="G744" s="9" t="str">
        <f t="shared" ref="G744:G775" ca="1" si="203">OFFSET(G744, -1, 0) &amp; A744</f>
        <v/>
      </c>
      <c r="H744">
        <f>SUMPRODUCT(--_xlfn.ISFORMULA('Commercial Budget'!C4:C6))</f>
        <v>0</v>
      </c>
      <c r="I744">
        <f>SUMPRODUCT(--_xlfn.ISFORMULA('Commercial Budget'!C9:C10))</f>
        <v>0</v>
      </c>
      <c r="J744">
        <f>SUMPRODUCT(--_xlfn.ISFORMULA('Commercial Budget'!C13:C23))</f>
        <v>0</v>
      </c>
      <c r="K744">
        <f>SUMPRODUCT(--_xlfn.ISFORMULA('Commercial Budget'!C26:C33))</f>
        <v>0</v>
      </c>
      <c r="L744">
        <f>SUMPRODUCT(--_xlfn.ISFORMULA('Commercial Budget'!C36:C50))</f>
        <v>0</v>
      </c>
      <c r="M744">
        <f>SUMPRODUCT(--_xlfn.ISFORMULA('Commercial Budget'!C53:C63))</f>
        <v>0</v>
      </c>
      <c r="N744">
        <f>SUMPRODUCT(--_xlfn.ISFORMULA('Commercial Budget'!C66:C75))</f>
        <v>0</v>
      </c>
      <c r="O744">
        <f>SUMPRODUCT(--_xlfn.ISFORMULA('Commercial Budget'!C78:C83))</f>
        <v>0</v>
      </c>
      <c r="P744">
        <f>SUMPRODUCT(--_xlfn.ISFORMULA('Commercial Budget'!C86:C89))</f>
        <v>0</v>
      </c>
      <c r="Q744">
        <f>SUMPRODUCT(--_xlfn.ISFORMULA('Commercial Budget'!C92:C96))</f>
        <v>0</v>
      </c>
    </row>
    <row r="745" spans="1:17" ht="15" customHeight="1">
      <c r="A745" s="52" t="str">
        <f>IF(AND(Calculations!B24, E745=0), F745, "")</f>
        <v/>
      </c>
      <c r="B745" s="52">
        <f>ROW('Commercial Budget'!A4)</f>
        <v>4</v>
      </c>
      <c r="C745" s="52"/>
      <c r="D745" s="52" t="str">
        <f>SUBSTITUTE(ADDRESS(B745, COLUMN('Development Budget'!B461),4), B745, "")</f>
        <v>B</v>
      </c>
      <c r="E745" s="52">
        <f>Calculations!B633</f>
        <v>0</v>
      </c>
      <c r="F745" s="52" t="str">
        <f>CONCATENATE("The total of commercial budget in column ", D745, " must be greater than zero.", CHAR(10))</f>
        <v xml:space="preserve">The total of commercial budget in column B must be greater than zero.
</v>
      </c>
      <c r="G745" s="9" t="str">
        <f t="shared" ca="1" si="203"/>
        <v/>
      </c>
    </row>
    <row r="746" spans="1:17" ht="15" customHeight="1">
      <c r="A746" t="str">
        <f ca="1">IF(E746="",F746, "")</f>
        <v/>
      </c>
      <c r="B746">
        <f>ROW('Commercial Budget'!A4)</f>
        <v>4</v>
      </c>
      <c r="C746" t="str">
        <f ca="1">INDIRECT($F$741 &amp; ADDRESS(B746, 1,4  ))</f>
        <v>Land</v>
      </c>
      <c r="D746" t="str">
        <f>ADDRESS(B746, 2,4  )</f>
        <v>B4</v>
      </c>
      <c r="E746">
        <f t="shared" ref="E746:E773" ca="1" si="204">IF(ISBLANK( INDIRECT($F$741 &amp; D746)),"", INDIRECT($F$741 &amp; D746))</f>
        <v>0</v>
      </c>
      <c r="F746" t="str">
        <f ca="1">CONCATENATE("Enter a value for '", C746, "' in cell ", D746, ".", CHAR(10))</f>
        <v xml:space="preserve">Enter a value for 'Land' in cell B4.
</v>
      </c>
      <c r="G746" s="9" t="str">
        <f t="shared" ca="1" si="203"/>
        <v/>
      </c>
    </row>
    <row r="747" spans="1:17" ht="15" customHeight="1">
      <c r="A747" t="str">
        <f ca="1">IF(AND(OR(Calculations!$B$3:$B$4), E747=""), F747, "")</f>
        <v/>
      </c>
      <c r="B747" t="s">
        <v>476</v>
      </c>
      <c r="C747" t="str">
        <f ca="1">INDIRECT($F$741 &amp; ADDRESS(B746, 1,4  ))</f>
        <v>Land</v>
      </c>
      <c r="D747" t="str">
        <f>ADDRESS(B746, 3,4  )</f>
        <v>C4</v>
      </c>
      <c r="E747">
        <f t="shared" ca="1" si="204"/>
        <v>0</v>
      </c>
      <c r="F747" t="str">
        <f ca="1">CONCATENATE("Enter an 'Amount Last Provided to CHFA' value for '", C747, "' in cell ", D747, ".", CHAR(10))</f>
        <v xml:space="preserve">Enter an 'Amount Last Provided to CHFA' value for 'Land' in cell C4.
</v>
      </c>
      <c r="G747" s="9" t="str">
        <f t="shared" ca="1" si="203"/>
        <v/>
      </c>
    </row>
    <row r="748" spans="1:17" ht="15" customHeight="1">
      <c r="A748" t="str">
        <f ca="1">IF(E748="",F748, "")</f>
        <v/>
      </c>
      <c r="B748" s="52">
        <f>B746+1</f>
        <v>5</v>
      </c>
      <c r="C748" t="str">
        <f ca="1">INDIRECT($F$741 &amp; ADDRESS(B748, 1,4  ))</f>
        <v>Existing Structures</v>
      </c>
      <c r="D748" t="str">
        <f>ADDRESS(B748, 2,4  )</f>
        <v>B5</v>
      </c>
      <c r="E748">
        <f t="shared" ca="1" si="204"/>
        <v>0</v>
      </c>
      <c r="F748" t="str">
        <f ca="1">CONCATENATE("Enter a value for '", C748, "' in cell ", D748, ".", CHAR(10))</f>
        <v xml:space="preserve">Enter a value for 'Existing Structures' in cell B5.
</v>
      </c>
      <c r="G748" s="9" t="str">
        <f t="shared" ca="1" si="203"/>
        <v/>
      </c>
    </row>
    <row r="749" spans="1:17" ht="15" customHeight="1">
      <c r="A749" t="str">
        <f ca="1">IF(AND(OR(Calculations!$B$3:$B$4), E749=""), F749, "")</f>
        <v/>
      </c>
      <c r="B749" t="s">
        <v>476</v>
      </c>
      <c r="C749" t="str">
        <f ca="1">INDIRECT($F$741 &amp; ADDRESS(B748, 1,4  ))</f>
        <v>Existing Structures</v>
      </c>
      <c r="D749" t="str">
        <f>ADDRESS(B748, 3,4  )</f>
        <v>C5</v>
      </c>
      <c r="E749">
        <f t="shared" ca="1" si="204"/>
        <v>0</v>
      </c>
      <c r="F749" t="str">
        <f ca="1">CONCATENATE("Enter an 'Amount Last Provided to CHFA' value for '", C749, "' in cell ", D749, ".", CHAR(10))</f>
        <v xml:space="preserve">Enter an 'Amount Last Provided to CHFA' value for 'Existing Structures' in cell C5.
</v>
      </c>
      <c r="G749" s="9" t="str">
        <f t="shared" ca="1" si="203"/>
        <v/>
      </c>
    </row>
    <row r="750" spans="1:17" ht="15" customHeight="1">
      <c r="A750" t="str">
        <f ca="1">IF(E750="",F750, "")</f>
        <v/>
      </c>
      <c r="B750" s="52">
        <f>B748+1</f>
        <v>6</v>
      </c>
      <c r="C750" t="str">
        <f ca="1">INDIRECT($F$741 &amp; ADDRESS(B750, 1,4  ))</f>
        <v>Demolition</v>
      </c>
      <c r="D750" t="str">
        <f>ADDRESS(B750, 2,4  )</f>
        <v>B6</v>
      </c>
      <c r="E750">
        <f t="shared" ca="1" si="204"/>
        <v>0</v>
      </c>
      <c r="F750" t="str">
        <f ca="1">CONCATENATE("Enter a value for '", C750, "' in cell ", D750, ".", CHAR(10))</f>
        <v xml:space="preserve">Enter a value for 'Demolition' in cell B6.
</v>
      </c>
      <c r="G750" s="9" t="str">
        <f t="shared" ca="1" si="203"/>
        <v/>
      </c>
    </row>
    <row r="751" spans="1:17" ht="15" customHeight="1">
      <c r="A751" t="str">
        <f ca="1">IF(AND(OR(Calculations!$B$3:$B$4), E751=""), F751, "")</f>
        <v/>
      </c>
      <c r="B751" t="s">
        <v>476</v>
      </c>
      <c r="C751" t="str">
        <f ca="1">INDIRECT($F$741 &amp; ADDRESS(B750, 1,4  ))</f>
        <v>Demolition</v>
      </c>
      <c r="D751" t="str">
        <f>ADDRESS(B750, 3,4  )</f>
        <v>C6</v>
      </c>
      <c r="E751">
        <f t="shared" ca="1" si="204"/>
        <v>0</v>
      </c>
      <c r="F751" t="str">
        <f ca="1">CONCATENATE("Enter an 'Amount Last Provided to CHFA' value for '", C751, "' in cell ", D751, ".", CHAR(10))</f>
        <v xml:space="preserve">Enter an 'Amount Last Provided to CHFA' value for 'Demolition' in cell C6.
</v>
      </c>
      <c r="G751" s="9" t="str">
        <f t="shared" ca="1" si="203"/>
        <v/>
      </c>
    </row>
    <row r="752" spans="1:17" ht="15" customHeight="1">
      <c r="A752" t="str">
        <f ca="1">IF(E752="",F752, "")</f>
        <v/>
      </c>
      <c r="B752">
        <f>ROW('Commercial Budget'!A9)</f>
        <v>9</v>
      </c>
      <c r="C752" t="str">
        <f ca="1">INDIRECT($F$741 &amp; ADDRESS(B752, 1,4  ))</f>
        <v>On Site Work</v>
      </c>
      <c r="D752" t="str">
        <f>ADDRESS(B752, 2,4  )</f>
        <v>B9</v>
      </c>
      <c r="E752">
        <f t="shared" ca="1" si="204"/>
        <v>0</v>
      </c>
      <c r="F752" t="str">
        <f ca="1">CONCATENATE("Enter a value for '", C752, "' in cell ", D752, ".", CHAR(10))</f>
        <v xml:space="preserve">Enter a value for 'On Site Work' in cell B9.
</v>
      </c>
      <c r="G752" s="9" t="str">
        <f t="shared" ca="1" si="203"/>
        <v/>
      </c>
    </row>
    <row r="753" spans="1:7" ht="15" customHeight="1">
      <c r="A753" t="str">
        <f ca="1">IF(AND(OR(Calculations!$B$3:$B$4), E753=""), F753, "")</f>
        <v/>
      </c>
      <c r="B753" t="s">
        <v>476</v>
      </c>
      <c r="C753" t="str">
        <f ca="1">INDIRECT($F$741 &amp; ADDRESS(B752, 1,4  ))</f>
        <v>On Site Work</v>
      </c>
      <c r="D753" t="str">
        <f>ADDRESS(B752, 3,4  )</f>
        <v>C9</v>
      </c>
      <c r="E753">
        <f t="shared" ca="1" si="204"/>
        <v>0</v>
      </c>
      <c r="F753" t="str">
        <f ca="1">CONCATENATE("Enter an 'Amount Last Provided to CHFA' value for '", C753, "' in cell ", D753, ".", CHAR(10))</f>
        <v xml:space="preserve">Enter an 'Amount Last Provided to CHFA' value for 'On Site Work' in cell C9.
</v>
      </c>
      <c r="G753" s="9" t="str">
        <f t="shared" ca="1" si="203"/>
        <v/>
      </c>
    </row>
    <row r="754" spans="1:7" ht="15" customHeight="1">
      <c r="A754" t="str">
        <f ca="1">IF(E754="",F754, "")</f>
        <v/>
      </c>
      <c r="B754" s="52">
        <f>B752+1</f>
        <v>10</v>
      </c>
      <c r="C754" t="str">
        <f ca="1">INDIRECT($F$741 &amp; ADDRESS(B754, 1,4  ))</f>
        <v>Off Site Work</v>
      </c>
      <c r="D754" t="str">
        <f>ADDRESS(B754, 2,4  )</f>
        <v>B10</v>
      </c>
      <c r="E754">
        <f t="shared" ca="1" si="204"/>
        <v>0</v>
      </c>
      <c r="F754" t="str">
        <f ca="1">CONCATENATE("Enter a value for '", C754, "' in cell ", D754, ".", CHAR(10))</f>
        <v xml:space="preserve">Enter a value for 'Off Site Work' in cell B10.
</v>
      </c>
      <c r="G754" s="9" t="str">
        <f t="shared" ca="1" si="203"/>
        <v/>
      </c>
    </row>
    <row r="755" spans="1:7" ht="15" customHeight="1">
      <c r="A755" t="str">
        <f ca="1">IF(AND(OR(Calculations!$B$3:$B$4), E755=""), F755, "")</f>
        <v/>
      </c>
      <c r="B755" t="s">
        <v>476</v>
      </c>
      <c r="C755" t="str">
        <f ca="1">INDIRECT($F$741 &amp; ADDRESS(B754, 1,4  ))</f>
        <v>Off Site Work</v>
      </c>
      <c r="D755" t="str">
        <f>ADDRESS(B754, 3,4  )</f>
        <v>C10</v>
      </c>
      <c r="E755">
        <f t="shared" ca="1" si="204"/>
        <v>0</v>
      </c>
      <c r="F755" t="str">
        <f ca="1">CONCATENATE("Enter an 'Amount Last Provided to CHFA' value for '", C755, "' in cell ", D755, ".", CHAR(10))</f>
        <v xml:space="preserve">Enter an 'Amount Last Provided to CHFA' value for 'Off Site Work' in cell C10.
</v>
      </c>
      <c r="G755" s="9" t="str">
        <f t="shared" ca="1" si="203"/>
        <v/>
      </c>
    </row>
    <row r="756" spans="1:7" ht="15" customHeight="1">
      <c r="A756" t="str">
        <f ca="1">IF(E756="",F756, "")</f>
        <v/>
      </c>
      <c r="B756">
        <f>ROW('Commercial Budget'!A13)</f>
        <v>13</v>
      </c>
      <c r="C756" t="str">
        <f ca="1">INDIRECT($F$741 &amp; ADDRESS(B756, 1,4  ))</f>
        <v>New Structures</v>
      </c>
      <c r="D756" t="str">
        <f>ADDRESS(B756, 2,4  )</f>
        <v>B13</v>
      </c>
      <c r="E756">
        <f t="shared" ca="1" si="204"/>
        <v>0</v>
      </c>
      <c r="F756" t="str">
        <f ca="1">CONCATENATE("Enter a value for '", C756, "' in cell ", D756, ".", CHAR(10))</f>
        <v xml:space="preserve">Enter a value for 'New Structures' in cell B13.
</v>
      </c>
      <c r="G756" s="9" t="str">
        <f t="shared" ca="1" si="203"/>
        <v/>
      </c>
    </row>
    <row r="757" spans="1:7" ht="15" customHeight="1">
      <c r="A757" t="str">
        <f ca="1">IF(AND(OR(Calculations!$B$3:$B$4), E757=""), F757, "")</f>
        <v/>
      </c>
      <c r="B757" t="s">
        <v>476</v>
      </c>
      <c r="C757" t="str">
        <f ca="1">INDIRECT($F$741 &amp; ADDRESS(B756, 1,4  ))</f>
        <v>New Structures</v>
      </c>
      <c r="D757" t="str">
        <f>ADDRESS(B756, 3,4  )</f>
        <v>C13</v>
      </c>
      <c r="E757">
        <f t="shared" ca="1" si="204"/>
        <v>0</v>
      </c>
      <c r="F757" t="str">
        <f ca="1">CONCATENATE("Enter an 'Amount Last Provided to CHFA' value for '", C757, "' in cell ", D757, ".", CHAR(10))</f>
        <v xml:space="preserve">Enter an 'Amount Last Provided to CHFA' value for 'New Structures' in cell C13.
</v>
      </c>
      <c r="G757" s="9" t="str">
        <f t="shared" ca="1" si="203"/>
        <v/>
      </c>
    </row>
    <row r="758" spans="1:7" ht="15" customHeight="1">
      <c r="A758" t="str">
        <f ca="1">IF(E758="",F758, "")</f>
        <v/>
      </c>
      <c r="B758" s="52">
        <f>B756+1</f>
        <v>14</v>
      </c>
      <c r="C758" t="str">
        <f ca="1">INDIRECT($F$741 &amp; ADDRESS(B758, 1,4  ))</f>
        <v>Rehabilitation</v>
      </c>
      <c r="D758" t="str">
        <f>ADDRESS(B758, 2,4  )</f>
        <v>B14</v>
      </c>
      <c r="E758">
        <f t="shared" ca="1" si="204"/>
        <v>0</v>
      </c>
      <c r="F758" t="str">
        <f ca="1">CONCATENATE("Enter a value for '", C758, "' in cell ", D758, ".", CHAR(10))</f>
        <v xml:space="preserve">Enter a value for 'Rehabilitation' in cell B14.
</v>
      </c>
      <c r="G758" s="9" t="str">
        <f t="shared" ca="1" si="203"/>
        <v/>
      </c>
    </row>
    <row r="759" spans="1:7" ht="15" customHeight="1">
      <c r="A759" t="str">
        <f ca="1">IF(AND(OR(Calculations!$B$3:$B$4), E759=""), F759, "")</f>
        <v/>
      </c>
      <c r="B759" t="s">
        <v>476</v>
      </c>
      <c r="C759" t="str">
        <f ca="1">INDIRECT($F$741 &amp; ADDRESS(B758, 1,4  ))</f>
        <v>Rehabilitation</v>
      </c>
      <c r="D759" t="str">
        <f>ADDRESS(B758, 3,4  )</f>
        <v>C14</v>
      </c>
      <c r="E759">
        <f t="shared" ca="1" si="204"/>
        <v>0</v>
      </c>
      <c r="F759" t="str">
        <f ca="1">CONCATENATE("Enter an 'Amount Last Provided to CHFA' value for '", C759, "' in cell ", D759, ".", CHAR(10))</f>
        <v xml:space="preserve">Enter an 'Amount Last Provided to CHFA' value for 'Rehabilitation' in cell C14.
</v>
      </c>
      <c r="G759" s="9" t="str">
        <f t="shared" ca="1" si="203"/>
        <v/>
      </c>
    </row>
    <row r="760" spans="1:7" ht="15" customHeight="1">
      <c r="A760" t="str">
        <f ca="1">IF(E760="",F760, "")</f>
        <v/>
      </c>
      <c r="B760" s="52">
        <f>B758+1</f>
        <v>15</v>
      </c>
      <c r="C760" t="str">
        <f ca="1">INDIRECT($F$741 &amp; ADDRESS(B760, 1,4  ))</f>
        <v>Accessory Structures</v>
      </c>
      <c r="D760" t="str">
        <f>ADDRESS(B760, 2,4  )</f>
        <v>B15</v>
      </c>
      <c r="E760">
        <f t="shared" ca="1" si="204"/>
        <v>0</v>
      </c>
      <c r="F760" t="str">
        <f ca="1">CONCATENATE("Enter a value for '", C760, "' in cell ", D760, ".", CHAR(10))</f>
        <v xml:space="preserve">Enter a value for 'Accessory Structures' in cell B15.
</v>
      </c>
      <c r="G760" s="9" t="str">
        <f t="shared" ca="1" si="203"/>
        <v/>
      </c>
    </row>
    <row r="761" spans="1:7" ht="15" customHeight="1">
      <c r="A761" t="str">
        <f ca="1">IF(AND(OR(Calculations!$B$3:$B$4), E761=""), F761, "")</f>
        <v/>
      </c>
      <c r="B761" t="s">
        <v>476</v>
      </c>
      <c r="C761" t="str">
        <f ca="1">INDIRECT($F$741 &amp; ADDRESS(B760, 1,4  ))</f>
        <v>Accessory Structures</v>
      </c>
      <c r="D761" t="str">
        <f>ADDRESS(B760, 3,4  )</f>
        <v>C15</v>
      </c>
      <c r="E761">
        <f t="shared" ca="1" si="204"/>
        <v>0</v>
      </c>
      <c r="F761" t="str">
        <f ca="1">CONCATENATE("Enter an 'Amount Last Provided to CHFA' value for '", C761, "' in cell ", D761, ".", CHAR(10))</f>
        <v xml:space="preserve">Enter an 'Amount Last Provided to CHFA' value for 'Accessory Structures' in cell C15.
</v>
      </c>
      <c r="G761" s="9" t="str">
        <f t="shared" ca="1" si="203"/>
        <v/>
      </c>
    </row>
    <row r="762" spans="1:7" ht="15" customHeight="1">
      <c r="A762" t="str">
        <f ca="1">IF(E762="",F762, "")</f>
        <v/>
      </c>
      <c r="B762" s="52">
        <f>B760+1</f>
        <v>16</v>
      </c>
      <c r="C762" t="str">
        <f ca="1">INDIRECT($F$741 &amp; ADDRESS(B762, 1,4  ))</f>
        <v>General Requirements</v>
      </c>
      <c r="D762" t="str">
        <f>ADDRESS(B762, 2,4  )</f>
        <v>B16</v>
      </c>
      <c r="E762">
        <f t="shared" ca="1" si="204"/>
        <v>0</v>
      </c>
      <c r="F762" t="str">
        <f ca="1">CONCATENATE("Enter a value for '", C762, "' in cell ", D762, ".", CHAR(10))</f>
        <v xml:space="preserve">Enter a value for 'General Requirements' in cell B16.
</v>
      </c>
      <c r="G762" s="9" t="str">
        <f t="shared" ca="1" si="203"/>
        <v/>
      </c>
    </row>
    <row r="763" spans="1:7" ht="15" customHeight="1">
      <c r="A763" t="str">
        <f ca="1">IF(AND(OR(Calculations!$B$3:$B$4), E763=""), F763, "")</f>
        <v/>
      </c>
      <c r="B763" t="s">
        <v>476</v>
      </c>
      <c r="C763" t="str">
        <f ca="1">INDIRECT($F$741 &amp; ADDRESS(B762, 1,4  ))</f>
        <v>General Requirements</v>
      </c>
      <c r="D763" t="str">
        <f>ADDRESS(B762, 3,4  )</f>
        <v>C16</v>
      </c>
      <c r="E763">
        <f t="shared" ca="1" si="204"/>
        <v>0</v>
      </c>
      <c r="F763" t="str">
        <f ca="1">CONCATENATE("Enter an 'Amount Last Provided to CHFA' value for '", C763, "' in cell ", D763, ".", CHAR(10))</f>
        <v xml:space="preserve">Enter an 'Amount Last Provided to CHFA' value for 'General Requirements' in cell C16.
</v>
      </c>
      <c r="G763" s="9" t="str">
        <f t="shared" ca="1" si="203"/>
        <v/>
      </c>
    </row>
    <row r="764" spans="1:7" ht="15" customHeight="1">
      <c r="A764" t="str">
        <f ca="1">IF(E764="",F764, "")</f>
        <v/>
      </c>
      <c r="B764" s="52">
        <f>B762+1</f>
        <v>17</v>
      </c>
      <c r="C764" t="str">
        <f ca="1">INDIRECT($F$741 &amp; ADDRESS(B764, 1,4  ))</f>
        <v>Contractor Overhead</v>
      </c>
      <c r="D764" t="str">
        <f>ADDRESS(B764, 2,4  )</f>
        <v>B17</v>
      </c>
      <c r="E764">
        <f t="shared" ca="1" si="204"/>
        <v>0</v>
      </c>
      <c r="F764" t="str">
        <f ca="1">CONCATENATE("Enter a value for '", C764, "' in cell ", D764, ".", CHAR(10))</f>
        <v xml:space="preserve">Enter a value for 'Contractor Overhead' in cell B17.
</v>
      </c>
      <c r="G764" s="9" t="str">
        <f t="shared" ca="1" si="203"/>
        <v/>
      </c>
    </row>
    <row r="765" spans="1:7" ht="15" customHeight="1">
      <c r="A765" t="str">
        <f ca="1">IF(AND(OR(Calculations!$B$3:$B$4), E765=""), F765, "")</f>
        <v/>
      </c>
      <c r="B765" t="s">
        <v>476</v>
      </c>
      <c r="C765" t="str">
        <f ca="1">INDIRECT($F$741 &amp; ADDRESS(B764, 1,4  ))</f>
        <v>Contractor Overhead</v>
      </c>
      <c r="D765" t="str">
        <f>ADDRESS(B764, 3,4  )</f>
        <v>C17</v>
      </c>
      <c r="E765">
        <f t="shared" ca="1" si="204"/>
        <v>0</v>
      </c>
      <c r="F765" t="str">
        <f ca="1">CONCATENATE("Enter an 'Amount Last Provided to CHFA' value for '", C765, "' in cell ", D765, ".", CHAR(10))</f>
        <v xml:space="preserve">Enter an 'Amount Last Provided to CHFA' value for 'Contractor Overhead' in cell C17.
</v>
      </c>
      <c r="G765" s="9" t="str">
        <f t="shared" ca="1" si="203"/>
        <v/>
      </c>
    </row>
    <row r="766" spans="1:7" ht="15" customHeight="1">
      <c r="A766" t="str">
        <f ca="1">IF(E766="",F766, "")</f>
        <v/>
      </c>
      <c r="B766" s="52">
        <f>B764+1</f>
        <v>18</v>
      </c>
      <c r="C766" t="str">
        <f ca="1">INDIRECT($F$741 &amp; ADDRESS(B766, 1,4  ))</f>
        <v>Contractor Profit</v>
      </c>
      <c r="D766" t="str">
        <f>ADDRESS(B766, 2,4  )</f>
        <v>B18</v>
      </c>
      <c r="E766">
        <f t="shared" ca="1" si="204"/>
        <v>0</v>
      </c>
      <c r="F766" t="str">
        <f ca="1">CONCATENATE("Enter a value for '", C766, "' in cell ", D766, ".", CHAR(10))</f>
        <v xml:space="preserve">Enter a value for 'Contractor Profit' in cell B18.
</v>
      </c>
      <c r="G766" s="9" t="str">
        <f t="shared" ca="1" si="203"/>
        <v/>
      </c>
    </row>
    <row r="767" spans="1:7" ht="15" customHeight="1">
      <c r="A767" t="str">
        <f ca="1">IF(AND(OR(Calculations!$B$3:$B$4), E767=""), F767, "")</f>
        <v/>
      </c>
      <c r="B767" t="s">
        <v>476</v>
      </c>
      <c r="C767" t="str">
        <f ca="1">INDIRECT($F$741 &amp; ADDRESS(B766, 1,4  ))</f>
        <v>Contractor Profit</v>
      </c>
      <c r="D767" t="str">
        <f>ADDRESS(B766, 3,4  )</f>
        <v>C18</v>
      </c>
      <c r="E767">
        <f t="shared" ca="1" si="204"/>
        <v>0</v>
      </c>
      <c r="F767" t="str">
        <f ca="1">CONCATENATE("Enter an 'Amount Last Provided to CHFA' value for '", C767, "' in cell ", D767, ".", CHAR(10))</f>
        <v xml:space="preserve">Enter an 'Amount Last Provided to CHFA' value for 'Contractor Profit' in cell C18.
</v>
      </c>
      <c r="G767" s="9" t="str">
        <f t="shared" ca="1" si="203"/>
        <v/>
      </c>
    </row>
    <row r="768" spans="1:7" ht="15" customHeight="1">
      <c r="A768" t="str">
        <f ca="1">IF(E768="",F768, "")</f>
        <v/>
      </c>
      <c r="B768" s="52">
        <f>B766+1</f>
        <v>19</v>
      </c>
      <c r="C768" t="str">
        <f ca="1">INDIRECT($F$741 &amp; ADDRESS(B768, 1,4  ))</f>
        <v>Construction Contingency</v>
      </c>
      <c r="D768" t="str">
        <f>ADDRESS(B768, 2,4  )</f>
        <v>B19</v>
      </c>
      <c r="E768">
        <f t="shared" ca="1" si="204"/>
        <v>0</v>
      </c>
      <c r="F768" t="str">
        <f ca="1">CONCATENATE("Enter a value for '", C768, "' in cell ", D768, ".", CHAR(10))</f>
        <v xml:space="preserve">Enter a value for 'Construction Contingency' in cell B19.
</v>
      </c>
      <c r="G768" s="9" t="str">
        <f t="shared" ca="1" si="203"/>
        <v/>
      </c>
    </row>
    <row r="769" spans="1:7" ht="15" customHeight="1">
      <c r="A769" t="str">
        <f ca="1">IF(AND(OR(Calculations!$B$3:$B$4), E769=""), F769, "")</f>
        <v/>
      </c>
      <c r="B769" t="s">
        <v>476</v>
      </c>
      <c r="C769" t="str">
        <f ca="1">INDIRECT($F$741 &amp; ADDRESS(B768, 1,4  ))</f>
        <v>Construction Contingency</v>
      </c>
      <c r="D769" t="str">
        <f>ADDRESS(B768, 3,4  )</f>
        <v>C19</v>
      </c>
      <c r="E769">
        <f t="shared" ca="1" si="204"/>
        <v>0</v>
      </c>
      <c r="F769" t="str">
        <f ca="1">CONCATENATE("Enter an 'Amount Last Provided to CHFA' value for '", C769, "' in cell ", D769, ".", CHAR(10))</f>
        <v xml:space="preserve">Enter an 'Amount Last Provided to CHFA' value for 'Construction Contingency' in cell C19.
</v>
      </c>
      <c r="G769" s="9" t="str">
        <f t="shared" ca="1" si="203"/>
        <v/>
      </c>
    </row>
    <row r="770" spans="1:7" ht="15" customHeight="1">
      <c r="A770" t="str">
        <f ca="1">IF(E770="",F770, "")</f>
        <v/>
      </c>
      <c r="B770" s="52">
        <f>B768+1</f>
        <v>20</v>
      </c>
      <c r="C770" t="str">
        <f ca="1">INDIRECT($F$741 &amp; ADDRESS(B770, 1,4  ))</f>
        <v>Building Permits</v>
      </c>
      <c r="D770" t="str">
        <f>ADDRESS(B770, 2,4  )</f>
        <v>B20</v>
      </c>
      <c r="E770">
        <f t="shared" ca="1" si="204"/>
        <v>0</v>
      </c>
      <c r="F770" t="str">
        <f ca="1">CONCATENATE("Enter a value for '", C770, "' in cell ", D770, ".", CHAR(10))</f>
        <v xml:space="preserve">Enter a value for 'Building Permits' in cell B20.
</v>
      </c>
      <c r="G770" s="9" t="str">
        <f t="shared" ca="1" si="203"/>
        <v/>
      </c>
    </row>
    <row r="771" spans="1:7" ht="15" customHeight="1">
      <c r="A771" t="str">
        <f ca="1">IF(AND(OR(Calculations!$B$3:$B$4), E771=""), F771, "")</f>
        <v/>
      </c>
      <c r="B771" t="s">
        <v>476</v>
      </c>
      <c r="C771" t="str">
        <f ca="1">INDIRECT($F$741 &amp; ADDRESS(B770, 1,4  ))</f>
        <v>Building Permits</v>
      </c>
      <c r="D771" t="str">
        <f>ADDRESS(B770, 3,4  )</f>
        <v>C20</v>
      </c>
      <c r="E771">
        <f t="shared" ca="1" si="204"/>
        <v>0</v>
      </c>
      <c r="F771" t="str">
        <f ca="1">CONCATENATE("Enter an 'Amount Last Provided to CHFA' value for '", C771, "' in cell ", D771, ".", CHAR(10))</f>
        <v xml:space="preserve">Enter an 'Amount Last Provided to CHFA' value for 'Building Permits' in cell C20.
</v>
      </c>
      <c r="G771" s="9" t="str">
        <f t="shared" ca="1" si="203"/>
        <v/>
      </c>
    </row>
    <row r="772" spans="1:7" ht="15" customHeight="1">
      <c r="A772" t="str">
        <f ca="1">IF(E772="",F772, "")</f>
        <v/>
      </c>
      <c r="B772" s="52">
        <f>B770+1</f>
        <v>21</v>
      </c>
      <c r="C772" t="str">
        <f ca="1">INDIRECT($F$741 &amp; ADDRESS(B772, 1,4  ))</f>
        <v>Other (Specify)</v>
      </c>
      <c r="D772" t="str">
        <f>ADDRESS(B772, 2,4  )</f>
        <v>B21</v>
      </c>
      <c r="E772">
        <f t="shared" ca="1" si="204"/>
        <v>0</v>
      </c>
      <c r="F772" t="str">
        <f ca="1">CONCATENATE("Enter a value for '", C772, "' in cell ", D772, ".", CHAR(10))</f>
        <v xml:space="preserve">Enter a value for 'Other (Specify)' in cell B21.
</v>
      </c>
      <c r="G772" s="9" t="str">
        <f t="shared" ca="1" si="203"/>
        <v/>
      </c>
    </row>
    <row r="773" spans="1:7" ht="15" customHeight="1">
      <c r="A773" t="str">
        <f ca="1">IF(AND(OR(Calculations!$B$3:$B$4), E773=""), F773, "")</f>
        <v/>
      </c>
      <c r="B773" t="s">
        <v>476</v>
      </c>
      <c r="C773" t="str">
        <f ca="1">INDIRECT($F$741 &amp; ADDRESS(B772, 1,4  ))</f>
        <v>Other (Specify)</v>
      </c>
      <c r="D773" t="str">
        <f>ADDRESS(B772, 3,4  )</f>
        <v>C21</v>
      </c>
      <c r="E773">
        <f t="shared" ca="1" si="204"/>
        <v>0</v>
      </c>
      <c r="F773" t="str">
        <f ca="1">CONCATENATE("Enter an 'Amount Last Provided to CHFA' value for '", C773, "' in cell ", D773, ".", CHAR(10))</f>
        <v xml:space="preserve">Enter an 'Amount Last Provided to CHFA' value for 'Other (Specify)' in cell C21.
</v>
      </c>
      <c r="G773" s="9" t="str">
        <f t="shared" ca="1" si="203"/>
        <v/>
      </c>
    </row>
    <row r="774" spans="1:7" ht="15" customHeight="1">
      <c r="A774" t="str">
        <f ca="1">IF(AND(E774, SUM(E772:E773) &gt; 0), F774, "")</f>
        <v/>
      </c>
      <c r="C774" t="str">
        <f ca="1">INDIRECT($F$741 &amp; ADDRESS(B772, 1,4  ))</f>
        <v>Other (Specify)</v>
      </c>
      <c r="D774" t="str">
        <f>ADDRESS(B772, 1,4  )</f>
        <v>A21</v>
      </c>
      <c r="E774" t="b">
        <f ca="1">INDIRECT($F$741 &amp; D774)="Other (specify)"</f>
        <v>1</v>
      </c>
      <c r="F774" t="str">
        <f ca="1">CONCATENATE("Please specify value for '", C774, "' in cell ", D774, ".", CHAR(10))</f>
        <v xml:space="preserve">Please specify value for 'Other (Specify)' in cell A21.
</v>
      </c>
      <c r="G774" s="9" t="str">
        <f t="shared" ca="1" si="203"/>
        <v/>
      </c>
    </row>
    <row r="775" spans="1:7" ht="15" customHeight="1">
      <c r="A775" t="str">
        <f ca="1">IF(E775="",F775, "")</f>
        <v/>
      </c>
      <c r="B775" s="52">
        <f>B772+1</f>
        <v>22</v>
      </c>
      <c r="C775" t="str">
        <f ca="1">INDIRECT($F$741 &amp; ADDRESS(B775, 1,4  ))</f>
        <v>Other (Specify)</v>
      </c>
      <c r="D775" t="str">
        <f>ADDRESS(B775, 2,4  )</f>
        <v>B22</v>
      </c>
      <c r="E775">
        <f ca="1">IF(ISBLANK( INDIRECT($F$741 &amp; D775)),"", INDIRECT($F$741 &amp; D775))</f>
        <v>0</v>
      </c>
      <c r="F775" t="str">
        <f ca="1">CONCATENATE("Enter a value for '", C775, "' in cell ", D775, ".", CHAR(10))</f>
        <v xml:space="preserve">Enter a value for 'Other (Specify)' in cell B22.
</v>
      </c>
      <c r="G775" s="9" t="str">
        <f t="shared" ca="1" si="203"/>
        <v/>
      </c>
    </row>
    <row r="776" spans="1:7" ht="15" customHeight="1">
      <c r="A776" t="str">
        <f ca="1">IF(AND(OR(Calculations!$B$3:$B$4), E776=""), F776, "")</f>
        <v/>
      </c>
      <c r="B776" t="s">
        <v>476</v>
      </c>
      <c r="C776" t="str">
        <f ca="1">INDIRECT($F$741 &amp; ADDRESS(B775, 1,4  ))</f>
        <v>Other (Specify)</v>
      </c>
      <c r="D776" t="str">
        <f>ADDRESS(B775, 3,4  )</f>
        <v>C22</v>
      </c>
      <c r="E776">
        <f ca="1">IF(ISBLANK( INDIRECT($F$741 &amp; D776)),"", INDIRECT($F$741 &amp; D776))</f>
        <v>0</v>
      </c>
      <c r="F776" t="str">
        <f ca="1">CONCATENATE("Enter an 'Amount Last Provided to CHFA' value for '", C776, "' in cell ", D776, ".", CHAR(10))</f>
        <v xml:space="preserve">Enter an 'Amount Last Provided to CHFA' value for 'Other (Specify)' in cell C22.
</v>
      </c>
      <c r="G776" s="9" t="str">
        <f t="shared" ref="G776:G807" ca="1" si="205">OFFSET(G776, -1, 0) &amp; A776</f>
        <v/>
      </c>
    </row>
    <row r="777" spans="1:7" ht="15" customHeight="1">
      <c r="A777" t="str">
        <f ca="1">IF(AND(E777, SUM(E775:E776) &gt; 0), F777, "")</f>
        <v/>
      </c>
      <c r="C777" t="str">
        <f ca="1">INDIRECT($F$741 &amp; ADDRESS(B775, 1,4  ))</f>
        <v>Other (Specify)</v>
      </c>
      <c r="D777" t="str">
        <f>ADDRESS(B775, 1,4  )</f>
        <v>A22</v>
      </c>
      <c r="E777" t="b">
        <f ca="1">INDIRECT($F$741 &amp; D777)="Other (specify)"</f>
        <v>1</v>
      </c>
      <c r="F777" t="str">
        <f ca="1">CONCATENATE("Please specify value for '", C777, "' in cell ", D777, ".", CHAR(10))</f>
        <v xml:space="preserve">Please specify value for 'Other (Specify)' in cell A22.
</v>
      </c>
      <c r="G777" s="9" t="str">
        <f t="shared" ca="1" si="205"/>
        <v/>
      </c>
    </row>
    <row r="778" spans="1:7" ht="15" customHeight="1">
      <c r="A778" t="str">
        <f ca="1">IF(E778="",F778, "")</f>
        <v/>
      </c>
      <c r="B778" s="52">
        <f>B775+1</f>
        <v>23</v>
      </c>
      <c r="C778" t="str">
        <f ca="1">INDIRECT($F$741 &amp; ADDRESS(B778, 1,4  ))</f>
        <v>Other (Specify)</v>
      </c>
      <c r="D778" t="str">
        <f>ADDRESS(B778, 2,4  )</f>
        <v>B23</v>
      </c>
      <c r="E778">
        <f ca="1">IF(ISBLANK( INDIRECT($F$741 &amp; D778)),"", INDIRECT($F$741 &amp; D778))</f>
        <v>0</v>
      </c>
      <c r="F778" t="str">
        <f ca="1">CONCATENATE("Enter a value for '", C778, "' in cell ", D778, ".", CHAR(10))</f>
        <v xml:space="preserve">Enter a value for 'Other (Specify)' in cell B23.
</v>
      </c>
      <c r="G778" s="9" t="str">
        <f t="shared" ca="1" si="205"/>
        <v/>
      </c>
    </row>
    <row r="779" spans="1:7" ht="15" customHeight="1">
      <c r="A779" t="str">
        <f ca="1">IF(AND(OR(Calculations!$B$3:$B$4), E779=""), F779, "")</f>
        <v/>
      </c>
      <c r="B779" t="s">
        <v>476</v>
      </c>
      <c r="C779" t="str">
        <f ca="1">INDIRECT($F$741 &amp; ADDRESS(B778, 1,4  ))</f>
        <v>Other (Specify)</v>
      </c>
      <c r="D779" t="str">
        <f>ADDRESS(B778, 3,4  )</f>
        <v>C23</v>
      </c>
      <c r="E779">
        <f ca="1">IF(ISBLANK( INDIRECT($F$741 &amp; D779)),"", INDIRECT($F$741 &amp; D779))</f>
        <v>0</v>
      </c>
      <c r="F779" t="str">
        <f ca="1">CONCATENATE("Enter an 'Amount Last Provided to CHFA' value for '", C779, "' in cell ", D779, ".", CHAR(10))</f>
        <v xml:space="preserve">Enter an 'Amount Last Provided to CHFA' value for 'Other (Specify)' in cell C23.
</v>
      </c>
      <c r="G779" s="9" t="str">
        <f t="shared" ca="1" si="205"/>
        <v/>
      </c>
    </row>
    <row r="780" spans="1:7" ht="15" customHeight="1">
      <c r="A780" t="str">
        <f ca="1">IF(AND(E780, SUM(E778:E779) &gt; 0), F780, "")</f>
        <v/>
      </c>
      <c r="C780" t="str">
        <f ca="1">INDIRECT($F$741 &amp; ADDRESS(B778, 1,4  ))</f>
        <v>Other (Specify)</v>
      </c>
      <c r="D780" t="str">
        <f>ADDRESS(B778, 1,4  )</f>
        <v>A23</v>
      </c>
      <c r="E780" t="b">
        <f ca="1">INDIRECT($F$741 &amp; D780)="Other (specify)"</f>
        <v>1</v>
      </c>
      <c r="F780" t="str">
        <f ca="1">CONCATENATE("Please specify value for '", C780, "' in cell ", D780, ".", CHAR(10))</f>
        <v xml:space="preserve">Please specify value for 'Other (Specify)' in cell A23.
</v>
      </c>
      <c r="G780" s="9" t="str">
        <f t="shared" ca="1" si="205"/>
        <v/>
      </c>
    </row>
    <row r="781" spans="1:7" ht="15" customHeight="1">
      <c r="A781" t="str">
        <f ca="1">IF(E781="",F781, "")</f>
        <v/>
      </c>
      <c r="B781">
        <f>ROW('Commercial Budget'!A26)</f>
        <v>26</v>
      </c>
      <c r="C781" t="str">
        <f ca="1">INDIRECT($F$741 &amp; ADDRESS(B781, 1,4  ))</f>
        <v>Architect, Design</v>
      </c>
      <c r="D781" t="str">
        <f>ADDRESS(B781, 2,4  )</f>
        <v>B26</v>
      </c>
      <c r="E781">
        <f t="shared" ref="E781:E792" ca="1" si="206">IF(ISBLANK( INDIRECT($F$741 &amp; D781)),"", INDIRECT($F$741 &amp; D781))</f>
        <v>0</v>
      </c>
      <c r="F781" t="str">
        <f ca="1">CONCATENATE("Enter a value for '", C781, "' in cell ", D781, ".", CHAR(10))</f>
        <v xml:space="preserve">Enter a value for 'Architect, Design' in cell B26.
</v>
      </c>
      <c r="G781" s="9" t="str">
        <f t="shared" ca="1" si="205"/>
        <v/>
      </c>
    </row>
    <row r="782" spans="1:7" ht="15" customHeight="1">
      <c r="A782" t="str">
        <f ca="1">IF(AND(OR(Calculations!$B$3:$B$4), E782=""), F782, "")</f>
        <v/>
      </c>
      <c r="B782" t="s">
        <v>476</v>
      </c>
      <c r="C782" t="str">
        <f ca="1">INDIRECT($F$741 &amp; ADDRESS(B781, 1,4  ))</f>
        <v>Architect, Design</v>
      </c>
      <c r="D782" t="str">
        <f>ADDRESS(B781, 3,4  )</f>
        <v>C26</v>
      </c>
      <c r="E782">
        <f t="shared" ca="1" si="206"/>
        <v>0</v>
      </c>
      <c r="F782" t="str">
        <f ca="1">CONCATENATE("Enter an 'Amount Last Provided to CHFA' value for '", C782, "' in cell ", D782, ".", CHAR(10))</f>
        <v xml:space="preserve">Enter an 'Amount Last Provided to CHFA' value for 'Architect, Design' in cell C26.
</v>
      </c>
      <c r="G782" s="9" t="str">
        <f t="shared" ca="1" si="205"/>
        <v/>
      </c>
    </row>
    <row r="783" spans="1:7" ht="15" customHeight="1">
      <c r="A783" t="str">
        <f ca="1">IF(E783="",F783, "")</f>
        <v/>
      </c>
      <c r="B783" s="52">
        <f>B781+1</f>
        <v>27</v>
      </c>
      <c r="C783" t="str">
        <f ca="1">INDIRECT($F$741 &amp; ADDRESS(B783, 1,4  ))</f>
        <v>Architect, Supervision</v>
      </c>
      <c r="D783" t="str">
        <f>ADDRESS(B783, 2,4  )</f>
        <v>B27</v>
      </c>
      <c r="E783">
        <f t="shared" ca="1" si="206"/>
        <v>0</v>
      </c>
      <c r="F783" t="str">
        <f ca="1">CONCATENATE("Enter a value for '", C783, "' in cell ", D783, ".", CHAR(10))</f>
        <v xml:space="preserve">Enter a value for 'Architect, Supervision' in cell B27.
</v>
      </c>
      <c r="G783" s="9" t="str">
        <f t="shared" ca="1" si="205"/>
        <v/>
      </c>
    </row>
    <row r="784" spans="1:7" ht="15" customHeight="1">
      <c r="A784" t="str">
        <f ca="1">IF(AND(OR(Calculations!$B$3:$B$4), E784=""), F784, "")</f>
        <v/>
      </c>
      <c r="B784" t="s">
        <v>476</v>
      </c>
      <c r="C784" t="str">
        <f ca="1">INDIRECT($F$741 &amp; ADDRESS(B783, 1,4  ))</f>
        <v>Architect, Supervision</v>
      </c>
      <c r="D784" t="str">
        <f>ADDRESS(B783, 3,4  )</f>
        <v>C27</v>
      </c>
      <c r="E784">
        <f t="shared" ca="1" si="206"/>
        <v>0</v>
      </c>
      <c r="F784" t="str">
        <f ca="1">CONCATENATE("Enter an 'Amount Last Provided to CHFA' value for '", C784, "' in cell ", D784, ".", CHAR(10))</f>
        <v xml:space="preserve">Enter an 'Amount Last Provided to CHFA' value for 'Architect, Supervision' in cell C27.
</v>
      </c>
      <c r="G784" s="9" t="str">
        <f t="shared" ca="1" si="205"/>
        <v/>
      </c>
    </row>
    <row r="785" spans="1:7" ht="15" customHeight="1">
      <c r="A785" t="str">
        <f ca="1">IF(E785="",F785, "")</f>
        <v/>
      </c>
      <c r="B785" s="52">
        <f>B783+1</f>
        <v>28</v>
      </c>
      <c r="C785" t="str">
        <f ca="1">INDIRECT($F$741 &amp; ADDRESS(B785, 1,4  ))</f>
        <v>Attorney, Real Estate</v>
      </c>
      <c r="D785" t="str">
        <f>ADDRESS(B785, 2,4  )</f>
        <v>B28</v>
      </c>
      <c r="E785">
        <f t="shared" ca="1" si="206"/>
        <v>0</v>
      </c>
      <c r="F785" t="str">
        <f ca="1">CONCATENATE("Enter a value for '", C785, "' in cell ", D785, ".", CHAR(10))</f>
        <v xml:space="preserve">Enter a value for 'Attorney, Real Estate' in cell B28.
</v>
      </c>
      <c r="G785" s="9" t="str">
        <f t="shared" ca="1" si="205"/>
        <v/>
      </c>
    </row>
    <row r="786" spans="1:7" ht="15" customHeight="1">
      <c r="A786" t="str">
        <f ca="1">IF(AND(OR(Calculations!$B$3:$B$4), E786=""), F786, "")</f>
        <v/>
      </c>
      <c r="B786" t="s">
        <v>476</v>
      </c>
      <c r="C786" t="str">
        <f ca="1">INDIRECT($F$741 &amp; ADDRESS(B785, 1,4  ))</f>
        <v>Attorney, Real Estate</v>
      </c>
      <c r="D786" t="str">
        <f>ADDRESS(B785, 3,4  )</f>
        <v>C28</v>
      </c>
      <c r="E786">
        <f t="shared" ca="1" si="206"/>
        <v>0</v>
      </c>
      <c r="F786" t="str">
        <f ca="1">CONCATENATE("Enter an 'Amount Last Provided to CHFA' value for '", C786, "' in cell ", D786, ".", CHAR(10))</f>
        <v xml:space="preserve">Enter an 'Amount Last Provided to CHFA' value for 'Attorney, Real Estate' in cell C28.
</v>
      </c>
      <c r="G786" s="9" t="str">
        <f t="shared" ca="1" si="205"/>
        <v/>
      </c>
    </row>
    <row r="787" spans="1:7" ht="15" customHeight="1">
      <c r="A787" t="str">
        <f ca="1">IF(E787="",F787, "")</f>
        <v/>
      </c>
      <c r="B787" s="52">
        <f>B785+1</f>
        <v>29</v>
      </c>
      <c r="C787" t="str">
        <f ca="1">INDIRECT($F$741 &amp; ADDRESS(B787, 1,4  ))</f>
        <v>Consultant/agent</v>
      </c>
      <c r="D787" t="str">
        <f>ADDRESS(B787, 2,4  )</f>
        <v>B29</v>
      </c>
      <c r="E787">
        <f t="shared" ca="1" si="206"/>
        <v>0</v>
      </c>
      <c r="F787" t="str">
        <f ca="1">CONCATENATE("Enter a value for '", C787, "' in cell ", D787, ".", CHAR(10))</f>
        <v xml:space="preserve">Enter a value for 'Consultant/agent' in cell B29.
</v>
      </c>
      <c r="G787" s="9" t="str">
        <f t="shared" ca="1" si="205"/>
        <v/>
      </c>
    </row>
    <row r="788" spans="1:7" ht="15" customHeight="1">
      <c r="A788" t="str">
        <f ca="1">IF(AND(OR(Calculations!$B$3:$B$4), E788=""), F788, "")</f>
        <v/>
      </c>
      <c r="B788" t="s">
        <v>476</v>
      </c>
      <c r="C788" t="str">
        <f ca="1">INDIRECT($F$741 &amp; ADDRESS(B787, 1,4  ))</f>
        <v>Consultant/agent</v>
      </c>
      <c r="D788" t="str">
        <f>ADDRESS(B787, 3,4  )</f>
        <v>C29</v>
      </c>
      <c r="E788">
        <f t="shared" ca="1" si="206"/>
        <v>0</v>
      </c>
      <c r="F788" t="str">
        <f ca="1">CONCATENATE("Enter an 'Amount Last Provided to CHFA' value for '", C788, "' in cell ", D788, ".", CHAR(10))</f>
        <v xml:space="preserve">Enter an 'Amount Last Provided to CHFA' value for 'Consultant/agent' in cell C29.
</v>
      </c>
      <c r="G788" s="9" t="str">
        <f t="shared" ca="1" si="205"/>
        <v/>
      </c>
    </row>
    <row r="789" spans="1:7" ht="15" customHeight="1">
      <c r="A789" t="str">
        <f ca="1">IF(E789="",F789, "")</f>
        <v/>
      </c>
      <c r="B789" s="52">
        <f>B787+1</f>
        <v>30</v>
      </c>
      <c r="C789" t="str">
        <f ca="1">INDIRECT($F$741 &amp; ADDRESS(B789, 1,4  ))</f>
        <v>Engineer/Surveyor</v>
      </c>
      <c r="D789" t="str">
        <f>ADDRESS(B789, 2,4  )</f>
        <v>B30</v>
      </c>
      <c r="E789">
        <f t="shared" ca="1" si="206"/>
        <v>0</v>
      </c>
      <c r="F789" t="str">
        <f ca="1">CONCATENATE("Enter a value for '", C789, "' in cell ", D789, ".", CHAR(10))</f>
        <v xml:space="preserve">Enter a value for 'Engineer/Surveyor' in cell B30.
</v>
      </c>
      <c r="G789" s="9" t="str">
        <f t="shared" ca="1" si="205"/>
        <v/>
      </c>
    </row>
    <row r="790" spans="1:7" ht="15" customHeight="1">
      <c r="A790" t="str">
        <f ca="1">IF(AND(OR(Calculations!$B$3:$B$4), E790=""), F790, "")</f>
        <v/>
      </c>
      <c r="B790" t="s">
        <v>476</v>
      </c>
      <c r="C790" t="str">
        <f ca="1">INDIRECT($F$741 &amp; ADDRESS(B789, 1,4  ))</f>
        <v>Engineer/Surveyor</v>
      </c>
      <c r="D790" t="str">
        <f>ADDRESS(B789, 3,4  )</f>
        <v>C30</v>
      </c>
      <c r="E790">
        <f t="shared" ca="1" si="206"/>
        <v>0</v>
      </c>
      <c r="F790" t="str">
        <f ca="1">CONCATENATE("Enter an 'Amount Last Provided to CHFA' value for '", C790, "' in cell ", D790, ".", CHAR(10))</f>
        <v xml:space="preserve">Enter an 'Amount Last Provided to CHFA' value for 'Engineer/Surveyor' in cell C30.
</v>
      </c>
      <c r="G790" s="9" t="str">
        <f t="shared" ca="1" si="205"/>
        <v/>
      </c>
    </row>
    <row r="791" spans="1:7" ht="15" customHeight="1">
      <c r="A791" t="str">
        <f ca="1">IF(E791="",F791, "")</f>
        <v/>
      </c>
      <c r="B791" s="52">
        <f>B789+1</f>
        <v>31</v>
      </c>
      <c r="C791" t="str">
        <f ca="1">INDIRECT($F$741 &amp; ADDRESS(B791, 1,4  ))</f>
        <v>Other (Specify)</v>
      </c>
      <c r="D791" t="str">
        <f>ADDRESS(B791, 2,4  )</f>
        <v>B31</v>
      </c>
      <c r="E791">
        <f t="shared" ca="1" si="206"/>
        <v>0</v>
      </c>
      <c r="F791" t="str">
        <f ca="1">CONCATENATE("Enter a value for '", C791, "' in cell ", D791, ".", CHAR(10))</f>
        <v xml:space="preserve">Enter a value for 'Other (Specify)' in cell B31.
</v>
      </c>
      <c r="G791" s="9" t="str">
        <f t="shared" ca="1" si="205"/>
        <v/>
      </c>
    </row>
    <row r="792" spans="1:7" ht="15" customHeight="1">
      <c r="A792" t="str">
        <f ca="1">IF(AND(OR(Calculations!$B$3:$B$4), E792=""), F792, "")</f>
        <v/>
      </c>
      <c r="B792" t="s">
        <v>476</v>
      </c>
      <c r="C792" t="str">
        <f ca="1">INDIRECT($F$741 &amp; ADDRESS(B791, 1,4  ))</f>
        <v>Other (Specify)</v>
      </c>
      <c r="D792" t="str">
        <f>ADDRESS(B791, 3,4  )</f>
        <v>C31</v>
      </c>
      <c r="E792">
        <f t="shared" ca="1" si="206"/>
        <v>0</v>
      </c>
      <c r="F792" t="str">
        <f ca="1">CONCATENATE("Enter an 'Amount Last Provided to CHFA' value for '", C792, "' in cell ", D792, ".", CHAR(10))</f>
        <v xml:space="preserve">Enter an 'Amount Last Provided to CHFA' value for 'Other (Specify)' in cell C31.
</v>
      </c>
      <c r="G792" s="9" t="str">
        <f t="shared" ca="1" si="205"/>
        <v/>
      </c>
    </row>
    <row r="793" spans="1:7" ht="15" customHeight="1">
      <c r="A793" t="str">
        <f ca="1">IF(AND(E793, SUM(E791:E792) &gt; 0), F793, "")</f>
        <v/>
      </c>
      <c r="C793" t="str">
        <f ca="1">INDIRECT($F$741 &amp; ADDRESS(B791, 1,4  ))</f>
        <v>Other (Specify)</v>
      </c>
      <c r="D793" t="str">
        <f>ADDRESS(B791, 1,4  )</f>
        <v>A31</v>
      </c>
      <c r="E793" t="b">
        <f ca="1">INDIRECT($F$741 &amp; D793)="Other (specify)"</f>
        <v>1</v>
      </c>
      <c r="F793" t="str">
        <f ca="1">CONCATENATE("Please specify value for '", C793, "' in cell ", D793, ".", CHAR(10))</f>
        <v xml:space="preserve">Please specify value for 'Other (Specify)' in cell A31.
</v>
      </c>
      <c r="G793" s="9" t="str">
        <f t="shared" ca="1" si="205"/>
        <v/>
      </c>
    </row>
    <row r="794" spans="1:7" ht="15" customHeight="1">
      <c r="A794" t="str">
        <f ca="1">IF(E794="",F794, "")</f>
        <v/>
      </c>
      <c r="B794" s="52">
        <f>B791+1</f>
        <v>32</v>
      </c>
      <c r="C794" t="str">
        <f ca="1">INDIRECT($F$741 &amp; ADDRESS(B794, 1,4  ))</f>
        <v>Other (Specify)</v>
      </c>
      <c r="D794" t="str">
        <f>ADDRESS(B794, 2,4  )</f>
        <v>B32</v>
      </c>
      <c r="E794">
        <f ca="1">IF(ISBLANK( INDIRECT($F$741 &amp; D794)),"", INDIRECT($F$741 &amp; D794))</f>
        <v>0</v>
      </c>
      <c r="F794" t="str">
        <f ca="1">CONCATENATE("Enter a value for '", C794, "' in cell ", D794, ".", CHAR(10))</f>
        <v xml:space="preserve">Enter a value for 'Other (Specify)' in cell B32.
</v>
      </c>
      <c r="G794" s="9" t="str">
        <f t="shared" ca="1" si="205"/>
        <v/>
      </c>
    </row>
    <row r="795" spans="1:7" ht="15" customHeight="1">
      <c r="A795" t="str">
        <f ca="1">IF(AND(OR(Calculations!$B$3:$B$4), E795=""), F795, "")</f>
        <v/>
      </c>
      <c r="B795" t="s">
        <v>476</v>
      </c>
      <c r="C795" t="str">
        <f ca="1">INDIRECT($F$741 &amp; ADDRESS(B794, 1,4  ))</f>
        <v>Other (Specify)</v>
      </c>
      <c r="D795" t="str">
        <f>ADDRESS(B794, 3,4  )</f>
        <v>C32</v>
      </c>
      <c r="E795">
        <f ca="1">IF(ISBLANK( INDIRECT($F$741 &amp; D795)),"", INDIRECT($F$741 &amp; D795))</f>
        <v>0</v>
      </c>
      <c r="F795" t="str">
        <f ca="1">CONCATENATE("Enter an 'Amount Last Provided to CHFA' value for '", C795, "' in cell ", D795, ".", CHAR(10))</f>
        <v xml:space="preserve">Enter an 'Amount Last Provided to CHFA' value for 'Other (Specify)' in cell C32.
</v>
      </c>
      <c r="G795" s="9" t="str">
        <f t="shared" ca="1" si="205"/>
        <v/>
      </c>
    </row>
    <row r="796" spans="1:7" ht="15" customHeight="1">
      <c r="A796" t="str">
        <f ca="1">IF(AND(E796, SUM(E794:E795) &gt; 0), F796, "")</f>
        <v/>
      </c>
      <c r="C796" t="str">
        <f ca="1">INDIRECT($F$741 &amp; ADDRESS(B794, 1,4  ))</f>
        <v>Other (Specify)</v>
      </c>
      <c r="D796" t="str">
        <f>ADDRESS(B794, 1,4  )</f>
        <v>A32</v>
      </c>
      <c r="E796" t="b">
        <f ca="1">INDIRECT($F$741 &amp; D796)="Other (specify)"</f>
        <v>1</v>
      </c>
      <c r="F796" t="str">
        <f ca="1">CONCATENATE("Please specify value for '", C796, "' in cell ", D796, ".", CHAR(10))</f>
        <v xml:space="preserve">Please specify value for 'Other (Specify)' in cell A32.
</v>
      </c>
      <c r="G796" s="9" t="str">
        <f t="shared" ca="1" si="205"/>
        <v/>
      </c>
    </row>
    <row r="797" spans="1:7" ht="15" customHeight="1">
      <c r="A797" t="str">
        <f ca="1">IF(E797="",F797, "")</f>
        <v/>
      </c>
      <c r="B797" s="52">
        <f>B794+1</f>
        <v>33</v>
      </c>
      <c r="C797" t="str">
        <f ca="1">INDIRECT($F$741 &amp; ADDRESS(B797, 1,4  ))</f>
        <v>Other-Accounting</v>
      </c>
      <c r="D797" t="str">
        <f>ADDRESS(B797, 2,4  )</f>
        <v>B33</v>
      </c>
      <c r="E797">
        <f t="shared" ref="E797:E824" ca="1" si="207">IF(ISBLANK( INDIRECT($F$741 &amp; D797)),"", INDIRECT($F$741 &amp; D797))</f>
        <v>0</v>
      </c>
      <c r="F797" t="str">
        <f ca="1">CONCATENATE("Enter a value for '", C797, "' in cell ", D797, ".", CHAR(10))</f>
        <v xml:space="preserve">Enter a value for 'Other-Accounting' in cell B33.
</v>
      </c>
      <c r="G797" s="9" t="str">
        <f t="shared" ca="1" si="205"/>
        <v/>
      </c>
    </row>
    <row r="798" spans="1:7" ht="15" customHeight="1">
      <c r="A798" t="str">
        <f ca="1">IF(AND(OR(Calculations!$B$3:$B$4), E798=""), F798, "")</f>
        <v/>
      </c>
      <c r="B798" t="s">
        <v>476</v>
      </c>
      <c r="C798" t="str">
        <f ca="1">INDIRECT($F$741 &amp; ADDRESS(B797, 1,4  ))</f>
        <v>Other-Accounting</v>
      </c>
      <c r="D798" t="str">
        <f>ADDRESS(B797, 3,4  )</f>
        <v>C33</v>
      </c>
      <c r="E798">
        <f t="shared" ca="1" si="207"/>
        <v>0</v>
      </c>
      <c r="F798" t="str">
        <f ca="1">CONCATENATE("Enter an 'Amount Last Provided to CHFA' value for '", C798, "' in cell ", D798, ".", CHAR(10))</f>
        <v xml:space="preserve">Enter an 'Amount Last Provided to CHFA' value for 'Other-Accounting' in cell C33.
</v>
      </c>
      <c r="G798" s="9" t="str">
        <f t="shared" ca="1" si="205"/>
        <v/>
      </c>
    </row>
    <row r="799" spans="1:7" ht="15" customHeight="1">
      <c r="A799" t="str">
        <f ca="1">IF(E799="",F799, "")</f>
        <v/>
      </c>
      <c r="B799">
        <f>ROW('Commercial Budget'!A36)</f>
        <v>36</v>
      </c>
      <c r="C799" t="str">
        <f ca="1">INDIRECT($F$741 &amp; ADDRESS(B799, 1,4  ))</f>
        <v>Hazard &amp; Liability Insurance</v>
      </c>
      <c r="D799" t="str">
        <f>ADDRESS(B799, 2,4  )</f>
        <v>B36</v>
      </c>
      <c r="E799">
        <f t="shared" ca="1" si="207"/>
        <v>0</v>
      </c>
      <c r="F799" t="str">
        <f ca="1">CONCATENATE("Enter a value for '", C799, "' in cell ", D799, ".", CHAR(10))</f>
        <v xml:space="preserve">Enter a value for 'Hazard &amp; Liability Insurance' in cell B36.
</v>
      </c>
      <c r="G799" s="9" t="str">
        <f t="shared" ca="1" si="205"/>
        <v/>
      </c>
    </row>
    <row r="800" spans="1:7" ht="15" customHeight="1">
      <c r="A800" t="str">
        <f ca="1">IF(AND(OR(Calculations!$B$3:$B$4), E800=""), F800, "")</f>
        <v/>
      </c>
      <c r="B800" t="s">
        <v>476</v>
      </c>
      <c r="C800" t="str">
        <f ca="1">INDIRECT($F$741 &amp; ADDRESS(B799, 1,4  ))</f>
        <v>Hazard &amp; Liability Insurance</v>
      </c>
      <c r="D800" t="str">
        <f>ADDRESS(B799, 3,4  )</f>
        <v>C36</v>
      </c>
      <c r="E800">
        <f t="shared" ca="1" si="207"/>
        <v>0</v>
      </c>
      <c r="F800" t="str">
        <f ca="1">CONCATENATE("Enter an 'Amount Last Provided to CHFA' value for '", C800, "' in cell ", D800, ".", CHAR(10))</f>
        <v xml:space="preserve">Enter an 'Amount Last Provided to CHFA' value for 'Hazard &amp; Liability Insurance' in cell C36.
</v>
      </c>
      <c r="G800" s="9" t="str">
        <f t="shared" ca="1" si="205"/>
        <v/>
      </c>
    </row>
    <row r="801" spans="1:7" ht="15" customHeight="1">
      <c r="A801" t="str">
        <f ca="1">IF(E801="",F801, "")</f>
        <v/>
      </c>
      <c r="B801" s="52">
        <f>B799+1</f>
        <v>37</v>
      </c>
      <c r="C801" t="str">
        <f ca="1">INDIRECT($F$741 &amp; ADDRESS(B801, 1,4  ))</f>
        <v>Builder's Risk Insurance</v>
      </c>
      <c r="D801" t="str">
        <f>ADDRESS(B801, 2,4  )</f>
        <v>B37</v>
      </c>
      <c r="E801">
        <f t="shared" ca="1" si="207"/>
        <v>0</v>
      </c>
      <c r="F801" t="str">
        <f ca="1">CONCATENATE("Enter a value for '", C801, "' in cell ", D801, ".", CHAR(10))</f>
        <v xml:space="preserve">Enter a value for 'Builder's Risk Insurance' in cell B37.
</v>
      </c>
      <c r="G801" s="9" t="str">
        <f t="shared" ca="1" si="205"/>
        <v/>
      </c>
    </row>
    <row r="802" spans="1:7" ht="15" customHeight="1">
      <c r="A802" t="str">
        <f ca="1">IF(AND(OR(Calculations!$B$3:$B$4), E802=""), F802, "")</f>
        <v/>
      </c>
      <c r="B802" t="s">
        <v>476</v>
      </c>
      <c r="C802" t="str">
        <f ca="1">INDIRECT($F$741 &amp; ADDRESS(B801, 1,4  ))</f>
        <v>Builder's Risk Insurance</v>
      </c>
      <c r="D802" t="str">
        <f>ADDRESS(B801, 3,4  )</f>
        <v>C37</v>
      </c>
      <c r="E802">
        <f t="shared" ca="1" si="207"/>
        <v>0</v>
      </c>
      <c r="F802" t="str">
        <f ca="1">CONCATENATE("Enter an 'Amount Last Provided to CHFA' value for '", C802, "' in cell ", D802, ".", CHAR(10))</f>
        <v xml:space="preserve">Enter an 'Amount Last Provided to CHFA' value for 'Builder's Risk Insurance' in cell C37.
</v>
      </c>
      <c r="G802" s="9" t="str">
        <f t="shared" ca="1" si="205"/>
        <v/>
      </c>
    </row>
    <row r="803" spans="1:7" ht="15" customHeight="1">
      <c r="A803" t="str">
        <f ca="1">IF(E803="",F803, "")</f>
        <v/>
      </c>
      <c r="B803" s="52">
        <f>B801+1</f>
        <v>38</v>
      </c>
      <c r="C803" t="str">
        <f ca="1">INDIRECT($F$741 &amp; ADDRESS(B803, 1,4  ))</f>
        <v>Perform. &amp; Pymt Bonds</v>
      </c>
      <c r="D803" t="str">
        <f>ADDRESS(B803, 2,4  )</f>
        <v>B38</v>
      </c>
      <c r="E803">
        <f t="shared" ca="1" si="207"/>
        <v>0</v>
      </c>
      <c r="F803" t="str">
        <f ca="1">CONCATENATE("Enter a value for '", C803, "' in cell ", D803, ".", CHAR(10))</f>
        <v xml:space="preserve">Enter a value for 'Perform. &amp; Pymt Bonds' in cell B38.
</v>
      </c>
      <c r="G803" s="9" t="str">
        <f t="shared" ca="1" si="205"/>
        <v/>
      </c>
    </row>
    <row r="804" spans="1:7" ht="15" customHeight="1">
      <c r="A804" t="str">
        <f ca="1">IF(AND(OR(Calculations!$B$3:$B$4), E804=""), F804, "")</f>
        <v/>
      </c>
      <c r="B804" t="s">
        <v>476</v>
      </c>
      <c r="C804" t="str">
        <f ca="1">INDIRECT($F$741 &amp; ADDRESS(B803, 1,4  ))</f>
        <v>Perform. &amp; Pymt Bonds</v>
      </c>
      <c r="D804" t="str">
        <f>ADDRESS(B803, 3,4  )</f>
        <v>C38</v>
      </c>
      <c r="E804">
        <f t="shared" ca="1" si="207"/>
        <v>0</v>
      </c>
      <c r="F804" t="str">
        <f ca="1">CONCATENATE("Enter an 'Amount Last Provided to CHFA' value for '", C804, "' in cell ", D804, ".", CHAR(10))</f>
        <v xml:space="preserve">Enter an 'Amount Last Provided to CHFA' value for 'Perform. &amp; Pymt Bonds' in cell C38.
</v>
      </c>
      <c r="G804" s="9" t="str">
        <f t="shared" ca="1" si="205"/>
        <v/>
      </c>
    </row>
    <row r="805" spans="1:7" ht="15" customHeight="1">
      <c r="A805" t="str">
        <f ca="1">IF(E805="",F805, "")</f>
        <v/>
      </c>
      <c r="B805" s="52">
        <f>B803+1</f>
        <v>39</v>
      </c>
      <c r="C805" t="str">
        <f ca="1">INDIRECT($F$741 &amp; ADDRESS(B805, 1,4  ))</f>
        <v>Credit Report</v>
      </c>
      <c r="D805" t="str">
        <f>ADDRESS(B805, 2,4  )</f>
        <v>B39</v>
      </c>
      <c r="E805">
        <f t="shared" ca="1" si="207"/>
        <v>0</v>
      </c>
      <c r="F805" t="str">
        <f ca="1">CONCATENATE("Enter a value for '", C805, "' in cell ", D805, ".", CHAR(10))</f>
        <v xml:space="preserve">Enter a value for 'Credit Report' in cell B39.
</v>
      </c>
      <c r="G805" s="9" t="str">
        <f t="shared" ca="1" si="205"/>
        <v/>
      </c>
    </row>
    <row r="806" spans="1:7" ht="15" customHeight="1">
      <c r="A806" t="str">
        <f ca="1">IF(AND(OR(Calculations!$B$3:$B$4), E806=""), F806, "")</f>
        <v/>
      </c>
      <c r="B806" t="s">
        <v>476</v>
      </c>
      <c r="C806" t="str">
        <f ca="1">INDIRECT($F$741 &amp; ADDRESS(B805, 1,4  ))</f>
        <v>Credit Report</v>
      </c>
      <c r="D806" t="str">
        <f>ADDRESS(B805, 3,4  )</f>
        <v>C39</v>
      </c>
      <c r="E806">
        <f t="shared" ca="1" si="207"/>
        <v>0</v>
      </c>
      <c r="F806" t="str">
        <f ca="1">CONCATENATE("Enter an 'Amount Last Provided to CHFA' value for '", C806, "' in cell ", D806, ".", CHAR(10))</f>
        <v xml:space="preserve">Enter an 'Amount Last Provided to CHFA' value for 'Credit Report' in cell C39.
</v>
      </c>
      <c r="G806" s="9" t="str">
        <f t="shared" ca="1" si="205"/>
        <v/>
      </c>
    </row>
    <row r="807" spans="1:7" ht="15" customHeight="1">
      <c r="A807" t="str">
        <f ca="1">IF(E807="",F807, "")</f>
        <v/>
      </c>
      <c r="B807" s="52">
        <f>B805+1</f>
        <v>40</v>
      </c>
      <c r="C807" t="str">
        <f ca="1">INDIRECT($F$741 &amp; ADDRESS(B807, 1,4  ))</f>
        <v>Construction Interest</v>
      </c>
      <c r="D807" t="str">
        <f>ADDRESS(B807, 2,4  )</f>
        <v>B40</v>
      </c>
      <c r="E807">
        <f t="shared" ca="1" si="207"/>
        <v>0</v>
      </c>
      <c r="F807" t="str">
        <f ca="1">CONCATENATE("Enter a value for '", C807, "' in cell ", D807, ".", CHAR(10))</f>
        <v xml:space="preserve">Enter a value for 'Construction Interest' in cell B40.
</v>
      </c>
      <c r="G807" s="9" t="str">
        <f t="shared" ca="1" si="205"/>
        <v/>
      </c>
    </row>
    <row r="808" spans="1:7" ht="15" customHeight="1">
      <c r="A808" t="str">
        <f ca="1">IF(AND(OR(Calculations!$B$3:$B$4), E808=""), F808, "")</f>
        <v/>
      </c>
      <c r="B808" t="s">
        <v>476</v>
      </c>
      <c r="C808" t="str">
        <f ca="1">INDIRECT($F$741 &amp; ADDRESS(B807, 1,4  ))</f>
        <v>Construction Interest</v>
      </c>
      <c r="D808" t="str">
        <f>ADDRESS(B807, 3,4  )</f>
        <v>C40</v>
      </c>
      <c r="E808">
        <f t="shared" ca="1" si="207"/>
        <v>0</v>
      </c>
      <c r="F808" t="str">
        <f ca="1">CONCATENATE("Enter an 'Amount Last Provided to CHFA' value for '", C808, "' in cell ", D808, ".", CHAR(10))</f>
        <v xml:space="preserve">Enter an 'Amount Last Provided to CHFA' value for 'Construction Interest' in cell C40.
</v>
      </c>
      <c r="G808" s="9" t="str">
        <f t="shared" ref="G808:G840" ca="1" si="208">OFFSET(G808, -1, 0) &amp; A808</f>
        <v/>
      </c>
    </row>
    <row r="809" spans="1:7" ht="15" customHeight="1">
      <c r="A809" t="str">
        <f ca="1">IF(E809="",F809, "")</f>
        <v/>
      </c>
      <c r="B809" s="52">
        <f>B807+1</f>
        <v>41</v>
      </c>
      <c r="C809" t="str">
        <f ca="1">INDIRECT($F$741 &amp; ADDRESS(B809, 1,4  ))</f>
        <v>Constr. Origination Fees</v>
      </c>
      <c r="D809" t="str">
        <f>ADDRESS(B809, 2,4  )</f>
        <v>B41</v>
      </c>
      <c r="E809">
        <f t="shared" ca="1" si="207"/>
        <v>0</v>
      </c>
      <c r="F809" t="str">
        <f ca="1">CONCATENATE("Enter a value for '", C809, "' in cell ", D809, ".", CHAR(10))</f>
        <v xml:space="preserve">Enter a value for 'Constr. Origination Fees' in cell B41.
</v>
      </c>
      <c r="G809" s="9" t="str">
        <f t="shared" ca="1" si="208"/>
        <v/>
      </c>
    </row>
    <row r="810" spans="1:7" ht="15" customHeight="1">
      <c r="A810" t="str">
        <f ca="1">IF(AND(OR(Calculations!$B$3:$B$4), E810=""), F810, "")</f>
        <v/>
      </c>
      <c r="B810" t="s">
        <v>476</v>
      </c>
      <c r="C810" t="str">
        <f ca="1">INDIRECT($F$741 &amp; ADDRESS(B809, 1,4  ))</f>
        <v>Constr. Origination Fees</v>
      </c>
      <c r="D810" t="str">
        <f>ADDRESS(B809, 3,4  )</f>
        <v>C41</v>
      </c>
      <c r="E810">
        <f t="shared" ca="1" si="207"/>
        <v>0</v>
      </c>
      <c r="F810" t="str">
        <f ca="1">CONCATENATE("Enter an 'Amount Last Provided to CHFA' value for '", C810, "' in cell ", D810, ".", CHAR(10))</f>
        <v xml:space="preserve">Enter an 'Amount Last Provided to CHFA' value for 'Constr. Origination Fees' in cell C41.
</v>
      </c>
      <c r="G810" s="9" t="str">
        <f t="shared" ca="1" si="208"/>
        <v/>
      </c>
    </row>
    <row r="811" spans="1:7" ht="15" customHeight="1">
      <c r="A811" t="str">
        <f ca="1">IF(E811="",F811, "")</f>
        <v/>
      </c>
      <c r="B811" s="52">
        <f>B809+1</f>
        <v>42</v>
      </c>
      <c r="C811" t="str">
        <f ca="1">INDIRECT($F$741 &amp; ADDRESS(B811, 1,4  ))</f>
        <v>Tap Fees (Water/Sewer)</v>
      </c>
      <c r="D811" t="str">
        <f>ADDRESS(B811, 2,4  )</f>
        <v>B42</v>
      </c>
      <c r="E811">
        <f t="shared" ca="1" si="207"/>
        <v>0</v>
      </c>
      <c r="F811" t="str">
        <f ca="1">CONCATENATE("Enter a value for '", C811, "' in cell ", D811, ".", CHAR(10))</f>
        <v xml:space="preserve">Enter a value for 'Tap Fees (Water/Sewer)' in cell B42.
</v>
      </c>
      <c r="G811" s="9" t="str">
        <f t="shared" ca="1" si="208"/>
        <v/>
      </c>
    </row>
    <row r="812" spans="1:7" ht="15" customHeight="1">
      <c r="A812" t="str">
        <f ca="1">IF(AND(OR(Calculations!$B$3:$B$4), E812=""), F812, "")</f>
        <v/>
      </c>
      <c r="B812" t="s">
        <v>476</v>
      </c>
      <c r="C812" t="str">
        <f ca="1">INDIRECT($F$741 &amp; ADDRESS(B811, 1,4  ))</f>
        <v>Tap Fees (Water/Sewer)</v>
      </c>
      <c r="D812" t="str">
        <f>ADDRESS(B811, 3,4  )</f>
        <v>C42</v>
      </c>
      <c r="E812">
        <f t="shared" ca="1" si="207"/>
        <v>0</v>
      </c>
      <c r="F812" t="str">
        <f ca="1">CONCATENATE("Enter an 'Amount Last Provided to CHFA' value for '", C812, "' in cell ", D812, ".", CHAR(10))</f>
        <v xml:space="preserve">Enter an 'Amount Last Provided to CHFA' value for 'Tap Fees (Water/Sewer)' in cell C42.
</v>
      </c>
      <c r="G812" s="9" t="str">
        <f t="shared" ca="1" si="208"/>
        <v/>
      </c>
    </row>
    <row r="813" spans="1:7" ht="15" customHeight="1">
      <c r="A813" t="str">
        <f ca="1">IF(E813="",F813, "")</f>
        <v/>
      </c>
      <c r="B813" s="52">
        <f>B811+1</f>
        <v>43</v>
      </c>
      <c r="C813" t="str">
        <f ca="1">INDIRECT($F$741 &amp; ADDRESS(B813, 1,4  ))</f>
        <v>Bond Cost of Issuance</v>
      </c>
      <c r="D813" t="str">
        <f>ADDRESS(B813, 2,4  )</f>
        <v>B43</v>
      </c>
      <c r="E813">
        <f t="shared" ca="1" si="207"/>
        <v>0</v>
      </c>
      <c r="F813" t="str">
        <f ca="1">CONCATENATE("Enter a value for '", C813, "' in cell ", D813, ".", CHAR(10))</f>
        <v xml:space="preserve">Enter a value for 'Bond Cost of Issuance' in cell B43.
</v>
      </c>
      <c r="G813" s="9" t="str">
        <f t="shared" ca="1" si="208"/>
        <v/>
      </c>
    </row>
    <row r="814" spans="1:7" ht="15" customHeight="1">
      <c r="A814" t="str">
        <f ca="1">IF(AND(OR(Calculations!$B$3:$B$4), E814=""), F814, "")</f>
        <v/>
      </c>
      <c r="B814" t="s">
        <v>476</v>
      </c>
      <c r="C814" t="str">
        <f ca="1">INDIRECT($F$741 &amp; ADDRESS(B813, 1,4  ))</f>
        <v>Bond Cost of Issuance</v>
      </c>
      <c r="D814" t="str">
        <f>ADDRESS(B813, 3,4  )</f>
        <v>C43</v>
      </c>
      <c r="E814">
        <f t="shared" ca="1" si="207"/>
        <v>0</v>
      </c>
      <c r="F814" t="str">
        <f ca="1">CONCATENATE("Enter an 'Amount Last Provided to CHFA' value for '", C814, "' in cell ", D814, ".", CHAR(10))</f>
        <v xml:space="preserve">Enter an 'Amount Last Provided to CHFA' value for 'Bond Cost of Issuance' in cell C43.
</v>
      </c>
      <c r="G814" s="9" t="str">
        <f t="shared" ca="1" si="208"/>
        <v/>
      </c>
    </row>
    <row r="815" spans="1:7" ht="15" customHeight="1">
      <c r="A815" t="str">
        <f ca="1">IF(E815="",F815, "")</f>
        <v/>
      </c>
      <c r="B815" s="52">
        <f>B813+1</f>
        <v>44</v>
      </c>
      <c r="C815" t="str">
        <f ca="1">INDIRECT($F$741 &amp; ADDRESS(B815, 1,4  ))</f>
        <v>Impact Fees</v>
      </c>
      <c r="D815" t="str">
        <f>ADDRESS(B815, 2,4  )</f>
        <v>B44</v>
      </c>
      <c r="E815">
        <f t="shared" ca="1" si="207"/>
        <v>0</v>
      </c>
      <c r="F815" t="str">
        <f ca="1">CONCATENATE("Enter a value for '", C815, "' in cell ", D815, ".", CHAR(10))</f>
        <v xml:space="preserve">Enter a value for 'Impact Fees' in cell B44.
</v>
      </c>
      <c r="G815" s="9" t="str">
        <f t="shared" ca="1" si="208"/>
        <v/>
      </c>
    </row>
    <row r="816" spans="1:7" ht="15" customHeight="1">
      <c r="A816" t="str">
        <f ca="1">IF(AND(OR(Calculations!$B$3:$B$4), E816=""), F816, "")</f>
        <v/>
      </c>
      <c r="B816" t="s">
        <v>476</v>
      </c>
      <c r="C816" t="str">
        <f ca="1">INDIRECT($F$741 &amp; ADDRESS(B815, 1,4  ))</f>
        <v>Impact Fees</v>
      </c>
      <c r="D816" t="str">
        <f>ADDRESS(B815, 3,4  )</f>
        <v>C44</v>
      </c>
      <c r="E816">
        <f t="shared" ca="1" si="207"/>
        <v>0</v>
      </c>
      <c r="F816" t="str">
        <f ca="1">CONCATENATE("Enter an 'Amount Last Provided to CHFA' value for '", C816, "' in cell ", D816, ".", CHAR(10))</f>
        <v xml:space="preserve">Enter an 'Amount Last Provided to CHFA' value for 'Impact Fees' in cell C44.
</v>
      </c>
      <c r="G816" s="9" t="str">
        <f t="shared" ca="1" si="208"/>
        <v/>
      </c>
    </row>
    <row r="817" spans="1:7" ht="15" customHeight="1">
      <c r="A817" t="str">
        <f ca="1">IF(E817="",F817, "")</f>
        <v/>
      </c>
      <c r="B817" s="52">
        <f>B815+1</f>
        <v>45</v>
      </c>
      <c r="C817" t="str">
        <f ca="1">INDIRECT($F$741 &amp; ADDRESS(B817, 1,4  ))</f>
        <v>Title &amp; Recording</v>
      </c>
      <c r="D817" t="str">
        <f>ADDRESS(B817, 2,4  )</f>
        <v>B45</v>
      </c>
      <c r="E817">
        <f t="shared" ca="1" si="207"/>
        <v>0</v>
      </c>
      <c r="F817" t="str">
        <f ca="1">CONCATENATE("Enter a value for '", C817, "' in cell ", D817, ".", CHAR(10))</f>
        <v xml:space="preserve">Enter a value for 'Title &amp; Recording' in cell B45.
</v>
      </c>
      <c r="G817" s="9" t="str">
        <f t="shared" ca="1" si="208"/>
        <v/>
      </c>
    </row>
    <row r="818" spans="1:7" ht="15" customHeight="1">
      <c r="A818" t="str">
        <f ca="1">IF(AND(OR(Calculations!$B$3:$B$4), E818=""), F818, "")</f>
        <v/>
      </c>
      <c r="B818" t="s">
        <v>476</v>
      </c>
      <c r="C818" t="str">
        <f ca="1">INDIRECT($F$741 &amp; ADDRESS(B817, 1,4  ))</f>
        <v>Title &amp; Recording</v>
      </c>
      <c r="D818" t="str">
        <f>ADDRESS(B817, 3,4  )</f>
        <v>C45</v>
      </c>
      <c r="E818">
        <f t="shared" ca="1" si="207"/>
        <v>0</v>
      </c>
      <c r="F818" t="str">
        <f ca="1">CONCATENATE("Enter an 'Amount Last Provided to CHFA' value for '", C818, "' in cell ", D818, ".", CHAR(10))</f>
        <v xml:space="preserve">Enter an 'Amount Last Provided to CHFA' value for 'Title &amp; Recording' in cell C45.
</v>
      </c>
      <c r="G818" s="9" t="str">
        <f t="shared" ca="1" si="208"/>
        <v/>
      </c>
    </row>
    <row r="819" spans="1:7" ht="15" customHeight="1">
      <c r="A819" t="str">
        <f ca="1">IF(E819="",F819, "")</f>
        <v/>
      </c>
      <c r="B819" s="52">
        <f>B817+1</f>
        <v>46</v>
      </c>
      <c r="C819" t="str">
        <f ca="1">INDIRECT($F$741 &amp; ADDRESS(B819, 1,4  ))</f>
        <v>Legal Fees</v>
      </c>
      <c r="D819" t="str">
        <f>ADDRESS(B819, 2,4  )</f>
        <v>B46</v>
      </c>
      <c r="E819">
        <f t="shared" ca="1" si="207"/>
        <v>0</v>
      </c>
      <c r="F819" t="str">
        <f ca="1">CONCATENATE("Enter a value for '", C819, "' in cell ", D819, ".", CHAR(10))</f>
        <v xml:space="preserve">Enter a value for 'Legal Fees' in cell B46.
</v>
      </c>
      <c r="G819" s="9" t="str">
        <f t="shared" ca="1" si="208"/>
        <v/>
      </c>
    </row>
    <row r="820" spans="1:7" ht="15" customHeight="1">
      <c r="A820" t="str">
        <f ca="1">IF(AND(OR(Calculations!$B$3:$B$4), E820=""), F820, "")</f>
        <v/>
      </c>
      <c r="B820" t="s">
        <v>476</v>
      </c>
      <c r="C820" t="str">
        <f ca="1">INDIRECT($F$741 &amp; ADDRESS(B819, 1,4  ))</f>
        <v>Legal Fees</v>
      </c>
      <c r="D820" t="str">
        <f>ADDRESS(B819, 3,4  )</f>
        <v>C46</v>
      </c>
      <c r="E820">
        <f t="shared" ca="1" si="207"/>
        <v>0</v>
      </c>
      <c r="F820" t="str">
        <f ca="1">CONCATENATE("Enter an 'Amount Last Provided to CHFA' value for '", C820, "' in cell ", D820, ".", CHAR(10))</f>
        <v xml:space="preserve">Enter an 'Amount Last Provided to CHFA' value for 'Legal Fees' in cell C46.
</v>
      </c>
      <c r="G820" s="9" t="str">
        <f t="shared" ca="1" si="208"/>
        <v/>
      </c>
    </row>
    <row r="821" spans="1:7" ht="15" customHeight="1">
      <c r="A821" t="str">
        <f ca="1">IF(E821="",F821, "")</f>
        <v/>
      </c>
      <c r="B821" s="52">
        <f>B819+1</f>
        <v>47</v>
      </c>
      <c r="C821" t="str">
        <f ca="1">INDIRECT($F$741 &amp; ADDRESS(B821, 1,4  ))</f>
        <v>Prop. Taxes during const</v>
      </c>
      <c r="D821" t="str">
        <f>ADDRESS(B821, 2,4  )</f>
        <v>B47</v>
      </c>
      <c r="E821">
        <f t="shared" ca="1" si="207"/>
        <v>0</v>
      </c>
      <c r="F821" t="str">
        <f ca="1">CONCATENATE("Enter a value for '", C821, "' in cell ", D821, ".", CHAR(10))</f>
        <v xml:space="preserve">Enter a value for 'Prop. Taxes during const' in cell B47.
</v>
      </c>
      <c r="G821" s="9" t="str">
        <f t="shared" ca="1" si="208"/>
        <v/>
      </c>
    </row>
    <row r="822" spans="1:7" ht="15" customHeight="1">
      <c r="A822" t="str">
        <f ca="1">IF(AND(OR(Calculations!$B$3:$B$4), E822=""), F822, "")</f>
        <v/>
      </c>
      <c r="B822" t="s">
        <v>476</v>
      </c>
      <c r="C822" t="str">
        <f ca="1">INDIRECT($F$741 &amp; ADDRESS(B821, 1,4  ))</f>
        <v>Prop. Taxes during const</v>
      </c>
      <c r="D822" t="str">
        <f>ADDRESS(B821, 3,4  )</f>
        <v>C47</v>
      </c>
      <c r="E822">
        <f t="shared" ca="1" si="207"/>
        <v>0</v>
      </c>
      <c r="F822" t="str">
        <f ca="1">CONCATENATE("Enter an 'Amount Last Provided to CHFA' value for '", C822, "' in cell ", D822, ".", CHAR(10))</f>
        <v xml:space="preserve">Enter an 'Amount Last Provided to CHFA' value for 'Prop. Taxes during const' in cell C47.
</v>
      </c>
      <c r="G822" s="9" t="str">
        <f t="shared" ca="1" si="208"/>
        <v/>
      </c>
    </row>
    <row r="823" spans="1:7" ht="15" customHeight="1">
      <c r="A823" t="str">
        <f ca="1">IF(E823="",F823, "")</f>
        <v/>
      </c>
      <c r="B823" s="52">
        <f>B821+1</f>
        <v>48</v>
      </c>
      <c r="C823" t="str">
        <f ca="1">INDIRECT($F$741 &amp; ADDRESS(B823, 1,4  ))</f>
        <v>Other (Specify)</v>
      </c>
      <c r="D823" t="str">
        <f>ADDRESS(B823, 2,4  )</f>
        <v>B48</v>
      </c>
      <c r="E823">
        <f t="shared" ca="1" si="207"/>
        <v>0</v>
      </c>
      <c r="F823" t="str">
        <f ca="1">CONCATENATE("Enter a value for '", C823, "' in cell ", D823, ".", CHAR(10))</f>
        <v xml:space="preserve">Enter a value for 'Other (Specify)' in cell B48.
</v>
      </c>
      <c r="G823" s="9" t="str">
        <f t="shared" ca="1" si="208"/>
        <v/>
      </c>
    </row>
    <row r="824" spans="1:7" ht="15" customHeight="1">
      <c r="A824" t="str">
        <f ca="1">IF(AND(OR(Calculations!$B$3:$B$4), E824=""), F824, "")</f>
        <v/>
      </c>
      <c r="B824" t="s">
        <v>476</v>
      </c>
      <c r="C824" t="str">
        <f ca="1">INDIRECT($F$741 &amp; ADDRESS(B823, 1,4  ))</f>
        <v>Other (Specify)</v>
      </c>
      <c r="D824" t="str">
        <f>ADDRESS(B823, 3,4  )</f>
        <v>C48</v>
      </c>
      <c r="E824">
        <f t="shared" ca="1" si="207"/>
        <v>0</v>
      </c>
      <c r="F824" t="str">
        <f ca="1">CONCATENATE("Enter an 'Amount Last Provided to CHFA' value for '", C824, "' in cell ", D824, ".", CHAR(10))</f>
        <v xml:space="preserve">Enter an 'Amount Last Provided to CHFA' value for 'Other (Specify)' in cell C48.
</v>
      </c>
      <c r="G824" s="9" t="str">
        <f t="shared" ca="1" si="208"/>
        <v/>
      </c>
    </row>
    <row r="825" spans="1:7" ht="15" customHeight="1">
      <c r="A825" t="str">
        <f ca="1">IF(AND(E825, SUM(E823:E824) &gt; 0), F825, "")</f>
        <v/>
      </c>
      <c r="C825" t="str">
        <f ca="1">INDIRECT($F$741 &amp; ADDRESS(B823, 1,4  ))</f>
        <v>Other (Specify)</v>
      </c>
      <c r="D825" t="str">
        <f>ADDRESS(B823, 1,4  )</f>
        <v>A48</v>
      </c>
      <c r="E825" t="b">
        <f ca="1">INDIRECT($F$741 &amp; D825)="Other (specify)"</f>
        <v>1</v>
      </c>
      <c r="F825" t="str">
        <f ca="1">CONCATENATE("Please specify value for '", C825, "' in cell ", D825, ".", CHAR(10))</f>
        <v xml:space="preserve">Please specify value for 'Other (Specify)' in cell A48.
</v>
      </c>
      <c r="G825" s="9" t="str">
        <f t="shared" ca="1" si="208"/>
        <v/>
      </c>
    </row>
    <row r="826" spans="1:7" ht="15" customHeight="1">
      <c r="A826" t="str">
        <f ca="1">IF(E826="",F826, "")</f>
        <v/>
      </c>
      <c r="B826" s="52">
        <f>B823+1</f>
        <v>49</v>
      </c>
      <c r="C826" t="str">
        <f ca="1">INDIRECT($F$741 &amp; ADDRESS(B826, 1,4  ))</f>
        <v>Other (Specify)</v>
      </c>
      <c r="D826" t="str">
        <f>ADDRESS(B826, 2,4  )</f>
        <v>B49</v>
      </c>
      <c r="E826">
        <f ca="1">IF(ISBLANK( INDIRECT($F$741 &amp; D826)),"", INDIRECT($F$741 &amp; D826))</f>
        <v>0</v>
      </c>
      <c r="F826" t="str">
        <f ca="1">CONCATENATE("Enter a value for '", C826, "' in cell ", D826, ".", CHAR(10))</f>
        <v xml:space="preserve">Enter a value for 'Other (Specify)' in cell B49.
</v>
      </c>
      <c r="G826" s="9" t="str">
        <f t="shared" ca="1" si="208"/>
        <v/>
      </c>
    </row>
    <row r="827" spans="1:7" ht="15" customHeight="1">
      <c r="A827" t="str">
        <f ca="1">IF(AND(OR(Calculations!$B$3:$B$4), E827=""), F827, "")</f>
        <v/>
      </c>
      <c r="B827" t="s">
        <v>476</v>
      </c>
      <c r="C827" t="str">
        <f ca="1">INDIRECT($F$741 &amp; ADDRESS(B826, 1,4  ))</f>
        <v>Other (Specify)</v>
      </c>
      <c r="D827" t="str">
        <f>ADDRESS(B826, 3,4  )</f>
        <v>C49</v>
      </c>
      <c r="E827">
        <f ca="1">IF(ISBLANK( INDIRECT($F$741 &amp; D827)),"", INDIRECT($F$741 &amp; D827))</f>
        <v>0</v>
      </c>
      <c r="F827" t="str">
        <f ca="1">CONCATENATE("Enter an 'Amount Last Provided to CHFA' value for '", C827, "' in cell ", D827, ".", CHAR(10))</f>
        <v xml:space="preserve">Enter an 'Amount Last Provided to CHFA' value for 'Other (Specify)' in cell C49.
</v>
      </c>
      <c r="G827" s="9" t="str">
        <f t="shared" ca="1" si="208"/>
        <v/>
      </c>
    </row>
    <row r="828" spans="1:7" ht="15" customHeight="1">
      <c r="A828" t="str">
        <f ca="1">IF(AND(E828, SUM(E826:E827) &gt; 0), F828, "")</f>
        <v/>
      </c>
      <c r="C828" t="str">
        <f ca="1">INDIRECT($F$741 &amp; ADDRESS(B826, 1,4  ))</f>
        <v>Other (Specify)</v>
      </c>
      <c r="D828" t="str">
        <f>ADDRESS(B826, 1,4  )</f>
        <v>A49</v>
      </c>
      <c r="E828" t="b">
        <f ca="1">INDIRECT($F$741 &amp; D828)="Other (specify)"</f>
        <v>1</v>
      </c>
      <c r="F828" t="str">
        <f ca="1">CONCATENATE("Please specify value for '", C828, "' in cell ", D828, ".", CHAR(10))</f>
        <v xml:space="preserve">Please specify value for 'Other (Specify)' in cell A49.
</v>
      </c>
      <c r="G828" s="9" t="str">
        <f t="shared" ca="1" si="208"/>
        <v/>
      </c>
    </row>
    <row r="829" spans="1:7" ht="15" customHeight="1">
      <c r="A829" t="str">
        <f ca="1">IF(E829="",F829, "")</f>
        <v/>
      </c>
      <c r="B829" s="52">
        <f>B826+1</f>
        <v>50</v>
      </c>
      <c r="C829" t="str">
        <f ca="1">INDIRECT($F$741 &amp; ADDRESS(B829, 1,4  ))</f>
        <v>Other (Specify)</v>
      </c>
      <c r="D829" t="str">
        <f>ADDRESS(B829, 2,4  )</f>
        <v>B50</v>
      </c>
      <c r="E829">
        <f t="shared" ref="E829:E849" ca="1" si="209">IF(ISBLANK( INDIRECT($F$741 &amp; D829)),"", INDIRECT($F$741 &amp; D829))</f>
        <v>0</v>
      </c>
      <c r="F829" t="str">
        <f ca="1">CONCATENATE("Enter a value for '", C829, "' in cell ", D829, ".", CHAR(10))</f>
        <v xml:space="preserve">Enter a value for 'Other (Specify)' in cell B50.
</v>
      </c>
      <c r="G829" s="9" t="str">
        <f t="shared" ca="1" si="208"/>
        <v/>
      </c>
    </row>
    <row r="830" spans="1:7" ht="15" customHeight="1">
      <c r="A830" t="str">
        <f ca="1">IF(AND(OR(Calculations!$B$3:$B$4), E830=""), F830, "")</f>
        <v/>
      </c>
      <c r="B830" t="s">
        <v>476</v>
      </c>
      <c r="C830" t="str">
        <f ca="1">INDIRECT($F$741 &amp; ADDRESS(B829, 1,4  ))</f>
        <v>Other (Specify)</v>
      </c>
      <c r="D830" t="str">
        <f>ADDRESS(B829, 3,4  )</f>
        <v>C50</v>
      </c>
      <c r="E830">
        <f t="shared" ca="1" si="209"/>
        <v>0</v>
      </c>
      <c r="F830" t="str">
        <f ca="1">CONCATENATE("Enter an 'Amount Last Provided to CHFA' value for '", C830, "' in cell ", D830, ".", CHAR(10))</f>
        <v xml:space="preserve">Enter an 'Amount Last Provided to CHFA' value for 'Other (Specify)' in cell C50.
</v>
      </c>
      <c r="G830" s="9" t="str">
        <f t="shared" ca="1" si="208"/>
        <v/>
      </c>
    </row>
    <row r="831" spans="1:7" ht="15" customHeight="1">
      <c r="A831" t="str">
        <f ca="1">IF(AND(E831, SUM(E829:E830) &gt; 0), F831, "")</f>
        <v/>
      </c>
      <c r="C831" t="str">
        <f ca="1">INDIRECT($F$741 &amp; ADDRESS(B829, 1,4  ))</f>
        <v>Other (Specify)</v>
      </c>
      <c r="D831" t="str">
        <f>ADDRESS(B829, 1,4  )</f>
        <v>A50</v>
      </c>
      <c r="E831" t="b">
        <f ca="1">INDIRECT($F$741 &amp; D831)="Other (specify)"</f>
        <v>1</v>
      </c>
      <c r="F831" t="str">
        <f ca="1">CONCATENATE("Please specify value for '", C831, "' in cell ", D831, ".", CHAR(10))</f>
        <v xml:space="preserve">Please specify value for 'Other (Specify)' in cell A50.
</v>
      </c>
      <c r="G831" s="9" t="str">
        <f t="shared" ca="1" si="208"/>
        <v/>
      </c>
    </row>
    <row r="832" spans="1:7" ht="15" customHeight="1">
      <c r="A832" t="str">
        <f ca="1">IF(E832="",F832, "")</f>
        <v/>
      </c>
      <c r="B832">
        <f>ROW('Commercial Budget'!A53)</f>
        <v>53</v>
      </c>
      <c r="C832" t="str">
        <f ca="1">INDIRECT($F$741 &amp; ADDRESS(B832, 1,4  ))</f>
        <v>Bond Premium</v>
      </c>
      <c r="D832" t="str">
        <f>ADDRESS(B832, 2,4  )</f>
        <v>B53</v>
      </c>
      <c r="E832">
        <f t="shared" ca="1" si="209"/>
        <v>0</v>
      </c>
      <c r="F832" t="str">
        <f ca="1">CONCATENATE("Enter a value for '", C832, "' in cell ", D832, ".", CHAR(10))</f>
        <v xml:space="preserve">Enter a value for 'Bond Premium' in cell B53.
</v>
      </c>
      <c r="G832" s="9" t="str">
        <f t="shared" ca="1" si="208"/>
        <v/>
      </c>
    </row>
    <row r="833" spans="1:7" ht="15" customHeight="1">
      <c r="A833" t="str">
        <f ca="1">IF(AND(OR(Calculations!$B$3:$B$4), E833=""), F833, "")</f>
        <v/>
      </c>
      <c r="B833" t="s">
        <v>476</v>
      </c>
      <c r="C833" t="str">
        <f ca="1">INDIRECT($F$741 &amp; ADDRESS(B832, 1,4  ))</f>
        <v>Bond Premium</v>
      </c>
      <c r="D833" t="str">
        <f>ADDRESS(B832, 3,4  )</f>
        <v>C53</v>
      </c>
      <c r="E833">
        <f t="shared" ca="1" si="209"/>
        <v>0</v>
      </c>
      <c r="F833" t="str">
        <f ca="1">CONCATENATE("Enter an 'Amount Last Provided to CHFA' value for '", C833, "' in cell ", D833, ".", CHAR(10))</f>
        <v xml:space="preserve">Enter an 'Amount Last Provided to CHFA' value for 'Bond Premium' in cell C53.
</v>
      </c>
      <c r="G833" s="9" t="str">
        <f t="shared" ca="1" si="208"/>
        <v/>
      </c>
    </row>
    <row r="834" spans="1:7" ht="15" customHeight="1">
      <c r="A834" t="str">
        <f ca="1">IF(E834="",F834, "")</f>
        <v/>
      </c>
      <c r="B834" s="52">
        <f>B832+1</f>
        <v>54</v>
      </c>
      <c r="C834" t="str">
        <f ca="1">INDIRECT($F$741 &amp; ADDRESS(B834, 1,4  ))</f>
        <v>Bond Issue 30-day lag reserve</v>
      </c>
      <c r="D834" t="str">
        <f>ADDRESS(B834, 2,4  )</f>
        <v>B54</v>
      </c>
      <c r="E834">
        <f t="shared" ca="1" si="209"/>
        <v>0</v>
      </c>
      <c r="F834" t="str">
        <f ca="1">CONCATENATE("Enter a value for '", C834, "' in cell ", D834, ".", CHAR(10))</f>
        <v xml:space="preserve">Enter a value for 'Bond Issue 30-day lag reserve' in cell B54.
</v>
      </c>
      <c r="G834" s="9" t="str">
        <f t="shared" ca="1" si="208"/>
        <v/>
      </c>
    </row>
    <row r="835" spans="1:7" ht="15" customHeight="1">
      <c r="A835" t="str">
        <f ca="1">IF(AND(OR(Calculations!$B$3:$B$4), E835=""), F835, "")</f>
        <v/>
      </c>
      <c r="B835" t="s">
        <v>476</v>
      </c>
      <c r="C835" t="str">
        <f ca="1">INDIRECT($F$741 &amp; ADDRESS(B834, 1,4  ))</f>
        <v>Bond Issue 30-day lag reserve</v>
      </c>
      <c r="D835" t="str">
        <f>ADDRESS(B834, 3,4  )</f>
        <v>C54</v>
      </c>
      <c r="E835">
        <f t="shared" ca="1" si="209"/>
        <v>0</v>
      </c>
      <c r="F835" t="str">
        <f ca="1">CONCATENATE("Enter an 'Amount Last Provided to CHFA' value for '", C835, "' in cell ", D835, ".", CHAR(10))</f>
        <v xml:space="preserve">Enter an 'Amount Last Provided to CHFA' value for 'Bond Issue 30-day lag reserve' in cell C54.
</v>
      </c>
      <c r="G835" s="9" t="str">
        <f t="shared" ca="1" si="208"/>
        <v/>
      </c>
    </row>
    <row r="836" spans="1:7" ht="15" customHeight="1">
      <c r="A836" t="str">
        <f ca="1">IF(E836="",F836, "")</f>
        <v/>
      </c>
      <c r="B836" s="52">
        <f>B834+1</f>
        <v>55</v>
      </c>
      <c r="C836" t="str">
        <f ca="1">INDIRECT($F$741 &amp; ADDRESS(B836, 1,4  ))</f>
        <v>Discount Points</v>
      </c>
      <c r="D836" t="str">
        <f>ADDRESS(B836, 2,4  )</f>
        <v>B55</v>
      </c>
      <c r="E836">
        <f t="shared" ca="1" si="209"/>
        <v>0</v>
      </c>
      <c r="F836" t="str">
        <f ca="1">CONCATENATE("Enter a value for '", C836, "' in cell ", D836, ".", CHAR(10))</f>
        <v xml:space="preserve">Enter a value for 'Discount Points' in cell B55.
</v>
      </c>
      <c r="G836" s="9" t="str">
        <f t="shared" ca="1" si="208"/>
        <v/>
      </c>
    </row>
    <row r="837" spans="1:7" ht="15" customHeight="1">
      <c r="A837" t="str">
        <f ca="1">IF(AND(OR(Calculations!$B$3:$B$4), E837=""), F837, "")</f>
        <v/>
      </c>
      <c r="B837" t="s">
        <v>476</v>
      </c>
      <c r="C837" t="str">
        <f ca="1">INDIRECT($F$741 &amp; ADDRESS(B836, 1,4  ))</f>
        <v>Discount Points</v>
      </c>
      <c r="D837" t="str">
        <f>ADDRESS(B836, 3,4  )</f>
        <v>C55</v>
      </c>
      <c r="E837">
        <f t="shared" ca="1" si="209"/>
        <v>0</v>
      </c>
      <c r="F837" t="str">
        <f ca="1">CONCATENATE("Enter an 'Amount Last Provided to CHFA' value for '", C837, "' in cell ", D837, ".", CHAR(10))</f>
        <v xml:space="preserve">Enter an 'Amount Last Provided to CHFA' value for 'Discount Points' in cell C55.
</v>
      </c>
      <c r="G837" s="9" t="str">
        <f t="shared" ca="1" si="208"/>
        <v/>
      </c>
    </row>
    <row r="838" spans="1:7" ht="15" customHeight="1">
      <c r="A838" t="str">
        <f ca="1">IF(E838="",F838, "")</f>
        <v/>
      </c>
      <c r="B838" s="52">
        <f>B836+1</f>
        <v>56</v>
      </c>
      <c r="C838" t="str">
        <f ca="1">INDIRECT($F$741 &amp; ADDRESS(B838, 1,4  ))</f>
        <v>Perm Loan Origination</v>
      </c>
      <c r="D838" t="str">
        <f>ADDRESS(B838, 2,4  )</f>
        <v>B56</v>
      </c>
      <c r="E838">
        <f t="shared" ca="1" si="209"/>
        <v>0</v>
      </c>
      <c r="F838" t="str">
        <f ca="1">CONCATENATE("Enter a value for '", C838, "' in cell ", D838, ".", CHAR(10))</f>
        <v xml:space="preserve">Enter a value for 'Perm Loan Origination' in cell B56.
</v>
      </c>
      <c r="G838" s="9" t="str">
        <f t="shared" ca="1" si="208"/>
        <v/>
      </c>
    </row>
    <row r="839" spans="1:7" ht="15" customHeight="1">
      <c r="A839" t="str">
        <f ca="1">IF(AND(OR(Calculations!$B$3:$B$4), E839=""), F839, "")</f>
        <v/>
      </c>
      <c r="B839" t="s">
        <v>476</v>
      </c>
      <c r="C839" t="str">
        <f ca="1">INDIRECT($F$741 &amp; ADDRESS(B838, 1,4  ))</f>
        <v>Perm Loan Origination</v>
      </c>
      <c r="D839" t="str">
        <f>ADDRESS(B838, 3,4  )</f>
        <v>C56</v>
      </c>
      <c r="E839">
        <f t="shared" ca="1" si="209"/>
        <v>0</v>
      </c>
      <c r="F839" t="str">
        <f ca="1">CONCATENATE("Enter an 'Amount Last Provided to CHFA' value for '", C839, "' in cell ", D839, ".", CHAR(10))</f>
        <v xml:space="preserve">Enter an 'Amount Last Provided to CHFA' value for 'Perm Loan Origination' in cell C56.
</v>
      </c>
      <c r="G839" s="9" t="str">
        <f t="shared" ca="1" si="208"/>
        <v/>
      </c>
    </row>
    <row r="840" spans="1:7" ht="15" customHeight="1">
      <c r="A840" t="str">
        <f ca="1">IF(E840="",F840, "")</f>
        <v/>
      </c>
      <c r="B840" s="52">
        <f>B838+1</f>
        <v>57</v>
      </c>
      <c r="C840" t="str">
        <f ca="1">INDIRECT($F$741 &amp; ADDRESS(B840, 1,4  ))</f>
        <v>Credit Enhancement</v>
      </c>
      <c r="D840" t="str">
        <f>ADDRESS(B840, 2,4  )</f>
        <v>B57</v>
      </c>
      <c r="E840">
        <f t="shared" ca="1" si="209"/>
        <v>0</v>
      </c>
      <c r="F840" t="str">
        <f ca="1">CONCATENATE("Enter a value for '", C840, "' in cell ", D840, ".", CHAR(10))</f>
        <v xml:space="preserve">Enter a value for 'Credit Enhancement' in cell B57.
</v>
      </c>
      <c r="G840" s="9" t="str">
        <f t="shared" ca="1" si="208"/>
        <v/>
      </c>
    </row>
    <row r="841" spans="1:7" ht="15" customHeight="1">
      <c r="A841" t="str">
        <f ca="1">IF(AND(OR(Calculations!$B$3:$B$4), E841=""), F841, "")</f>
        <v/>
      </c>
      <c r="B841" t="s">
        <v>476</v>
      </c>
      <c r="C841" t="str">
        <f ca="1">INDIRECT($F$741 &amp; ADDRESS(B840, 1,4  ))</f>
        <v>Credit Enhancement</v>
      </c>
      <c r="D841" t="str">
        <f>ADDRESS(B840, 3,4  )</f>
        <v>C57</v>
      </c>
      <c r="E841">
        <f t="shared" ca="1" si="209"/>
        <v>0</v>
      </c>
      <c r="F841" t="str">
        <f ca="1">CONCATENATE("Enter an 'Amount Last Provided to CHFA' value for '", C841, "' in cell ", D841, ".", CHAR(10))</f>
        <v xml:space="preserve">Enter an 'Amount Last Provided to CHFA' value for 'Credit Enhancement' in cell C57.
</v>
      </c>
      <c r="G841" s="9" t="str">
        <f t="shared" ref="G841:G873" ca="1" si="210">OFFSET(G841, -1, 0) &amp; A841</f>
        <v/>
      </c>
    </row>
    <row r="842" spans="1:7" ht="15" customHeight="1">
      <c r="A842" t="str">
        <f ca="1">IF(E842="",F842, "")</f>
        <v/>
      </c>
      <c r="B842" s="52">
        <f>B840+1</f>
        <v>58</v>
      </c>
      <c r="C842" t="str">
        <f ca="1">INDIRECT($F$741 &amp; ADDRESS(B842, 1,4  ))</f>
        <v>Title &amp; Recording</v>
      </c>
      <c r="D842" t="str">
        <f>ADDRESS(B842, 2,4  )</f>
        <v>B58</v>
      </c>
      <c r="E842">
        <f t="shared" ca="1" si="209"/>
        <v>0</v>
      </c>
      <c r="F842" t="str">
        <f ca="1">CONCATENATE("Enter a value for '", C842, "' in cell ", D842, ".", CHAR(10))</f>
        <v xml:space="preserve">Enter a value for 'Title &amp; Recording' in cell B58.
</v>
      </c>
      <c r="G842" s="9" t="str">
        <f t="shared" ca="1" si="210"/>
        <v/>
      </c>
    </row>
    <row r="843" spans="1:7" ht="15" customHeight="1">
      <c r="A843" t="str">
        <f ca="1">IF(AND(OR(Calculations!$B$3:$B$4), E843=""), F843, "")</f>
        <v/>
      </c>
      <c r="B843" t="s">
        <v>476</v>
      </c>
      <c r="C843" t="str">
        <f ca="1">INDIRECT($F$741 &amp; ADDRESS(B842, 1,4  ))</f>
        <v>Title &amp; Recording</v>
      </c>
      <c r="D843" t="str">
        <f>ADDRESS(B842, 3,4  )</f>
        <v>C58</v>
      </c>
      <c r="E843">
        <f t="shared" ca="1" si="209"/>
        <v>0</v>
      </c>
      <c r="F843" t="str">
        <f ca="1">CONCATENATE("Enter an 'Amount Last Provided to CHFA' value for '", C843, "' in cell ", D843, ".", CHAR(10))</f>
        <v xml:space="preserve">Enter an 'Amount Last Provided to CHFA' value for 'Title &amp; Recording' in cell C58.
</v>
      </c>
      <c r="G843" s="9" t="str">
        <f t="shared" ca="1" si="210"/>
        <v/>
      </c>
    </row>
    <row r="844" spans="1:7" ht="15" customHeight="1">
      <c r="A844" t="str">
        <f ca="1">IF(E844="",F844, "")</f>
        <v/>
      </c>
      <c r="B844" s="52">
        <f>B842+1</f>
        <v>59</v>
      </c>
      <c r="C844" t="str">
        <f ca="1">INDIRECT($F$741 &amp; ADDRESS(B844, 1,4  ))</f>
        <v>Legal Fees</v>
      </c>
      <c r="D844" t="str">
        <f>ADDRESS(B844, 2,4  )</f>
        <v>B59</v>
      </c>
      <c r="E844">
        <f t="shared" ca="1" si="209"/>
        <v>0</v>
      </c>
      <c r="F844" t="str">
        <f ca="1">CONCATENATE("Enter a value for '", C844, "' in cell ", D844, ".", CHAR(10))</f>
        <v xml:space="preserve">Enter a value for 'Legal Fees' in cell B59.
</v>
      </c>
      <c r="G844" s="9" t="str">
        <f t="shared" ca="1" si="210"/>
        <v/>
      </c>
    </row>
    <row r="845" spans="1:7" ht="15" customHeight="1">
      <c r="A845" t="str">
        <f ca="1">IF(AND(OR(Calculations!$B$3:$B$4), E845=""), F845, "")</f>
        <v/>
      </c>
      <c r="B845" t="s">
        <v>476</v>
      </c>
      <c r="C845" t="str">
        <f ca="1">INDIRECT($F$741 &amp; ADDRESS(B844, 1,4  ))</f>
        <v>Legal Fees</v>
      </c>
      <c r="D845" t="str">
        <f>ADDRESS(B844, 3,4  )</f>
        <v>C59</v>
      </c>
      <c r="E845">
        <f t="shared" ca="1" si="209"/>
        <v>0</v>
      </c>
      <c r="F845" t="str">
        <f ca="1">CONCATENATE("Enter an 'Amount Last Provided to CHFA' value for '", C845, "' in cell ", D845, ".", CHAR(10))</f>
        <v xml:space="preserve">Enter an 'Amount Last Provided to CHFA' value for 'Legal Fees' in cell C59.
</v>
      </c>
      <c r="G845" s="9" t="str">
        <f t="shared" ca="1" si="210"/>
        <v/>
      </c>
    </row>
    <row r="846" spans="1:7" ht="15" customHeight="1">
      <c r="A846" t="str">
        <f ca="1">IF(E846="",F846, "")</f>
        <v/>
      </c>
      <c r="B846" s="52">
        <f>B844+1</f>
        <v>60</v>
      </c>
      <c r="C846" t="str">
        <f ca="1">INDIRECT($F$741 &amp; ADDRESS(B846, 1,4  ))</f>
        <v>Prepaid MIP</v>
      </c>
      <c r="D846" t="str">
        <f>ADDRESS(B846, 2,4  )</f>
        <v>B60</v>
      </c>
      <c r="E846">
        <f t="shared" ca="1" si="209"/>
        <v>0</v>
      </c>
      <c r="F846" t="str">
        <f ca="1">CONCATENATE("Enter a value for '", C846, "' in cell ", D846, ".", CHAR(10))</f>
        <v xml:space="preserve">Enter a value for 'Prepaid MIP' in cell B60.
</v>
      </c>
      <c r="G846" s="9" t="str">
        <f t="shared" ca="1" si="210"/>
        <v/>
      </c>
    </row>
    <row r="847" spans="1:7" ht="15" customHeight="1">
      <c r="A847" t="str">
        <f ca="1">IF(AND(OR(Calculations!$B$3:$B$4), E847=""), F847, "")</f>
        <v/>
      </c>
      <c r="B847" t="s">
        <v>476</v>
      </c>
      <c r="C847" t="str">
        <f ca="1">INDIRECT($F$741 &amp; ADDRESS(B846, 1,4  ))</f>
        <v>Prepaid MIP</v>
      </c>
      <c r="D847" t="str">
        <f>ADDRESS(B846, 3,4  )</f>
        <v>C60</v>
      </c>
      <c r="E847">
        <f t="shared" ca="1" si="209"/>
        <v>0</v>
      </c>
      <c r="F847" t="str">
        <f ca="1">CONCATENATE("Enter an 'Amount Last Provided to CHFA' value for '", C847, "' in cell ", D847, ".", CHAR(10))</f>
        <v xml:space="preserve">Enter an 'Amount Last Provided to CHFA' value for 'Prepaid MIP' in cell C60.
</v>
      </c>
      <c r="G847" s="9" t="str">
        <f t="shared" ca="1" si="210"/>
        <v/>
      </c>
    </row>
    <row r="848" spans="1:7" ht="15" customHeight="1">
      <c r="A848" t="str">
        <f ca="1">IF(E848="",F848, "")</f>
        <v/>
      </c>
      <c r="B848" s="52">
        <f>B846+1</f>
        <v>61</v>
      </c>
      <c r="C848" t="str">
        <f ca="1">INDIRECT($F$741 &amp; ADDRESS(B848, 1,4  ))</f>
        <v>Other (Specify)</v>
      </c>
      <c r="D848" t="str">
        <f>ADDRESS(B848, 2,4  )</f>
        <v>B61</v>
      </c>
      <c r="E848">
        <f t="shared" ca="1" si="209"/>
        <v>0</v>
      </c>
      <c r="F848" t="str">
        <f ca="1">CONCATENATE("Enter a value for '", C848, "' in cell ", D848, ".", CHAR(10))</f>
        <v xml:space="preserve">Enter a value for 'Other (Specify)' in cell B61.
</v>
      </c>
      <c r="G848" s="9" t="str">
        <f t="shared" ca="1" si="210"/>
        <v/>
      </c>
    </row>
    <row r="849" spans="1:7" ht="15" customHeight="1">
      <c r="A849" t="str">
        <f ca="1">IF(AND(OR(Calculations!$B$3:$B$4), E849=""), F849, "")</f>
        <v/>
      </c>
      <c r="B849" t="s">
        <v>476</v>
      </c>
      <c r="C849" t="str">
        <f ca="1">INDIRECT($F$741 &amp; ADDRESS(B848, 1,4  ))</f>
        <v>Other (Specify)</v>
      </c>
      <c r="D849" t="str">
        <f>ADDRESS(B848, 3,4  )</f>
        <v>C61</v>
      </c>
      <c r="E849">
        <f t="shared" ca="1" si="209"/>
        <v>0</v>
      </c>
      <c r="F849" t="str">
        <f ca="1">CONCATENATE("Enter an 'Amount Last Provided to CHFA' value for '", C849, "' in cell ", D849, ".", CHAR(10))</f>
        <v xml:space="preserve">Enter an 'Amount Last Provided to CHFA' value for 'Other (Specify)' in cell C61.
</v>
      </c>
      <c r="G849" s="9" t="str">
        <f t="shared" ca="1" si="210"/>
        <v/>
      </c>
    </row>
    <row r="850" spans="1:7" ht="15" customHeight="1">
      <c r="A850" t="str">
        <f ca="1">IF(AND(E850, SUM(E848:E849) &gt; 0), F850, "")</f>
        <v/>
      </c>
      <c r="C850" t="str">
        <f ca="1">INDIRECT($F$741 &amp; ADDRESS(B848, 1,4  ))</f>
        <v>Other (Specify)</v>
      </c>
      <c r="D850" t="str">
        <f>ADDRESS(B848, 1,4  )</f>
        <v>A61</v>
      </c>
      <c r="E850" t="b">
        <f ca="1">INDIRECT($F$741 &amp; D850)="Other (specify)"</f>
        <v>1</v>
      </c>
      <c r="F850" t="str">
        <f ca="1">CONCATENATE("Please specify value for '", C850, "' in cell ", D850, ".", CHAR(10))</f>
        <v xml:space="preserve">Please specify value for 'Other (Specify)' in cell A61.
</v>
      </c>
      <c r="G850" s="9" t="str">
        <f t="shared" ca="1" si="210"/>
        <v/>
      </c>
    </row>
    <row r="851" spans="1:7" ht="15" customHeight="1">
      <c r="A851" t="str">
        <f ca="1">IF(E851="",F851, "")</f>
        <v/>
      </c>
      <c r="B851" s="52">
        <f>B848+1</f>
        <v>62</v>
      </c>
      <c r="C851" t="str">
        <f ca="1">INDIRECT($F$741 &amp; ADDRESS(B851, 1,4  ))</f>
        <v>Other (Specify)</v>
      </c>
      <c r="D851" t="str">
        <f>ADDRESS(B851, 2,4  )</f>
        <v>B62</v>
      </c>
      <c r="E851">
        <f ca="1">IF(ISBLANK( INDIRECT($F$741 &amp; D851)),"", INDIRECT($F$741 &amp; D851))</f>
        <v>0</v>
      </c>
      <c r="F851" t="str">
        <f ca="1">CONCATENATE("Enter a value for '", C851, "' in cell ", D851, ".", CHAR(10))</f>
        <v xml:space="preserve">Enter a value for 'Other (Specify)' in cell B62.
</v>
      </c>
      <c r="G851" s="9" t="str">
        <f t="shared" ca="1" si="210"/>
        <v/>
      </c>
    </row>
    <row r="852" spans="1:7" ht="15" customHeight="1">
      <c r="A852" t="str">
        <f ca="1">IF(AND(OR(Calculations!$B$3:$B$4), E852=""), F852, "")</f>
        <v/>
      </c>
      <c r="B852" t="s">
        <v>476</v>
      </c>
      <c r="C852" t="str">
        <f ca="1">INDIRECT($F$741 &amp; ADDRESS(B851, 1,4  ))</f>
        <v>Other (Specify)</v>
      </c>
      <c r="D852" t="str">
        <f>ADDRESS(B851, 3,4  )</f>
        <v>C62</v>
      </c>
      <c r="E852">
        <f ca="1">IF(ISBLANK( INDIRECT($F$741 &amp; D852)),"", INDIRECT($F$741 &amp; D852))</f>
        <v>0</v>
      </c>
      <c r="F852" t="str">
        <f ca="1">CONCATENATE("Enter an 'Amount Last Provided to CHFA' value for '", C852, "' in cell ", D852, ".", CHAR(10))</f>
        <v xml:space="preserve">Enter an 'Amount Last Provided to CHFA' value for 'Other (Specify)' in cell C62.
</v>
      </c>
      <c r="G852" s="9" t="str">
        <f t="shared" ca="1" si="210"/>
        <v/>
      </c>
    </row>
    <row r="853" spans="1:7" ht="15" customHeight="1">
      <c r="A853" t="str">
        <f ca="1">IF(AND(E853, SUM(E851:E852) &gt; 0), F853, "")</f>
        <v/>
      </c>
      <c r="C853" t="str">
        <f ca="1">INDIRECT($F$741 &amp; ADDRESS(B851, 1,4  ))</f>
        <v>Other (Specify)</v>
      </c>
      <c r="D853" t="str">
        <f>ADDRESS(B851, 1,4  )</f>
        <v>A62</v>
      </c>
      <c r="E853" t="b">
        <f ca="1">INDIRECT($F$741 &amp; D853)="Other (specify)"</f>
        <v>1</v>
      </c>
      <c r="F853" t="str">
        <f ca="1">CONCATENATE("Please specify value for '", C853, "' in cell ", D853, ".", CHAR(10))</f>
        <v xml:space="preserve">Please specify value for 'Other (Specify)' in cell A62.
</v>
      </c>
      <c r="G853" s="9" t="str">
        <f t="shared" ca="1" si="210"/>
        <v/>
      </c>
    </row>
    <row r="854" spans="1:7" ht="15" customHeight="1">
      <c r="A854" t="str">
        <f ca="1">IF(E854="",F854, "")</f>
        <v/>
      </c>
      <c r="B854" s="52">
        <f>B851+1</f>
        <v>63</v>
      </c>
      <c r="C854" t="str">
        <f ca="1">INDIRECT($F$741 &amp; ADDRESS(B854, 1,4  ))</f>
        <v>Other (Specify)</v>
      </c>
      <c r="D854" t="str">
        <f>ADDRESS(B854, 2,4  )</f>
        <v>B63</v>
      </c>
      <c r="E854">
        <f ca="1">IF(ISBLANK( INDIRECT($F$741 &amp; D854)),"", INDIRECT($F$741 &amp; D854))</f>
        <v>0</v>
      </c>
      <c r="F854" t="str">
        <f ca="1">CONCATENATE("Enter a value for '", C854, "' in cell ", D854, ".", CHAR(10))</f>
        <v xml:space="preserve">Enter a value for 'Other (Specify)' in cell B63.
</v>
      </c>
      <c r="G854" s="9" t="str">
        <f t="shared" ca="1" si="210"/>
        <v/>
      </c>
    </row>
    <row r="855" spans="1:7" ht="15" customHeight="1">
      <c r="A855" t="str">
        <f ca="1">IF(AND(OR(Calculations!$B$3:$B$4), E855=""), F855, "")</f>
        <v/>
      </c>
      <c r="B855" t="s">
        <v>476</v>
      </c>
      <c r="C855" t="str">
        <f ca="1">INDIRECT($F$741 &amp; ADDRESS(B854, 1,4  ))</f>
        <v>Other (Specify)</v>
      </c>
      <c r="D855" t="str">
        <f>ADDRESS(B854, 3,4  )</f>
        <v>C63</v>
      </c>
      <c r="E855">
        <f ca="1">IF(ISBLANK( INDIRECT($F$741 &amp; D855)),"", INDIRECT($F$741 &amp; D855))</f>
        <v>0</v>
      </c>
      <c r="F855" t="str">
        <f ca="1">CONCATENATE("Enter an 'Amount Last Provided to CHFA' value for '", C855, "' in cell ", D855, ".", CHAR(10))</f>
        <v xml:space="preserve">Enter an 'Amount Last Provided to CHFA' value for 'Other (Specify)' in cell C63.
</v>
      </c>
      <c r="G855" s="9" t="str">
        <f t="shared" ca="1" si="210"/>
        <v/>
      </c>
    </row>
    <row r="856" spans="1:7" ht="15" customHeight="1">
      <c r="A856" t="str">
        <f ca="1">IF(AND(E856, SUM(E854:E855) &gt; 0), F856, "")</f>
        <v/>
      </c>
      <c r="C856" t="str">
        <f ca="1">INDIRECT($F$741 &amp; ADDRESS(B854, 1,4  ))</f>
        <v>Other (Specify)</v>
      </c>
      <c r="D856" t="str">
        <f>ADDRESS(B854, 1,4  )</f>
        <v>A63</v>
      </c>
      <c r="E856" t="b">
        <f ca="1">INDIRECT($F$741 &amp; D856)="Other (specify)"</f>
        <v>1</v>
      </c>
      <c r="F856" t="str">
        <f ca="1">CONCATENATE("Please specify value for '", C856, "' in cell ", D856, ".", CHAR(10))</f>
        <v xml:space="preserve">Please specify value for 'Other (Specify)' in cell A63.
</v>
      </c>
      <c r="G856" s="9" t="str">
        <f t="shared" ca="1" si="210"/>
        <v/>
      </c>
    </row>
    <row r="857" spans="1:7" ht="15" customHeight="1">
      <c r="A857" t="str">
        <f ca="1">IF(E857="",F857, "")</f>
        <v/>
      </c>
      <c r="B857">
        <v>66</v>
      </c>
      <c r="C857" t="str">
        <f ca="1">INDIRECT($F$741 &amp; ADDRESS(B857, 1,4  ))</f>
        <v>Feasibility Study</v>
      </c>
      <c r="D857" t="str">
        <f>ADDRESS(B857, 2,4  )</f>
        <v>B66</v>
      </c>
      <c r="E857">
        <f t="shared" ref="E857:E875" ca="1" si="211">IF(ISBLANK( INDIRECT($F$741 &amp; D857)),"", INDIRECT($F$741 &amp; D857))</f>
        <v>0</v>
      </c>
      <c r="F857" t="str">
        <f ca="1">CONCATENATE("Enter a value for '", C857, "' in cell ", D857, ".", CHAR(10))</f>
        <v xml:space="preserve">Enter a value for 'Feasibility Study' in cell B66.
</v>
      </c>
      <c r="G857" s="9" t="str">
        <f t="shared" ca="1" si="210"/>
        <v/>
      </c>
    </row>
    <row r="858" spans="1:7" ht="15" customHeight="1">
      <c r="A858" t="str">
        <f ca="1">IF(AND(OR(Calculations!$B$3:$B$4), E858=""), F858, "")</f>
        <v/>
      </c>
      <c r="B858" t="s">
        <v>476</v>
      </c>
      <c r="C858" t="str">
        <f ca="1">INDIRECT($F$741 &amp; ADDRESS(B857, 1,4  ))</f>
        <v>Feasibility Study</v>
      </c>
      <c r="D858" t="str">
        <f>ADDRESS(B857, 3,4  )</f>
        <v>C66</v>
      </c>
      <c r="E858">
        <f t="shared" ca="1" si="211"/>
        <v>0</v>
      </c>
      <c r="F858" t="str">
        <f ca="1">CONCATENATE("Enter an 'Amount Last Provided to CHFA' value for '", C858, "' in cell ", D858, ".", CHAR(10))</f>
        <v xml:space="preserve">Enter an 'Amount Last Provided to CHFA' value for 'Feasibility Study' in cell C66.
</v>
      </c>
      <c r="G858" s="9" t="str">
        <f t="shared" ca="1" si="210"/>
        <v/>
      </c>
    </row>
    <row r="859" spans="1:7" ht="15" customHeight="1">
      <c r="A859" t="str">
        <f ca="1">IF(E859="",F859, "")</f>
        <v/>
      </c>
      <c r="B859" s="52">
        <f>B857+1</f>
        <v>67</v>
      </c>
      <c r="C859" t="str">
        <f ca="1">INDIRECT($F$741 &amp; ADDRESS(B859, 1,4  ))</f>
        <v>Market Study</v>
      </c>
      <c r="D859" t="str">
        <f>ADDRESS(B859, 2,4  )</f>
        <v>B67</v>
      </c>
      <c r="E859">
        <f t="shared" ca="1" si="211"/>
        <v>0</v>
      </c>
      <c r="F859" t="str">
        <f ca="1">CONCATENATE("Enter a value for '", C859, "' in cell ", D859, ".", CHAR(10))</f>
        <v xml:space="preserve">Enter a value for 'Market Study' in cell B67.
</v>
      </c>
      <c r="G859" s="9" t="str">
        <f t="shared" ca="1" si="210"/>
        <v/>
      </c>
    </row>
    <row r="860" spans="1:7" ht="15" customHeight="1">
      <c r="A860" t="str">
        <f ca="1">IF(AND(OR(Calculations!$B$3:$B$4), E860=""), F860, "")</f>
        <v/>
      </c>
      <c r="B860" t="s">
        <v>476</v>
      </c>
      <c r="C860" t="str">
        <f ca="1">INDIRECT($F$741 &amp; ADDRESS(B859, 1,4  ))</f>
        <v>Market Study</v>
      </c>
      <c r="D860" t="str">
        <f>ADDRESS(B859, 3,4  )</f>
        <v>C67</v>
      </c>
      <c r="E860">
        <f t="shared" ca="1" si="211"/>
        <v>0</v>
      </c>
      <c r="F860" t="str">
        <f ca="1">CONCATENATE("Enter an 'Amount Last Provided to CHFA' value for '", C860, "' in cell ", D860, ".", CHAR(10))</f>
        <v xml:space="preserve">Enter an 'Amount Last Provided to CHFA' value for 'Market Study' in cell C67.
</v>
      </c>
      <c r="G860" s="9" t="str">
        <f t="shared" ca="1" si="210"/>
        <v/>
      </c>
    </row>
    <row r="861" spans="1:7" ht="15" customHeight="1">
      <c r="A861" t="str">
        <f ca="1">IF(E861="",F861, "")</f>
        <v/>
      </c>
      <c r="B861" s="52">
        <f>B859+1</f>
        <v>68</v>
      </c>
      <c r="C861" t="str">
        <f ca="1">INDIRECT($F$741 &amp; ADDRESS(B861, 1,4  ))</f>
        <v>Environmental Study</v>
      </c>
      <c r="D861" t="str">
        <f>ADDRESS(B861, 2,4  )</f>
        <v>B68</v>
      </c>
      <c r="E861">
        <f t="shared" ca="1" si="211"/>
        <v>0</v>
      </c>
      <c r="F861" t="str">
        <f ca="1">CONCATENATE("Enter a value for '", C861, "' in cell ", D861, ".", CHAR(10))</f>
        <v xml:space="preserve">Enter a value for 'Environmental Study' in cell B68.
</v>
      </c>
      <c r="G861" s="9" t="str">
        <f t="shared" ca="1" si="210"/>
        <v/>
      </c>
    </row>
    <row r="862" spans="1:7" ht="15" customHeight="1">
      <c r="A862" t="str">
        <f ca="1">IF(AND(OR(Calculations!$B$3:$B$4), E862=""), F862, "")</f>
        <v/>
      </c>
      <c r="B862" t="s">
        <v>476</v>
      </c>
      <c r="C862" t="str">
        <f ca="1">INDIRECT($F$741 &amp; ADDRESS(B861, 1,4  ))</f>
        <v>Environmental Study</v>
      </c>
      <c r="D862" t="str">
        <f>ADDRESS(B861, 3,4  )</f>
        <v>C68</v>
      </c>
      <c r="E862">
        <f t="shared" ca="1" si="211"/>
        <v>0</v>
      </c>
      <c r="F862" t="str">
        <f ca="1">CONCATENATE("Enter an 'Amount Last Provided to CHFA' value for '", C862, "' in cell ", D862, ".", CHAR(10))</f>
        <v xml:space="preserve">Enter an 'Amount Last Provided to CHFA' value for 'Environmental Study' in cell C68.
</v>
      </c>
      <c r="G862" s="9" t="str">
        <f t="shared" ca="1" si="210"/>
        <v/>
      </c>
    </row>
    <row r="863" spans="1:7" ht="15" customHeight="1">
      <c r="A863" t="str">
        <f ca="1">IF(E863="",F863, "")</f>
        <v/>
      </c>
      <c r="B863" s="52">
        <f>B861+1</f>
        <v>69</v>
      </c>
      <c r="C863" t="str">
        <f ca="1">INDIRECT($F$741 &amp; ADDRESS(B863, 1,4  ))</f>
        <v>Tax Credit Fees</v>
      </c>
      <c r="D863" t="str">
        <f>ADDRESS(B863, 2,4  )</f>
        <v>B69</v>
      </c>
      <c r="E863">
        <f t="shared" ca="1" si="211"/>
        <v>0</v>
      </c>
      <c r="F863" t="str">
        <f ca="1">CONCATENATE("Enter a value for '", C863, "' in cell ", D863, ".", CHAR(10))</f>
        <v xml:space="preserve">Enter a value for 'Tax Credit Fees' in cell B69.
</v>
      </c>
      <c r="G863" s="9" t="str">
        <f t="shared" ca="1" si="210"/>
        <v/>
      </c>
    </row>
    <row r="864" spans="1:7" ht="15" customHeight="1">
      <c r="A864" t="str">
        <f ca="1">IF(AND(OR(Calculations!$B$3:$B$4), E864=""), F864, "")</f>
        <v/>
      </c>
      <c r="B864" t="s">
        <v>476</v>
      </c>
      <c r="C864" t="str">
        <f ca="1">INDIRECT($F$741 &amp; ADDRESS(B863, 1,4  ))</f>
        <v>Tax Credit Fees</v>
      </c>
      <c r="D864" t="str">
        <f>ADDRESS(B863, 3,4  )</f>
        <v>C69</v>
      </c>
      <c r="E864">
        <f t="shared" ca="1" si="211"/>
        <v>0</v>
      </c>
      <c r="F864" t="str">
        <f ca="1">CONCATENATE("Enter an 'Amount Last Provided to CHFA' value for '", C864, "' in cell ", D864, ".", CHAR(10))</f>
        <v xml:space="preserve">Enter an 'Amount Last Provided to CHFA' value for 'Tax Credit Fees' in cell C69.
</v>
      </c>
      <c r="G864" s="9" t="str">
        <f t="shared" ca="1" si="210"/>
        <v/>
      </c>
    </row>
    <row r="865" spans="1:7" ht="15" customHeight="1">
      <c r="A865" t="str">
        <f ca="1">IF(E865="",F865, "")</f>
        <v/>
      </c>
      <c r="B865" s="52">
        <f>B863+1</f>
        <v>70</v>
      </c>
      <c r="C865" t="str">
        <f ca="1">INDIRECT($F$741 &amp; ADDRESS(B865, 1,4  ))</f>
        <v>Compliance Fees</v>
      </c>
      <c r="D865" t="str">
        <f>ADDRESS(B865, 2,4  )</f>
        <v>B70</v>
      </c>
      <c r="E865">
        <f t="shared" ca="1" si="211"/>
        <v>0</v>
      </c>
      <c r="F865" t="str">
        <f ca="1">CONCATENATE("Enter a value for '", C865, "' in cell ", D865, ".", CHAR(10))</f>
        <v xml:space="preserve">Enter a value for 'Compliance Fees' in cell B70.
</v>
      </c>
      <c r="G865" s="9" t="str">
        <f t="shared" ca="1" si="210"/>
        <v/>
      </c>
    </row>
    <row r="866" spans="1:7" ht="15" customHeight="1">
      <c r="A866" t="str">
        <f ca="1">IF(AND(OR(Calculations!$B$3:$B$4), E866=""), F866, "")</f>
        <v/>
      </c>
      <c r="B866" t="s">
        <v>476</v>
      </c>
      <c r="C866" t="str">
        <f ca="1">INDIRECT($F$741 &amp; ADDRESS(B865, 1,4  ))</f>
        <v>Compliance Fees</v>
      </c>
      <c r="D866" t="str">
        <f>ADDRESS(B865, 3,4  )</f>
        <v>C70</v>
      </c>
      <c r="E866">
        <f t="shared" ca="1" si="211"/>
        <v>0</v>
      </c>
      <c r="F866" t="str">
        <f ca="1">CONCATENATE("Enter an 'Amount Last Provided to CHFA' value for '", C866, "' in cell ", D866, ".", CHAR(10))</f>
        <v xml:space="preserve">Enter an 'Amount Last Provided to CHFA' value for 'Compliance Fees' in cell C70.
</v>
      </c>
      <c r="G866" s="9" t="str">
        <f t="shared" ca="1" si="210"/>
        <v/>
      </c>
    </row>
    <row r="867" spans="1:7" ht="15" customHeight="1">
      <c r="A867" t="str">
        <f ca="1">IF(E867="",F867, "")</f>
        <v/>
      </c>
      <c r="B867" s="52">
        <f>B865+1</f>
        <v>71</v>
      </c>
      <c r="C867" t="str">
        <f ca="1">INDIRECT($F$741 &amp; ADDRESS(B867, 1,4  ))</f>
        <v>Appraisal</v>
      </c>
      <c r="D867" t="str">
        <f>ADDRESS(B867, 2,4  )</f>
        <v>B71</v>
      </c>
      <c r="E867">
        <f t="shared" ca="1" si="211"/>
        <v>0</v>
      </c>
      <c r="F867" t="str">
        <f ca="1">CONCATENATE("Enter a value for '", C867, "' in cell ", D867, ".", CHAR(10))</f>
        <v xml:space="preserve">Enter a value for 'Appraisal' in cell B71.
</v>
      </c>
      <c r="G867" s="9" t="str">
        <f t="shared" ca="1" si="210"/>
        <v/>
      </c>
    </row>
    <row r="868" spans="1:7" ht="15" customHeight="1">
      <c r="A868" t="str">
        <f ca="1">IF(AND(OR(Calculations!$B$3:$B$4), E868=""), F868, "")</f>
        <v/>
      </c>
      <c r="B868" t="s">
        <v>476</v>
      </c>
      <c r="C868" t="str">
        <f ca="1">INDIRECT($F$741 &amp; ADDRESS(B867, 1,4  ))</f>
        <v>Appraisal</v>
      </c>
      <c r="D868" t="str">
        <f>ADDRESS(B867, 3,4  )</f>
        <v>C71</v>
      </c>
      <c r="E868">
        <f t="shared" ca="1" si="211"/>
        <v>0</v>
      </c>
      <c r="F868" t="str">
        <f ca="1">CONCATENATE("Enter an 'Amount Last Provided to CHFA' value for '", C868, "' in cell ", D868, ".", CHAR(10))</f>
        <v xml:space="preserve">Enter an 'Amount Last Provided to CHFA' value for 'Appraisal' in cell C71.
</v>
      </c>
      <c r="G868" s="9" t="str">
        <f t="shared" ca="1" si="210"/>
        <v/>
      </c>
    </row>
    <row r="869" spans="1:7" ht="15" customHeight="1">
      <c r="A869" t="str">
        <f ca="1">IF(E869="",F869, "")</f>
        <v/>
      </c>
      <c r="B869" s="52">
        <f>B867+1</f>
        <v>72</v>
      </c>
      <c r="C869" t="str">
        <f ca="1">INDIRECT($F$741 &amp; ADDRESS(B869, 1,4  ))</f>
        <v>Cost Certification</v>
      </c>
      <c r="D869" t="str">
        <f>ADDRESS(B869, 2,4  )</f>
        <v>B72</v>
      </c>
      <c r="E869">
        <f t="shared" ca="1" si="211"/>
        <v>0</v>
      </c>
      <c r="F869" t="str">
        <f ca="1">CONCATENATE("Enter a value for '", C869, "' in cell ", D869, ".", CHAR(10))</f>
        <v xml:space="preserve">Enter a value for 'Cost Certification' in cell B72.
</v>
      </c>
      <c r="G869" s="9" t="str">
        <f t="shared" ca="1" si="210"/>
        <v/>
      </c>
    </row>
    <row r="870" spans="1:7" ht="15" customHeight="1">
      <c r="A870" t="str">
        <f ca="1">IF(AND(OR(Calculations!$B$3:$B$4), E870=""), F870, "")</f>
        <v/>
      </c>
      <c r="B870" t="s">
        <v>476</v>
      </c>
      <c r="C870" t="str">
        <f ca="1">INDIRECT($F$741 &amp; ADDRESS(B869, 1,4  ))</f>
        <v>Cost Certification</v>
      </c>
      <c r="D870" t="str">
        <f>ADDRESS(B869, 3,4  )</f>
        <v>C72</v>
      </c>
      <c r="E870">
        <f t="shared" ca="1" si="211"/>
        <v>0</v>
      </c>
      <c r="F870" t="str">
        <f ca="1">CONCATENATE("Enter an 'Amount Last Provided to CHFA' value for '", C870, "' in cell ", D870, ".", CHAR(10))</f>
        <v xml:space="preserve">Enter an 'Amount Last Provided to CHFA' value for 'Cost Certification' in cell C72.
</v>
      </c>
      <c r="G870" s="9" t="str">
        <f t="shared" ca="1" si="210"/>
        <v/>
      </c>
    </row>
    <row r="871" spans="1:7" ht="15" customHeight="1">
      <c r="A871" t="str">
        <f ca="1">IF(E871="",F871, "")</f>
        <v/>
      </c>
      <c r="B871" s="52">
        <f>B869+1</f>
        <v>73</v>
      </c>
      <c r="C871" t="str">
        <f ca="1">INDIRECT($F$741 &amp; ADDRESS(B871, 1,4  ))</f>
        <v>Other (Specify)</v>
      </c>
      <c r="D871" t="str">
        <f>ADDRESS(B871, 2,4  )</f>
        <v>B73</v>
      </c>
      <c r="E871">
        <f t="shared" ca="1" si="211"/>
        <v>0</v>
      </c>
      <c r="F871" t="str">
        <f ca="1">CONCATENATE("Enter a value for '", C871, "' in cell ", D871, ".", CHAR(10))</f>
        <v xml:space="preserve">Enter a value for 'Other (Specify)' in cell B73.
</v>
      </c>
      <c r="G871" s="9" t="str">
        <f t="shared" ca="1" si="210"/>
        <v/>
      </c>
    </row>
    <row r="872" spans="1:7" ht="15" customHeight="1">
      <c r="A872" t="str">
        <f ca="1">IF(AND(OR(Calculations!$B$3:$B$4), E872=""), F872, "")</f>
        <v/>
      </c>
      <c r="B872" t="s">
        <v>476</v>
      </c>
      <c r="C872" t="str">
        <f ca="1">INDIRECT($F$741 &amp; ADDRESS(B871, 1,4  ))</f>
        <v>Other (Specify)</v>
      </c>
      <c r="D872" t="str">
        <f>ADDRESS(B871, 3,4  )</f>
        <v>C73</v>
      </c>
      <c r="E872">
        <f t="shared" ca="1" si="211"/>
        <v>0</v>
      </c>
      <c r="F872" t="str">
        <f ca="1">CONCATENATE("Enter an 'Amount Last Provided to CHFA' value for '", C872, "' in cell ", D872, ".", CHAR(10))</f>
        <v xml:space="preserve">Enter an 'Amount Last Provided to CHFA' value for 'Other (Specify)' in cell C73.
</v>
      </c>
      <c r="G872" s="9" t="str">
        <f t="shared" ca="1" si="210"/>
        <v/>
      </c>
    </row>
    <row r="873" spans="1:7" ht="15" customHeight="1">
      <c r="A873" t="str">
        <f ca="1">IF(AND(E873, SUM(E871:E872) &gt; 0), F873, "")</f>
        <v/>
      </c>
      <c r="C873" t="str">
        <f ca="1">INDIRECT($F$741 &amp; ADDRESS(B871, 1,4  ))</f>
        <v>Other (Specify)</v>
      </c>
      <c r="D873" t="str">
        <f>ADDRESS(B871, 1,4  )</f>
        <v>A73</v>
      </c>
      <c r="E873" t="b">
        <f ca="1">INDIRECT($F$741 &amp; D873)="Other (specify)"</f>
        <v>1</v>
      </c>
      <c r="F873" t="str">
        <f ca="1">CONCATENATE("Please specify value for '", C873, "' in cell ", D873, ".", CHAR(10))</f>
        <v xml:space="preserve">Please specify value for 'Other (Specify)' in cell A73.
</v>
      </c>
      <c r="G873" s="9" t="str">
        <f t="shared" ca="1" si="210"/>
        <v/>
      </c>
    </row>
    <row r="874" spans="1:7" ht="15" customHeight="1">
      <c r="A874" t="str">
        <f ca="1">IF(E874="",F874, "")</f>
        <v/>
      </c>
      <c r="B874" s="52">
        <f>B871+1</f>
        <v>74</v>
      </c>
      <c r="C874" t="str">
        <f ca="1">INDIRECT($F$741 &amp; ADDRESS(B874, 1,4  ))</f>
        <v>Other (Specify)</v>
      </c>
      <c r="D874" t="str">
        <f>ADDRESS(B874, 2,4  )</f>
        <v>B74</v>
      </c>
      <c r="E874">
        <f t="shared" ca="1" si="211"/>
        <v>0</v>
      </c>
      <c r="F874" t="str">
        <f ca="1">CONCATENATE("Enter a value for '", C874, "' in cell ", D874, ".", CHAR(10))</f>
        <v xml:space="preserve">Enter a value for 'Other (Specify)' in cell B74.
</v>
      </c>
      <c r="G874" s="9" t="str">
        <f t="shared" ref="G874:G905" ca="1" si="212">OFFSET(G874, -1, 0) &amp; A874</f>
        <v/>
      </c>
    </row>
    <row r="875" spans="1:7" ht="15" customHeight="1">
      <c r="A875" t="str">
        <f ca="1">IF(AND(OR(Calculations!$B$3:$B$4), E875=""), F875, "")</f>
        <v/>
      </c>
      <c r="B875" t="s">
        <v>476</v>
      </c>
      <c r="C875" t="str">
        <f ca="1">INDIRECT($F$741 &amp; ADDRESS(B874, 1,4  ))</f>
        <v>Other (Specify)</v>
      </c>
      <c r="D875" t="str">
        <f>ADDRESS(B874, 3,4  )</f>
        <v>C74</v>
      </c>
      <c r="E875">
        <f t="shared" ca="1" si="211"/>
        <v>0</v>
      </c>
      <c r="F875" t="str">
        <f ca="1">CONCATENATE("Enter an 'Amount Last Provided to CHFA' value for '", C875, "' in cell ", D875, ".", CHAR(10))</f>
        <v xml:space="preserve">Enter an 'Amount Last Provided to CHFA' value for 'Other (Specify)' in cell C74.
</v>
      </c>
      <c r="G875" s="9" t="str">
        <f t="shared" ca="1" si="212"/>
        <v/>
      </c>
    </row>
    <row r="876" spans="1:7" ht="15" customHeight="1">
      <c r="A876" t="str">
        <f ca="1">IF(AND(E876, SUM(E874:E875) &gt; 0), F876, "")</f>
        <v/>
      </c>
      <c r="C876" t="str">
        <f ca="1">INDIRECT($F$741 &amp; ADDRESS(B874, 1,4  ))</f>
        <v>Other (Specify)</v>
      </c>
      <c r="D876" t="str">
        <f>ADDRESS(B874, 1,4  )</f>
        <v>A74</v>
      </c>
      <c r="E876" t="b">
        <f ca="1">INDIRECT($F$741 &amp; D876)="Other (specify)"</f>
        <v>1</v>
      </c>
      <c r="F876" t="str">
        <f ca="1">CONCATENATE("Please specify value for '", C876, "' in cell ", D876, ".", CHAR(10))</f>
        <v xml:space="preserve">Please specify value for 'Other (Specify)' in cell A74.
</v>
      </c>
      <c r="G876" s="9" t="str">
        <f t="shared" ca="1" si="212"/>
        <v/>
      </c>
    </row>
    <row r="877" spans="1:7" ht="15" customHeight="1">
      <c r="A877" t="str">
        <f ca="1">IF(E877="",F877, "")</f>
        <v/>
      </c>
      <c r="B877" s="52">
        <f>B874+1</f>
        <v>75</v>
      </c>
      <c r="C877" t="str">
        <f ca="1">INDIRECT($F$741 &amp; ADDRESS(B877, 1,4  ))</f>
        <v>Other (Specify)</v>
      </c>
      <c r="D877" t="str">
        <f>ADDRESS(B877, 2,4  )</f>
        <v>B75</v>
      </c>
      <c r="E877">
        <f ca="1">IF(ISBLANK( INDIRECT($F$741 &amp; D877)),"", INDIRECT($F$741 &amp; D877))</f>
        <v>0</v>
      </c>
      <c r="F877" t="str">
        <f ca="1">CONCATENATE("Enter a value for '", C877, "' in cell ", D877, ".", CHAR(10))</f>
        <v xml:space="preserve">Enter a value for 'Other (Specify)' in cell B75.
</v>
      </c>
      <c r="G877" s="9" t="str">
        <f t="shared" ca="1" si="212"/>
        <v/>
      </c>
    </row>
    <row r="878" spans="1:7" ht="15" customHeight="1">
      <c r="A878" t="str">
        <f ca="1">IF(AND(OR(Calculations!$B$3:$B$4), E878=""), F878, "")</f>
        <v/>
      </c>
      <c r="B878" t="s">
        <v>476</v>
      </c>
      <c r="C878" t="str">
        <f ca="1">INDIRECT($F$741 &amp; ADDRESS(B877, 1,4  ))</f>
        <v>Other (Specify)</v>
      </c>
      <c r="D878" t="str">
        <f>ADDRESS(B877, 3,4  )</f>
        <v>C75</v>
      </c>
      <c r="E878">
        <f ca="1">IF(ISBLANK( INDIRECT($F$741 &amp; D878)),"", INDIRECT($F$741 &amp; D878))</f>
        <v>0</v>
      </c>
      <c r="F878" t="str">
        <f ca="1">CONCATENATE("Enter an 'Amount Last Provided to CHFA' value for '", C878, "' in cell ", D878, ".", CHAR(10))</f>
        <v xml:space="preserve">Enter an 'Amount Last Provided to CHFA' value for 'Other (Specify)' in cell C75.
</v>
      </c>
      <c r="G878" s="9" t="str">
        <f t="shared" ca="1" si="212"/>
        <v/>
      </c>
    </row>
    <row r="879" spans="1:7" ht="15" customHeight="1">
      <c r="A879" t="str">
        <f ca="1">IF(AND(E879, SUM(E877:E878) &gt; 0), F879, "")</f>
        <v/>
      </c>
      <c r="C879" t="str">
        <f ca="1">INDIRECT($F$741 &amp; ADDRESS(B877, 1,4  ))</f>
        <v>Other (Specify)</v>
      </c>
      <c r="D879" t="str">
        <f>ADDRESS(B877, 1,4  )</f>
        <v>A75</v>
      </c>
      <c r="E879" t="b">
        <f ca="1">INDIRECT($F$741 &amp; D879)="Other (specify)"</f>
        <v>1</v>
      </c>
      <c r="F879" t="str">
        <f ca="1">CONCATENATE("Please specify value for '", C879, "' in cell ", D879, ".", CHAR(10))</f>
        <v xml:space="preserve">Please specify value for 'Other (Specify)' in cell A75.
</v>
      </c>
      <c r="G879" s="9" t="str">
        <f t="shared" ca="1" si="212"/>
        <v/>
      </c>
    </row>
    <row r="880" spans="1:7" ht="15" customHeight="1">
      <c r="A880" t="str">
        <f ca="1">IF(E880="",F880, "")</f>
        <v/>
      </c>
      <c r="B880">
        <f>ROW('Commercial Budget'!A78)</f>
        <v>78</v>
      </c>
      <c r="C880" t="str">
        <f ca="1">INDIRECT($F$741 &amp; ADDRESS(B880, 1,4  ))</f>
        <v>Organization Costs</v>
      </c>
      <c r="D880" t="str">
        <f>ADDRESS(B880, 2,4  )</f>
        <v>B78</v>
      </c>
      <c r="E880">
        <f t="shared" ref="E880:E887" ca="1" si="213">IF(ISBLANK( INDIRECT($F$741 &amp; D880)),"", INDIRECT($F$741 &amp; D880))</f>
        <v>0</v>
      </c>
      <c r="F880" t="str">
        <f ca="1">CONCATENATE("Enter a value for '", C880, "' in cell ", D880, ".", CHAR(10))</f>
        <v xml:space="preserve">Enter a value for 'Organization Costs' in cell B78.
</v>
      </c>
      <c r="G880" s="9" t="str">
        <f t="shared" ca="1" si="212"/>
        <v/>
      </c>
    </row>
    <row r="881" spans="1:7" ht="15" customHeight="1">
      <c r="A881" t="str">
        <f ca="1">IF(AND(OR(Calculations!$B$3:$B$4), E881=""), F881, "")</f>
        <v/>
      </c>
      <c r="B881" t="s">
        <v>476</v>
      </c>
      <c r="C881" t="str">
        <f ca="1">INDIRECT($F$741 &amp; ADDRESS(B880, 1,4  ))</f>
        <v>Organization Costs</v>
      </c>
      <c r="D881" t="str">
        <f>ADDRESS(B880, 3,4  )</f>
        <v>C78</v>
      </c>
      <c r="E881">
        <f t="shared" ca="1" si="213"/>
        <v>0</v>
      </c>
      <c r="F881" t="str">
        <f ca="1">CONCATENATE("Enter an 'Amount Last Provided to CHFA' value for '", C881, "' in cell ", D881, ".", CHAR(10))</f>
        <v xml:space="preserve">Enter an 'Amount Last Provided to CHFA' value for 'Organization Costs' in cell C78.
</v>
      </c>
      <c r="G881" s="9" t="str">
        <f t="shared" ca="1" si="212"/>
        <v/>
      </c>
    </row>
    <row r="882" spans="1:7" ht="15" customHeight="1">
      <c r="A882" t="str">
        <f ca="1">IF(E882="",F882, "")</f>
        <v/>
      </c>
      <c r="B882" s="52">
        <f>B880+1</f>
        <v>79</v>
      </c>
      <c r="C882" t="str">
        <f ca="1">INDIRECT($F$741 &amp; ADDRESS(B882, 1,4  ))</f>
        <v>Bridge Loan</v>
      </c>
      <c r="D882" t="str">
        <f>ADDRESS(B882, 2,4  )</f>
        <v>B79</v>
      </c>
      <c r="E882">
        <f t="shared" ca="1" si="213"/>
        <v>0</v>
      </c>
      <c r="F882" t="str">
        <f ca="1">CONCATENATE("Enter a value for '", C882, "' in cell ", D882, ".", CHAR(10))</f>
        <v xml:space="preserve">Enter a value for 'Bridge Loan' in cell B79.
</v>
      </c>
      <c r="G882" s="9" t="str">
        <f t="shared" ca="1" si="212"/>
        <v/>
      </c>
    </row>
    <row r="883" spans="1:7" ht="15" customHeight="1">
      <c r="A883" t="str">
        <f ca="1">IF(AND(OR(Calculations!$B$3:$B$4), E883=""), F883, "")</f>
        <v/>
      </c>
      <c r="B883" t="s">
        <v>476</v>
      </c>
      <c r="C883" t="str">
        <f ca="1">INDIRECT($F$741 &amp; ADDRESS(B882, 1,4  ))</f>
        <v>Bridge Loan</v>
      </c>
      <c r="D883" t="str">
        <f>ADDRESS(B882, 3,4  )</f>
        <v>C79</v>
      </c>
      <c r="E883">
        <f t="shared" ca="1" si="213"/>
        <v>0</v>
      </c>
      <c r="F883" t="str">
        <f ca="1">CONCATENATE("Enter an 'Amount Last Provided to CHFA' value for '", C883, "' in cell ", D883, ".", CHAR(10))</f>
        <v xml:space="preserve">Enter an 'Amount Last Provided to CHFA' value for 'Bridge Loan' in cell C79.
</v>
      </c>
      <c r="G883" s="9" t="str">
        <f t="shared" ca="1" si="212"/>
        <v/>
      </c>
    </row>
    <row r="884" spans="1:7" ht="15" customHeight="1">
      <c r="A884" t="str">
        <f ca="1">IF(E884="",F884, "")</f>
        <v/>
      </c>
      <c r="B884" s="52">
        <f>B882+1</f>
        <v>80</v>
      </c>
      <c r="C884" t="str">
        <f ca="1">INDIRECT($F$741 &amp; ADDRESS(B884, 1,4  ))</f>
        <v>Tax Opinion</v>
      </c>
      <c r="D884" t="str">
        <f>ADDRESS(B884, 2,4  )</f>
        <v>B80</v>
      </c>
      <c r="E884">
        <f t="shared" ca="1" si="213"/>
        <v>0</v>
      </c>
      <c r="F884" t="str">
        <f ca="1">CONCATENATE("Enter a value for '", C884, "' in cell ", D884, ".", CHAR(10))</f>
        <v xml:space="preserve">Enter a value for 'Tax Opinion' in cell B80.
</v>
      </c>
      <c r="G884" s="9" t="str">
        <f t="shared" ca="1" si="212"/>
        <v/>
      </c>
    </row>
    <row r="885" spans="1:7" ht="15" customHeight="1">
      <c r="A885" t="str">
        <f ca="1">IF(AND(OR(Calculations!$B$3:$B$4), E885=""), F885, "")</f>
        <v/>
      </c>
      <c r="B885" t="s">
        <v>476</v>
      </c>
      <c r="C885" t="str">
        <f ca="1">INDIRECT($F$741 &amp; ADDRESS(B884, 1,4  ))</f>
        <v>Tax Opinion</v>
      </c>
      <c r="D885" t="str">
        <f>ADDRESS(B884, 3,4  )</f>
        <v>C80</v>
      </c>
      <c r="E885">
        <f t="shared" ca="1" si="213"/>
        <v>0</v>
      </c>
      <c r="F885" t="str">
        <f ca="1">CONCATENATE("Enter an 'Amount Last Provided to CHFA' value for '", C885, "' in cell ", D885, ".", CHAR(10))</f>
        <v xml:space="preserve">Enter an 'Amount Last Provided to CHFA' value for 'Tax Opinion' in cell C80.
</v>
      </c>
      <c r="G885" s="9" t="str">
        <f t="shared" ca="1" si="212"/>
        <v/>
      </c>
    </row>
    <row r="886" spans="1:7" ht="15" customHeight="1">
      <c r="A886" t="str">
        <f ca="1">IF(E886="",F886, "")</f>
        <v/>
      </c>
      <c r="B886" s="52">
        <f>B884+1</f>
        <v>81</v>
      </c>
      <c r="C886" t="str">
        <f ca="1">INDIRECT($F$741 &amp; ADDRESS(B886, 1,4  ))</f>
        <v>Other (Specify)</v>
      </c>
      <c r="D886" t="str">
        <f>ADDRESS(B886, 2,4  )</f>
        <v>B81</v>
      </c>
      <c r="E886">
        <f t="shared" ca="1" si="213"/>
        <v>0</v>
      </c>
      <c r="F886" t="str">
        <f ca="1">CONCATENATE("Enter a value for '", C886, "' in cell ", D886, ".", CHAR(10))</f>
        <v xml:space="preserve">Enter a value for 'Other (Specify)' in cell B81.
</v>
      </c>
      <c r="G886" s="9" t="str">
        <f t="shared" ca="1" si="212"/>
        <v/>
      </c>
    </row>
    <row r="887" spans="1:7" ht="15" customHeight="1">
      <c r="A887" t="str">
        <f ca="1">IF(AND(OR(Calculations!$B$3:$B$4), E887=""), F887, "")</f>
        <v/>
      </c>
      <c r="B887" t="s">
        <v>476</v>
      </c>
      <c r="C887" t="str">
        <f ca="1">INDIRECT($F$741 &amp; ADDRESS(B886, 1,4  ))</f>
        <v>Other (Specify)</v>
      </c>
      <c r="D887" t="str">
        <f>ADDRESS(B886, 3,4  )</f>
        <v>C81</v>
      </c>
      <c r="E887">
        <f t="shared" ca="1" si="213"/>
        <v>0</v>
      </c>
      <c r="F887" t="str">
        <f ca="1">CONCATENATE("Enter an 'Amount Last Provided to CHFA' value for '", C887, "' in cell ", D887, ".", CHAR(10))</f>
        <v xml:space="preserve">Enter an 'Amount Last Provided to CHFA' value for 'Other (Specify)' in cell C81.
</v>
      </c>
      <c r="G887" s="9" t="str">
        <f t="shared" ca="1" si="212"/>
        <v/>
      </c>
    </row>
    <row r="888" spans="1:7" ht="15" customHeight="1">
      <c r="A888" t="str">
        <f ca="1">IF(AND(E888, SUM(E886:E887) &gt; 0), F888, "")</f>
        <v/>
      </c>
      <c r="C888" t="str">
        <f ca="1">INDIRECT($F$741 &amp; ADDRESS(B886, 1,4  ))</f>
        <v>Other (Specify)</v>
      </c>
      <c r="D888" t="str">
        <f>ADDRESS(B886, 1,4  )</f>
        <v>A81</v>
      </c>
      <c r="E888" t="b">
        <f ca="1">INDIRECT($F$741 &amp; D888)="Other (specify)"</f>
        <v>1</v>
      </c>
      <c r="F888" t="str">
        <f ca="1">CONCATENATE("Please specify value for '", C888, "' in cell ", D888, ".", CHAR(10))</f>
        <v xml:space="preserve">Please specify value for 'Other (Specify)' in cell A81.
</v>
      </c>
      <c r="G888" s="9" t="str">
        <f t="shared" ca="1" si="212"/>
        <v/>
      </c>
    </row>
    <row r="889" spans="1:7" ht="15" customHeight="1">
      <c r="A889" t="str">
        <f ca="1">IF(E889="",F889, "")</f>
        <v/>
      </c>
      <c r="B889" s="52">
        <f>B886+1</f>
        <v>82</v>
      </c>
      <c r="C889" t="str">
        <f ca="1">INDIRECT($F$741 &amp; ADDRESS(B889, 1,4  ))</f>
        <v>Other (Specify)</v>
      </c>
      <c r="D889" t="str">
        <f>ADDRESS(B889, 2,4  )</f>
        <v>B82</v>
      </c>
      <c r="E889">
        <f ca="1">IF(ISBLANK( INDIRECT($F$741 &amp; D889)),"", INDIRECT($F$741 &amp; D889))</f>
        <v>0</v>
      </c>
      <c r="F889" t="str">
        <f ca="1">CONCATENATE("Enter a value for '", C889, "' in cell ", D889, ".", CHAR(10))</f>
        <v xml:space="preserve">Enter a value for 'Other (Specify)' in cell B82.
</v>
      </c>
      <c r="G889" s="9" t="str">
        <f t="shared" ca="1" si="212"/>
        <v/>
      </c>
    </row>
    <row r="890" spans="1:7" ht="15" customHeight="1">
      <c r="A890" t="str">
        <f ca="1">IF(AND(OR(Calculations!$B$3:$B$4), E890=""), F890, "")</f>
        <v/>
      </c>
      <c r="B890" t="s">
        <v>476</v>
      </c>
      <c r="C890" t="str">
        <f ca="1">INDIRECT($F$741 &amp; ADDRESS(B889, 1,4  ))</f>
        <v>Other (Specify)</v>
      </c>
      <c r="D890" t="str">
        <f>ADDRESS(B889, 3,4  )</f>
        <v>C82</v>
      </c>
      <c r="E890">
        <f ca="1">IF(ISBLANK( INDIRECT($F$741 &amp; D890)),"", INDIRECT($F$741 &amp; D890))</f>
        <v>0</v>
      </c>
      <c r="F890" t="str">
        <f ca="1">CONCATENATE("Enter an 'Amount Last Provided to CHFA' value for '", C890, "' in cell ", D890, ".", CHAR(10))</f>
        <v xml:space="preserve">Enter an 'Amount Last Provided to CHFA' value for 'Other (Specify)' in cell C82.
</v>
      </c>
      <c r="G890" s="9" t="str">
        <f t="shared" ca="1" si="212"/>
        <v/>
      </c>
    </row>
    <row r="891" spans="1:7" ht="15" customHeight="1">
      <c r="A891" t="str">
        <f ca="1">IF(AND(E891, SUM(E889:E890) &gt; 0), F891, "")</f>
        <v/>
      </c>
      <c r="C891" t="str">
        <f ca="1">INDIRECT($F$741 &amp; ADDRESS(B889, 1,4  ))</f>
        <v>Other (Specify)</v>
      </c>
      <c r="D891" t="str">
        <f>ADDRESS(B889, 1,4  )</f>
        <v>A82</v>
      </c>
      <c r="E891" t="b">
        <f ca="1">INDIRECT($F$741 &amp; D891)="Other (specify)"</f>
        <v>1</v>
      </c>
      <c r="F891" t="str">
        <f ca="1">CONCATENATE("Please specify value for '", C891, "' in cell ", D891, ".", CHAR(10))</f>
        <v xml:space="preserve">Please specify value for 'Other (Specify)' in cell A82.
</v>
      </c>
      <c r="G891" s="9" t="str">
        <f t="shared" ca="1" si="212"/>
        <v/>
      </c>
    </row>
    <row r="892" spans="1:7" ht="15" customHeight="1">
      <c r="A892" t="str">
        <f ca="1">IF(E892="",F892, "")</f>
        <v/>
      </c>
      <c r="B892" s="52">
        <f>B889+1</f>
        <v>83</v>
      </c>
      <c r="C892" t="str">
        <f ca="1">INDIRECT($F$741 &amp; ADDRESS(B892, 1,4  ))</f>
        <v>Other - Accounting</v>
      </c>
      <c r="D892" t="str">
        <f>ADDRESS(B892, 2,4  )</f>
        <v>B83</v>
      </c>
      <c r="E892">
        <f t="shared" ref="E892:E901" ca="1" si="214">IF(ISBLANK( INDIRECT($F$741 &amp; D892)),"", INDIRECT($F$741 &amp; D892))</f>
        <v>0</v>
      </c>
      <c r="F892" t="str">
        <f ca="1">CONCATENATE("Enter a value for '", C892, "' in cell ", D892, ".", CHAR(10))</f>
        <v xml:space="preserve">Enter a value for 'Other - Accounting' in cell B83.
</v>
      </c>
      <c r="G892" s="9" t="str">
        <f t="shared" ca="1" si="212"/>
        <v/>
      </c>
    </row>
    <row r="893" spans="1:7" ht="15" customHeight="1">
      <c r="A893" t="str">
        <f ca="1">IF(AND(OR(Calculations!$B$3:$B$4), E893=""), F893, "")</f>
        <v/>
      </c>
      <c r="B893" t="s">
        <v>476</v>
      </c>
      <c r="C893" t="str">
        <f ca="1">INDIRECT($F$741 &amp; ADDRESS(B892, 1,4  ))</f>
        <v>Other - Accounting</v>
      </c>
      <c r="D893" t="str">
        <f>ADDRESS(B892, 3,4  )</f>
        <v>C83</v>
      </c>
      <c r="E893">
        <f t="shared" ca="1" si="214"/>
        <v>0</v>
      </c>
      <c r="F893" t="str">
        <f ca="1">CONCATENATE("Enter an 'Amount Last Provided to CHFA' value for '", C893, "' in cell ", D893, ".", CHAR(10))</f>
        <v xml:space="preserve">Enter an 'Amount Last Provided to CHFA' value for 'Other - Accounting' in cell C83.
</v>
      </c>
      <c r="G893" s="9" t="str">
        <f t="shared" ca="1" si="212"/>
        <v/>
      </c>
    </row>
    <row r="894" spans="1:7" ht="15" customHeight="1">
      <c r="A894" t="str">
        <f ca="1">IF(E894="",F894, "")</f>
        <v/>
      </c>
      <c r="B894">
        <f>ROW('Commercial Budget'!A86)</f>
        <v>86</v>
      </c>
      <c r="C894" t="str">
        <f ca="1">INDIRECT($F$741 &amp; ADDRESS(B894, 1,4  ))</f>
        <v>Developer Fee</v>
      </c>
      <c r="D894" t="str">
        <f>ADDRESS(B894, 2,4  )</f>
        <v>B86</v>
      </c>
      <c r="E894">
        <f t="shared" ca="1" si="214"/>
        <v>0</v>
      </c>
      <c r="F894" t="str">
        <f ca="1">CONCATENATE("Enter a value for '", C894, "' in cell ", D894, ".", CHAR(10))</f>
        <v xml:space="preserve">Enter a value for 'Developer Fee' in cell B86.
</v>
      </c>
      <c r="G894" s="9" t="str">
        <f t="shared" ca="1" si="212"/>
        <v/>
      </c>
    </row>
    <row r="895" spans="1:7" ht="15" customHeight="1">
      <c r="A895" t="str">
        <f ca="1">IF(AND(OR(Calculations!$B$3:$B$4), E895=""), F895, "")</f>
        <v/>
      </c>
      <c r="B895" t="s">
        <v>476</v>
      </c>
      <c r="C895" t="str">
        <f ca="1">INDIRECT($F$741 &amp; ADDRESS(B894, 1,4  ))</f>
        <v>Developer Fee</v>
      </c>
      <c r="D895" t="str">
        <f>ADDRESS(B894, 3,4  )</f>
        <v>C86</v>
      </c>
      <c r="E895">
        <f t="shared" ca="1" si="214"/>
        <v>0</v>
      </c>
      <c r="F895" t="str">
        <f ca="1">CONCATENATE("Enter an 'Amount Last Provided to CHFA' value for '", C895, "' in cell ", D895, ".", CHAR(10))</f>
        <v xml:space="preserve">Enter an 'Amount Last Provided to CHFA' value for 'Developer Fee' in cell C86.
</v>
      </c>
      <c r="G895" s="9" t="str">
        <f t="shared" ca="1" si="212"/>
        <v/>
      </c>
    </row>
    <row r="896" spans="1:7" ht="15" customHeight="1">
      <c r="A896" t="str">
        <f ca="1">IF(E896="",F896, "")</f>
        <v/>
      </c>
      <c r="B896" s="52">
        <f>B894+1</f>
        <v>87</v>
      </c>
      <c r="C896" t="str">
        <f ca="1">INDIRECT($F$741 &amp; ADDRESS(B896, 1,4  ))</f>
        <v>Developer Overhead</v>
      </c>
      <c r="D896" t="str">
        <f>ADDRESS(B896, 2,4  )</f>
        <v>B87</v>
      </c>
      <c r="E896">
        <f t="shared" ca="1" si="214"/>
        <v>0</v>
      </c>
      <c r="F896" t="str">
        <f ca="1">CONCATENATE("Enter a value for '", C896, "' in cell ", D896, ".", CHAR(10))</f>
        <v xml:space="preserve">Enter a value for 'Developer Overhead' in cell B87.
</v>
      </c>
      <c r="G896" s="9" t="str">
        <f t="shared" ca="1" si="212"/>
        <v/>
      </c>
    </row>
    <row r="897" spans="1:7" ht="15" customHeight="1">
      <c r="A897" t="str">
        <f ca="1">IF(AND(OR(Calculations!$B$3:$B$4), E897=""), F897, "")</f>
        <v/>
      </c>
      <c r="B897" t="s">
        <v>476</v>
      </c>
      <c r="C897" t="str">
        <f ca="1">INDIRECT($F$741 &amp; ADDRESS(B896, 1,4  ))</f>
        <v>Developer Overhead</v>
      </c>
      <c r="D897" t="str">
        <f>ADDRESS(B896, 3,4  )</f>
        <v>C87</v>
      </c>
      <c r="E897">
        <f t="shared" ca="1" si="214"/>
        <v>0</v>
      </c>
      <c r="F897" t="str">
        <f ca="1">CONCATENATE("Enter an 'Amount Last Provided to CHFA' value for '", C897, "' in cell ", D897, ".", CHAR(10))</f>
        <v xml:space="preserve">Enter an 'Amount Last Provided to CHFA' value for 'Developer Overhead' in cell C87.
</v>
      </c>
      <c r="G897" s="9" t="str">
        <f t="shared" ca="1" si="212"/>
        <v/>
      </c>
    </row>
    <row r="898" spans="1:7" ht="15" customHeight="1">
      <c r="A898" t="str">
        <f ca="1">IF(E898="",F898, "")</f>
        <v/>
      </c>
      <c r="B898" s="52">
        <f>B896+1</f>
        <v>88</v>
      </c>
      <c r="C898" t="str">
        <f ca="1">INDIRECT($F$741 &amp; ADDRESS(B898, 1,4  ))</f>
        <v>Developer Profit</v>
      </c>
      <c r="D898" t="str">
        <f>ADDRESS(B898, 2,4  )</f>
        <v>B88</v>
      </c>
      <c r="E898">
        <f t="shared" ca="1" si="214"/>
        <v>0</v>
      </c>
      <c r="F898" t="str">
        <f ca="1">CONCATENATE("Enter a value for '", C898, "' in cell ", D898, ".", CHAR(10))</f>
        <v xml:space="preserve">Enter a value for 'Developer Profit' in cell B88.
</v>
      </c>
      <c r="G898" s="9" t="str">
        <f t="shared" ca="1" si="212"/>
        <v/>
      </c>
    </row>
    <row r="899" spans="1:7" ht="15" customHeight="1">
      <c r="A899" t="str">
        <f ca="1">IF(AND(OR(Calculations!$B$3:$B$4), E899=""), F899, "")</f>
        <v/>
      </c>
      <c r="B899" t="s">
        <v>476</v>
      </c>
      <c r="C899" t="str">
        <f ca="1">INDIRECT($F$741 &amp; ADDRESS(B898, 1,4  ))</f>
        <v>Developer Profit</v>
      </c>
      <c r="D899" t="str">
        <f>ADDRESS(B898, 3,4  )</f>
        <v>C88</v>
      </c>
      <c r="E899">
        <f t="shared" ca="1" si="214"/>
        <v>0</v>
      </c>
      <c r="F899" t="str">
        <f ca="1">CONCATENATE("Enter an 'Amount Last Provided to CHFA' value for '", C899, "' in cell ", D899, ".", CHAR(10))</f>
        <v xml:space="preserve">Enter an 'Amount Last Provided to CHFA' value for 'Developer Profit' in cell C88.
</v>
      </c>
      <c r="G899" s="9" t="str">
        <f t="shared" ca="1" si="212"/>
        <v/>
      </c>
    </row>
    <row r="900" spans="1:7" ht="15" customHeight="1">
      <c r="A900" t="str">
        <f ca="1">IF(E900="",F900, "")</f>
        <v/>
      </c>
      <c r="B900" s="52">
        <f>B898+1</f>
        <v>89</v>
      </c>
      <c r="C900" t="str">
        <f ca="1">INDIRECT($F$741 &amp; ADDRESS(B900, 1,4  ))</f>
        <v>Other (Specify)</v>
      </c>
      <c r="D900" t="str">
        <f>ADDRESS(B900, 2,4  )</f>
        <v>B89</v>
      </c>
      <c r="E900">
        <f t="shared" ca="1" si="214"/>
        <v>0</v>
      </c>
      <c r="F900" t="str">
        <f ca="1">CONCATENATE("Enter a value for '", C900, "' in cell ", D900, ".", CHAR(10))</f>
        <v xml:space="preserve">Enter a value for 'Other (Specify)' in cell B89.
</v>
      </c>
      <c r="G900" s="9" t="str">
        <f t="shared" ca="1" si="212"/>
        <v/>
      </c>
    </row>
    <row r="901" spans="1:7" ht="15" customHeight="1">
      <c r="A901" t="str">
        <f ca="1">IF(AND(OR(Calculations!$B$3:$B$4), E901=""), F901, "")</f>
        <v/>
      </c>
      <c r="B901" t="s">
        <v>476</v>
      </c>
      <c r="C901" t="str">
        <f ca="1">INDIRECT($F$741 &amp; ADDRESS(B900, 1,4  ))</f>
        <v>Other (Specify)</v>
      </c>
      <c r="D901" t="str">
        <f>ADDRESS(B900, 3,4  )</f>
        <v>C89</v>
      </c>
      <c r="E901">
        <f t="shared" ca="1" si="214"/>
        <v>0</v>
      </c>
      <c r="F901" t="str">
        <f ca="1">CONCATENATE("Enter an 'Amount Last Provided to CHFA' value for '", C901, "' in cell ", D901, ".", CHAR(10))</f>
        <v xml:space="preserve">Enter an 'Amount Last Provided to CHFA' value for 'Other (Specify)' in cell C89.
</v>
      </c>
      <c r="G901" s="9" t="str">
        <f t="shared" ca="1" si="212"/>
        <v/>
      </c>
    </row>
    <row r="902" spans="1:7" ht="15" customHeight="1">
      <c r="A902" t="str">
        <f ca="1">IF(AND(E902, SUM(E900:E901) &gt; 0), F902, "")</f>
        <v/>
      </c>
      <c r="C902" t="str">
        <f ca="1">INDIRECT($F$741 &amp; ADDRESS(B900, 1,4  ))</f>
        <v>Other (Specify)</v>
      </c>
      <c r="D902" t="str">
        <f>ADDRESS(B900, 1,4  )</f>
        <v>A89</v>
      </c>
      <c r="E902" t="b">
        <f ca="1">INDIRECT($F$741 &amp; D902)="Other (specify)"</f>
        <v>1</v>
      </c>
      <c r="F902" t="str">
        <f ca="1">CONCATENATE("Please specify value for '", C902, "' in cell ", D902, ".", CHAR(10))</f>
        <v xml:space="preserve">Please specify value for 'Other (Specify)' in cell A89.
</v>
      </c>
      <c r="G902" s="9" t="str">
        <f t="shared" ca="1" si="212"/>
        <v/>
      </c>
    </row>
    <row r="903" spans="1:7" ht="15" customHeight="1">
      <c r="A903" t="str">
        <f ca="1">IF(E903="",F903, "")</f>
        <v/>
      </c>
      <c r="B903">
        <f>ROW('Commercial Budget'!A92)</f>
        <v>92</v>
      </c>
      <c r="C903" t="str">
        <f ca="1">INDIRECT($F$741 &amp; ADDRESS(B903, 1,4  ))</f>
        <v>Rent-up Reserves</v>
      </c>
      <c r="D903" t="str">
        <f>ADDRESS(B903, 2,4  )</f>
        <v>B92</v>
      </c>
      <c r="E903">
        <f t="shared" ref="E903:E912" ca="1" si="215">IF(ISBLANK( INDIRECT($F$741 &amp; D903)),"", INDIRECT($F$741 &amp; D903))</f>
        <v>0</v>
      </c>
      <c r="F903" t="str">
        <f ca="1">CONCATENATE("Enter a value for '", C903, "' in cell ", D903, ".", CHAR(10))</f>
        <v xml:space="preserve">Enter a value for 'Rent-up Reserves' in cell B92.
</v>
      </c>
      <c r="G903" s="9" t="str">
        <f t="shared" ca="1" si="212"/>
        <v/>
      </c>
    </row>
    <row r="904" spans="1:7" ht="15" customHeight="1">
      <c r="A904" t="str">
        <f ca="1">IF(AND(OR(Calculations!$B$3:$B$4), E904=""), F904, "")</f>
        <v/>
      </c>
      <c r="B904" t="s">
        <v>476</v>
      </c>
      <c r="C904" t="str">
        <f ca="1">INDIRECT($F$741 &amp; ADDRESS(B903, 1,4  ))</f>
        <v>Rent-up Reserves</v>
      </c>
      <c r="D904" t="str">
        <f>ADDRESS(B903, 3,4  )</f>
        <v>C92</v>
      </c>
      <c r="E904">
        <f t="shared" ca="1" si="215"/>
        <v>0</v>
      </c>
      <c r="F904" t="str">
        <f ca="1">CONCATENATE("Enter an 'Amount Last Provided to CHFA' value for '", C904, "' in cell ", D904, ".", CHAR(10))</f>
        <v xml:space="preserve">Enter an 'Amount Last Provided to CHFA' value for 'Rent-up Reserves' in cell C92.
</v>
      </c>
      <c r="G904" s="9" t="str">
        <f t="shared" ca="1" si="212"/>
        <v/>
      </c>
    </row>
    <row r="905" spans="1:7" ht="15" customHeight="1">
      <c r="A905" t="str">
        <f ca="1">IF(E905="",F905, "")</f>
        <v/>
      </c>
      <c r="B905" s="52">
        <f>B903+1</f>
        <v>93</v>
      </c>
      <c r="C905" t="str">
        <f ca="1">INDIRECT($F$741 &amp; ADDRESS(B905, 1,4  ))</f>
        <v>Operating Reserves</v>
      </c>
      <c r="D905" t="str">
        <f>ADDRESS(B905, 2,4  )</f>
        <v>B93</v>
      </c>
      <c r="E905">
        <f t="shared" ca="1" si="215"/>
        <v>0</v>
      </c>
      <c r="F905" t="str">
        <f ca="1">CONCATENATE("Enter a value for '", C905, "' in cell ", D905, ".", CHAR(10))</f>
        <v xml:space="preserve">Enter a value for 'Operating Reserves' in cell B93.
</v>
      </c>
      <c r="G905" s="9" t="str">
        <f t="shared" ca="1" si="212"/>
        <v/>
      </c>
    </row>
    <row r="906" spans="1:7" ht="15" customHeight="1">
      <c r="A906" t="str">
        <f ca="1">IF(AND(OR(Calculations!$B$3:$B$4), E906=""), F906, "")</f>
        <v/>
      </c>
      <c r="B906" t="s">
        <v>476</v>
      </c>
      <c r="C906" t="str">
        <f ca="1">INDIRECT($F$741 &amp; ADDRESS(B905, 1,4  ))</f>
        <v>Operating Reserves</v>
      </c>
      <c r="D906" t="str">
        <f>ADDRESS(B905, 3,4  )</f>
        <v>C93</v>
      </c>
      <c r="E906">
        <f t="shared" ca="1" si="215"/>
        <v>0</v>
      </c>
      <c r="F906" t="str">
        <f ca="1">CONCATENATE("Enter an 'Amount Last Provided to CHFA' value for '", C906, "' in cell ", D906, ".", CHAR(10))</f>
        <v xml:space="preserve">Enter an 'Amount Last Provided to CHFA' value for 'Operating Reserves' in cell C93.
</v>
      </c>
      <c r="G906" s="9" t="str">
        <f t="shared" ref="G906:G916" ca="1" si="216">OFFSET(G906, -1, 0) &amp; A906</f>
        <v/>
      </c>
    </row>
    <row r="907" spans="1:7" ht="15" customHeight="1">
      <c r="A907" t="str">
        <f ca="1">IF(E907="",F907, "")</f>
        <v/>
      </c>
      <c r="B907" s="52">
        <f>B905+1</f>
        <v>94</v>
      </c>
      <c r="C907" t="str">
        <f ca="1">INDIRECT($F$741 &amp; ADDRESS(B907, 1,4  ))</f>
        <v>Replacement Reserves</v>
      </c>
      <c r="D907" t="str">
        <f>ADDRESS(B907, 2,4  )</f>
        <v>B94</v>
      </c>
      <c r="E907">
        <f t="shared" ca="1" si="215"/>
        <v>0</v>
      </c>
      <c r="F907" t="str">
        <f ca="1">CONCATENATE("Enter a value for '", C907, "' in cell ", D907, ".", CHAR(10))</f>
        <v xml:space="preserve">Enter a value for 'Replacement Reserves' in cell B94.
</v>
      </c>
      <c r="G907" s="9" t="str">
        <f t="shared" ca="1" si="216"/>
        <v/>
      </c>
    </row>
    <row r="908" spans="1:7" ht="15" customHeight="1">
      <c r="A908" t="str">
        <f ca="1">IF(AND(OR(Calculations!$B$3:$B$4), E908=""), F908, "")</f>
        <v/>
      </c>
      <c r="B908" t="s">
        <v>476</v>
      </c>
      <c r="C908" t="str">
        <f ca="1">INDIRECT($F$741 &amp; ADDRESS(B907, 1,4  ))</f>
        <v>Replacement Reserves</v>
      </c>
      <c r="D908" t="str">
        <f>ADDRESS(B907, 3,4  )</f>
        <v>C94</v>
      </c>
      <c r="E908">
        <f t="shared" ca="1" si="215"/>
        <v>0</v>
      </c>
      <c r="F908" t="str">
        <f ca="1">CONCATENATE("Enter an 'Amount Last Provided to CHFA' value for '", C908, "' in cell ", D908, ".", CHAR(10))</f>
        <v xml:space="preserve">Enter an 'Amount Last Provided to CHFA' value for 'Replacement Reserves' in cell C94.
</v>
      </c>
      <c r="G908" s="9" t="str">
        <f t="shared" ca="1" si="216"/>
        <v/>
      </c>
    </row>
    <row r="909" spans="1:7" ht="15" customHeight="1">
      <c r="A909" t="str">
        <f ca="1">IF(E909="",F909, "")</f>
        <v/>
      </c>
      <c r="B909" s="52">
        <f>B907+1</f>
        <v>95</v>
      </c>
      <c r="C909" t="str">
        <f ca="1">INDIRECT($F$741 &amp; ADDRESS(B909, 1,4  ))</f>
        <v>Escrows</v>
      </c>
      <c r="D909" t="str">
        <f>ADDRESS(B909, 2,4  )</f>
        <v>B95</v>
      </c>
      <c r="E909">
        <f t="shared" ca="1" si="215"/>
        <v>0</v>
      </c>
      <c r="F909" t="str">
        <f ca="1">CONCATENATE("Enter a value for '", C909, "' in cell ", D909, ".", CHAR(10))</f>
        <v xml:space="preserve">Enter a value for 'Escrows' in cell B95.
</v>
      </c>
      <c r="G909" s="9" t="str">
        <f t="shared" ca="1" si="216"/>
        <v/>
      </c>
    </row>
    <row r="910" spans="1:7" ht="15" customHeight="1">
      <c r="A910" t="str">
        <f ca="1">IF(AND(OR(Calculations!$B$3:$B$4), E910=""), F910, "")</f>
        <v/>
      </c>
      <c r="B910" t="s">
        <v>476</v>
      </c>
      <c r="C910" t="str">
        <f ca="1">INDIRECT($F$741 &amp; ADDRESS(B909, 1,4  ))</f>
        <v>Escrows</v>
      </c>
      <c r="D910" t="str">
        <f>ADDRESS(B909, 3,4  )</f>
        <v>C95</v>
      </c>
      <c r="E910">
        <f t="shared" ca="1" si="215"/>
        <v>0</v>
      </c>
      <c r="F910" t="str">
        <f ca="1">CONCATENATE("Enter an 'Amount Last Provided to CHFA' value for '", C910, "' in cell ", D910, ".", CHAR(10))</f>
        <v xml:space="preserve">Enter an 'Amount Last Provided to CHFA' value for 'Escrows' in cell C95.
</v>
      </c>
      <c r="G910" s="9" t="str">
        <f t="shared" ca="1" si="216"/>
        <v/>
      </c>
    </row>
    <row r="911" spans="1:7" ht="15" customHeight="1">
      <c r="A911" t="str">
        <f ca="1">IF(E911="",F911, "")</f>
        <v/>
      </c>
      <c r="B911" s="52">
        <f>B909+1</f>
        <v>96</v>
      </c>
      <c r="C911" t="str">
        <f ca="1">INDIRECT($F$741 &amp; ADDRESS(B911, 1,4  ))</f>
        <v>Other (Specify)</v>
      </c>
      <c r="D911" t="str">
        <f>ADDRESS(B911, 2,4  )</f>
        <v>B96</v>
      </c>
      <c r="E911">
        <f t="shared" ca="1" si="215"/>
        <v>0</v>
      </c>
      <c r="F911" t="str">
        <f ca="1">CONCATENATE("Enter a value for '", C911, "' in cell ", D911, ".", CHAR(10))</f>
        <v xml:space="preserve">Enter a value for 'Other (Specify)' in cell B96.
</v>
      </c>
      <c r="G911" s="9" t="str">
        <f t="shared" ca="1" si="216"/>
        <v/>
      </c>
    </row>
    <row r="912" spans="1:7" ht="15" customHeight="1">
      <c r="A912" t="str">
        <f ca="1">IF(AND(OR(Calculations!$B$3:$B$4), E912=""), F912, "")</f>
        <v/>
      </c>
      <c r="B912" t="s">
        <v>476</v>
      </c>
      <c r="C912" t="str">
        <f ca="1">INDIRECT($F$741 &amp; ADDRESS(B911, 1,4  ))</f>
        <v>Other (Specify)</v>
      </c>
      <c r="D912" t="str">
        <f>ADDRESS(B911, 3,4  )</f>
        <v>C96</v>
      </c>
      <c r="E912">
        <f t="shared" ca="1" si="215"/>
        <v>0</v>
      </c>
      <c r="F912" t="str">
        <f ca="1">CONCATENATE("Enter an 'Amount Last Provided to CHFA' value for '", C912, "' in cell ", D912, ".", CHAR(10))</f>
        <v xml:space="preserve">Enter an 'Amount Last Provided to CHFA' value for 'Other (Specify)' in cell C96.
</v>
      </c>
      <c r="G912" s="9" t="str">
        <f t="shared" ca="1" si="216"/>
        <v/>
      </c>
    </row>
    <row r="913" spans="1:12" ht="15" customHeight="1">
      <c r="A913" t="str">
        <f ca="1">IF(AND(E913, SUM(E911:E912) &gt; 0), F913, "")</f>
        <v/>
      </c>
      <c r="C913" t="str">
        <f ca="1">INDIRECT($F$741 &amp; ADDRESS(B911, 1,4  ))</f>
        <v>Other (Specify)</v>
      </c>
      <c r="D913" t="str">
        <f>ADDRESS(B911, 1,4  )</f>
        <v>A96</v>
      </c>
      <c r="E913" t="b">
        <f ca="1">INDIRECT($F$741 &amp; D913)="Other (specify)"</f>
        <v>1</v>
      </c>
      <c r="F913" t="str">
        <f ca="1">CONCATENATE("Please specify value for '", C913, "' in cell ", D913, ".", CHAR(10))</f>
        <v xml:space="preserve">Please specify value for 'Other (Specify)' in cell A96.
</v>
      </c>
      <c r="G913" s="9" t="str">
        <f t="shared" ca="1" si="216"/>
        <v/>
      </c>
    </row>
    <row r="914" spans="1:12" ht="15" customHeight="1">
      <c r="G914" s="9" t="str">
        <f t="shared" ca="1" si="216"/>
        <v/>
      </c>
    </row>
    <row r="915" spans="1:12" ht="15" customHeight="1">
      <c r="G915" s="9" t="str">
        <f t="shared" ca="1" si="216"/>
        <v/>
      </c>
    </row>
    <row r="916" spans="1:12" ht="15" customHeight="1">
      <c r="G916" s="9" t="str">
        <f t="shared" ca="1" si="216"/>
        <v/>
      </c>
    </row>
    <row r="917" spans="1:12" ht="15" customHeight="1">
      <c r="A917" s="55" t="s">
        <v>3875</v>
      </c>
      <c r="B917" s="53"/>
      <c r="C917" s="53"/>
      <c r="D917" s="53"/>
      <c r="E917" s="53"/>
      <c r="F917" s="53"/>
      <c r="G917" s="56" t="str">
        <f ca="1">OFFSET(G917, -1, 0)</f>
        <v/>
      </c>
    </row>
    <row r="918" spans="1:12" ht="15" customHeight="1"/>
    <row r="919" spans="1:12" ht="15" customHeight="1"/>
    <row r="920" spans="1:12" ht="15" customHeight="1">
      <c r="A920" s="22" t="s">
        <v>106</v>
      </c>
      <c r="F920" s="49" t="s">
        <v>3876</v>
      </c>
    </row>
    <row r="921" spans="1:12" ht="15" customHeight="1">
      <c r="A921" s="53" t="s">
        <v>3831</v>
      </c>
      <c r="B921" s="53" t="s">
        <v>3832</v>
      </c>
      <c r="C921" s="53" t="s">
        <v>3833</v>
      </c>
      <c r="D921" s="53" t="s">
        <v>3834</v>
      </c>
      <c r="E921" s="53" t="s">
        <v>3835</v>
      </c>
      <c r="F921" s="53" t="s">
        <v>3836</v>
      </c>
      <c r="G921" s="54" t="s">
        <v>3837</v>
      </c>
    </row>
    <row r="922" spans="1:12" ht="15" customHeight="1">
      <c r="A922" t="str">
        <f t="shared" ref="A922:A951" ca="1" si="217">IF(E922="", F922, "")</f>
        <v/>
      </c>
      <c r="B922">
        <f>ROW('Proforma, Income &amp; Expense'!A4)</f>
        <v>4</v>
      </c>
      <c r="C922" t="str">
        <f t="shared" ref="C922:C951" ca="1" si="218">INDIRECT($F$920 &amp; ADDRESS(B922, 1,4  ))</f>
        <v>Partnership/Asset Mgt. Fees</v>
      </c>
      <c r="D922" t="str">
        <f>ADDRESS($B$922, 2,4  )</f>
        <v>B4</v>
      </c>
      <c r="E922">
        <f t="shared" ref="E922:E951" ca="1" si="219">IF(ISBLANK( INDIRECT($F$920 &amp; D922)),"", INDIRECT($F$920 &amp; D922))</f>
        <v>0</v>
      </c>
      <c r="F922" t="str">
        <f t="shared" ref="F922:F951" ca="1" si="220">CONCATENATE("Enter a '", H922,"' value for '", C922, "' in cell ", D922, ".", CHAR(10))</f>
        <v xml:space="preserve">Enter a 'Year 1' value for 'Partnership/Asset Mgt. Fees' in cell B4.
</v>
      </c>
      <c r="G922" s="9" t="str">
        <f ca="1">A922</f>
        <v/>
      </c>
      <c r="H922" s="52" t="str">
        <f t="shared" ref="H922:H936" ca="1" si="221">OFFSET(INDIRECT($F$920&amp;D922), -1, 0)</f>
        <v>Year 1</v>
      </c>
    </row>
    <row r="923" spans="1:12" ht="15" customHeight="1">
      <c r="A923" t="str">
        <f t="shared" ca="1" si="217"/>
        <v/>
      </c>
      <c r="B923" s="52">
        <f t="shared" ref="B923:B936" si="222">B922</f>
        <v>4</v>
      </c>
      <c r="C923" t="str">
        <f t="shared" ca="1" si="218"/>
        <v>Partnership/Asset Mgt. Fees</v>
      </c>
      <c r="D923" t="str">
        <f>ADDRESS($B$922, 3,4  )</f>
        <v>C4</v>
      </c>
      <c r="E923">
        <f t="shared" ca="1" si="219"/>
        <v>0</v>
      </c>
      <c r="F923" t="str">
        <f t="shared" ca="1" si="220"/>
        <v xml:space="preserve">Enter a 'Year 2' value for 'Partnership/Asset Mgt. Fees' in cell C4.
</v>
      </c>
      <c r="G923" s="9" t="str">
        <f t="shared" ref="G923:G936" ca="1" si="223">OFFSET(G923, -1, 0) &amp; A923</f>
        <v/>
      </c>
      <c r="H923" s="52" t="str">
        <f t="shared" ca="1" si="221"/>
        <v>Year 2</v>
      </c>
    </row>
    <row r="924" spans="1:12" ht="15" customHeight="1">
      <c r="A924" t="str">
        <f t="shared" ca="1" si="217"/>
        <v/>
      </c>
      <c r="B924" s="52">
        <f t="shared" si="222"/>
        <v>4</v>
      </c>
      <c r="C924" t="str">
        <f t="shared" ca="1" si="218"/>
        <v>Partnership/Asset Mgt. Fees</v>
      </c>
      <c r="D924" t="str">
        <f>ADDRESS($B$922, 4,4  )</f>
        <v>D4</v>
      </c>
      <c r="E924">
        <f t="shared" ca="1" si="219"/>
        <v>0</v>
      </c>
      <c r="F924" t="str">
        <f t="shared" ca="1" si="220"/>
        <v xml:space="preserve">Enter a 'Year 3' value for 'Partnership/Asset Mgt. Fees' in cell D4.
</v>
      </c>
      <c r="G924" s="9" t="str">
        <f t="shared" ca="1" si="223"/>
        <v/>
      </c>
      <c r="H924" s="52" t="str">
        <f t="shared" ca="1" si="221"/>
        <v>Year 3</v>
      </c>
    </row>
    <row r="925" spans="1:12" ht="15" customHeight="1">
      <c r="A925" t="str">
        <f t="shared" ca="1" si="217"/>
        <v/>
      </c>
      <c r="B925" s="52">
        <f t="shared" si="222"/>
        <v>4</v>
      </c>
      <c r="C925" t="str">
        <f t="shared" ca="1" si="218"/>
        <v>Partnership/Asset Mgt. Fees</v>
      </c>
      <c r="D925" t="str">
        <f>ADDRESS($B$922, 5,4  )</f>
        <v>E4</v>
      </c>
      <c r="E925">
        <f t="shared" ca="1" si="219"/>
        <v>0</v>
      </c>
      <c r="F925" t="str">
        <f t="shared" ca="1" si="220"/>
        <v xml:space="preserve">Enter a 'Year 4' value for 'Partnership/Asset Mgt. Fees' in cell E4.
</v>
      </c>
      <c r="G925" s="9" t="str">
        <f t="shared" ca="1" si="223"/>
        <v/>
      </c>
      <c r="H925" s="52" t="str">
        <f t="shared" ca="1" si="221"/>
        <v>Year 4</v>
      </c>
    </row>
    <row r="926" spans="1:12" ht="15" customHeight="1">
      <c r="A926" t="str">
        <f t="shared" ca="1" si="217"/>
        <v/>
      </c>
      <c r="B926" s="52">
        <f t="shared" si="222"/>
        <v>4</v>
      </c>
      <c r="C926" t="str">
        <f t="shared" ca="1" si="218"/>
        <v>Partnership/Asset Mgt. Fees</v>
      </c>
      <c r="D926" t="str">
        <f>ADDRESS($B$922, 6,4  )</f>
        <v>F4</v>
      </c>
      <c r="E926">
        <f t="shared" ca="1" si="219"/>
        <v>0</v>
      </c>
      <c r="F926" t="str">
        <f t="shared" ca="1" si="220"/>
        <v xml:space="preserve">Enter a 'Year 5' value for 'Partnership/Asset Mgt. Fees' in cell F4.
</v>
      </c>
      <c r="G926" s="9" t="str">
        <f t="shared" ca="1" si="223"/>
        <v/>
      </c>
      <c r="H926" s="52" t="str">
        <f t="shared" ca="1" si="221"/>
        <v>Year 5</v>
      </c>
      <c r="L926" s="49"/>
    </row>
    <row r="927" spans="1:12" ht="15" customHeight="1">
      <c r="A927" t="str">
        <f t="shared" ca="1" si="217"/>
        <v/>
      </c>
      <c r="B927" s="52">
        <f t="shared" si="222"/>
        <v>4</v>
      </c>
      <c r="C927" t="str">
        <f t="shared" ca="1" si="218"/>
        <v>Partnership/Asset Mgt. Fees</v>
      </c>
      <c r="D927" t="str">
        <f>ADDRESS($B$922, 7,4  )</f>
        <v>G4</v>
      </c>
      <c r="E927">
        <f t="shared" ca="1" si="219"/>
        <v>0</v>
      </c>
      <c r="F927" t="str">
        <f t="shared" ca="1" si="220"/>
        <v xml:space="preserve">Enter a 'Year 6' value for 'Partnership/Asset Mgt. Fees' in cell G4.
</v>
      </c>
      <c r="G927" s="9" t="str">
        <f t="shared" ca="1" si="223"/>
        <v/>
      </c>
      <c r="H927" s="52" t="str">
        <f t="shared" ca="1" si="221"/>
        <v>Year 6</v>
      </c>
    </row>
    <row r="928" spans="1:12" ht="15" customHeight="1">
      <c r="A928" t="str">
        <f t="shared" ca="1" si="217"/>
        <v/>
      </c>
      <c r="B928" s="52">
        <f t="shared" si="222"/>
        <v>4</v>
      </c>
      <c r="C928" t="str">
        <f t="shared" ca="1" si="218"/>
        <v>Partnership/Asset Mgt. Fees</v>
      </c>
      <c r="D928" t="str">
        <f>ADDRESS($B$922, 8,4  )</f>
        <v>H4</v>
      </c>
      <c r="E928">
        <f t="shared" ca="1" si="219"/>
        <v>0</v>
      </c>
      <c r="F928" t="str">
        <f t="shared" ca="1" si="220"/>
        <v xml:space="preserve">Enter a 'Year 7' value for 'Partnership/Asset Mgt. Fees' in cell H4.
</v>
      </c>
      <c r="G928" s="9" t="str">
        <f t="shared" ca="1" si="223"/>
        <v/>
      </c>
      <c r="H928" s="52" t="str">
        <f t="shared" ca="1" si="221"/>
        <v>Year 7</v>
      </c>
    </row>
    <row r="929" spans="1:8" ht="15" customHeight="1">
      <c r="A929" t="str">
        <f t="shared" ca="1" si="217"/>
        <v/>
      </c>
      <c r="B929" s="52">
        <f t="shared" si="222"/>
        <v>4</v>
      </c>
      <c r="C929" t="str">
        <f t="shared" ca="1" si="218"/>
        <v>Partnership/Asset Mgt. Fees</v>
      </c>
      <c r="D929" t="str">
        <f>ADDRESS($B$922, 9,4  )</f>
        <v>I4</v>
      </c>
      <c r="E929">
        <f t="shared" ca="1" si="219"/>
        <v>0</v>
      </c>
      <c r="F929" t="str">
        <f t="shared" ca="1" si="220"/>
        <v xml:space="preserve">Enter a 'Year 8' value for 'Partnership/Asset Mgt. Fees' in cell I4.
</v>
      </c>
      <c r="G929" s="9" t="str">
        <f t="shared" ca="1" si="223"/>
        <v/>
      </c>
      <c r="H929" s="52" t="str">
        <f t="shared" ca="1" si="221"/>
        <v>Year 8</v>
      </c>
    </row>
    <row r="930" spans="1:8" ht="15" customHeight="1">
      <c r="A930" t="str">
        <f t="shared" ca="1" si="217"/>
        <v/>
      </c>
      <c r="B930" s="52">
        <f t="shared" si="222"/>
        <v>4</v>
      </c>
      <c r="C930" t="str">
        <f t="shared" ca="1" si="218"/>
        <v>Partnership/Asset Mgt. Fees</v>
      </c>
      <c r="D930" t="str">
        <f>ADDRESS($B$922, 10,4  )</f>
        <v>J4</v>
      </c>
      <c r="E930">
        <f t="shared" ca="1" si="219"/>
        <v>0</v>
      </c>
      <c r="F930" t="str">
        <f t="shared" ca="1" si="220"/>
        <v xml:space="preserve">Enter a 'Year 9' value for 'Partnership/Asset Mgt. Fees' in cell J4.
</v>
      </c>
      <c r="G930" s="9" t="str">
        <f t="shared" ca="1" si="223"/>
        <v/>
      </c>
      <c r="H930" s="52" t="str">
        <f t="shared" ca="1" si="221"/>
        <v>Year 9</v>
      </c>
    </row>
    <row r="931" spans="1:8" ht="15" customHeight="1">
      <c r="A931" t="str">
        <f t="shared" ca="1" si="217"/>
        <v/>
      </c>
      <c r="B931" s="52">
        <f t="shared" si="222"/>
        <v>4</v>
      </c>
      <c r="C931" t="str">
        <f t="shared" ca="1" si="218"/>
        <v>Partnership/Asset Mgt. Fees</v>
      </c>
      <c r="D931" t="str">
        <f>ADDRESS($B$922,11,4  )</f>
        <v>K4</v>
      </c>
      <c r="E931">
        <f t="shared" ca="1" si="219"/>
        <v>0</v>
      </c>
      <c r="F931" t="str">
        <f t="shared" ca="1" si="220"/>
        <v xml:space="preserve">Enter a 'Year 10' value for 'Partnership/Asset Mgt. Fees' in cell K4.
</v>
      </c>
      <c r="G931" s="9" t="str">
        <f t="shared" ca="1" si="223"/>
        <v/>
      </c>
      <c r="H931" s="52" t="str">
        <f t="shared" ca="1" si="221"/>
        <v>Year 10</v>
      </c>
    </row>
    <row r="932" spans="1:8" ht="15" customHeight="1">
      <c r="A932" t="str">
        <f t="shared" ca="1" si="217"/>
        <v/>
      </c>
      <c r="B932" s="52">
        <f t="shared" si="222"/>
        <v>4</v>
      </c>
      <c r="C932" t="str">
        <f t="shared" ca="1" si="218"/>
        <v>Partnership/Asset Mgt. Fees</v>
      </c>
      <c r="D932" t="str">
        <f>ADDRESS($B$922,12,4  )</f>
        <v>L4</v>
      </c>
      <c r="E932">
        <f t="shared" ca="1" si="219"/>
        <v>0</v>
      </c>
      <c r="F932" t="str">
        <f t="shared" ca="1" si="220"/>
        <v xml:space="preserve">Enter a 'Year 11' value for 'Partnership/Asset Mgt. Fees' in cell L4.
</v>
      </c>
      <c r="G932" s="9" t="str">
        <f t="shared" ca="1" si="223"/>
        <v/>
      </c>
      <c r="H932" s="52" t="str">
        <f t="shared" ca="1" si="221"/>
        <v>Year 11</v>
      </c>
    </row>
    <row r="933" spans="1:8" ht="15" customHeight="1">
      <c r="A933" t="str">
        <f t="shared" ca="1" si="217"/>
        <v/>
      </c>
      <c r="B933" s="52">
        <f t="shared" si="222"/>
        <v>4</v>
      </c>
      <c r="C933" t="str">
        <f t="shared" ca="1" si="218"/>
        <v>Partnership/Asset Mgt. Fees</v>
      </c>
      <c r="D933" t="str">
        <f>ADDRESS($B$922,13,4  )</f>
        <v>M4</v>
      </c>
      <c r="E933">
        <f t="shared" ca="1" si="219"/>
        <v>0</v>
      </c>
      <c r="F933" t="str">
        <f t="shared" ca="1" si="220"/>
        <v xml:space="preserve">Enter a 'Year 12' value for 'Partnership/Asset Mgt. Fees' in cell M4.
</v>
      </c>
      <c r="G933" s="9" t="str">
        <f t="shared" ca="1" si="223"/>
        <v/>
      </c>
      <c r="H933" s="52" t="str">
        <f t="shared" ca="1" si="221"/>
        <v>Year 12</v>
      </c>
    </row>
    <row r="934" spans="1:8" ht="15" customHeight="1">
      <c r="A934" t="str">
        <f t="shared" ca="1" si="217"/>
        <v/>
      </c>
      <c r="B934" s="52">
        <f t="shared" si="222"/>
        <v>4</v>
      </c>
      <c r="C934" t="str">
        <f t="shared" ca="1" si="218"/>
        <v>Partnership/Asset Mgt. Fees</v>
      </c>
      <c r="D934" t="str">
        <f>ADDRESS($B$922,14,4  )</f>
        <v>N4</v>
      </c>
      <c r="E934">
        <f t="shared" ca="1" si="219"/>
        <v>0</v>
      </c>
      <c r="F934" t="str">
        <f t="shared" ca="1" si="220"/>
        <v xml:space="preserve">Enter a 'Year 13' value for 'Partnership/Asset Mgt. Fees' in cell N4.
</v>
      </c>
      <c r="G934" s="9" t="str">
        <f t="shared" ca="1" si="223"/>
        <v/>
      </c>
      <c r="H934" s="52" t="str">
        <f t="shared" ca="1" si="221"/>
        <v>Year 13</v>
      </c>
    </row>
    <row r="935" spans="1:8" ht="15" customHeight="1">
      <c r="A935" t="str">
        <f t="shared" ca="1" si="217"/>
        <v/>
      </c>
      <c r="B935" s="52">
        <f t="shared" si="222"/>
        <v>4</v>
      </c>
      <c r="C935" t="str">
        <f t="shared" ca="1" si="218"/>
        <v>Partnership/Asset Mgt. Fees</v>
      </c>
      <c r="D935" t="str">
        <f>ADDRESS($B$922,15,4  )</f>
        <v>O4</v>
      </c>
      <c r="E935">
        <f t="shared" ca="1" si="219"/>
        <v>0</v>
      </c>
      <c r="F935" t="str">
        <f t="shared" ca="1" si="220"/>
        <v xml:space="preserve">Enter a 'Year 14' value for 'Partnership/Asset Mgt. Fees' in cell O4.
</v>
      </c>
      <c r="G935" s="9" t="str">
        <f t="shared" ca="1" si="223"/>
        <v/>
      </c>
      <c r="H935" s="52" t="str">
        <f t="shared" ca="1" si="221"/>
        <v>Year 14</v>
      </c>
    </row>
    <row r="936" spans="1:8" ht="15" customHeight="1">
      <c r="A936" t="str">
        <f t="shared" ca="1" si="217"/>
        <v/>
      </c>
      <c r="B936" s="52">
        <f t="shared" si="222"/>
        <v>4</v>
      </c>
      <c r="C936" t="str">
        <f t="shared" ca="1" si="218"/>
        <v>Partnership/Asset Mgt. Fees</v>
      </c>
      <c r="D936" t="str">
        <f>ADDRESS($B$922,16,4  )</f>
        <v>P4</v>
      </c>
      <c r="E936">
        <f t="shared" ca="1" si="219"/>
        <v>0</v>
      </c>
      <c r="F936" t="str">
        <f t="shared" ca="1" si="220"/>
        <v xml:space="preserve">Enter a 'Year 15' value for 'Partnership/Asset Mgt. Fees' in cell P4.
</v>
      </c>
      <c r="G936" s="9" t="str">
        <f t="shared" ca="1" si="223"/>
        <v/>
      </c>
      <c r="H936" s="52" t="str">
        <f t="shared" ca="1" si="221"/>
        <v>Year 15</v>
      </c>
    </row>
    <row r="937" spans="1:8" ht="15" customHeight="1">
      <c r="A937" t="str">
        <f t="shared" ca="1" si="217"/>
        <v/>
      </c>
      <c r="B937">
        <f>ROW('Proforma, Income &amp; Expense'!A5)</f>
        <v>5</v>
      </c>
      <c r="C937" t="str">
        <f t="shared" ca="1" si="218"/>
        <v>Bond Fees (if applicable)</v>
      </c>
      <c r="D937" t="str">
        <f>ADDRESS($B$922, 2,4  )</f>
        <v>B4</v>
      </c>
      <c r="E937">
        <f t="shared" ca="1" si="219"/>
        <v>0</v>
      </c>
      <c r="F937" t="str">
        <f t="shared" ca="1" si="220"/>
        <v xml:space="preserve">Enter a '5' value for 'Bond Fees (if applicable)' in cell B4.
</v>
      </c>
      <c r="G937">
        <f t="shared" ref="G937:G951" si="224">IF(K937="", L937, "")</f>
        <v>0</v>
      </c>
      <c r="H937">
        <f>ROW('Proforma, Income &amp; Expense'!G5)</f>
        <v>5</v>
      </c>
    </row>
    <row r="938" spans="1:8" ht="15" customHeight="1">
      <c r="A938" t="str">
        <f t="shared" ca="1" si="217"/>
        <v/>
      </c>
      <c r="B938" s="52">
        <f t="shared" ref="B938:B966" si="225">B937</f>
        <v>5</v>
      </c>
      <c r="C938" t="str">
        <f t="shared" ca="1" si="218"/>
        <v>Bond Fees (if applicable)</v>
      </c>
      <c r="D938" t="str">
        <f>ADDRESS($B$922, 3,4  )</f>
        <v>C4</v>
      </c>
      <c r="E938">
        <f t="shared" ca="1" si="219"/>
        <v>0</v>
      </c>
      <c r="F938" t="str">
        <f t="shared" ca="1" si="220"/>
        <v xml:space="preserve">Enter a '5' value for 'Bond Fees (if applicable)' in cell C4.
</v>
      </c>
      <c r="G938">
        <f t="shared" si="224"/>
        <v>0</v>
      </c>
      <c r="H938" s="52">
        <f t="shared" ref="H938:H966" si="226">H937</f>
        <v>5</v>
      </c>
    </row>
    <row r="939" spans="1:8" ht="15" customHeight="1">
      <c r="A939" t="str">
        <f t="shared" ca="1" si="217"/>
        <v/>
      </c>
      <c r="B939" s="52">
        <f t="shared" si="225"/>
        <v>5</v>
      </c>
      <c r="C939" t="str">
        <f t="shared" ca="1" si="218"/>
        <v>Bond Fees (if applicable)</v>
      </c>
      <c r="D939" t="str">
        <f>ADDRESS($B$922, 4,4  )</f>
        <v>D4</v>
      </c>
      <c r="E939">
        <f t="shared" ca="1" si="219"/>
        <v>0</v>
      </c>
      <c r="F939" t="str">
        <f t="shared" ca="1" si="220"/>
        <v xml:space="preserve">Enter a '5' value for 'Bond Fees (if applicable)' in cell D4.
</v>
      </c>
      <c r="G939">
        <f t="shared" si="224"/>
        <v>0</v>
      </c>
      <c r="H939" s="52">
        <f t="shared" si="226"/>
        <v>5</v>
      </c>
    </row>
    <row r="940" spans="1:8" ht="15" customHeight="1">
      <c r="A940" t="str">
        <f t="shared" ca="1" si="217"/>
        <v/>
      </c>
      <c r="B940" s="52">
        <f t="shared" si="225"/>
        <v>5</v>
      </c>
      <c r="C940" t="str">
        <f t="shared" ca="1" si="218"/>
        <v>Bond Fees (if applicable)</v>
      </c>
      <c r="D940" t="str">
        <f>ADDRESS($B$922, 5,4  )</f>
        <v>E4</v>
      </c>
      <c r="E940">
        <f t="shared" ca="1" si="219"/>
        <v>0</v>
      </c>
      <c r="F940" t="str">
        <f t="shared" ca="1" si="220"/>
        <v xml:space="preserve">Enter a '5' value for 'Bond Fees (if applicable)' in cell E4.
</v>
      </c>
      <c r="G940">
        <f t="shared" si="224"/>
        <v>0</v>
      </c>
      <c r="H940" s="52">
        <f t="shared" si="226"/>
        <v>5</v>
      </c>
    </row>
    <row r="941" spans="1:8" ht="15" customHeight="1">
      <c r="A941" t="str">
        <f t="shared" ca="1" si="217"/>
        <v/>
      </c>
      <c r="B941" s="52">
        <f t="shared" si="225"/>
        <v>5</v>
      </c>
      <c r="C941" t="str">
        <f t="shared" ca="1" si="218"/>
        <v>Bond Fees (if applicable)</v>
      </c>
      <c r="D941" t="str">
        <f>ADDRESS($B$922, 6,4  )</f>
        <v>F4</v>
      </c>
      <c r="E941">
        <f t="shared" ca="1" si="219"/>
        <v>0</v>
      </c>
      <c r="F941" t="str">
        <f t="shared" ca="1" si="220"/>
        <v xml:space="preserve">Enter a '5' value for 'Bond Fees (if applicable)' in cell F4.
</v>
      </c>
      <c r="G941">
        <f t="shared" si="224"/>
        <v>0</v>
      </c>
      <c r="H941" s="52">
        <f t="shared" si="226"/>
        <v>5</v>
      </c>
    </row>
    <row r="942" spans="1:8" ht="15" customHeight="1">
      <c r="A942" t="str">
        <f t="shared" ca="1" si="217"/>
        <v/>
      </c>
      <c r="B942" s="52">
        <f t="shared" si="225"/>
        <v>5</v>
      </c>
      <c r="C942" t="str">
        <f t="shared" ca="1" si="218"/>
        <v>Bond Fees (if applicable)</v>
      </c>
      <c r="D942" t="str">
        <f>ADDRESS($B$922, 7,4  )</f>
        <v>G4</v>
      </c>
      <c r="E942">
        <f t="shared" ca="1" si="219"/>
        <v>0</v>
      </c>
      <c r="F942" t="str">
        <f t="shared" ca="1" si="220"/>
        <v xml:space="preserve">Enter a '5' value for 'Bond Fees (if applicable)' in cell G4.
</v>
      </c>
      <c r="G942">
        <f t="shared" si="224"/>
        <v>0</v>
      </c>
      <c r="H942" s="52">
        <f t="shared" si="226"/>
        <v>5</v>
      </c>
    </row>
    <row r="943" spans="1:8" ht="15" customHeight="1">
      <c r="A943" t="str">
        <f t="shared" ca="1" si="217"/>
        <v/>
      </c>
      <c r="B943" s="52">
        <f t="shared" si="225"/>
        <v>5</v>
      </c>
      <c r="C943" t="str">
        <f t="shared" ca="1" si="218"/>
        <v>Bond Fees (if applicable)</v>
      </c>
      <c r="D943" t="str">
        <f>ADDRESS($B$922, 8,4  )</f>
        <v>H4</v>
      </c>
      <c r="E943">
        <f t="shared" ca="1" si="219"/>
        <v>0</v>
      </c>
      <c r="F943" t="str">
        <f t="shared" ca="1" si="220"/>
        <v xml:space="preserve">Enter a '5' value for 'Bond Fees (if applicable)' in cell H4.
</v>
      </c>
      <c r="G943">
        <f t="shared" si="224"/>
        <v>0</v>
      </c>
      <c r="H943" s="52">
        <f t="shared" si="226"/>
        <v>5</v>
      </c>
    </row>
    <row r="944" spans="1:8" ht="15" customHeight="1">
      <c r="A944" t="str">
        <f t="shared" ca="1" si="217"/>
        <v/>
      </c>
      <c r="B944" s="52">
        <f t="shared" si="225"/>
        <v>5</v>
      </c>
      <c r="C944" t="str">
        <f t="shared" ca="1" si="218"/>
        <v>Bond Fees (if applicable)</v>
      </c>
      <c r="D944" t="str">
        <f>ADDRESS($B$922, 9,4  )</f>
        <v>I4</v>
      </c>
      <c r="E944">
        <f t="shared" ca="1" si="219"/>
        <v>0</v>
      </c>
      <c r="F944" t="str">
        <f t="shared" ca="1" si="220"/>
        <v xml:space="preserve">Enter a '5' value for 'Bond Fees (if applicable)' in cell I4.
</v>
      </c>
      <c r="G944">
        <f t="shared" si="224"/>
        <v>0</v>
      </c>
      <c r="H944" s="52">
        <f t="shared" si="226"/>
        <v>5</v>
      </c>
    </row>
    <row r="945" spans="1:8" ht="15" customHeight="1">
      <c r="A945" t="str">
        <f t="shared" ca="1" si="217"/>
        <v/>
      </c>
      <c r="B945" s="52">
        <f t="shared" si="225"/>
        <v>5</v>
      </c>
      <c r="C945" t="str">
        <f t="shared" ca="1" si="218"/>
        <v>Bond Fees (if applicable)</v>
      </c>
      <c r="D945" t="str">
        <f>ADDRESS($B$922, 10,4  )</f>
        <v>J4</v>
      </c>
      <c r="E945">
        <f t="shared" ca="1" si="219"/>
        <v>0</v>
      </c>
      <c r="F945" t="str">
        <f t="shared" ca="1" si="220"/>
        <v xml:space="preserve">Enter a '5' value for 'Bond Fees (if applicable)' in cell J4.
</v>
      </c>
      <c r="G945">
        <f t="shared" si="224"/>
        <v>0</v>
      </c>
      <c r="H945" s="52">
        <f t="shared" si="226"/>
        <v>5</v>
      </c>
    </row>
    <row r="946" spans="1:8" ht="15" customHeight="1">
      <c r="A946" t="str">
        <f t="shared" ca="1" si="217"/>
        <v/>
      </c>
      <c r="B946" s="52">
        <f t="shared" si="225"/>
        <v>5</v>
      </c>
      <c r="C946" t="str">
        <f t="shared" ca="1" si="218"/>
        <v>Bond Fees (if applicable)</v>
      </c>
      <c r="D946" t="str">
        <f>ADDRESS($B$922,11,4  )</f>
        <v>K4</v>
      </c>
      <c r="E946">
        <f t="shared" ca="1" si="219"/>
        <v>0</v>
      </c>
      <c r="F946" t="str">
        <f t="shared" ca="1" si="220"/>
        <v xml:space="preserve">Enter a '5' value for 'Bond Fees (if applicable)' in cell K4.
</v>
      </c>
      <c r="G946">
        <f t="shared" si="224"/>
        <v>0</v>
      </c>
      <c r="H946" s="52">
        <f t="shared" si="226"/>
        <v>5</v>
      </c>
    </row>
    <row r="947" spans="1:8" ht="15" customHeight="1">
      <c r="A947" t="str">
        <f t="shared" ca="1" si="217"/>
        <v/>
      </c>
      <c r="B947" s="52">
        <f t="shared" si="225"/>
        <v>5</v>
      </c>
      <c r="C947" t="str">
        <f t="shared" ca="1" si="218"/>
        <v>Bond Fees (if applicable)</v>
      </c>
      <c r="D947" t="str">
        <f>ADDRESS($B$922,12,4  )</f>
        <v>L4</v>
      </c>
      <c r="E947">
        <f t="shared" ca="1" si="219"/>
        <v>0</v>
      </c>
      <c r="F947" t="str">
        <f t="shared" ca="1" si="220"/>
        <v xml:space="preserve">Enter a '5' value for 'Bond Fees (if applicable)' in cell L4.
</v>
      </c>
      <c r="G947">
        <f t="shared" si="224"/>
        <v>0</v>
      </c>
      <c r="H947" s="52">
        <f t="shared" si="226"/>
        <v>5</v>
      </c>
    </row>
    <row r="948" spans="1:8" ht="15" customHeight="1">
      <c r="A948" t="str">
        <f t="shared" ca="1" si="217"/>
        <v/>
      </c>
      <c r="B948" s="52">
        <f t="shared" si="225"/>
        <v>5</v>
      </c>
      <c r="C948" t="str">
        <f t="shared" ca="1" si="218"/>
        <v>Bond Fees (if applicable)</v>
      </c>
      <c r="D948" t="str">
        <f>ADDRESS($B$922,13,4  )</f>
        <v>M4</v>
      </c>
      <c r="E948">
        <f t="shared" ca="1" si="219"/>
        <v>0</v>
      </c>
      <c r="F948" t="str">
        <f t="shared" ca="1" si="220"/>
        <v xml:space="preserve">Enter a '5' value for 'Bond Fees (if applicable)' in cell M4.
</v>
      </c>
      <c r="G948">
        <f t="shared" si="224"/>
        <v>0</v>
      </c>
      <c r="H948" s="52">
        <f t="shared" si="226"/>
        <v>5</v>
      </c>
    </row>
    <row r="949" spans="1:8" ht="15" customHeight="1">
      <c r="A949" t="str">
        <f t="shared" ca="1" si="217"/>
        <v/>
      </c>
      <c r="B949" s="52">
        <f t="shared" si="225"/>
        <v>5</v>
      </c>
      <c r="C949" t="str">
        <f t="shared" ca="1" si="218"/>
        <v>Bond Fees (if applicable)</v>
      </c>
      <c r="D949" t="str">
        <f>ADDRESS($B$922,14,4  )</f>
        <v>N4</v>
      </c>
      <c r="E949">
        <f t="shared" ca="1" si="219"/>
        <v>0</v>
      </c>
      <c r="F949" t="str">
        <f t="shared" ca="1" si="220"/>
        <v xml:space="preserve">Enter a '5' value for 'Bond Fees (if applicable)' in cell N4.
</v>
      </c>
      <c r="G949">
        <f t="shared" si="224"/>
        <v>0</v>
      </c>
      <c r="H949" s="52">
        <f t="shared" si="226"/>
        <v>5</v>
      </c>
    </row>
    <row r="950" spans="1:8" ht="15" customHeight="1">
      <c r="A950" t="str">
        <f t="shared" ca="1" si="217"/>
        <v/>
      </c>
      <c r="B950" s="52">
        <f t="shared" si="225"/>
        <v>5</v>
      </c>
      <c r="C950" t="str">
        <f t="shared" ca="1" si="218"/>
        <v>Bond Fees (if applicable)</v>
      </c>
      <c r="D950" t="str">
        <f>ADDRESS($B$922,15,4  )</f>
        <v>O4</v>
      </c>
      <c r="E950">
        <f t="shared" ca="1" si="219"/>
        <v>0</v>
      </c>
      <c r="F950" t="str">
        <f t="shared" ca="1" si="220"/>
        <v xml:space="preserve">Enter a '5' value for 'Bond Fees (if applicable)' in cell O4.
</v>
      </c>
      <c r="G950">
        <f t="shared" si="224"/>
        <v>0</v>
      </c>
      <c r="H950" s="52">
        <f t="shared" si="226"/>
        <v>5</v>
      </c>
    </row>
    <row r="951" spans="1:8" ht="15" customHeight="1">
      <c r="A951" t="str">
        <f t="shared" ca="1" si="217"/>
        <v/>
      </c>
      <c r="B951" s="52">
        <f t="shared" si="225"/>
        <v>5</v>
      </c>
      <c r="C951" t="str">
        <f t="shared" ca="1" si="218"/>
        <v>Bond Fees (if applicable)</v>
      </c>
      <c r="D951" t="str">
        <f>ADDRESS($B$922,16,4  )</f>
        <v>P4</v>
      </c>
      <c r="E951">
        <f t="shared" ca="1" si="219"/>
        <v>0</v>
      </c>
      <c r="F951" t="str">
        <f t="shared" ca="1" si="220"/>
        <v xml:space="preserve">Enter a '5' value for 'Bond Fees (if applicable)' in cell P4.
</v>
      </c>
      <c r="G951">
        <f t="shared" si="224"/>
        <v>0</v>
      </c>
      <c r="H951" s="52">
        <f t="shared" si="226"/>
        <v>5</v>
      </c>
    </row>
    <row r="952" spans="1:8" ht="15" customHeight="1">
      <c r="A952" t="str">
        <f t="shared" ref="A952:A966" ca="1" si="227">IF(E952="", F952, "")</f>
        <v/>
      </c>
      <c r="B952">
        <f>ROW('Proforma, Income &amp; Expense'!A6)</f>
        <v>6</v>
      </c>
      <c r="C952" t="str">
        <f t="shared" ref="C952:C966" ca="1" si="228">INDIRECT($F$920 &amp; ADDRESS(B952, 1,4  ))</f>
        <v>Deferred Developer Fee Repayment*</v>
      </c>
      <c r="D952" t="str">
        <f>ADDRESS($B$922, 2,4  )</f>
        <v>B4</v>
      </c>
      <c r="E952">
        <f t="shared" ref="E952:E966" ca="1" si="229">IF(ISBLANK( INDIRECT($F$920 &amp; D952)),"", INDIRECT($F$920 &amp; D952))</f>
        <v>0</v>
      </c>
      <c r="F952" t="str">
        <f t="shared" ref="F952:F966" ca="1" si="230">CONCATENATE("Enter a '", H952,"' value for '", C952, "' in cell ", D952, ".", CHAR(10))</f>
        <v xml:space="preserve">Enter a '20' value for 'Deferred Developer Fee Repayment*' in cell B4.
</v>
      </c>
      <c r="G952">
        <f t="shared" ref="G952:G966" si="231">IF(K952="", L952, "")</f>
        <v>0</v>
      </c>
      <c r="H952">
        <f>ROW('Proforma, Income &amp; Expense'!G20)</f>
        <v>20</v>
      </c>
    </row>
    <row r="953" spans="1:8" ht="15" customHeight="1">
      <c r="A953" t="str">
        <f t="shared" ca="1" si="227"/>
        <v/>
      </c>
      <c r="B953" s="52">
        <f t="shared" si="225"/>
        <v>6</v>
      </c>
      <c r="C953" t="str">
        <f t="shared" ca="1" si="228"/>
        <v>Deferred Developer Fee Repayment*</v>
      </c>
      <c r="D953" t="str">
        <f>ADDRESS($B$922, 3,4  )</f>
        <v>C4</v>
      </c>
      <c r="E953">
        <f t="shared" ca="1" si="229"/>
        <v>0</v>
      </c>
      <c r="F953" t="str">
        <f t="shared" ca="1" si="230"/>
        <v xml:space="preserve">Enter a '20' value for 'Deferred Developer Fee Repayment*' in cell C4.
</v>
      </c>
      <c r="G953">
        <f t="shared" si="231"/>
        <v>0</v>
      </c>
      <c r="H953" s="52">
        <f t="shared" si="226"/>
        <v>20</v>
      </c>
    </row>
    <row r="954" spans="1:8" ht="15" customHeight="1">
      <c r="A954" t="str">
        <f t="shared" ca="1" si="227"/>
        <v/>
      </c>
      <c r="B954" s="52">
        <f t="shared" si="225"/>
        <v>6</v>
      </c>
      <c r="C954" t="str">
        <f t="shared" ca="1" si="228"/>
        <v>Deferred Developer Fee Repayment*</v>
      </c>
      <c r="D954" t="str">
        <f>ADDRESS($B$922, 4,4  )</f>
        <v>D4</v>
      </c>
      <c r="E954">
        <f t="shared" ca="1" si="229"/>
        <v>0</v>
      </c>
      <c r="F954" t="str">
        <f t="shared" ca="1" si="230"/>
        <v xml:space="preserve">Enter a '20' value for 'Deferred Developer Fee Repayment*' in cell D4.
</v>
      </c>
      <c r="G954">
        <f t="shared" si="231"/>
        <v>0</v>
      </c>
      <c r="H954" s="52">
        <f t="shared" si="226"/>
        <v>20</v>
      </c>
    </row>
    <row r="955" spans="1:8" ht="15" customHeight="1">
      <c r="A955" t="str">
        <f t="shared" ca="1" si="227"/>
        <v/>
      </c>
      <c r="B955" s="52">
        <f t="shared" si="225"/>
        <v>6</v>
      </c>
      <c r="C955" t="str">
        <f t="shared" ca="1" si="228"/>
        <v>Deferred Developer Fee Repayment*</v>
      </c>
      <c r="D955" t="str">
        <f>ADDRESS($B$922, 5,4  )</f>
        <v>E4</v>
      </c>
      <c r="E955">
        <f t="shared" ca="1" si="229"/>
        <v>0</v>
      </c>
      <c r="F955" t="str">
        <f t="shared" ca="1" si="230"/>
        <v xml:space="preserve">Enter a '20' value for 'Deferred Developer Fee Repayment*' in cell E4.
</v>
      </c>
      <c r="G955">
        <f t="shared" si="231"/>
        <v>0</v>
      </c>
      <c r="H955" s="52">
        <f t="shared" si="226"/>
        <v>20</v>
      </c>
    </row>
    <row r="956" spans="1:8" ht="15" customHeight="1">
      <c r="A956" t="str">
        <f t="shared" ca="1" si="227"/>
        <v/>
      </c>
      <c r="B956" s="52">
        <f t="shared" si="225"/>
        <v>6</v>
      </c>
      <c r="C956" t="str">
        <f t="shared" ca="1" si="228"/>
        <v>Deferred Developer Fee Repayment*</v>
      </c>
      <c r="D956" t="str">
        <f>ADDRESS($B$922, 6,4  )</f>
        <v>F4</v>
      </c>
      <c r="E956">
        <f t="shared" ca="1" si="229"/>
        <v>0</v>
      </c>
      <c r="F956" t="str">
        <f t="shared" ca="1" si="230"/>
        <v xml:space="preserve">Enter a '20' value for 'Deferred Developer Fee Repayment*' in cell F4.
</v>
      </c>
      <c r="G956">
        <f t="shared" si="231"/>
        <v>0</v>
      </c>
      <c r="H956" s="52">
        <f t="shared" si="226"/>
        <v>20</v>
      </c>
    </row>
    <row r="957" spans="1:8" ht="15" customHeight="1">
      <c r="A957" t="str">
        <f t="shared" ca="1" si="227"/>
        <v/>
      </c>
      <c r="B957" s="52">
        <f t="shared" si="225"/>
        <v>6</v>
      </c>
      <c r="C957" t="str">
        <f t="shared" ca="1" si="228"/>
        <v>Deferred Developer Fee Repayment*</v>
      </c>
      <c r="D957" t="str">
        <f>ADDRESS($B$922, 7,4  )</f>
        <v>G4</v>
      </c>
      <c r="E957">
        <f t="shared" ca="1" si="229"/>
        <v>0</v>
      </c>
      <c r="F957" t="str">
        <f t="shared" ca="1" si="230"/>
        <v xml:space="preserve">Enter a '20' value for 'Deferred Developer Fee Repayment*' in cell G4.
</v>
      </c>
      <c r="G957">
        <f t="shared" si="231"/>
        <v>0</v>
      </c>
      <c r="H957" s="52">
        <f t="shared" si="226"/>
        <v>20</v>
      </c>
    </row>
    <row r="958" spans="1:8" ht="15" customHeight="1">
      <c r="A958" t="str">
        <f t="shared" ca="1" si="227"/>
        <v/>
      </c>
      <c r="B958" s="52">
        <f t="shared" si="225"/>
        <v>6</v>
      </c>
      <c r="C958" t="str">
        <f t="shared" ca="1" si="228"/>
        <v>Deferred Developer Fee Repayment*</v>
      </c>
      <c r="D958" t="str">
        <f>ADDRESS($B$922, 8,4  )</f>
        <v>H4</v>
      </c>
      <c r="E958">
        <f t="shared" ca="1" si="229"/>
        <v>0</v>
      </c>
      <c r="F958" t="str">
        <f t="shared" ca="1" si="230"/>
        <v xml:space="preserve">Enter a '20' value for 'Deferred Developer Fee Repayment*' in cell H4.
</v>
      </c>
      <c r="G958">
        <f t="shared" si="231"/>
        <v>0</v>
      </c>
      <c r="H958" s="52">
        <f t="shared" si="226"/>
        <v>20</v>
      </c>
    </row>
    <row r="959" spans="1:8" ht="15" customHeight="1">
      <c r="A959" t="str">
        <f t="shared" ca="1" si="227"/>
        <v/>
      </c>
      <c r="B959" s="52">
        <f t="shared" si="225"/>
        <v>6</v>
      </c>
      <c r="C959" t="str">
        <f t="shared" ca="1" si="228"/>
        <v>Deferred Developer Fee Repayment*</v>
      </c>
      <c r="D959" t="str">
        <f>ADDRESS($B$922, 9,4  )</f>
        <v>I4</v>
      </c>
      <c r="E959">
        <f t="shared" ca="1" si="229"/>
        <v>0</v>
      </c>
      <c r="F959" t="str">
        <f t="shared" ca="1" si="230"/>
        <v xml:space="preserve">Enter a '20' value for 'Deferred Developer Fee Repayment*' in cell I4.
</v>
      </c>
      <c r="G959">
        <f t="shared" si="231"/>
        <v>0</v>
      </c>
      <c r="H959" s="52">
        <f t="shared" si="226"/>
        <v>20</v>
      </c>
    </row>
    <row r="960" spans="1:8" ht="15" customHeight="1">
      <c r="A960" t="str">
        <f t="shared" ca="1" si="227"/>
        <v/>
      </c>
      <c r="B960" s="52">
        <f t="shared" si="225"/>
        <v>6</v>
      </c>
      <c r="C960" t="str">
        <f t="shared" ca="1" si="228"/>
        <v>Deferred Developer Fee Repayment*</v>
      </c>
      <c r="D960" t="str">
        <f>ADDRESS($B$922, 10,4  )</f>
        <v>J4</v>
      </c>
      <c r="E960">
        <f t="shared" ca="1" si="229"/>
        <v>0</v>
      </c>
      <c r="F960" t="str">
        <f t="shared" ca="1" si="230"/>
        <v xml:space="preserve">Enter a '20' value for 'Deferred Developer Fee Repayment*' in cell J4.
</v>
      </c>
      <c r="G960">
        <f t="shared" si="231"/>
        <v>0</v>
      </c>
      <c r="H960" s="52">
        <f t="shared" si="226"/>
        <v>20</v>
      </c>
    </row>
    <row r="961" spans="1:8" ht="15" customHeight="1">
      <c r="A961" t="str">
        <f t="shared" ca="1" si="227"/>
        <v/>
      </c>
      <c r="B961" s="52">
        <f t="shared" si="225"/>
        <v>6</v>
      </c>
      <c r="C961" t="str">
        <f t="shared" ca="1" si="228"/>
        <v>Deferred Developer Fee Repayment*</v>
      </c>
      <c r="D961" t="str">
        <f>ADDRESS($B$922,11,4  )</f>
        <v>K4</v>
      </c>
      <c r="E961">
        <f t="shared" ca="1" si="229"/>
        <v>0</v>
      </c>
      <c r="F961" t="str">
        <f t="shared" ca="1" si="230"/>
        <v xml:space="preserve">Enter a '20' value for 'Deferred Developer Fee Repayment*' in cell K4.
</v>
      </c>
      <c r="G961">
        <f t="shared" si="231"/>
        <v>0</v>
      </c>
      <c r="H961" s="52">
        <f t="shared" si="226"/>
        <v>20</v>
      </c>
    </row>
    <row r="962" spans="1:8" ht="15" customHeight="1">
      <c r="A962" t="str">
        <f t="shared" ca="1" si="227"/>
        <v/>
      </c>
      <c r="B962" s="52">
        <f t="shared" si="225"/>
        <v>6</v>
      </c>
      <c r="C962" t="str">
        <f t="shared" ca="1" si="228"/>
        <v>Deferred Developer Fee Repayment*</v>
      </c>
      <c r="D962" t="str">
        <f>ADDRESS($B$922,12,4  )</f>
        <v>L4</v>
      </c>
      <c r="E962">
        <f t="shared" ca="1" si="229"/>
        <v>0</v>
      </c>
      <c r="F962" t="str">
        <f t="shared" ca="1" si="230"/>
        <v xml:space="preserve">Enter a '20' value for 'Deferred Developer Fee Repayment*' in cell L4.
</v>
      </c>
      <c r="G962">
        <f t="shared" si="231"/>
        <v>0</v>
      </c>
      <c r="H962" s="52">
        <f t="shared" si="226"/>
        <v>20</v>
      </c>
    </row>
    <row r="963" spans="1:8" ht="15" customHeight="1">
      <c r="A963" t="str">
        <f t="shared" ca="1" si="227"/>
        <v/>
      </c>
      <c r="B963" s="52">
        <f t="shared" si="225"/>
        <v>6</v>
      </c>
      <c r="C963" t="str">
        <f t="shared" ca="1" si="228"/>
        <v>Deferred Developer Fee Repayment*</v>
      </c>
      <c r="D963" t="str">
        <f>ADDRESS($B$922,13,4  )</f>
        <v>M4</v>
      </c>
      <c r="E963">
        <f t="shared" ca="1" si="229"/>
        <v>0</v>
      </c>
      <c r="F963" t="str">
        <f t="shared" ca="1" si="230"/>
        <v xml:space="preserve">Enter a '20' value for 'Deferred Developer Fee Repayment*' in cell M4.
</v>
      </c>
      <c r="G963">
        <f t="shared" si="231"/>
        <v>0</v>
      </c>
      <c r="H963" s="52">
        <f t="shared" si="226"/>
        <v>20</v>
      </c>
    </row>
    <row r="964" spans="1:8" ht="15" customHeight="1">
      <c r="A964" t="str">
        <f t="shared" ca="1" si="227"/>
        <v/>
      </c>
      <c r="B964" s="52">
        <f t="shared" si="225"/>
        <v>6</v>
      </c>
      <c r="C964" t="str">
        <f t="shared" ca="1" si="228"/>
        <v>Deferred Developer Fee Repayment*</v>
      </c>
      <c r="D964" t="str">
        <f>ADDRESS($B$922,14,4  )</f>
        <v>N4</v>
      </c>
      <c r="E964">
        <f t="shared" ca="1" si="229"/>
        <v>0</v>
      </c>
      <c r="F964" t="str">
        <f t="shared" ca="1" si="230"/>
        <v xml:space="preserve">Enter a '20' value for 'Deferred Developer Fee Repayment*' in cell N4.
</v>
      </c>
      <c r="G964">
        <f t="shared" si="231"/>
        <v>0</v>
      </c>
      <c r="H964" s="52">
        <f t="shared" si="226"/>
        <v>20</v>
      </c>
    </row>
    <row r="965" spans="1:8" ht="15" customHeight="1">
      <c r="A965" t="str">
        <f t="shared" ca="1" si="227"/>
        <v/>
      </c>
      <c r="B965" s="52">
        <f t="shared" si="225"/>
        <v>6</v>
      </c>
      <c r="C965" t="str">
        <f t="shared" ca="1" si="228"/>
        <v>Deferred Developer Fee Repayment*</v>
      </c>
      <c r="D965" t="str">
        <f>ADDRESS($B$922,15,4  )</f>
        <v>O4</v>
      </c>
      <c r="E965">
        <f t="shared" ca="1" si="229"/>
        <v>0</v>
      </c>
      <c r="F965" t="str">
        <f t="shared" ca="1" si="230"/>
        <v xml:space="preserve">Enter a '20' value for 'Deferred Developer Fee Repayment*' in cell O4.
</v>
      </c>
      <c r="G965">
        <f t="shared" si="231"/>
        <v>0</v>
      </c>
      <c r="H965" s="52">
        <f t="shared" si="226"/>
        <v>20</v>
      </c>
    </row>
    <row r="966" spans="1:8" ht="15" customHeight="1">
      <c r="A966" t="str">
        <f t="shared" ca="1" si="227"/>
        <v/>
      </c>
      <c r="B966" s="52">
        <f t="shared" si="225"/>
        <v>6</v>
      </c>
      <c r="C966" t="str">
        <f t="shared" ca="1" si="228"/>
        <v>Deferred Developer Fee Repayment*</v>
      </c>
      <c r="D966" t="str">
        <f>ADDRESS($B$922,16,4  )</f>
        <v>P4</v>
      </c>
      <c r="E966">
        <f t="shared" ca="1" si="229"/>
        <v>0</v>
      </c>
      <c r="F966" t="str">
        <f t="shared" ca="1" si="230"/>
        <v xml:space="preserve">Enter a '20' value for 'Deferred Developer Fee Repayment*' in cell P4.
</v>
      </c>
      <c r="G966">
        <f t="shared" si="231"/>
        <v>0</v>
      </c>
      <c r="H966" s="52">
        <f t="shared" si="226"/>
        <v>20</v>
      </c>
    </row>
    <row r="967" spans="1:8" ht="15" customHeight="1">
      <c r="A967" t="str">
        <f t="shared" ref="A967:A981" ca="1" si="232">IF(E967="", F967, "")</f>
        <v/>
      </c>
      <c r="B967">
        <f>ROW('Proforma, Income &amp; Expense'!A7)</f>
        <v>7</v>
      </c>
      <c r="C967" t="str">
        <f t="shared" ref="C967:C985" ca="1" si="233">INDIRECT($F$920 &amp; ADDRESS(B967, 1,4  ))</f>
        <v>Other (Specify)</v>
      </c>
      <c r="D967" t="str">
        <f>ADDRESS($B$922, 2,4  )</f>
        <v>B4</v>
      </c>
      <c r="E967">
        <f t="shared" ref="E967:E985" ca="1" si="234">IF(ISBLANK( INDIRECT($F$920 &amp; D967)),"", INDIRECT($F$920 &amp; D967))</f>
        <v>0</v>
      </c>
      <c r="F967" t="str">
        <f t="shared" ref="F967:F981" ca="1" si="235">CONCATENATE("Enter a '", H967,"' value for '", C967, "' in cell ", D967, ".", CHAR(10))</f>
        <v xml:space="preserve">Enter a 'Year 1' value for 'Other (Specify)' in cell B4.
</v>
      </c>
      <c r="G967" s="9" t="str">
        <f t="shared" ref="G967:G986" ca="1" si="236">OFFSET(G967, -1, 0) &amp; A967</f>
        <v>0</v>
      </c>
      <c r="H967" s="52" t="str">
        <f t="shared" ref="H967:H981" ca="1" si="237">OFFSET(INDIRECT($F$920&amp;D967), -1, 0)</f>
        <v>Year 1</v>
      </c>
    </row>
    <row r="968" spans="1:8" ht="15" customHeight="1">
      <c r="A968" t="str">
        <f t="shared" ca="1" si="232"/>
        <v/>
      </c>
      <c r="B968" s="52">
        <f t="shared" ref="B968:B981" si="238">B967</f>
        <v>7</v>
      </c>
      <c r="C968" t="str">
        <f t="shared" ca="1" si="233"/>
        <v>Other (Specify)</v>
      </c>
      <c r="D968" t="str">
        <f>ADDRESS($B$922, 3,4  )</f>
        <v>C4</v>
      </c>
      <c r="E968">
        <f t="shared" ca="1" si="234"/>
        <v>0</v>
      </c>
      <c r="F968" t="str">
        <f t="shared" ca="1" si="235"/>
        <v xml:space="preserve">Enter a 'Year 2' value for 'Other (Specify)' in cell C4.
</v>
      </c>
      <c r="G968" s="9" t="str">
        <f t="shared" ca="1" si="236"/>
        <v>0</v>
      </c>
      <c r="H968" s="52" t="str">
        <f t="shared" ca="1" si="237"/>
        <v>Year 2</v>
      </c>
    </row>
    <row r="969" spans="1:8" ht="15" customHeight="1">
      <c r="A969" t="str">
        <f t="shared" ca="1" si="232"/>
        <v/>
      </c>
      <c r="B969" s="52">
        <f t="shared" si="238"/>
        <v>7</v>
      </c>
      <c r="C969" t="str">
        <f t="shared" ca="1" si="233"/>
        <v>Other (Specify)</v>
      </c>
      <c r="D969" t="str">
        <f>ADDRESS($B$922, 4,4  )</f>
        <v>D4</v>
      </c>
      <c r="E969">
        <f t="shared" ca="1" si="234"/>
        <v>0</v>
      </c>
      <c r="F969" t="str">
        <f t="shared" ca="1" si="235"/>
        <v xml:space="preserve">Enter a 'Year 3' value for 'Other (Specify)' in cell D4.
</v>
      </c>
      <c r="G969" s="9" t="str">
        <f t="shared" ca="1" si="236"/>
        <v>0</v>
      </c>
      <c r="H969" s="52" t="str">
        <f t="shared" ca="1" si="237"/>
        <v>Year 3</v>
      </c>
    </row>
    <row r="970" spans="1:8" ht="15" customHeight="1">
      <c r="A970" t="str">
        <f t="shared" ca="1" si="232"/>
        <v/>
      </c>
      <c r="B970" s="52">
        <f t="shared" si="238"/>
        <v>7</v>
      </c>
      <c r="C970" t="str">
        <f t="shared" ca="1" si="233"/>
        <v>Other (Specify)</v>
      </c>
      <c r="D970" t="str">
        <f>ADDRESS($B$922, 5,4  )</f>
        <v>E4</v>
      </c>
      <c r="E970">
        <f t="shared" ca="1" si="234"/>
        <v>0</v>
      </c>
      <c r="F970" t="str">
        <f t="shared" ca="1" si="235"/>
        <v xml:space="preserve">Enter a 'Year 4' value for 'Other (Specify)' in cell E4.
</v>
      </c>
      <c r="G970" s="9" t="str">
        <f t="shared" ca="1" si="236"/>
        <v>0</v>
      </c>
      <c r="H970" s="52" t="str">
        <f t="shared" ca="1" si="237"/>
        <v>Year 4</v>
      </c>
    </row>
    <row r="971" spans="1:8" ht="15" customHeight="1">
      <c r="A971" t="str">
        <f t="shared" ca="1" si="232"/>
        <v/>
      </c>
      <c r="B971" s="52">
        <f t="shared" si="238"/>
        <v>7</v>
      </c>
      <c r="C971" t="str">
        <f t="shared" ca="1" si="233"/>
        <v>Other (Specify)</v>
      </c>
      <c r="D971" t="str">
        <f>ADDRESS($B$922, 6,4  )</f>
        <v>F4</v>
      </c>
      <c r="E971">
        <f t="shared" ca="1" si="234"/>
        <v>0</v>
      </c>
      <c r="F971" t="str">
        <f t="shared" ca="1" si="235"/>
        <v xml:space="preserve">Enter a 'Year 5' value for 'Other (Specify)' in cell F4.
</v>
      </c>
      <c r="G971" s="9" t="str">
        <f t="shared" ca="1" si="236"/>
        <v>0</v>
      </c>
      <c r="H971" s="52" t="str">
        <f t="shared" ca="1" si="237"/>
        <v>Year 5</v>
      </c>
    </row>
    <row r="972" spans="1:8" ht="15" customHeight="1">
      <c r="A972" t="str">
        <f t="shared" ca="1" si="232"/>
        <v/>
      </c>
      <c r="B972" s="52">
        <f t="shared" si="238"/>
        <v>7</v>
      </c>
      <c r="C972" t="str">
        <f t="shared" ca="1" si="233"/>
        <v>Other (Specify)</v>
      </c>
      <c r="D972" t="str">
        <f>ADDRESS($B$922, 7,4  )</f>
        <v>G4</v>
      </c>
      <c r="E972">
        <f t="shared" ca="1" si="234"/>
        <v>0</v>
      </c>
      <c r="F972" t="str">
        <f t="shared" ca="1" si="235"/>
        <v xml:space="preserve">Enter a 'Year 6' value for 'Other (Specify)' in cell G4.
</v>
      </c>
      <c r="G972" s="9" t="str">
        <f t="shared" ca="1" si="236"/>
        <v>0</v>
      </c>
      <c r="H972" s="52" t="str">
        <f t="shared" ca="1" si="237"/>
        <v>Year 6</v>
      </c>
    </row>
    <row r="973" spans="1:8" ht="15" customHeight="1">
      <c r="A973" t="str">
        <f t="shared" ca="1" si="232"/>
        <v/>
      </c>
      <c r="B973" s="52">
        <f t="shared" si="238"/>
        <v>7</v>
      </c>
      <c r="C973" t="str">
        <f t="shared" ca="1" si="233"/>
        <v>Other (Specify)</v>
      </c>
      <c r="D973" t="str">
        <f>ADDRESS($B$922, 8,4  )</f>
        <v>H4</v>
      </c>
      <c r="E973">
        <f t="shared" ca="1" si="234"/>
        <v>0</v>
      </c>
      <c r="F973" t="str">
        <f t="shared" ca="1" si="235"/>
        <v xml:space="preserve">Enter a 'Year 7' value for 'Other (Specify)' in cell H4.
</v>
      </c>
      <c r="G973" s="9" t="str">
        <f t="shared" ca="1" si="236"/>
        <v>0</v>
      </c>
      <c r="H973" s="52" t="str">
        <f t="shared" ca="1" si="237"/>
        <v>Year 7</v>
      </c>
    </row>
    <row r="974" spans="1:8" ht="15" customHeight="1">
      <c r="A974" t="str">
        <f t="shared" ca="1" si="232"/>
        <v/>
      </c>
      <c r="B974" s="52">
        <f t="shared" si="238"/>
        <v>7</v>
      </c>
      <c r="C974" t="str">
        <f t="shared" ca="1" si="233"/>
        <v>Other (Specify)</v>
      </c>
      <c r="D974" t="str">
        <f>ADDRESS($B$922, 9,4  )</f>
        <v>I4</v>
      </c>
      <c r="E974">
        <f t="shared" ca="1" si="234"/>
        <v>0</v>
      </c>
      <c r="F974" t="str">
        <f t="shared" ca="1" si="235"/>
        <v xml:space="preserve">Enter a 'Year 8' value for 'Other (Specify)' in cell I4.
</v>
      </c>
      <c r="G974" s="9" t="str">
        <f t="shared" ca="1" si="236"/>
        <v>0</v>
      </c>
      <c r="H974" s="52" t="str">
        <f t="shared" ca="1" si="237"/>
        <v>Year 8</v>
      </c>
    </row>
    <row r="975" spans="1:8" ht="15" customHeight="1">
      <c r="A975" t="str">
        <f t="shared" ca="1" si="232"/>
        <v/>
      </c>
      <c r="B975" s="52">
        <f t="shared" si="238"/>
        <v>7</v>
      </c>
      <c r="C975" t="str">
        <f t="shared" ca="1" si="233"/>
        <v>Other (Specify)</v>
      </c>
      <c r="D975" t="str">
        <f>ADDRESS($B$922, 10,4  )</f>
        <v>J4</v>
      </c>
      <c r="E975">
        <f t="shared" ca="1" si="234"/>
        <v>0</v>
      </c>
      <c r="F975" t="str">
        <f t="shared" ca="1" si="235"/>
        <v xml:space="preserve">Enter a 'Year 9' value for 'Other (Specify)' in cell J4.
</v>
      </c>
      <c r="G975" s="9" t="str">
        <f t="shared" ca="1" si="236"/>
        <v>0</v>
      </c>
      <c r="H975" s="52" t="str">
        <f t="shared" ca="1" si="237"/>
        <v>Year 9</v>
      </c>
    </row>
    <row r="976" spans="1:8" ht="15" customHeight="1">
      <c r="A976" t="str">
        <f t="shared" ca="1" si="232"/>
        <v/>
      </c>
      <c r="B976" s="52">
        <f t="shared" si="238"/>
        <v>7</v>
      </c>
      <c r="C976" t="str">
        <f t="shared" ca="1" si="233"/>
        <v>Other (Specify)</v>
      </c>
      <c r="D976" t="str">
        <f>ADDRESS($B$922,11,4  )</f>
        <v>K4</v>
      </c>
      <c r="E976">
        <f t="shared" ca="1" si="234"/>
        <v>0</v>
      </c>
      <c r="F976" t="str">
        <f t="shared" ca="1" si="235"/>
        <v xml:space="preserve">Enter a 'Year 10' value for 'Other (Specify)' in cell K4.
</v>
      </c>
      <c r="G976" s="9" t="str">
        <f t="shared" ca="1" si="236"/>
        <v>0</v>
      </c>
      <c r="H976" s="52" t="str">
        <f t="shared" ca="1" si="237"/>
        <v>Year 10</v>
      </c>
    </row>
    <row r="977" spans="1:8" ht="15" customHeight="1">
      <c r="A977" t="str">
        <f t="shared" ca="1" si="232"/>
        <v/>
      </c>
      <c r="B977" s="52">
        <f t="shared" si="238"/>
        <v>7</v>
      </c>
      <c r="C977" t="str">
        <f t="shared" ca="1" si="233"/>
        <v>Other (Specify)</v>
      </c>
      <c r="D977" t="str">
        <f>ADDRESS($B$922,12,4  )</f>
        <v>L4</v>
      </c>
      <c r="E977">
        <f t="shared" ca="1" si="234"/>
        <v>0</v>
      </c>
      <c r="F977" t="str">
        <f t="shared" ca="1" si="235"/>
        <v xml:space="preserve">Enter a 'Year 11' value for 'Other (Specify)' in cell L4.
</v>
      </c>
      <c r="G977" s="9" t="str">
        <f t="shared" ca="1" si="236"/>
        <v>0</v>
      </c>
      <c r="H977" s="52" t="str">
        <f t="shared" ca="1" si="237"/>
        <v>Year 11</v>
      </c>
    </row>
    <row r="978" spans="1:8" ht="15" customHeight="1">
      <c r="A978" t="str">
        <f t="shared" ca="1" si="232"/>
        <v/>
      </c>
      <c r="B978" s="52">
        <f t="shared" si="238"/>
        <v>7</v>
      </c>
      <c r="C978" t="str">
        <f t="shared" ca="1" si="233"/>
        <v>Other (Specify)</v>
      </c>
      <c r="D978" t="str">
        <f>ADDRESS($B$922,13,4  )</f>
        <v>M4</v>
      </c>
      <c r="E978">
        <f t="shared" ca="1" si="234"/>
        <v>0</v>
      </c>
      <c r="F978" t="str">
        <f t="shared" ca="1" si="235"/>
        <v xml:space="preserve">Enter a 'Year 12' value for 'Other (Specify)' in cell M4.
</v>
      </c>
      <c r="G978" s="9" t="str">
        <f t="shared" ca="1" si="236"/>
        <v>0</v>
      </c>
      <c r="H978" s="52" t="str">
        <f t="shared" ca="1" si="237"/>
        <v>Year 12</v>
      </c>
    </row>
    <row r="979" spans="1:8" ht="15" customHeight="1">
      <c r="A979" t="str">
        <f t="shared" ca="1" si="232"/>
        <v/>
      </c>
      <c r="B979" s="52">
        <f t="shared" si="238"/>
        <v>7</v>
      </c>
      <c r="C979" t="str">
        <f t="shared" ca="1" si="233"/>
        <v>Other (Specify)</v>
      </c>
      <c r="D979" t="str">
        <f>ADDRESS($B$922,14,4  )</f>
        <v>N4</v>
      </c>
      <c r="E979">
        <f t="shared" ca="1" si="234"/>
        <v>0</v>
      </c>
      <c r="F979" t="str">
        <f t="shared" ca="1" si="235"/>
        <v xml:space="preserve">Enter a 'Year 13' value for 'Other (Specify)' in cell N4.
</v>
      </c>
      <c r="G979" s="9" t="str">
        <f t="shared" ca="1" si="236"/>
        <v>0</v>
      </c>
      <c r="H979" s="52" t="str">
        <f t="shared" ca="1" si="237"/>
        <v>Year 13</v>
      </c>
    </row>
    <row r="980" spans="1:8" ht="15" customHeight="1">
      <c r="A980" t="str">
        <f t="shared" ca="1" si="232"/>
        <v/>
      </c>
      <c r="B980" s="52">
        <f t="shared" si="238"/>
        <v>7</v>
      </c>
      <c r="C980" t="str">
        <f t="shared" ca="1" si="233"/>
        <v>Other (Specify)</v>
      </c>
      <c r="D980" t="str">
        <f>ADDRESS($B$922,15,4  )</f>
        <v>O4</v>
      </c>
      <c r="E980">
        <f t="shared" ca="1" si="234"/>
        <v>0</v>
      </c>
      <c r="F980" t="str">
        <f t="shared" ca="1" si="235"/>
        <v xml:space="preserve">Enter a 'Year 14' value for 'Other (Specify)' in cell O4.
</v>
      </c>
      <c r="G980" s="9" t="str">
        <f t="shared" ca="1" si="236"/>
        <v>0</v>
      </c>
      <c r="H980" s="52" t="str">
        <f t="shared" ca="1" si="237"/>
        <v>Year 14</v>
      </c>
    </row>
    <row r="981" spans="1:8" ht="15" customHeight="1">
      <c r="A981" t="str">
        <f t="shared" ca="1" si="232"/>
        <v/>
      </c>
      <c r="B981" s="52">
        <f t="shared" si="238"/>
        <v>7</v>
      </c>
      <c r="C981" t="str">
        <f t="shared" ca="1" si="233"/>
        <v>Other (Specify)</v>
      </c>
      <c r="D981" t="str">
        <f>ADDRESS($B$922,16,4  )</f>
        <v>P4</v>
      </c>
      <c r="E981">
        <f t="shared" ca="1" si="234"/>
        <v>0</v>
      </c>
      <c r="F981" t="str">
        <f t="shared" ca="1" si="235"/>
        <v xml:space="preserve">Enter a 'Year 15' value for 'Other (Specify)' in cell P4.
</v>
      </c>
      <c r="G981" s="9" t="str">
        <f t="shared" ca="1" si="236"/>
        <v>0</v>
      </c>
      <c r="H981" s="52" t="str">
        <f t="shared" ca="1" si="237"/>
        <v>Year 15</v>
      </c>
    </row>
    <row r="982" spans="1:8" ht="15" customHeight="1">
      <c r="A982" t="str">
        <f ca="1">IF(E982="",F982, "")</f>
        <v/>
      </c>
      <c r="B982">
        <f>ROW('Proforma, Income &amp; Expense'!B12)</f>
        <v>12</v>
      </c>
      <c r="C982" t="str">
        <f t="shared" ca="1" si="233"/>
        <v>Laundry Revenue</v>
      </c>
      <c r="D982" t="str">
        <f>ADDRESS(B982, 2,4  )</f>
        <v>B12</v>
      </c>
      <c r="E982">
        <f t="shared" ca="1" si="234"/>
        <v>0</v>
      </c>
      <c r="F982" t="str">
        <f ca="1">CONCATENATE("Enter a value for '", C982, "' in cell ", D982, ".", CHAR(10))</f>
        <v xml:space="preserve">Enter a value for 'Laundry Revenue' in cell B12.
</v>
      </c>
      <c r="G982" s="9" t="str">
        <f t="shared" ca="1" si="236"/>
        <v>0</v>
      </c>
    </row>
    <row r="983" spans="1:8" ht="15" customHeight="1">
      <c r="A983" t="str">
        <f ca="1">IF(AND(OR(Calculations!$B$3:$B$4), E983=""), F983, "")</f>
        <v/>
      </c>
      <c r="B983" s="52">
        <f>B982</f>
        <v>12</v>
      </c>
      <c r="C983" t="str">
        <f t="shared" ca="1" si="233"/>
        <v>Laundry Revenue</v>
      </c>
      <c r="D983" t="str">
        <f>ADDRESS(B982, 3,4  )</f>
        <v>C12</v>
      </c>
      <c r="E983">
        <f t="shared" ca="1" si="234"/>
        <v>0</v>
      </c>
      <c r="F983" t="str">
        <f ca="1">CONCATENATE("Enter an 'Amount Last Provided to CHFA' value for '", C983, "' in cell ", D983, ".", CHAR(10))</f>
        <v xml:space="preserve">Enter an 'Amount Last Provided to CHFA' value for 'Laundry Revenue' in cell C12.
</v>
      </c>
      <c r="G983" s="9" t="str">
        <f t="shared" ca="1" si="236"/>
        <v>0</v>
      </c>
    </row>
    <row r="984" spans="1:8" ht="15" customHeight="1">
      <c r="A984" t="str">
        <f ca="1">IF(E984="",F984, "")</f>
        <v/>
      </c>
      <c r="B984">
        <f>ROW('Proforma, Income &amp; Expense'!B13)</f>
        <v>13</v>
      </c>
      <c r="C984" t="str">
        <f t="shared" ca="1" si="233"/>
        <v>Parking Revenue</v>
      </c>
      <c r="D984" t="str">
        <f>ADDRESS(B984, 2,4  )</f>
        <v>B13</v>
      </c>
      <c r="E984">
        <f t="shared" ca="1" si="234"/>
        <v>0</v>
      </c>
      <c r="F984" t="str">
        <f ca="1">CONCATENATE("Enter a value for '", C984, "' in cell ", D984, ".", CHAR(10))</f>
        <v xml:space="preserve">Enter a value for 'Parking Revenue' in cell B13.
</v>
      </c>
      <c r="G984" s="9" t="str">
        <f t="shared" ca="1" si="236"/>
        <v>0</v>
      </c>
    </row>
    <row r="985" spans="1:8" ht="15" customHeight="1">
      <c r="A985" t="str">
        <f ca="1">IF(AND(OR(Calculations!$B$3:$B$4), E985=""), F985, "")</f>
        <v/>
      </c>
      <c r="B985" s="52">
        <f>B984</f>
        <v>13</v>
      </c>
      <c r="C985" t="str">
        <f t="shared" ca="1" si="233"/>
        <v>Parking Revenue</v>
      </c>
      <c r="D985" t="str">
        <f>ADDRESS(B984, 3,4  )</f>
        <v>C13</v>
      </c>
      <c r="E985">
        <f t="shared" ca="1" si="234"/>
        <v>0</v>
      </c>
      <c r="F985" t="str">
        <f ca="1">CONCATENATE("Enter an 'Amount Last Provided to CHFA' value for '", C985, "' in cell ", D985, ".", CHAR(10))</f>
        <v xml:space="preserve">Enter an 'Amount Last Provided to CHFA' value for 'Parking Revenue' in cell C13.
</v>
      </c>
      <c r="G985" s="9" t="str">
        <f t="shared" ca="1" si="236"/>
        <v>0</v>
      </c>
    </row>
    <row r="986" spans="1:8" ht="15" customHeight="1">
      <c r="A986" t="str">
        <f ca="1">IF(E986="",F986, "")</f>
        <v/>
      </c>
      <c r="B986">
        <f>ROW('Proforma, Income &amp; Expense'!B14)</f>
        <v>14</v>
      </c>
      <c r="C986" t="str">
        <f t="shared" ref="C986:C987" ca="1" si="239">INDIRECT($F$920 &amp; ADDRESS(B986, 1,4  ))</f>
        <v>Other (Specify)</v>
      </c>
      <c r="D986" t="str">
        <f>ADDRESS(B986, 2,4  )</f>
        <v>B14</v>
      </c>
      <c r="E986">
        <f t="shared" ref="E986:E987" ca="1" si="240">IF(ISBLANK( INDIRECT($F$920 &amp; D986)),"", INDIRECT($F$920 &amp; D986))</f>
        <v>0</v>
      </c>
      <c r="F986" t="str">
        <f ca="1">CONCATENATE("Enter a value for '", C986, "' in cell ", D986, ".", CHAR(10))</f>
        <v xml:space="preserve">Enter a value for 'Other (Specify)' in cell B14.
</v>
      </c>
      <c r="G986" s="9" t="str">
        <f t="shared" ca="1" si="236"/>
        <v>0</v>
      </c>
    </row>
    <row r="987" spans="1:8" ht="15" customHeight="1">
      <c r="A987" t="str">
        <f ca="1">IF(AND(OR(Calculations!$B$3:$B$4), E987=""), F987, "")</f>
        <v/>
      </c>
      <c r="B987" s="52">
        <f>B986</f>
        <v>14</v>
      </c>
      <c r="C987" t="str">
        <f t="shared" ca="1" si="239"/>
        <v>Other (Specify)</v>
      </c>
      <c r="D987" t="str">
        <f>ADDRESS(B986, 3,4  )</f>
        <v>C14</v>
      </c>
      <c r="E987">
        <f t="shared" ca="1" si="240"/>
        <v>0</v>
      </c>
      <c r="F987" t="str">
        <f ca="1">CONCATENATE("Enter an 'Amount Last Provided to CHFA' value for '", C987, "' in cell ", D987, ".", CHAR(10))</f>
        <v xml:space="preserve">Enter an 'Amount Last Provided to CHFA' value for 'Other (Specify)' in cell C14.
</v>
      </c>
      <c r="G987" s="9" t="str">
        <f t="shared" ref="G987:G1018" ca="1" si="241">OFFSET(G987, -1, 0) &amp; A987</f>
        <v>0</v>
      </c>
    </row>
    <row r="988" spans="1:8" ht="15" customHeight="1">
      <c r="A988" t="str">
        <f ca="1">IF(AND(E988, SUM(E986:E987) &gt; 0), F988, "")</f>
        <v/>
      </c>
      <c r="C988" t="str">
        <f ca="1">INDIRECT($F$920 &amp; ADDRESS(B986, 1,4  ))</f>
        <v>Other (Specify)</v>
      </c>
      <c r="D988" t="str">
        <f>ADDRESS(B986, 1,4  )</f>
        <v>A14</v>
      </c>
      <c r="E988" t="b">
        <f ca="1">INDIRECT($F$920 &amp; D988)="Other (specify)"</f>
        <v>1</v>
      </c>
      <c r="F988" t="str">
        <f ca="1">CONCATENATE("Please specify value for '", C988, "' in cell ", D988, ".", CHAR(10))</f>
        <v xml:space="preserve">Please specify value for 'Other (Specify)' in cell A14.
</v>
      </c>
      <c r="G988" s="9" t="str">
        <f t="shared" ca="1" si="241"/>
        <v>0</v>
      </c>
    </row>
    <row r="989" spans="1:8" ht="15" customHeight="1">
      <c r="A989" t="str">
        <f ca="1">IF(E989="",F989, "")</f>
        <v/>
      </c>
      <c r="B989">
        <f>ROW('Proforma, Income &amp; Expense'!B15)</f>
        <v>15</v>
      </c>
      <c r="C989" t="str">
        <f ca="1">INDIRECT($F$920 &amp; ADDRESS(B989, 1,4  ))</f>
        <v>Other (Specify)</v>
      </c>
      <c r="D989" t="str">
        <f>ADDRESS(B989, 2,4  )</f>
        <v>B15</v>
      </c>
      <c r="E989">
        <f ca="1">IF(ISBLANK( INDIRECT($F$920 &amp; D989)),"", INDIRECT($F$920 &amp; D989))</f>
        <v>0</v>
      </c>
      <c r="F989" t="str">
        <f ca="1">CONCATENATE("Enter a value for '", C989, "' in cell ", D989, ".", CHAR(10))</f>
        <v xml:space="preserve">Enter a value for 'Other (Specify)' in cell B15.
</v>
      </c>
      <c r="G989" s="9" t="str">
        <f t="shared" ca="1" si="241"/>
        <v>0</v>
      </c>
    </row>
    <row r="990" spans="1:8" ht="15" customHeight="1">
      <c r="A990" t="str">
        <f ca="1">IF(AND(OR(Calculations!$B$3:$B$4), E990=""), F990, "")</f>
        <v/>
      </c>
      <c r="B990" s="52">
        <f>B989</f>
        <v>15</v>
      </c>
      <c r="C990" t="str">
        <f ca="1">INDIRECT($F$920 &amp; ADDRESS(B990, 1,4  ))</f>
        <v>Other (Specify)</v>
      </c>
      <c r="D990" t="str">
        <f>ADDRESS(B989, 3,4  )</f>
        <v>C15</v>
      </c>
      <c r="E990">
        <f ca="1">IF(ISBLANK( INDIRECT($F$920 &amp; D990)),"", INDIRECT($F$920 &amp; D990))</f>
        <v>0</v>
      </c>
      <c r="F990" t="str">
        <f ca="1">CONCATENATE("Enter an 'Amount Last Provided to CHFA' value for '", C990, "' in cell ", D990, ".", CHAR(10))</f>
        <v xml:space="preserve">Enter an 'Amount Last Provided to CHFA' value for 'Other (Specify)' in cell C15.
</v>
      </c>
      <c r="G990" s="9" t="str">
        <f t="shared" ca="1" si="241"/>
        <v>0</v>
      </c>
    </row>
    <row r="991" spans="1:8" ht="15" customHeight="1">
      <c r="A991" t="str">
        <f ca="1">IF(AND(E991, SUM(E989:E990) &gt; 0), F991, "")</f>
        <v/>
      </c>
      <c r="C991" t="str">
        <f ca="1">INDIRECT($F$920 &amp; ADDRESS(B989, 1,4  ))</f>
        <v>Other (Specify)</v>
      </c>
      <c r="D991" t="str">
        <f>ADDRESS(B989, 1,4  )</f>
        <v>A15</v>
      </c>
      <c r="E991" t="b">
        <f ca="1">INDIRECT($F$920 &amp; D991)="Other (specify)"</f>
        <v>1</v>
      </c>
      <c r="F991" t="str">
        <f ca="1">CONCATENATE("Please specify value for '", C991, "' in cell ", D991, ".", CHAR(10))</f>
        <v xml:space="preserve">Please specify value for 'Other (Specify)' in cell A15.
</v>
      </c>
      <c r="G991" s="9" t="str">
        <f t="shared" ca="1" si="241"/>
        <v>0</v>
      </c>
    </row>
    <row r="992" spans="1:8" ht="15" customHeight="1">
      <c r="A992" t="str">
        <f ca="1">IF(AND(Calculations!$B$24, E992=""),F992, "")</f>
        <v/>
      </c>
      <c r="B992">
        <f>ROW('Proforma, Income &amp; Expense'!B18)</f>
        <v>18</v>
      </c>
      <c r="C992" t="str">
        <f t="shared" ref="C992:C1014" ca="1" si="242">INDIRECT($F$920 &amp; ADDRESS(B992, 1,4  ))</f>
        <v>Total Annual Retail/Commercial Income</v>
      </c>
      <c r="D992" t="str">
        <f>ADDRESS(B992, 2,4  )</f>
        <v>B18</v>
      </c>
      <c r="E992">
        <f t="shared" ref="E992:E1014" ca="1" si="243">IF(ISBLANK( INDIRECT($F$920 &amp; D992)),"", INDIRECT($F$920 &amp; D992))</f>
        <v>0</v>
      </c>
      <c r="F992" t="str">
        <f ca="1">CONCATENATE("Enter a value for '", C992, "' in cell ", D992, ".", CHAR(10))</f>
        <v xml:space="preserve">Enter a value for 'Total Annual Retail/Commercial Income' in cell B18.
</v>
      </c>
      <c r="G992" s="9" t="str">
        <f t="shared" ca="1" si="241"/>
        <v>0</v>
      </c>
    </row>
    <row r="993" spans="1:7" ht="15" customHeight="1">
      <c r="A993" t="str">
        <f ca="1">IF(E993="",F993, "")</f>
        <v/>
      </c>
      <c r="B993">
        <f>ROW('Proforma, Income &amp; Expense'!B22)</f>
        <v>22</v>
      </c>
      <c r="C993" t="str">
        <f t="shared" ca="1" si="242"/>
        <v>Accounting</v>
      </c>
      <c r="D993" t="str">
        <f>ADDRESS(B993, 2,4  )</f>
        <v>B22</v>
      </c>
      <c r="E993">
        <f t="shared" ca="1" si="243"/>
        <v>0</v>
      </c>
      <c r="F993" t="str">
        <f ca="1">CONCATENATE("Enter a residential value for '", C993, "' in cell ", D993, ".", CHAR(10))</f>
        <v xml:space="preserve">Enter a residential value for 'Accounting' in cell B22.
</v>
      </c>
      <c r="G993" s="9" t="str">
        <f t="shared" ca="1" si="241"/>
        <v>0</v>
      </c>
    </row>
    <row r="994" spans="1:7" ht="15" customHeight="1">
      <c r="A994" t="str">
        <f ca="1">IF(AND(OR(Calculations!$B$3:$B$4), E994=""), F994, "")</f>
        <v/>
      </c>
      <c r="B994" s="52">
        <f>B993</f>
        <v>22</v>
      </c>
      <c r="C994" t="str">
        <f t="shared" ca="1" si="242"/>
        <v>Accounting</v>
      </c>
      <c r="D994" t="str">
        <f>ADDRESS(B993, 3,4  )</f>
        <v>C22</v>
      </c>
      <c r="E994">
        <f t="shared" ca="1" si="243"/>
        <v>0</v>
      </c>
      <c r="F994" t="str">
        <f ca="1">CONCATENATE("Enter a residential 'Amount Last Provided to CHFA' value for '", C994, "' in cell ", D994, ".", CHAR(10))</f>
        <v xml:space="preserve">Enter a residential 'Amount Last Provided to CHFA' value for 'Accounting' in cell C22.
</v>
      </c>
      <c r="G994" s="9" t="str">
        <f t="shared" ca="1" si="241"/>
        <v>0</v>
      </c>
    </row>
    <row r="995" spans="1:7" ht="15" customHeight="1">
      <c r="A995" t="str">
        <f ca="1">IF(E995="",F995, "")</f>
        <v/>
      </c>
      <c r="B995">
        <f>ROW('Proforma, Income &amp; Expense'!B23)</f>
        <v>23</v>
      </c>
      <c r="C995" t="str">
        <f t="shared" ca="1" si="242"/>
        <v>Advertising</v>
      </c>
      <c r="D995" t="str">
        <f>ADDRESS(B995, 2,4  )</f>
        <v>B23</v>
      </c>
      <c r="E995">
        <f t="shared" ca="1" si="243"/>
        <v>0</v>
      </c>
      <c r="F995" t="str">
        <f ca="1">CONCATENATE("Enter a residential value for '", C995, "' in cell ", D995, ".", CHAR(10))</f>
        <v xml:space="preserve">Enter a residential value for 'Advertising' in cell B23.
</v>
      </c>
      <c r="G995" s="9" t="str">
        <f t="shared" ca="1" si="241"/>
        <v>0</v>
      </c>
    </row>
    <row r="996" spans="1:7" ht="15" customHeight="1">
      <c r="A996" t="str">
        <f ca="1">IF(AND(OR(Calculations!$B$3:$B$4), E996=""), F996, "")</f>
        <v/>
      </c>
      <c r="B996" s="52">
        <f>B995</f>
        <v>23</v>
      </c>
      <c r="C996" t="str">
        <f t="shared" ca="1" si="242"/>
        <v>Advertising</v>
      </c>
      <c r="D996" t="str">
        <f>ADDRESS(B995, 3,4  )</f>
        <v>C23</v>
      </c>
      <c r="E996">
        <f t="shared" ca="1" si="243"/>
        <v>0</v>
      </c>
      <c r="F996" t="str">
        <f ca="1">CONCATENATE("Enter a residential 'Amount Last Provided to CHFA' value for '", C996, "' in cell ", D996, ".", CHAR(10))</f>
        <v xml:space="preserve">Enter a residential 'Amount Last Provided to CHFA' value for 'Advertising' in cell C23.
</v>
      </c>
      <c r="G996" s="9" t="str">
        <f t="shared" ca="1" si="241"/>
        <v>0</v>
      </c>
    </row>
    <row r="997" spans="1:7" ht="15" customHeight="1">
      <c r="A997" t="str">
        <f ca="1">IF(E997="",F997, "")</f>
        <v/>
      </c>
      <c r="B997">
        <f>ROW('Proforma, Income &amp; Expense'!B24)</f>
        <v>24</v>
      </c>
      <c r="C997" t="str">
        <f t="shared" ca="1" si="242"/>
        <v>Legal</v>
      </c>
      <c r="D997" t="str">
        <f>ADDRESS(B997, 2,4  )</f>
        <v>B24</v>
      </c>
      <c r="E997">
        <f t="shared" ca="1" si="243"/>
        <v>0</v>
      </c>
      <c r="F997" t="str">
        <f ca="1">CONCATENATE("Enter a residential value for '", C997, "' in cell ", D997, ".", CHAR(10))</f>
        <v xml:space="preserve">Enter a residential value for 'Legal' in cell B24.
</v>
      </c>
      <c r="G997" s="9" t="str">
        <f t="shared" ca="1" si="241"/>
        <v>0</v>
      </c>
    </row>
    <row r="998" spans="1:7" ht="15" customHeight="1">
      <c r="A998" t="str">
        <f ca="1">IF(AND(OR(Calculations!$B$3:$B$4), E998=""), F998, "")</f>
        <v/>
      </c>
      <c r="B998" s="52">
        <f>B997</f>
        <v>24</v>
      </c>
      <c r="C998" t="str">
        <f t="shared" ca="1" si="242"/>
        <v>Legal</v>
      </c>
      <c r="D998" t="str">
        <f>ADDRESS(B997, 3,4  )</f>
        <v>C24</v>
      </c>
      <c r="E998">
        <f t="shared" ca="1" si="243"/>
        <v>0</v>
      </c>
      <c r="F998" t="str">
        <f ca="1">CONCATENATE("Enter a residential 'Amount Last Provided to CHFA' value for '", C998, "' in cell ", D998, ".", CHAR(10))</f>
        <v xml:space="preserve">Enter a residential 'Amount Last Provided to CHFA' value for 'Legal' in cell C24.
</v>
      </c>
      <c r="G998" s="9" t="str">
        <f t="shared" ca="1" si="241"/>
        <v>0</v>
      </c>
    </row>
    <row r="999" spans="1:7" ht="15" customHeight="1">
      <c r="A999" t="str">
        <f ca="1">IF(E999="",F999, "")</f>
        <v/>
      </c>
      <c r="B999">
        <f>ROW('Proforma, Income &amp; Expense'!B25)</f>
        <v>25</v>
      </c>
      <c r="C999" t="str">
        <f t="shared" ca="1" si="242"/>
        <v>Leased Equipment</v>
      </c>
      <c r="D999" t="str">
        <f>ADDRESS(B999, 2,4  )</f>
        <v>B25</v>
      </c>
      <c r="E999">
        <f t="shared" ca="1" si="243"/>
        <v>0</v>
      </c>
      <c r="F999" t="str">
        <f ca="1">CONCATENATE("Enter a residential value for '", C999, "' in cell ", D999, ".", CHAR(10))</f>
        <v xml:space="preserve">Enter a residential value for 'Leased Equipment' in cell B25.
</v>
      </c>
      <c r="G999" s="9" t="str">
        <f t="shared" ca="1" si="241"/>
        <v>0</v>
      </c>
    </row>
    <row r="1000" spans="1:7" ht="15" customHeight="1">
      <c r="A1000" t="str">
        <f ca="1">IF(AND(OR(Calculations!$B$3:$B$4), E1000=""), F1000, "")</f>
        <v/>
      </c>
      <c r="B1000" s="52">
        <f>B999</f>
        <v>25</v>
      </c>
      <c r="C1000" t="str">
        <f t="shared" ca="1" si="242"/>
        <v>Leased Equipment</v>
      </c>
      <c r="D1000" t="str">
        <f>ADDRESS(B999, 3,4  )</f>
        <v>C25</v>
      </c>
      <c r="E1000">
        <f t="shared" ca="1" si="243"/>
        <v>0</v>
      </c>
      <c r="F1000" t="str">
        <f ca="1">CONCATENATE("Enter a residential 'Amount Last Provided to CHFA' value for '", C1000, "' in cell ", D1000, ".", CHAR(10))</f>
        <v xml:space="preserve">Enter a residential 'Amount Last Provided to CHFA' value for 'Leased Equipment' in cell C25.
</v>
      </c>
      <c r="G1000" s="9" t="str">
        <f t="shared" ca="1" si="241"/>
        <v>0</v>
      </c>
    </row>
    <row r="1001" spans="1:7" ht="15" customHeight="1">
      <c r="A1001" t="str">
        <f ca="1">IF(E1001="",F1001, "")</f>
        <v/>
      </c>
      <c r="B1001">
        <f>ROW('Proforma, Income &amp; Expense'!B26)</f>
        <v>26</v>
      </c>
      <c r="C1001" t="str">
        <f t="shared" ca="1" si="242"/>
        <v>Management Fees</v>
      </c>
      <c r="D1001" t="str">
        <f>ADDRESS(B1001, 2,4  )</f>
        <v>B26</v>
      </c>
      <c r="E1001">
        <f t="shared" ca="1" si="243"/>
        <v>0</v>
      </c>
      <c r="F1001" t="str">
        <f ca="1">CONCATENATE("Enter a residential value for '", C1001, "' in cell ", D1001, ".", CHAR(10))</f>
        <v xml:space="preserve">Enter a residential value for 'Management Fees' in cell B26.
</v>
      </c>
      <c r="G1001" s="9" t="str">
        <f t="shared" ca="1" si="241"/>
        <v>0</v>
      </c>
    </row>
    <row r="1002" spans="1:7" ht="15" customHeight="1">
      <c r="A1002" t="str">
        <f ca="1">IF(AND(OR(Calculations!$B$3:$B$4), E1002=""), F1002, "")</f>
        <v/>
      </c>
      <c r="B1002" s="52">
        <f>B1001</f>
        <v>26</v>
      </c>
      <c r="C1002" t="str">
        <f t="shared" ca="1" si="242"/>
        <v>Management Fees</v>
      </c>
      <c r="D1002" t="str">
        <f>ADDRESS(B1001, 3,4  )</f>
        <v>C26</v>
      </c>
      <c r="E1002">
        <f t="shared" ca="1" si="243"/>
        <v>0</v>
      </c>
      <c r="F1002" t="str">
        <f ca="1">CONCATENATE("Enter a residential 'Amount Last Provided to CHFA' value for '", C1002, "' in cell ", D1002, ".", CHAR(10))</f>
        <v xml:space="preserve">Enter a residential 'Amount Last Provided to CHFA' value for 'Management Fees' in cell C26.
</v>
      </c>
      <c r="G1002" s="9" t="str">
        <f t="shared" ca="1" si="241"/>
        <v>0</v>
      </c>
    </row>
    <row r="1003" spans="1:7" ht="15" customHeight="1">
      <c r="A1003" t="str">
        <f ca="1">IF(E1003="",F1003, "")</f>
        <v/>
      </c>
      <c r="B1003">
        <f>ROW('Proforma, Income &amp; Expense'!B27)</f>
        <v>27</v>
      </c>
      <c r="C1003" t="str">
        <f t="shared" ca="1" si="242"/>
        <v>Management Salaries</v>
      </c>
      <c r="D1003" t="str">
        <f>ADDRESS(B1003, 2,4  )</f>
        <v>B27</v>
      </c>
      <c r="E1003">
        <f t="shared" ca="1" si="243"/>
        <v>0</v>
      </c>
      <c r="F1003" t="str">
        <f ca="1">CONCATENATE("Enter a residential value for '", C1003, "' in cell ", D1003, ".", CHAR(10))</f>
        <v xml:space="preserve">Enter a residential value for 'Management Salaries' in cell B27.
</v>
      </c>
      <c r="G1003" s="9" t="str">
        <f t="shared" ca="1" si="241"/>
        <v>0</v>
      </c>
    </row>
    <row r="1004" spans="1:7" ht="15" customHeight="1">
      <c r="A1004" t="str">
        <f ca="1">IF(AND(OR(Calculations!$B$3:$B$4), E1004=""), F1004, "")</f>
        <v/>
      </c>
      <c r="B1004" s="52">
        <f>B1003</f>
        <v>27</v>
      </c>
      <c r="C1004" t="str">
        <f t="shared" ca="1" si="242"/>
        <v>Management Salaries</v>
      </c>
      <c r="D1004" t="str">
        <f>ADDRESS(B1003, 3,4  )</f>
        <v>C27</v>
      </c>
      <c r="E1004">
        <f t="shared" ca="1" si="243"/>
        <v>0</v>
      </c>
      <c r="F1004" t="str">
        <f ca="1">CONCATENATE("Enter a residential 'Amount Last Provided to CHFA' value for '", C1004, "' in cell ", D1004, ".", CHAR(10))</f>
        <v xml:space="preserve">Enter a residential 'Amount Last Provided to CHFA' value for 'Management Salaries' in cell C27.
</v>
      </c>
      <c r="G1004" s="9" t="str">
        <f t="shared" ca="1" si="241"/>
        <v>0</v>
      </c>
    </row>
    <row r="1005" spans="1:7" ht="15" customHeight="1">
      <c r="A1005" t="str">
        <f ca="1">IF(E1005="",F1005, "")</f>
        <v/>
      </c>
      <c r="B1005">
        <f>ROW('Proforma, Income &amp; Expense'!B28)</f>
        <v>28</v>
      </c>
      <c r="C1005" t="str">
        <f t="shared" ca="1" si="242"/>
        <v>Management Payroll Tax</v>
      </c>
      <c r="D1005" t="str">
        <f>ADDRESS(B1005, 2,4  )</f>
        <v>B28</v>
      </c>
      <c r="E1005">
        <f t="shared" ca="1" si="243"/>
        <v>0</v>
      </c>
      <c r="F1005" t="str">
        <f ca="1">CONCATENATE("Enter a residential value for '", C1005, "' in cell ", D1005, ".", CHAR(10))</f>
        <v xml:space="preserve">Enter a residential value for 'Management Payroll Tax' in cell B28.
</v>
      </c>
      <c r="G1005" s="9" t="str">
        <f t="shared" ca="1" si="241"/>
        <v>0</v>
      </c>
    </row>
    <row r="1006" spans="1:7" ht="15" customHeight="1">
      <c r="A1006" t="str">
        <f ca="1">IF(AND(OR(Calculations!$B$3:$B$4), E1006=""), F1006, "")</f>
        <v/>
      </c>
      <c r="B1006" s="52">
        <f>B1005</f>
        <v>28</v>
      </c>
      <c r="C1006" t="str">
        <f t="shared" ca="1" si="242"/>
        <v>Management Payroll Tax</v>
      </c>
      <c r="D1006" t="str">
        <f>ADDRESS(B1005, 3,4  )</f>
        <v>C28</v>
      </c>
      <c r="E1006">
        <f t="shared" ca="1" si="243"/>
        <v>0</v>
      </c>
      <c r="F1006" t="str">
        <f ca="1">CONCATENATE("Enter a residential 'Amount Last Provided to CHFA' value for '", C1006, "' in cell ", D1006, ".", CHAR(10))</f>
        <v xml:space="preserve">Enter a residential 'Amount Last Provided to CHFA' value for 'Management Payroll Tax' in cell C28.
</v>
      </c>
      <c r="G1006" s="9" t="str">
        <f t="shared" ca="1" si="241"/>
        <v>0</v>
      </c>
    </row>
    <row r="1007" spans="1:7" ht="15" customHeight="1">
      <c r="A1007" t="str">
        <f ca="1">IF(E1007="",F1007, "")</f>
        <v/>
      </c>
      <c r="B1007">
        <f>ROW('Proforma, Income &amp; Expense'!B29)</f>
        <v>29</v>
      </c>
      <c r="C1007" t="str">
        <f t="shared" ca="1" si="242"/>
        <v>Model Apartment</v>
      </c>
      <c r="D1007" t="str">
        <f>ADDRESS(B1007, 2,4  )</f>
        <v>B29</v>
      </c>
      <c r="E1007">
        <f t="shared" ca="1" si="243"/>
        <v>0</v>
      </c>
      <c r="F1007" t="str">
        <f ca="1">CONCATENATE("Enter a residential value for '", C1007, "' in cell ", D1007, ".", CHAR(10))</f>
        <v xml:space="preserve">Enter a residential value for 'Model Apartment' in cell B29.
</v>
      </c>
      <c r="G1007" s="9" t="str">
        <f t="shared" ca="1" si="241"/>
        <v>0</v>
      </c>
    </row>
    <row r="1008" spans="1:7" ht="15" customHeight="1">
      <c r="A1008" t="str">
        <f ca="1">IF(AND(OR(Calculations!$B$3:$B$4), E1008=""), F1008, "")</f>
        <v/>
      </c>
      <c r="B1008" s="52">
        <f>B1007</f>
        <v>29</v>
      </c>
      <c r="C1008" t="str">
        <f t="shared" ca="1" si="242"/>
        <v>Model Apartment</v>
      </c>
      <c r="D1008" t="str">
        <f>ADDRESS(B1007, 3,4  )</f>
        <v>C29</v>
      </c>
      <c r="E1008">
        <f t="shared" ca="1" si="243"/>
        <v>0</v>
      </c>
      <c r="F1008" t="str">
        <f ca="1">CONCATENATE("Enter a residential 'Amount Last Provided to CHFA' value for '", C1008, "' in cell ", D1008, ".", CHAR(10))</f>
        <v xml:space="preserve">Enter a residential 'Amount Last Provided to CHFA' value for 'Model Apartment' in cell C29.
</v>
      </c>
      <c r="G1008" s="9" t="str">
        <f t="shared" ca="1" si="241"/>
        <v>0</v>
      </c>
    </row>
    <row r="1009" spans="1:7" ht="15" customHeight="1">
      <c r="A1009" t="str">
        <f ca="1">IF(E1009="",F1009, "")</f>
        <v/>
      </c>
      <c r="B1009">
        <f>ROW('Proforma, Income &amp; Expense'!B30)</f>
        <v>30</v>
      </c>
      <c r="C1009" t="str">
        <f t="shared" ca="1" si="242"/>
        <v>Office Supplies</v>
      </c>
      <c r="D1009" t="str">
        <f>ADDRESS(B1009, 2,4  )</f>
        <v>B30</v>
      </c>
      <c r="E1009">
        <f t="shared" ca="1" si="243"/>
        <v>0</v>
      </c>
      <c r="F1009" t="str">
        <f ca="1">CONCATENATE("Enter a residential value for '", C1009, "' in cell ", D1009, ".", CHAR(10))</f>
        <v xml:space="preserve">Enter a residential value for 'Office Supplies' in cell B30.
</v>
      </c>
      <c r="G1009" s="9" t="str">
        <f t="shared" ca="1" si="241"/>
        <v>0</v>
      </c>
    </row>
    <row r="1010" spans="1:7" ht="15" customHeight="1">
      <c r="A1010" t="str">
        <f ca="1">IF(AND(OR(Calculations!$B$3:$B$4), E1010=""), F1010, "")</f>
        <v/>
      </c>
      <c r="B1010" s="52">
        <f>B1009</f>
        <v>30</v>
      </c>
      <c r="C1010" t="str">
        <f t="shared" ca="1" si="242"/>
        <v>Office Supplies</v>
      </c>
      <c r="D1010" t="str">
        <f>ADDRESS(B1009, 3,4  )</f>
        <v>C30</v>
      </c>
      <c r="E1010">
        <f t="shared" ca="1" si="243"/>
        <v>0</v>
      </c>
      <c r="F1010" t="str">
        <f ca="1">CONCATENATE("Enter a residential 'Amount Last Provided to CHFA' value for '", C1010, "' in cell ", D1010, ".", CHAR(10))</f>
        <v xml:space="preserve">Enter a residential 'Amount Last Provided to CHFA' value for 'Office Supplies' in cell C30.
</v>
      </c>
      <c r="G1010" s="9" t="str">
        <f t="shared" ca="1" si="241"/>
        <v>0</v>
      </c>
    </row>
    <row r="1011" spans="1:7" ht="15" customHeight="1">
      <c r="A1011" t="str">
        <f ca="1">IF(E1011="",F1011, "")</f>
        <v/>
      </c>
      <c r="B1011">
        <f>ROW('Proforma, Income &amp; Expense'!B31)</f>
        <v>31</v>
      </c>
      <c r="C1011" t="str">
        <f t="shared" ca="1" si="242"/>
        <v>Telephone</v>
      </c>
      <c r="D1011" t="str">
        <f>ADDRESS(B1011, 2,4  )</f>
        <v>B31</v>
      </c>
      <c r="E1011">
        <f t="shared" ca="1" si="243"/>
        <v>0</v>
      </c>
      <c r="F1011" t="str">
        <f ca="1">CONCATENATE("Enter a residential value for '", C1011, "' in cell ", D1011, ".", CHAR(10))</f>
        <v xml:space="preserve">Enter a residential value for 'Telephone' in cell B31.
</v>
      </c>
      <c r="G1011" s="9" t="str">
        <f t="shared" ca="1" si="241"/>
        <v>0</v>
      </c>
    </row>
    <row r="1012" spans="1:7" ht="15" customHeight="1">
      <c r="A1012" t="str">
        <f ca="1">IF(AND(OR(Calculations!$B$3:$B$4), E1012=""), F1012, "")</f>
        <v/>
      </c>
      <c r="B1012" s="52">
        <f>B1011</f>
        <v>31</v>
      </c>
      <c r="C1012" t="str">
        <f t="shared" ca="1" si="242"/>
        <v>Telephone</v>
      </c>
      <c r="D1012" t="str">
        <f>ADDRESS(B1011, 3,4  )</f>
        <v>C31</v>
      </c>
      <c r="E1012">
        <f t="shared" ca="1" si="243"/>
        <v>0</v>
      </c>
      <c r="F1012" t="str">
        <f ca="1">CONCATENATE("Enter a residential 'Amount Last Provided to CHFA' value for '", C1012, "' in cell ", D1012, ".", CHAR(10))</f>
        <v xml:space="preserve">Enter a residential 'Amount Last Provided to CHFA' value for 'Telephone' in cell C31.
</v>
      </c>
      <c r="G1012" s="9" t="str">
        <f t="shared" ca="1" si="241"/>
        <v>0</v>
      </c>
    </row>
    <row r="1013" spans="1:7" ht="15" customHeight="1">
      <c r="A1013" t="str">
        <f ca="1">IF(E1013="",F1013, "")</f>
        <v/>
      </c>
      <c r="B1013">
        <f>ROW('Proforma, Income &amp; Expense'!B32)</f>
        <v>32</v>
      </c>
      <c r="C1013" t="str">
        <f t="shared" ca="1" si="242"/>
        <v>Other (Specify)</v>
      </c>
      <c r="D1013" t="str">
        <f>ADDRESS(B1013, 2,4  )</f>
        <v>B32</v>
      </c>
      <c r="E1013">
        <f t="shared" ca="1" si="243"/>
        <v>0</v>
      </c>
      <c r="F1013" t="str">
        <f ca="1">CONCATENATE("Enter a residential value for '", C1013, "' in cell ", D1013, ".", CHAR(10))</f>
        <v xml:space="preserve">Enter a residential value for 'Other (Specify)' in cell B32.
</v>
      </c>
      <c r="G1013" s="9" t="str">
        <f t="shared" ca="1" si="241"/>
        <v>0</v>
      </c>
    </row>
    <row r="1014" spans="1:7" ht="15" customHeight="1">
      <c r="A1014" t="str">
        <f ca="1">IF(AND(OR(Calculations!$B$3:$B$4), E1014=""), F1014, "")</f>
        <v/>
      </c>
      <c r="B1014" s="52">
        <f>B1013</f>
        <v>32</v>
      </c>
      <c r="C1014" t="str">
        <f t="shared" ca="1" si="242"/>
        <v>Other (Specify)</v>
      </c>
      <c r="D1014" t="str">
        <f>ADDRESS(B1013, 3,4  )</f>
        <v>C32</v>
      </c>
      <c r="E1014">
        <f t="shared" ca="1" si="243"/>
        <v>0</v>
      </c>
      <c r="F1014" t="str">
        <f ca="1">CONCATENATE("Enter a residential 'Amount Last Provided to CHFA' value for '", C1014, "' in cell ", D1014, ".", CHAR(10))</f>
        <v xml:space="preserve">Enter a residential 'Amount Last Provided to CHFA' value for 'Other (Specify)' in cell C32.
</v>
      </c>
      <c r="G1014" s="9" t="str">
        <f t="shared" ca="1" si="241"/>
        <v>0</v>
      </c>
    </row>
    <row r="1015" spans="1:7" ht="15" customHeight="1">
      <c r="A1015" t="str">
        <f ca="1">IF(AND(E1015, SUM(E1013:E1014) &gt; 0), F1015, "")</f>
        <v/>
      </c>
      <c r="C1015" t="str">
        <f ca="1">INDIRECT($F$920 &amp; ADDRESS(B1014, 1,4  ))</f>
        <v>Other (Specify)</v>
      </c>
      <c r="D1015" t="str">
        <f>ADDRESS(B1014, 1,4  )</f>
        <v>A32</v>
      </c>
      <c r="E1015" t="b">
        <f ca="1">INDIRECT($F$920 &amp; D1015)="Other (specify)"</f>
        <v>1</v>
      </c>
      <c r="F1015" t="str">
        <f ca="1">CONCATENATE("Please specify value for '", C1015, "' in cell ", D1015, ".", CHAR(10))</f>
        <v xml:space="preserve">Please specify value for 'Other (Specify)' in cell A32.
</v>
      </c>
      <c r="G1015" s="9" t="str">
        <f t="shared" ca="1" si="241"/>
        <v>0</v>
      </c>
    </row>
    <row r="1016" spans="1:7" ht="15" customHeight="1">
      <c r="A1016" t="str">
        <f ca="1">IF(E1016="",F1016, "")</f>
        <v/>
      </c>
      <c r="B1016">
        <f>ROW('Proforma, Income &amp; Expense'!B33)</f>
        <v>33</v>
      </c>
      <c r="C1016" t="str">
        <f ca="1">INDIRECT($F$920 &amp; ADDRESS(B1016, 1,4  ))</f>
        <v>Other (Specify)</v>
      </c>
      <c r="D1016" t="str">
        <f>ADDRESS(B1016, 2,4  )</f>
        <v>B33</v>
      </c>
      <c r="E1016">
        <f ca="1">IF(ISBLANK( INDIRECT($F$920 &amp; D1016)),"", INDIRECT($F$920 &amp; D1016))</f>
        <v>0</v>
      </c>
      <c r="F1016" t="str">
        <f ca="1">CONCATENATE("Enter a residential value for '", C1016, "' in cell ", D1016, ".", CHAR(10))</f>
        <v xml:space="preserve">Enter a residential value for 'Other (Specify)' in cell B33.
</v>
      </c>
      <c r="G1016" s="9" t="str">
        <f t="shared" ca="1" si="241"/>
        <v>0</v>
      </c>
    </row>
    <row r="1017" spans="1:7" ht="15" customHeight="1">
      <c r="A1017" t="str">
        <f ca="1">IF(AND(OR(Calculations!$B$3:$B$4), E1017=""), F1017, "")</f>
        <v/>
      </c>
      <c r="B1017" s="52">
        <f>B1016</f>
        <v>33</v>
      </c>
      <c r="C1017" t="str">
        <f ca="1">INDIRECT($F$920 &amp; ADDRESS(B1017, 1,4  ))</f>
        <v>Other (Specify)</v>
      </c>
      <c r="D1017" t="str">
        <f>ADDRESS(B1016, 3,4  )</f>
        <v>C33</v>
      </c>
      <c r="E1017">
        <f ca="1">IF(ISBLANK( INDIRECT($F$920 &amp; D1017)),"", INDIRECT($F$920 &amp; D1017))</f>
        <v>0</v>
      </c>
      <c r="F1017" t="str">
        <f ca="1">CONCATENATE("Enter a residential 'Amount Last Provided to CHFA' value for '", C1017, "' in cell ", D1017, ".", CHAR(10))</f>
        <v xml:space="preserve">Enter a residential 'Amount Last Provided to CHFA' value for 'Other (Specify)' in cell C33.
</v>
      </c>
      <c r="G1017" s="9" t="str">
        <f t="shared" ca="1" si="241"/>
        <v>0</v>
      </c>
    </row>
    <row r="1018" spans="1:7" ht="15" customHeight="1">
      <c r="A1018" t="str">
        <f ca="1">IF(AND(E1018, SUM(E1016:E1017) &gt; 0), F1018, "")</f>
        <v/>
      </c>
      <c r="C1018" t="str">
        <f ca="1">INDIRECT($F$920 &amp; ADDRESS(B1017, 1,4  ))</f>
        <v>Other (Specify)</v>
      </c>
      <c r="D1018" t="str">
        <f>ADDRESS(B1017, 1,4  )</f>
        <v>A33</v>
      </c>
      <c r="E1018" t="b">
        <f ca="1">INDIRECT($F$920 &amp; D1018)="Other (specify)"</f>
        <v>1</v>
      </c>
      <c r="F1018" t="str">
        <f ca="1">CONCATENATE("Please specify value for '", C1018, "' in cell ", D1018, ".", CHAR(10))</f>
        <v xml:space="preserve">Please specify value for 'Other (Specify)' in cell A33.
</v>
      </c>
      <c r="G1018" s="9" t="str">
        <f t="shared" ca="1" si="241"/>
        <v>0</v>
      </c>
    </row>
    <row r="1019" spans="1:7" ht="15" customHeight="1">
      <c r="A1019" t="str">
        <f ca="1">IF(E1019="",F1019, "")</f>
        <v/>
      </c>
      <c r="B1019">
        <f>ROW('Proforma, Income &amp; Expense'!B34)</f>
        <v>34</v>
      </c>
      <c r="C1019" t="str">
        <f ca="1">INDIRECT($F$920 &amp; ADDRESS(B1019, 1,4  ))</f>
        <v>Other (Specify)</v>
      </c>
      <c r="D1019" t="str">
        <f>ADDRESS(B1019, 2,4  )</f>
        <v>B34</v>
      </c>
      <c r="E1019">
        <f ca="1">IF(ISBLANK( INDIRECT($F$920 &amp; D1019)),"", INDIRECT($F$920 &amp; D1019))</f>
        <v>0</v>
      </c>
      <c r="F1019" t="str">
        <f ca="1">CONCATENATE("Enter a residential value for '", C1019, "' in cell ", D1019, ".", CHAR(10))</f>
        <v xml:space="preserve">Enter a residential value for 'Other (Specify)' in cell B34.
</v>
      </c>
      <c r="G1019" s="9" t="str">
        <f t="shared" ref="G1019:G1050" ca="1" si="244">OFFSET(G1019, -1, 0) &amp; A1019</f>
        <v>0</v>
      </c>
    </row>
    <row r="1020" spans="1:7" ht="15" customHeight="1">
      <c r="A1020" t="str">
        <f ca="1">IF(AND(OR(Calculations!$B$3:$B$4), E1020=""), F1020, "")</f>
        <v/>
      </c>
      <c r="B1020" s="52">
        <f>B1019</f>
        <v>34</v>
      </c>
      <c r="C1020" t="str">
        <f ca="1">INDIRECT($F$920 &amp; ADDRESS(B1020, 1,4  ))</f>
        <v>Other (Specify)</v>
      </c>
      <c r="D1020" t="str">
        <f>ADDRESS(B1019, 3,4  )</f>
        <v>C34</v>
      </c>
      <c r="E1020">
        <f ca="1">IF(ISBLANK( INDIRECT($F$920 &amp; D1020)),"", INDIRECT($F$920 &amp; D1020))</f>
        <v>0</v>
      </c>
      <c r="F1020" t="str">
        <f ca="1">CONCATENATE("Enter a residential 'Amount Last Provided to CHFA' value for '", C1020, "' in cell ", D1020, ".", CHAR(10))</f>
        <v xml:space="preserve">Enter a residential 'Amount Last Provided to CHFA' value for 'Other (Specify)' in cell C34.
</v>
      </c>
      <c r="G1020" s="9" t="str">
        <f t="shared" ca="1" si="244"/>
        <v>0</v>
      </c>
    </row>
    <row r="1021" spans="1:7" ht="15" customHeight="1">
      <c r="A1021" t="str">
        <f ca="1">IF(AND(E1021, SUM(E1019:E1020) &gt; 0), F1021, "")</f>
        <v/>
      </c>
      <c r="C1021" t="str">
        <f ca="1">INDIRECT($F$920 &amp; ADDRESS(B1020, 1,4  ))</f>
        <v>Other (Specify)</v>
      </c>
      <c r="D1021" t="str">
        <f>ADDRESS(B1020, 1,4  )</f>
        <v>A34</v>
      </c>
      <c r="E1021" t="b">
        <f ca="1">INDIRECT($F$920 &amp; D1021)="Other (specify)"</f>
        <v>1</v>
      </c>
      <c r="F1021" t="str">
        <f ca="1">CONCATENATE("Please specify value for '", C1021, "' in cell ", D1021, ".", CHAR(10))</f>
        <v xml:space="preserve">Please specify value for 'Other (Specify)' in cell A34.
</v>
      </c>
      <c r="G1021" s="9" t="str">
        <f t="shared" ca="1" si="244"/>
        <v>0</v>
      </c>
    </row>
    <row r="1022" spans="1:7" ht="15" customHeight="1">
      <c r="A1022" t="str">
        <f ca="1">IF(E1022="",F1022, "")</f>
        <v/>
      </c>
      <c r="B1022">
        <f>ROW('Proforma, Income &amp; Expense'!B37)</f>
        <v>37</v>
      </c>
      <c r="C1022" t="str">
        <f t="shared" ref="C1022:C1039" ca="1" si="245">INDIRECT($F$920 &amp; ADDRESS(B1022, 1,4  ))</f>
        <v>Fuel (Heat/Water)</v>
      </c>
      <c r="D1022" t="str">
        <f>ADDRESS(B1022, 2,4  )</f>
        <v>B37</v>
      </c>
      <c r="E1022">
        <f t="shared" ref="E1022:E1039" ca="1" si="246">IF(ISBLANK( INDIRECT($F$920 &amp; D1022)),"", INDIRECT($F$920 &amp; D1022))</f>
        <v>0</v>
      </c>
      <c r="F1022" t="str">
        <f ca="1">CONCATENATE("Enter a residential value for '", C1022, "' in cell ", D1022, ".", CHAR(10))</f>
        <v xml:space="preserve">Enter a residential value for 'Fuel (Heat/Water)' in cell B37.
</v>
      </c>
      <c r="G1022" s="9" t="str">
        <f t="shared" ca="1" si="244"/>
        <v>0</v>
      </c>
    </row>
    <row r="1023" spans="1:7" ht="15" customHeight="1">
      <c r="A1023" t="str">
        <f ca="1">IF(AND(OR(Calculations!$B$3:$B$4), E1023=""), F1023, "")</f>
        <v/>
      </c>
      <c r="B1023" s="52">
        <f>B1022</f>
        <v>37</v>
      </c>
      <c r="C1023" t="str">
        <f t="shared" ca="1" si="245"/>
        <v>Fuel (Heat/Water)</v>
      </c>
      <c r="D1023" t="str">
        <f>ADDRESS(B1022, 3,4  )</f>
        <v>C37</v>
      </c>
      <c r="E1023">
        <f t="shared" ca="1" si="246"/>
        <v>0</v>
      </c>
      <c r="F1023" t="str">
        <f ca="1">CONCATENATE("Enter a residential 'Amount Last Provided to CHFA' value for '", C1023, "' in cell ", D1023, ".", CHAR(10))</f>
        <v xml:space="preserve">Enter a residential 'Amount Last Provided to CHFA' value for 'Fuel (Heat/Water)' in cell C37.
</v>
      </c>
      <c r="G1023" s="9" t="str">
        <f t="shared" ca="1" si="244"/>
        <v>0</v>
      </c>
    </row>
    <row r="1024" spans="1:7" ht="15" customHeight="1">
      <c r="A1024" t="str">
        <f ca="1">IF(E1024="",F1024, "")</f>
        <v/>
      </c>
      <c r="B1024">
        <f>ROW('Proforma, Income &amp; Expense'!B38)</f>
        <v>38</v>
      </c>
      <c r="C1024" t="str">
        <f t="shared" ca="1" si="245"/>
        <v>Electricity</v>
      </c>
      <c r="D1024" t="str">
        <f>ADDRESS(B1024, 2,4  )</f>
        <v>B38</v>
      </c>
      <c r="E1024">
        <f t="shared" ca="1" si="246"/>
        <v>0</v>
      </c>
      <c r="F1024" t="str">
        <f ca="1">CONCATENATE("Enter a residential value for '", C1024, "' in cell ", D1024, ".", CHAR(10))</f>
        <v xml:space="preserve">Enter a residential value for 'Electricity' in cell B38.
</v>
      </c>
      <c r="G1024" s="9" t="str">
        <f t="shared" ca="1" si="244"/>
        <v>0</v>
      </c>
    </row>
    <row r="1025" spans="1:7" ht="15" customHeight="1">
      <c r="A1025" t="str">
        <f ca="1">IF(AND(OR(Calculations!$B$3:$B$4), E1025=""), F1025, "")</f>
        <v/>
      </c>
      <c r="B1025" s="52">
        <f>B1024</f>
        <v>38</v>
      </c>
      <c r="C1025" t="str">
        <f t="shared" ca="1" si="245"/>
        <v>Electricity</v>
      </c>
      <c r="D1025" t="str">
        <f>ADDRESS(B1024, 3,4  )</f>
        <v>C38</v>
      </c>
      <c r="E1025">
        <f t="shared" ca="1" si="246"/>
        <v>0</v>
      </c>
      <c r="F1025" t="str">
        <f ca="1">CONCATENATE("Enter a residential 'Amount Last Provided to CHFA' value for '", C1025, "' in cell ", D1025, ".", CHAR(10))</f>
        <v xml:space="preserve">Enter a residential 'Amount Last Provided to CHFA' value for 'Electricity' in cell C38.
</v>
      </c>
      <c r="G1025" s="9" t="str">
        <f t="shared" ca="1" si="244"/>
        <v>0</v>
      </c>
    </row>
    <row r="1026" spans="1:7" ht="15" customHeight="1">
      <c r="A1026" t="str">
        <f ca="1">IF(E1026="",F1026, "")</f>
        <v/>
      </c>
      <c r="B1026">
        <f>ROW('Proforma, Income &amp; Expense'!B39)</f>
        <v>39</v>
      </c>
      <c r="C1026" t="str">
        <f t="shared" ca="1" si="245"/>
        <v>Water</v>
      </c>
      <c r="D1026" t="str">
        <f>ADDRESS(B1026, 2,4  )</f>
        <v>B39</v>
      </c>
      <c r="E1026">
        <f t="shared" ca="1" si="246"/>
        <v>0</v>
      </c>
      <c r="F1026" t="str">
        <f ca="1">CONCATENATE("Enter a residential value for '", C1026, "' in cell ", D1026, ".", CHAR(10))</f>
        <v xml:space="preserve">Enter a residential value for 'Water' in cell B39.
</v>
      </c>
      <c r="G1026" s="9" t="str">
        <f t="shared" ca="1" si="244"/>
        <v>0</v>
      </c>
    </row>
    <row r="1027" spans="1:7" ht="15" customHeight="1">
      <c r="A1027" t="str">
        <f ca="1">IF(AND(OR(Calculations!$B$3:$B$4), E1027=""), F1027, "")</f>
        <v/>
      </c>
      <c r="B1027" s="52">
        <f>B1026</f>
        <v>39</v>
      </c>
      <c r="C1027" t="str">
        <f t="shared" ca="1" si="245"/>
        <v>Water</v>
      </c>
      <c r="D1027" t="str">
        <f>ADDRESS(B1026, 3,4  )</f>
        <v>C39</v>
      </c>
      <c r="E1027">
        <f t="shared" ca="1" si="246"/>
        <v>0</v>
      </c>
      <c r="F1027" t="str">
        <f ca="1">CONCATENATE("Enter a residential 'Amount Last Provided to CHFA' value for '", C1027, "' in cell ", D1027, ".", CHAR(10))</f>
        <v xml:space="preserve">Enter a residential 'Amount Last Provided to CHFA' value for 'Water' in cell C39.
</v>
      </c>
      <c r="G1027" s="9" t="str">
        <f t="shared" ca="1" si="244"/>
        <v>0</v>
      </c>
    </row>
    <row r="1028" spans="1:7" ht="15" customHeight="1">
      <c r="A1028" t="str">
        <f ca="1">IF(E1028="",F1028, "")</f>
        <v/>
      </c>
      <c r="B1028">
        <f>ROW('Proforma, Income &amp; Expense'!B40)</f>
        <v>40</v>
      </c>
      <c r="C1028" t="str">
        <f t="shared" ca="1" si="245"/>
        <v>Sewer</v>
      </c>
      <c r="D1028" t="str">
        <f>ADDRESS(B1028, 2,4  )</f>
        <v>B40</v>
      </c>
      <c r="E1028">
        <f t="shared" ca="1" si="246"/>
        <v>0</v>
      </c>
      <c r="F1028" t="str">
        <f ca="1">CONCATENATE("Enter a residential value for '", C1028, "' in cell ", D1028, ".", CHAR(10))</f>
        <v xml:space="preserve">Enter a residential value for 'Sewer' in cell B40.
</v>
      </c>
      <c r="G1028" s="9" t="str">
        <f t="shared" ca="1" si="244"/>
        <v>0</v>
      </c>
    </row>
    <row r="1029" spans="1:7" ht="15" customHeight="1">
      <c r="A1029" t="str">
        <f ca="1">IF(AND(OR(Calculations!$B$3:$B$4), E1029=""), F1029, "")</f>
        <v/>
      </c>
      <c r="B1029" s="52">
        <f>B1028</f>
        <v>40</v>
      </c>
      <c r="C1029" t="str">
        <f t="shared" ca="1" si="245"/>
        <v>Sewer</v>
      </c>
      <c r="D1029" t="str">
        <f>ADDRESS(B1028, 3,4  )</f>
        <v>C40</v>
      </c>
      <c r="E1029">
        <f t="shared" ca="1" si="246"/>
        <v>0</v>
      </c>
      <c r="F1029" t="str">
        <f ca="1">CONCATENATE("Enter a residential 'Amount Last Provided to CHFA' value for '", C1029, "' in cell ", D1029, ".", CHAR(10))</f>
        <v xml:space="preserve">Enter a residential 'Amount Last Provided to CHFA' value for 'Sewer' in cell C40.
</v>
      </c>
      <c r="G1029" s="9" t="str">
        <f t="shared" ca="1" si="244"/>
        <v>0</v>
      </c>
    </row>
    <row r="1030" spans="1:7" ht="15" customHeight="1">
      <c r="A1030" t="str">
        <f ca="1">IF(E1030="",F1030, "")</f>
        <v/>
      </c>
      <c r="B1030">
        <f>ROW('Proforma, Income &amp; Expense'!B41)</f>
        <v>41</v>
      </c>
      <c r="C1030" t="str">
        <f t="shared" ca="1" si="245"/>
        <v>Gas</v>
      </c>
      <c r="D1030" t="str">
        <f>ADDRESS(B1030, 2,4  )</f>
        <v>B41</v>
      </c>
      <c r="E1030">
        <f t="shared" ca="1" si="246"/>
        <v>0</v>
      </c>
      <c r="F1030" t="str">
        <f ca="1">CONCATENATE("Enter a residential value for '", C1030, "' in cell ", D1030, ".", CHAR(10))</f>
        <v xml:space="preserve">Enter a residential value for 'Gas' in cell B41.
</v>
      </c>
      <c r="G1030" s="9" t="str">
        <f t="shared" ca="1" si="244"/>
        <v>0</v>
      </c>
    </row>
    <row r="1031" spans="1:7" ht="15" customHeight="1">
      <c r="A1031" t="str">
        <f ca="1">IF(AND(OR(Calculations!$B$3:$B$4), E1031=""), F1031, "")</f>
        <v/>
      </c>
      <c r="B1031" s="52">
        <f>B1030</f>
        <v>41</v>
      </c>
      <c r="C1031" t="str">
        <f t="shared" ca="1" si="245"/>
        <v>Gas</v>
      </c>
      <c r="D1031" t="str">
        <f>ADDRESS(B1030, 3,4  )</f>
        <v>C41</v>
      </c>
      <c r="E1031">
        <f t="shared" ca="1" si="246"/>
        <v>0</v>
      </c>
      <c r="F1031" t="str">
        <f ca="1">CONCATENATE("Enter a residential 'Amount Last Provided to CHFA' value for '", C1031, "' in cell ", D1031, ".", CHAR(10))</f>
        <v xml:space="preserve">Enter a residential 'Amount Last Provided to CHFA' value for 'Gas' in cell C41.
</v>
      </c>
      <c r="G1031" s="9" t="str">
        <f t="shared" ca="1" si="244"/>
        <v>0</v>
      </c>
    </row>
    <row r="1032" spans="1:7" ht="15" customHeight="1">
      <c r="A1032" t="str">
        <f ca="1">IF(E1032="",F1032, "")</f>
        <v/>
      </c>
      <c r="B1032">
        <f>ROW('Proforma, Income &amp; Expense'!B42)</f>
        <v>42</v>
      </c>
      <c r="C1032" t="str">
        <f t="shared" ca="1" si="245"/>
        <v>Trash</v>
      </c>
      <c r="D1032" t="str">
        <f>ADDRESS(B1032, 2,4  )</f>
        <v>B42</v>
      </c>
      <c r="E1032">
        <f t="shared" ca="1" si="246"/>
        <v>0</v>
      </c>
      <c r="F1032" t="str">
        <f ca="1">CONCATENATE("Enter a residential value for '", C1032, "' in cell ", D1032, ".", CHAR(10))</f>
        <v xml:space="preserve">Enter a residential value for 'Trash' in cell B42.
</v>
      </c>
      <c r="G1032" s="9" t="str">
        <f t="shared" ca="1" si="244"/>
        <v>0</v>
      </c>
    </row>
    <row r="1033" spans="1:7" ht="15" customHeight="1">
      <c r="A1033" t="str">
        <f ca="1">IF(AND(OR(Calculations!$B$3:$B$4), E1033=""), F1033, "")</f>
        <v/>
      </c>
      <c r="B1033" s="52">
        <f>B1032</f>
        <v>42</v>
      </c>
      <c r="C1033" t="str">
        <f t="shared" ca="1" si="245"/>
        <v>Trash</v>
      </c>
      <c r="D1033" t="str">
        <f>ADDRESS(B1032, 3,4  )</f>
        <v>C42</v>
      </c>
      <c r="E1033">
        <f t="shared" ca="1" si="246"/>
        <v>0</v>
      </c>
      <c r="F1033" t="str">
        <f ca="1">CONCATENATE("Enter a residential 'Amount Last Provided to CHFA' value for '", C1033, "' in cell ", D1033, ".", CHAR(10))</f>
        <v xml:space="preserve">Enter a residential 'Amount Last Provided to CHFA' value for 'Trash' in cell C42.
</v>
      </c>
      <c r="G1033" s="9" t="str">
        <f t="shared" ca="1" si="244"/>
        <v>0</v>
      </c>
    </row>
    <row r="1034" spans="1:7" ht="15" customHeight="1">
      <c r="A1034" t="str">
        <f ca="1">IF(E1034="",F1034, "")</f>
        <v/>
      </c>
      <c r="B1034">
        <f>ROW('Proforma, Income &amp; Expense'!B43)</f>
        <v>43</v>
      </c>
      <c r="C1034" t="str">
        <f t="shared" ca="1" si="245"/>
        <v>Security</v>
      </c>
      <c r="D1034" t="str">
        <f>ADDRESS(B1034, 2,4  )</f>
        <v>B43</v>
      </c>
      <c r="E1034">
        <f t="shared" ca="1" si="246"/>
        <v>0</v>
      </c>
      <c r="F1034" t="str">
        <f ca="1">CONCATENATE("Enter a residential value for '", C1034, "' in cell ", D1034, ".", CHAR(10))</f>
        <v xml:space="preserve">Enter a residential value for 'Security' in cell B43.
</v>
      </c>
      <c r="G1034" s="9" t="str">
        <f t="shared" ca="1" si="244"/>
        <v>0</v>
      </c>
    </row>
    <row r="1035" spans="1:7" ht="15" customHeight="1">
      <c r="A1035" t="str">
        <f ca="1">IF(AND(OR(Calculations!$B$3:$B$4), E1035=""), F1035, "")</f>
        <v/>
      </c>
      <c r="B1035" s="52">
        <f>B1034</f>
        <v>43</v>
      </c>
      <c r="C1035" t="str">
        <f t="shared" ca="1" si="245"/>
        <v>Security</v>
      </c>
      <c r="D1035" t="str">
        <f>ADDRESS(B1034, 3,4  )</f>
        <v>C43</v>
      </c>
      <c r="E1035">
        <f t="shared" ca="1" si="246"/>
        <v>0</v>
      </c>
      <c r="F1035" t="str">
        <f ca="1">CONCATENATE("Enter a residential 'Amount Last Provided to CHFA' value for '", C1035, "' in cell ", D1035, ".", CHAR(10))</f>
        <v xml:space="preserve">Enter a residential 'Amount Last Provided to CHFA' value for 'Security' in cell C43.
</v>
      </c>
      <c r="G1035" s="9" t="str">
        <f t="shared" ca="1" si="244"/>
        <v>0</v>
      </c>
    </row>
    <row r="1036" spans="1:7" ht="15" customHeight="1">
      <c r="A1036" t="str">
        <f ca="1">IF(E1036="",F1036, "")</f>
        <v/>
      </c>
      <c r="B1036">
        <f>ROW('Proforma, Income &amp; Expense'!B44)</f>
        <v>44</v>
      </c>
      <c r="C1036" t="str">
        <f t="shared" ca="1" si="245"/>
        <v>Cable</v>
      </c>
      <c r="D1036" t="str">
        <f>ADDRESS(B1036, 2,4  )</f>
        <v>B44</v>
      </c>
      <c r="E1036">
        <f t="shared" ca="1" si="246"/>
        <v>0</v>
      </c>
      <c r="F1036" t="str">
        <f ca="1">CONCATENATE("Enter a residential value for '", C1036, "' in cell ", D1036, ".", CHAR(10))</f>
        <v xml:space="preserve">Enter a residential value for 'Cable' in cell B44.
</v>
      </c>
      <c r="G1036" s="9" t="str">
        <f t="shared" ca="1" si="244"/>
        <v>0</v>
      </c>
    </row>
    <row r="1037" spans="1:7" ht="15" customHeight="1">
      <c r="A1037" t="str">
        <f ca="1">IF(AND(OR(Calculations!$B$3:$B$4), E1037=""), F1037, "")</f>
        <v/>
      </c>
      <c r="B1037" s="52">
        <f>B1036</f>
        <v>44</v>
      </c>
      <c r="C1037" t="str">
        <f t="shared" ca="1" si="245"/>
        <v>Cable</v>
      </c>
      <c r="D1037" t="str">
        <f>ADDRESS(B1036, 3,4  )</f>
        <v>C44</v>
      </c>
      <c r="E1037">
        <f t="shared" ca="1" si="246"/>
        <v>0</v>
      </c>
      <c r="F1037" t="str">
        <f ca="1">CONCATENATE("Enter a residential 'Amount Last Provided to CHFA' value for '", C1037, "' in cell ", D1037, ".", CHAR(10))</f>
        <v xml:space="preserve">Enter a residential 'Amount Last Provided to CHFA' value for 'Cable' in cell C44.
</v>
      </c>
      <c r="G1037" s="9" t="str">
        <f t="shared" ca="1" si="244"/>
        <v>0</v>
      </c>
    </row>
    <row r="1038" spans="1:7" ht="15" customHeight="1">
      <c r="A1038" t="str">
        <f ca="1">IF(E1038="",F1038, "")</f>
        <v/>
      </c>
      <c r="B1038">
        <f>ROW('Proforma, Income &amp; Expense'!B45)</f>
        <v>45</v>
      </c>
      <c r="C1038" t="str">
        <f t="shared" ca="1" si="245"/>
        <v>Other (Specify)</v>
      </c>
      <c r="D1038" t="str">
        <f>ADDRESS(B1038, 2,4  )</f>
        <v>B45</v>
      </c>
      <c r="E1038">
        <f t="shared" ca="1" si="246"/>
        <v>0</v>
      </c>
      <c r="F1038" t="str">
        <f ca="1">CONCATENATE("Enter a residential value for '", C1038, "' in cell ", D1038, ".", CHAR(10))</f>
        <v xml:space="preserve">Enter a residential value for 'Other (Specify)' in cell B45.
</v>
      </c>
      <c r="G1038" s="9" t="str">
        <f t="shared" ca="1" si="244"/>
        <v>0</v>
      </c>
    </row>
    <row r="1039" spans="1:7" ht="15" customHeight="1">
      <c r="A1039" t="str">
        <f ca="1">IF(AND(OR(Calculations!$B$3:$B$4), E1039=""), F1039, "")</f>
        <v/>
      </c>
      <c r="B1039" s="52">
        <f>B1038</f>
        <v>45</v>
      </c>
      <c r="C1039" t="str">
        <f t="shared" ca="1" si="245"/>
        <v>Other (Specify)</v>
      </c>
      <c r="D1039" t="str">
        <f>ADDRESS(B1038, 3,4  )</f>
        <v>C45</v>
      </c>
      <c r="E1039">
        <f t="shared" ca="1" si="246"/>
        <v>0</v>
      </c>
      <c r="F1039" t="str">
        <f ca="1">CONCATENATE("Enter a residential 'Amount Last Provided to CHFA' value for '", C1039, "' in cell ", D1039, ".", CHAR(10))</f>
        <v xml:space="preserve">Enter a residential 'Amount Last Provided to CHFA' value for 'Other (Specify)' in cell C45.
</v>
      </c>
      <c r="G1039" s="9" t="str">
        <f t="shared" ca="1" si="244"/>
        <v>0</v>
      </c>
    </row>
    <row r="1040" spans="1:7" ht="15" customHeight="1">
      <c r="A1040" t="str">
        <f ca="1">IF(AND(E1040, SUM(E1038:E1039) &gt; 0), F1040, "")</f>
        <v/>
      </c>
      <c r="C1040" t="str">
        <f ca="1">INDIRECT($F$920 &amp; ADDRESS(B1039, 1,4  ))</f>
        <v>Other (Specify)</v>
      </c>
      <c r="D1040" t="str">
        <f>ADDRESS(B1039, 1,4  )</f>
        <v>A45</v>
      </c>
      <c r="E1040" t="b">
        <f ca="1">INDIRECT($F$920 &amp; D1040)="Other (specify)"</f>
        <v>1</v>
      </c>
      <c r="F1040" t="str">
        <f ca="1">CONCATENATE("Please specify value for '", C1040, "' in cell ", D1040, ".", CHAR(10))</f>
        <v xml:space="preserve">Please specify value for 'Other (Specify)' in cell A45.
</v>
      </c>
      <c r="G1040" s="9" t="str">
        <f t="shared" ca="1" si="244"/>
        <v>0</v>
      </c>
    </row>
    <row r="1041" spans="1:7" ht="15" customHeight="1">
      <c r="A1041" t="str">
        <f ca="1">IF(E1041="",F1041, "")</f>
        <v/>
      </c>
      <c r="B1041">
        <f>ROW('Proforma, Income &amp; Expense'!B46)</f>
        <v>46</v>
      </c>
      <c r="C1041" t="str">
        <f ca="1">INDIRECT($F$920 &amp; ADDRESS(B1041, 1,4  ))</f>
        <v>Other (Specify)</v>
      </c>
      <c r="D1041" t="str">
        <f>ADDRESS(B1041, 2,4  )</f>
        <v>B46</v>
      </c>
      <c r="E1041">
        <f ca="1">IF(ISBLANK( INDIRECT($F$920 &amp; D1041)),"", INDIRECT($F$920 &amp; D1041))</f>
        <v>0</v>
      </c>
      <c r="F1041" t="str">
        <f ca="1">CONCATENATE("Enter a residential value for '", C1041, "' in cell ", D1041, ".", CHAR(10))</f>
        <v xml:space="preserve">Enter a residential value for 'Other (Specify)' in cell B46.
</v>
      </c>
      <c r="G1041" s="9" t="str">
        <f t="shared" ca="1" si="244"/>
        <v>0</v>
      </c>
    </row>
    <row r="1042" spans="1:7" ht="15" customHeight="1">
      <c r="A1042" t="str">
        <f ca="1">IF(AND(OR(Calculations!$B$3:$B$4), E1042=""), F1042, "")</f>
        <v/>
      </c>
      <c r="B1042" s="52">
        <f>B1041</f>
        <v>46</v>
      </c>
      <c r="C1042" t="str">
        <f ca="1">INDIRECT($F$920 &amp; ADDRESS(B1042, 1,4  ))</f>
        <v>Other (Specify)</v>
      </c>
      <c r="D1042" t="str">
        <f>ADDRESS(B1041, 3,4  )</f>
        <v>C46</v>
      </c>
      <c r="E1042">
        <f ca="1">IF(ISBLANK( INDIRECT($F$920 &amp; D1042)),"", INDIRECT($F$920 &amp; D1042))</f>
        <v>0</v>
      </c>
      <c r="F1042" t="str">
        <f ca="1">CONCATENATE("Enter a residential 'Amount Last Provided to CHFA' value for '", C1042, "' in cell ", D1042, ".", CHAR(10))</f>
        <v xml:space="preserve">Enter a residential 'Amount Last Provided to CHFA' value for 'Other (Specify)' in cell C46.
</v>
      </c>
      <c r="G1042" s="9" t="str">
        <f t="shared" ca="1" si="244"/>
        <v>0</v>
      </c>
    </row>
    <row r="1043" spans="1:7" ht="15" customHeight="1">
      <c r="A1043" t="str">
        <f ca="1">IF(AND(E1043, SUM(E1041:E1042) &gt; 0), F1043, "")</f>
        <v/>
      </c>
      <c r="C1043" t="str">
        <f ca="1">INDIRECT($F$920 &amp; ADDRESS(B1042, 1,4  ))</f>
        <v>Other (Specify)</v>
      </c>
      <c r="D1043" t="str">
        <f>ADDRESS(B1042, 1,4  )</f>
        <v>A46</v>
      </c>
      <c r="E1043" t="b">
        <f ca="1">INDIRECT($F$920 &amp; D1043)="Other (specify)"</f>
        <v>1</v>
      </c>
      <c r="F1043" t="str">
        <f ca="1">CONCATENATE("Please specify value for '", C1043, "' in cell ", D1043, ".", CHAR(10))</f>
        <v xml:space="preserve">Please specify value for 'Other (Specify)' in cell A46.
</v>
      </c>
      <c r="G1043" s="9" t="str">
        <f t="shared" ca="1" si="244"/>
        <v>0</v>
      </c>
    </row>
    <row r="1044" spans="1:7" ht="15" customHeight="1">
      <c r="A1044" t="str">
        <f ca="1">IF(E1044="",F1044, "")</f>
        <v/>
      </c>
      <c r="B1044">
        <f>ROW('Proforma, Income &amp; Expense'!B47)</f>
        <v>47</v>
      </c>
      <c r="C1044" t="str">
        <f ca="1">INDIRECT($F$920 &amp; ADDRESS(B1044, 1,4  ))</f>
        <v>Other (Specify)</v>
      </c>
      <c r="D1044" t="str">
        <f>ADDRESS(B1044, 2,4  )</f>
        <v>B47</v>
      </c>
      <c r="E1044">
        <f ca="1">IF(ISBLANK( INDIRECT($F$920 &amp; D1044)),"", INDIRECT($F$920 &amp; D1044))</f>
        <v>0</v>
      </c>
      <c r="F1044" t="str">
        <f ca="1">CONCATENATE("Enter a residential value for '", C1044, "' in cell ", D1044, ".", CHAR(10))</f>
        <v xml:space="preserve">Enter a residential value for 'Other (Specify)' in cell B47.
</v>
      </c>
      <c r="G1044" s="9" t="str">
        <f t="shared" ca="1" si="244"/>
        <v>0</v>
      </c>
    </row>
    <row r="1045" spans="1:7" ht="15" customHeight="1">
      <c r="A1045" t="str">
        <f ca="1">IF(AND(OR(Calculations!$B$3:$B$4), E1045=""), F1045, "")</f>
        <v/>
      </c>
      <c r="B1045" s="52">
        <f>B1044</f>
        <v>47</v>
      </c>
      <c r="C1045" t="str">
        <f ca="1">INDIRECT($F$920 &amp; ADDRESS(B1045, 1,4  ))</f>
        <v>Other (Specify)</v>
      </c>
      <c r="D1045" t="str">
        <f>ADDRESS(B1044, 3,4  )</f>
        <v>C47</v>
      </c>
      <c r="E1045">
        <f ca="1">IF(ISBLANK( INDIRECT($F$920 &amp; D1045)),"", INDIRECT($F$920 &amp; D1045))</f>
        <v>0</v>
      </c>
      <c r="F1045" t="str">
        <f ca="1">CONCATENATE("Enter a residential 'Amount Last Provided to CHFA' value for '", C1045, "' in cell ", D1045, ".", CHAR(10))</f>
        <v xml:space="preserve">Enter a residential 'Amount Last Provided to CHFA' value for 'Other (Specify)' in cell C47.
</v>
      </c>
      <c r="G1045" s="9" t="str">
        <f t="shared" ca="1" si="244"/>
        <v>0</v>
      </c>
    </row>
    <row r="1046" spans="1:7" ht="15" customHeight="1">
      <c r="A1046" t="str">
        <f ca="1">IF(AND(E1046, SUM(E1044:E1045) &gt; 0), F1046, "")</f>
        <v/>
      </c>
      <c r="C1046" t="str">
        <f ca="1">INDIRECT($F$920 &amp; ADDRESS(B1045, 1,4  ))</f>
        <v>Other (Specify)</v>
      </c>
      <c r="D1046" t="str">
        <f>ADDRESS(B1045, 1,4  )</f>
        <v>A47</v>
      </c>
      <c r="E1046" t="b">
        <f ca="1">INDIRECT($F$920 &amp; D1046)="Other (specify)"</f>
        <v>1</v>
      </c>
      <c r="F1046" t="str">
        <f ca="1">CONCATENATE("Please specify value for '", C1046, "' in cell ", D1046, ".", CHAR(10))</f>
        <v xml:space="preserve">Please specify value for 'Other (Specify)' in cell A47.
</v>
      </c>
      <c r="G1046" s="9" t="str">
        <f t="shared" ca="1" si="244"/>
        <v>0</v>
      </c>
    </row>
    <row r="1047" spans="1:7" ht="15" customHeight="1">
      <c r="A1047" t="str">
        <f ca="1">IF(E1047="",F1047, "")</f>
        <v/>
      </c>
      <c r="B1047">
        <f>ROW('Proforma, Income &amp; Expense'!B48)</f>
        <v>48</v>
      </c>
      <c r="C1047" t="str">
        <f ca="1">INDIRECT($F$920 &amp; ADDRESS(B1047, 1,4  ))</f>
        <v>Other (Specify)</v>
      </c>
      <c r="D1047" t="str">
        <f>ADDRESS(B1047, 2,4  )</f>
        <v>B48</v>
      </c>
      <c r="E1047">
        <f ca="1">IF(ISBLANK( INDIRECT($F$920 &amp; D1047)),"", INDIRECT($F$920 &amp; D1047))</f>
        <v>0</v>
      </c>
      <c r="F1047" t="str">
        <f ca="1">CONCATENATE("Enter a residential value for '", C1047, "' in cell ", D1047, ".", CHAR(10))</f>
        <v xml:space="preserve">Enter a residential value for 'Other (Specify)' in cell B48.
</v>
      </c>
      <c r="G1047" s="9" t="str">
        <f t="shared" ca="1" si="244"/>
        <v>0</v>
      </c>
    </row>
    <row r="1048" spans="1:7" ht="15" customHeight="1">
      <c r="A1048" t="str">
        <f ca="1">IF(AND(OR(Calculations!$B$3:$B$4), E1048=""), F1048, "")</f>
        <v/>
      </c>
      <c r="B1048" s="52">
        <f>B1047</f>
        <v>48</v>
      </c>
      <c r="C1048" t="str">
        <f ca="1">INDIRECT($F$920 &amp; ADDRESS(B1048, 1,4  ))</f>
        <v>Other (Specify)</v>
      </c>
      <c r="D1048" t="str">
        <f>ADDRESS(B1047, 3,4  )</f>
        <v>C48</v>
      </c>
      <c r="E1048">
        <f ca="1">IF(ISBLANK( INDIRECT($F$920 &amp; D1048)),"", INDIRECT($F$920 &amp; D1048))</f>
        <v>0</v>
      </c>
      <c r="F1048" t="str">
        <f ca="1">CONCATENATE("Enter a residential 'Amount Last Provided to CHFA' value for '", C1048, "' in cell ", D1048, ".", CHAR(10))</f>
        <v xml:space="preserve">Enter a residential 'Amount Last Provided to CHFA' value for 'Other (Specify)' in cell C48.
</v>
      </c>
      <c r="G1048" s="9" t="str">
        <f t="shared" ca="1" si="244"/>
        <v>0</v>
      </c>
    </row>
    <row r="1049" spans="1:7" ht="15" customHeight="1">
      <c r="A1049" t="str">
        <f ca="1">IF(AND(E1049, SUM(E1047:E1048) &gt; 0), F1049, "")</f>
        <v/>
      </c>
      <c r="C1049" t="str">
        <f ca="1">INDIRECT($F$920 &amp; ADDRESS(B1048, 1,4  ))</f>
        <v>Other (Specify)</v>
      </c>
      <c r="D1049" t="str">
        <f>ADDRESS(B1048, 1,4  )</f>
        <v>A48</v>
      </c>
      <c r="E1049" t="b">
        <f ca="1">INDIRECT($F$920 &amp; D1049)="Other (specify)"</f>
        <v>1</v>
      </c>
      <c r="F1049" t="str">
        <f ca="1">CONCATENATE("Please specify value for '", C1049, "' in cell ", D1049, ".", CHAR(10))</f>
        <v xml:space="preserve">Please specify value for 'Other (Specify)' in cell A48.
</v>
      </c>
      <c r="G1049" s="9" t="str">
        <f t="shared" ca="1" si="244"/>
        <v>0</v>
      </c>
    </row>
    <row r="1050" spans="1:7" ht="15" customHeight="1">
      <c r="A1050" t="str">
        <f ca="1">IF(E1050="",F1050, "")</f>
        <v/>
      </c>
      <c r="B1050">
        <f>ROW('Proforma, Income &amp; Expense'!B51)</f>
        <v>51</v>
      </c>
      <c r="C1050" t="str">
        <f t="shared" ref="C1050:C1069" ca="1" si="247">INDIRECT($F$920 &amp; ADDRESS(B1050, 1,4  ))</f>
        <v>Elevator</v>
      </c>
      <c r="D1050" t="str">
        <f>ADDRESS(B1050, 2,4  )</f>
        <v>B51</v>
      </c>
      <c r="E1050">
        <f t="shared" ref="E1050:E1069" ca="1" si="248">IF(ISBLANK( INDIRECT($F$920 &amp; D1050)),"", INDIRECT($F$920 &amp; D1050))</f>
        <v>0</v>
      </c>
      <c r="F1050" t="str">
        <f ca="1">CONCATENATE("Enter a residential value for '", C1050, "' in cell ", D1050, ".", CHAR(10))</f>
        <v xml:space="preserve">Enter a residential value for 'Elevator' in cell B51.
</v>
      </c>
      <c r="G1050" s="9" t="str">
        <f t="shared" ca="1" si="244"/>
        <v>0</v>
      </c>
    </row>
    <row r="1051" spans="1:7" ht="15" customHeight="1">
      <c r="A1051" t="str">
        <f ca="1">IF(AND(OR(Calculations!$B$3:$B$4), E1051=""), F1051, "")</f>
        <v/>
      </c>
      <c r="B1051" s="52">
        <f>B1050</f>
        <v>51</v>
      </c>
      <c r="C1051" t="str">
        <f t="shared" ca="1" si="247"/>
        <v>Elevator</v>
      </c>
      <c r="D1051" t="str">
        <f>ADDRESS(B1050, 3,4  )</f>
        <v>C51</v>
      </c>
      <c r="E1051">
        <f t="shared" ca="1" si="248"/>
        <v>0</v>
      </c>
      <c r="F1051" t="str">
        <f ca="1">CONCATENATE("Enter a residential 'Amount Last Provided to CHFA' value for '", C1051, "' in cell ", D1051, ".", CHAR(10))</f>
        <v xml:space="preserve">Enter a residential 'Amount Last Provided to CHFA' value for 'Elevator' in cell C51.
</v>
      </c>
      <c r="G1051" s="9" t="str">
        <f t="shared" ref="G1051:G1082" ca="1" si="249">OFFSET(G1051, -1, 0) &amp; A1051</f>
        <v>0</v>
      </c>
    </row>
    <row r="1052" spans="1:7" ht="15" customHeight="1">
      <c r="A1052" t="str">
        <f ca="1">IF(E1052="",F1052, "")</f>
        <v/>
      </c>
      <c r="B1052">
        <f>ROW('Proforma, Income &amp; Expense'!B52)</f>
        <v>52</v>
      </c>
      <c r="C1052" t="str">
        <f t="shared" ca="1" si="247"/>
        <v>Extermination</v>
      </c>
      <c r="D1052" t="str">
        <f>ADDRESS(B1052, 2,4  )</f>
        <v>B52</v>
      </c>
      <c r="E1052">
        <f t="shared" ca="1" si="248"/>
        <v>0</v>
      </c>
      <c r="F1052" t="str">
        <f ca="1">CONCATENATE("Enter a residential value for '", C1052, "' in cell ", D1052, ".", CHAR(10))</f>
        <v xml:space="preserve">Enter a residential value for 'Extermination' in cell B52.
</v>
      </c>
      <c r="G1052" s="9" t="str">
        <f t="shared" ca="1" si="249"/>
        <v>0</v>
      </c>
    </row>
    <row r="1053" spans="1:7" ht="15" customHeight="1">
      <c r="A1053" t="str">
        <f ca="1">IF(AND(OR(Calculations!$B$3:$B$4), E1053=""), F1053, "")</f>
        <v/>
      </c>
      <c r="B1053" s="52">
        <f>B1052</f>
        <v>52</v>
      </c>
      <c r="C1053" t="str">
        <f t="shared" ca="1" si="247"/>
        <v>Extermination</v>
      </c>
      <c r="D1053" t="str">
        <f>ADDRESS(B1052, 3,4  )</f>
        <v>C52</v>
      </c>
      <c r="E1053">
        <f t="shared" ca="1" si="248"/>
        <v>0</v>
      </c>
      <c r="F1053" t="str">
        <f ca="1">CONCATENATE("Enter a residential 'Amount Last Provided to CHFA' value for '", C1053, "' in cell ", D1053, ".", CHAR(10))</f>
        <v xml:space="preserve">Enter a residential 'Amount Last Provided to CHFA' value for 'Extermination' in cell C52.
</v>
      </c>
      <c r="G1053" s="9" t="str">
        <f t="shared" ca="1" si="249"/>
        <v>0</v>
      </c>
    </row>
    <row r="1054" spans="1:7" ht="15" customHeight="1">
      <c r="A1054" t="str">
        <f ca="1">IF(E1054="",F1054, "")</f>
        <v/>
      </c>
      <c r="B1054">
        <f>ROW('Proforma, Income &amp; Expense'!B53)</f>
        <v>53</v>
      </c>
      <c r="C1054" t="str">
        <f t="shared" ca="1" si="247"/>
        <v>Grounds</v>
      </c>
      <c r="D1054" t="str">
        <f>ADDRESS(B1054, 2,4  )</f>
        <v>B53</v>
      </c>
      <c r="E1054">
        <f t="shared" ca="1" si="248"/>
        <v>0</v>
      </c>
      <c r="F1054" t="str">
        <f ca="1">CONCATENATE("Enter a residential value for '", C1054, "' in cell ", D1054, ".", CHAR(10))</f>
        <v xml:space="preserve">Enter a residential value for 'Grounds' in cell B53.
</v>
      </c>
      <c r="G1054" s="9" t="str">
        <f t="shared" ca="1" si="249"/>
        <v>0</v>
      </c>
    </row>
    <row r="1055" spans="1:7" ht="15" customHeight="1">
      <c r="A1055" t="str">
        <f ca="1">IF(AND(OR(Calculations!$B$3:$B$4), E1055=""), F1055, "")</f>
        <v/>
      </c>
      <c r="B1055" s="52">
        <f>B1054</f>
        <v>53</v>
      </c>
      <c r="C1055" t="str">
        <f t="shared" ca="1" si="247"/>
        <v>Grounds</v>
      </c>
      <c r="D1055" t="str">
        <f>ADDRESS(B1054, 3,4  )</f>
        <v>C53</v>
      </c>
      <c r="E1055">
        <f t="shared" ca="1" si="248"/>
        <v>0</v>
      </c>
      <c r="F1055" t="str">
        <f ca="1">CONCATENATE("Enter a residential 'Amount Last Provided to CHFA' value for '", C1055, "' in cell ", D1055, ".", CHAR(10))</f>
        <v xml:space="preserve">Enter a residential 'Amount Last Provided to CHFA' value for 'Grounds' in cell C53.
</v>
      </c>
      <c r="G1055" s="9" t="str">
        <f t="shared" ca="1" si="249"/>
        <v>0</v>
      </c>
    </row>
    <row r="1056" spans="1:7" ht="15" customHeight="1">
      <c r="A1056" t="str">
        <f ca="1">IF(E1056="",F1056, "")</f>
        <v/>
      </c>
      <c r="B1056">
        <f>ROW('Proforma, Income &amp; Expense'!B54)</f>
        <v>54</v>
      </c>
      <c r="C1056" t="str">
        <f t="shared" ca="1" si="247"/>
        <v>Repairs</v>
      </c>
      <c r="D1056" t="str">
        <f>ADDRESS(B1056, 2,4  )</f>
        <v>B54</v>
      </c>
      <c r="E1056">
        <f t="shared" ca="1" si="248"/>
        <v>0</v>
      </c>
      <c r="F1056" t="str">
        <f ca="1">CONCATENATE("Enter a residential value for '", C1056, "' in cell ", D1056, ".", CHAR(10))</f>
        <v xml:space="preserve">Enter a residential value for 'Repairs' in cell B54.
</v>
      </c>
      <c r="G1056" s="9" t="str">
        <f t="shared" ca="1" si="249"/>
        <v>0</v>
      </c>
    </row>
    <row r="1057" spans="1:7" ht="15" customHeight="1">
      <c r="A1057" t="str">
        <f ca="1">IF(AND(OR(Calculations!$B$3:$B$4), E1057=""), F1057, "")</f>
        <v/>
      </c>
      <c r="B1057" s="52">
        <f>B1056</f>
        <v>54</v>
      </c>
      <c r="C1057" t="str">
        <f t="shared" ca="1" si="247"/>
        <v>Repairs</v>
      </c>
      <c r="D1057" t="str">
        <f>ADDRESS(B1056, 3,4  )</f>
        <v>C54</v>
      </c>
      <c r="E1057">
        <f t="shared" ca="1" si="248"/>
        <v>0</v>
      </c>
      <c r="F1057" t="str">
        <f ca="1">CONCATENATE("Enter a residential 'Amount Last Provided to CHFA' value for '", C1057, "' in cell ", D1057, ".", CHAR(10))</f>
        <v xml:space="preserve">Enter a residential 'Amount Last Provided to CHFA' value for 'Repairs' in cell C54.
</v>
      </c>
      <c r="G1057" s="9" t="str">
        <f t="shared" ca="1" si="249"/>
        <v>0</v>
      </c>
    </row>
    <row r="1058" spans="1:7" ht="15" customHeight="1">
      <c r="A1058" t="str">
        <f ca="1">IF(E1058="",F1058, "")</f>
        <v/>
      </c>
      <c r="B1058">
        <f>ROW('Proforma, Income &amp; Expense'!B55)</f>
        <v>55</v>
      </c>
      <c r="C1058" t="str">
        <f t="shared" ca="1" si="247"/>
        <v>Maintenance Salaries</v>
      </c>
      <c r="D1058" t="str">
        <f>ADDRESS(B1058, 2,4  )</f>
        <v>B55</v>
      </c>
      <c r="E1058">
        <f t="shared" ca="1" si="248"/>
        <v>0</v>
      </c>
      <c r="F1058" t="str">
        <f ca="1">CONCATENATE("Enter a residential value for '", C1058, "' in cell ", D1058, ".", CHAR(10))</f>
        <v xml:space="preserve">Enter a residential value for 'Maintenance Salaries' in cell B55.
</v>
      </c>
      <c r="G1058" s="9" t="str">
        <f t="shared" ca="1" si="249"/>
        <v>0</v>
      </c>
    </row>
    <row r="1059" spans="1:7" ht="15" customHeight="1">
      <c r="A1059" t="str">
        <f ca="1">IF(AND(OR(Calculations!$B$3:$B$4), E1059=""), F1059, "")</f>
        <v/>
      </c>
      <c r="B1059" s="52">
        <f>B1058</f>
        <v>55</v>
      </c>
      <c r="C1059" t="str">
        <f t="shared" ca="1" si="247"/>
        <v>Maintenance Salaries</v>
      </c>
      <c r="D1059" t="str">
        <f>ADDRESS(B1058, 3,4  )</f>
        <v>C55</v>
      </c>
      <c r="E1059">
        <f t="shared" ca="1" si="248"/>
        <v>0</v>
      </c>
      <c r="F1059" t="str">
        <f ca="1">CONCATENATE("Enter a residential 'Amount Last Provided to CHFA' value for '", C1059, "' in cell ", D1059, ".", CHAR(10))</f>
        <v xml:space="preserve">Enter a residential 'Amount Last Provided to CHFA' value for 'Maintenance Salaries' in cell C55.
</v>
      </c>
      <c r="G1059" s="9" t="str">
        <f t="shared" ca="1" si="249"/>
        <v>0</v>
      </c>
    </row>
    <row r="1060" spans="1:7" ht="15" customHeight="1">
      <c r="A1060" t="str">
        <f ca="1">IF(E1060="",F1060, "")</f>
        <v/>
      </c>
      <c r="B1060">
        <f>ROW('Proforma, Income &amp; Expense'!B56)</f>
        <v>56</v>
      </c>
      <c r="C1060" t="str">
        <f t="shared" ca="1" si="247"/>
        <v>Maintenance Supplies</v>
      </c>
      <c r="D1060" t="str">
        <f>ADDRESS(B1060, 2,4  )</f>
        <v>B56</v>
      </c>
      <c r="E1060">
        <f t="shared" ca="1" si="248"/>
        <v>0</v>
      </c>
      <c r="F1060" t="str">
        <f ca="1">CONCATENATE("Enter a residential value for '", C1060, "' in cell ", D1060, ".", CHAR(10))</f>
        <v xml:space="preserve">Enter a residential value for 'Maintenance Supplies' in cell B56.
</v>
      </c>
      <c r="G1060" s="9" t="str">
        <f t="shared" ca="1" si="249"/>
        <v>0</v>
      </c>
    </row>
    <row r="1061" spans="1:7" ht="15" customHeight="1">
      <c r="A1061" t="str">
        <f ca="1">IF(AND(OR(Calculations!$B$3:$B$4), E1061=""), F1061, "")</f>
        <v/>
      </c>
      <c r="B1061" s="52">
        <f>B1060</f>
        <v>56</v>
      </c>
      <c r="C1061" t="str">
        <f t="shared" ca="1" si="247"/>
        <v>Maintenance Supplies</v>
      </c>
      <c r="D1061" t="str">
        <f>ADDRESS(B1060, 3,4  )</f>
        <v>C56</v>
      </c>
      <c r="E1061">
        <f t="shared" ca="1" si="248"/>
        <v>0</v>
      </c>
      <c r="F1061" t="str">
        <f ca="1">CONCATENATE("Enter a residential 'Amount Last Provided to CHFA' value for '", C1061, "' in cell ", D1061, ".", CHAR(10))</f>
        <v xml:space="preserve">Enter a residential 'Amount Last Provided to CHFA' value for 'Maintenance Supplies' in cell C56.
</v>
      </c>
      <c r="G1061" s="9" t="str">
        <f t="shared" ca="1" si="249"/>
        <v>0</v>
      </c>
    </row>
    <row r="1062" spans="1:7" ht="15" customHeight="1">
      <c r="A1062" t="str">
        <f ca="1">IF(E1062="",F1062, "")</f>
        <v/>
      </c>
      <c r="B1062">
        <f>ROW('Proforma, Income &amp; Expense'!B57)</f>
        <v>57</v>
      </c>
      <c r="C1062" t="str">
        <f t="shared" ca="1" si="247"/>
        <v>Contracts</v>
      </c>
      <c r="D1062" t="str">
        <f>ADDRESS(B1062, 2,4  )</f>
        <v>B57</v>
      </c>
      <c r="E1062">
        <f t="shared" ca="1" si="248"/>
        <v>0</v>
      </c>
      <c r="F1062" t="str">
        <f ca="1">CONCATENATE("Enter a residential value for '", C1062, "' in cell ", D1062, ".", CHAR(10))</f>
        <v xml:space="preserve">Enter a residential value for 'Contracts' in cell B57.
</v>
      </c>
      <c r="G1062" s="9" t="str">
        <f t="shared" ca="1" si="249"/>
        <v>0</v>
      </c>
    </row>
    <row r="1063" spans="1:7" ht="15" customHeight="1">
      <c r="A1063" t="str">
        <f ca="1">IF(AND(OR(Calculations!$B$3:$B$4), E1063=""), F1063, "")</f>
        <v/>
      </c>
      <c r="B1063" s="52">
        <f>B1062</f>
        <v>57</v>
      </c>
      <c r="C1063" t="str">
        <f t="shared" ca="1" si="247"/>
        <v>Contracts</v>
      </c>
      <c r="D1063" t="str">
        <f>ADDRESS(B1062, 3,4  )</f>
        <v>C57</v>
      </c>
      <c r="E1063">
        <f t="shared" ca="1" si="248"/>
        <v>0</v>
      </c>
      <c r="F1063" t="str">
        <f ca="1">CONCATENATE("Enter a residential 'Amount Last Provided to CHFA' value for '", C1063, "' in cell ", D1063, ".", CHAR(10))</f>
        <v xml:space="preserve">Enter a residential 'Amount Last Provided to CHFA' value for 'Contracts' in cell C57.
</v>
      </c>
      <c r="G1063" s="9" t="str">
        <f t="shared" ca="1" si="249"/>
        <v>0</v>
      </c>
    </row>
    <row r="1064" spans="1:7" ht="15" customHeight="1">
      <c r="A1064" t="str">
        <f ca="1">IF(E1064="",F1064, "")</f>
        <v/>
      </c>
      <c r="B1064">
        <f>ROW('Proforma, Income &amp; Expense'!B58)</f>
        <v>58</v>
      </c>
      <c r="C1064" t="str">
        <f t="shared" ca="1" si="247"/>
        <v>Decorating</v>
      </c>
      <c r="D1064" t="str">
        <f>ADDRESS(B1064, 2,4  )</f>
        <v>B58</v>
      </c>
      <c r="E1064">
        <f t="shared" ca="1" si="248"/>
        <v>0</v>
      </c>
      <c r="F1064" t="str">
        <f ca="1">CONCATENATE("Enter a residential value for '", C1064, "' in cell ", D1064, ".", CHAR(10))</f>
        <v xml:space="preserve">Enter a residential value for 'Decorating' in cell B58.
</v>
      </c>
      <c r="G1064" s="9" t="str">
        <f t="shared" ca="1" si="249"/>
        <v>0</v>
      </c>
    </row>
    <row r="1065" spans="1:7" ht="15" customHeight="1">
      <c r="A1065" t="str">
        <f ca="1">IF(AND(OR(Calculations!$B$3:$B$4), E1065=""), F1065, "")</f>
        <v/>
      </c>
      <c r="B1065" s="52">
        <f>B1064</f>
        <v>58</v>
      </c>
      <c r="C1065" t="str">
        <f t="shared" ca="1" si="247"/>
        <v>Decorating</v>
      </c>
      <c r="D1065" t="str">
        <f>ADDRESS(B1064, 3,4  )</f>
        <v>C58</v>
      </c>
      <c r="E1065">
        <f t="shared" ca="1" si="248"/>
        <v>0</v>
      </c>
      <c r="F1065" t="str">
        <f ca="1">CONCATENATE("Enter a residential 'Amount Last Provided to CHFA' value for '", C1065, "' in cell ", D1065, ".", CHAR(10))</f>
        <v xml:space="preserve">Enter a residential 'Amount Last Provided to CHFA' value for 'Decorating' in cell C58.
</v>
      </c>
      <c r="G1065" s="9" t="str">
        <f t="shared" ca="1" si="249"/>
        <v>0</v>
      </c>
    </row>
    <row r="1066" spans="1:7" ht="15" customHeight="1">
      <c r="A1066" t="str">
        <f ca="1">IF(E1066="",F1066, "")</f>
        <v/>
      </c>
      <c r="B1066">
        <f>ROW('Proforma, Income &amp; Expense'!B59)</f>
        <v>59</v>
      </c>
      <c r="C1066" t="str">
        <f t="shared" ca="1" si="247"/>
        <v>Snow Removal</v>
      </c>
      <c r="D1066" t="str">
        <f>ADDRESS(B1066, 2,4  )</f>
        <v>B59</v>
      </c>
      <c r="E1066">
        <f t="shared" ca="1" si="248"/>
        <v>0</v>
      </c>
      <c r="F1066" t="str">
        <f ca="1">CONCATENATE("Enter a residential value for '", C1066, "' in cell ", D1066, ".", CHAR(10))</f>
        <v xml:space="preserve">Enter a residential value for 'Snow Removal' in cell B59.
</v>
      </c>
      <c r="G1066" s="9" t="str">
        <f t="shared" ca="1" si="249"/>
        <v>0</v>
      </c>
    </row>
    <row r="1067" spans="1:7" ht="15" customHeight="1">
      <c r="A1067" t="str">
        <f ca="1">IF(AND(OR(Calculations!$B$3:$B$4), E1067=""), F1067, "")</f>
        <v/>
      </c>
      <c r="B1067" s="52">
        <f>B1066</f>
        <v>59</v>
      </c>
      <c r="C1067" t="str">
        <f t="shared" ca="1" si="247"/>
        <v>Snow Removal</v>
      </c>
      <c r="D1067" t="str">
        <f>ADDRESS(B1066, 3,4  )</f>
        <v>C59</v>
      </c>
      <c r="E1067">
        <f t="shared" ca="1" si="248"/>
        <v>0</v>
      </c>
      <c r="F1067" t="str">
        <f ca="1">CONCATENATE("Enter a residential 'Amount Last Provided to CHFA' value for '", C1067, "' in cell ", D1067, ".", CHAR(10))</f>
        <v xml:space="preserve">Enter a residential 'Amount Last Provided to CHFA' value for 'Snow Removal' in cell C59.
</v>
      </c>
      <c r="G1067" s="9" t="str">
        <f t="shared" ca="1" si="249"/>
        <v>0</v>
      </c>
    </row>
    <row r="1068" spans="1:7" ht="15" customHeight="1">
      <c r="A1068" t="str">
        <f ca="1">IF(E1068="",F1068, "")</f>
        <v/>
      </c>
      <c r="B1068">
        <f>ROW('Proforma, Income &amp; Expense'!B60)</f>
        <v>60</v>
      </c>
      <c r="C1068" t="str">
        <f t="shared" ca="1" si="247"/>
        <v>Other (Specify)</v>
      </c>
      <c r="D1068" t="str">
        <f>ADDRESS(B1068, 2,4  )</f>
        <v>B60</v>
      </c>
      <c r="E1068">
        <f t="shared" ca="1" si="248"/>
        <v>0</v>
      </c>
      <c r="F1068" t="str">
        <f ca="1">CONCATENATE("Enter a residential value for '", C1068, "' in cell ", D1068, ".", CHAR(10))</f>
        <v xml:space="preserve">Enter a residential value for 'Other (Specify)' in cell B60.
</v>
      </c>
      <c r="G1068" s="9" t="str">
        <f t="shared" ca="1" si="249"/>
        <v>0</v>
      </c>
    </row>
    <row r="1069" spans="1:7" ht="15" customHeight="1">
      <c r="A1069" t="str">
        <f ca="1">IF(AND(OR(Calculations!$B$3:$B$4), E1069=""), F1069, "")</f>
        <v/>
      </c>
      <c r="B1069" s="52">
        <f>B1068</f>
        <v>60</v>
      </c>
      <c r="C1069" t="str">
        <f t="shared" ca="1" si="247"/>
        <v>Other (Specify)</v>
      </c>
      <c r="D1069" t="str">
        <f>ADDRESS(B1068, 3,4  )</f>
        <v>C60</v>
      </c>
      <c r="E1069">
        <f t="shared" ca="1" si="248"/>
        <v>0</v>
      </c>
      <c r="F1069" t="str">
        <f ca="1">CONCATENATE("Enter a residential 'Amount Last Provided to CHFA' value for '", C1069, "' in cell ", D1069, ".", CHAR(10))</f>
        <v xml:space="preserve">Enter a residential 'Amount Last Provided to CHFA' value for 'Other (Specify)' in cell C60.
</v>
      </c>
      <c r="G1069" s="9" t="str">
        <f t="shared" ca="1" si="249"/>
        <v>0</v>
      </c>
    </row>
    <row r="1070" spans="1:7" ht="15" customHeight="1">
      <c r="A1070" t="str">
        <f ca="1">IF(AND(E1070, SUM(E1068:E1069) &gt; 0), F1070, "")</f>
        <v/>
      </c>
      <c r="C1070" t="str">
        <f ca="1">INDIRECT($F$920 &amp; ADDRESS(B1069, 1,4  ))</f>
        <v>Other (Specify)</v>
      </c>
      <c r="D1070" t="str">
        <f>ADDRESS(B1069, 1,4  )</f>
        <v>A60</v>
      </c>
      <c r="E1070" t="b">
        <f ca="1">INDIRECT($F$920 &amp; D1070)="Other (specify)"</f>
        <v>1</v>
      </c>
      <c r="F1070" t="str">
        <f ca="1">CONCATENATE("Please specify value for '", C1070, "' in cell ", D1070, ".", CHAR(10))</f>
        <v xml:space="preserve">Please specify value for 'Other (Specify)' in cell A60.
</v>
      </c>
      <c r="G1070" s="9" t="str">
        <f t="shared" ca="1" si="249"/>
        <v>0</v>
      </c>
    </row>
    <row r="1071" spans="1:7" ht="15" customHeight="1">
      <c r="A1071" t="str">
        <f ca="1">IF(E1071="",F1071, "")</f>
        <v/>
      </c>
      <c r="B1071">
        <f>ROW('Proforma, Income &amp; Expense'!B61)</f>
        <v>61</v>
      </c>
      <c r="C1071" t="str">
        <f ca="1">INDIRECT($F$920 &amp; ADDRESS(B1071, 1,4  ))</f>
        <v>Other (Specify)</v>
      </c>
      <c r="D1071" t="str">
        <f>ADDRESS(B1071, 2,4  )</f>
        <v>B61</v>
      </c>
      <c r="E1071">
        <f ca="1">IF(ISBLANK( INDIRECT($F$920 &amp; D1071)),"", INDIRECT($F$920 &amp; D1071))</f>
        <v>0</v>
      </c>
      <c r="F1071" t="str">
        <f ca="1">CONCATENATE("Enter a residential value for '", C1071, "' in cell ", D1071, ".", CHAR(10))</f>
        <v xml:space="preserve">Enter a residential value for 'Other (Specify)' in cell B61.
</v>
      </c>
      <c r="G1071" s="9" t="str">
        <f t="shared" ca="1" si="249"/>
        <v>0</v>
      </c>
    </row>
    <row r="1072" spans="1:7" ht="15" customHeight="1">
      <c r="A1072" t="str">
        <f ca="1">IF(AND(OR(Calculations!$B$3:$B$4), E1072=""), F1072, "")</f>
        <v/>
      </c>
      <c r="B1072" s="52">
        <f>B1071</f>
        <v>61</v>
      </c>
      <c r="C1072" t="str">
        <f ca="1">INDIRECT($F$920 &amp; ADDRESS(B1072, 1,4  ))</f>
        <v>Other (Specify)</v>
      </c>
      <c r="D1072" t="str">
        <f>ADDRESS(B1071, 3,4  )</f>
        <v>C61</v>
      </c>
      <c r="E1072">
        <f ca="1">IF(ISBLANK( INDIRECT($F$920 &amp; D1072)),"", INDIRECT($F$920 &amp; D1072))</f>
        <v>0</v>
      </c>
      <c r="F1072" t="str">
        <f ca="1">CONCATENATE("Enter a residential 'Amount Last Provided to CHFA' value for '", C1072, "' in cell ", D1072, ".", CHAR(10))</f>
        <v xml:space="preserve">Enter a residential 'Amount Last Provided to CHFA' value for 'Other (Specify)' in cell C61.
</v>
      </c>
      <c r="G1072" s="9" t="str">
        <f t="shared" ca="1" si="249"/>
        <v>0</v>
      </c>
    </row>
    <row r="1073" spans="1:7" ht="15" customHeight="1">
      <c r="A1073" t="str">
        <f ca="1">IF(AND(E1073, SUM(E1071:E1072) &gt; 0), F1073, "")</f>
        <v/>
      </c>
      <c r="C1073" t="str">
        <f ca="1">INDIRECT($F$920 &amp; ADDRESS(B1072, 1,4  ))</f>
        <v>Other (Specify)</v>
      </c>
      <c r="D1073" t="str">
        <f>ADDRESS(B1072, 1,4  )</f>
        <v>A61</v>
      </c>
      <c r="E1073" t="b">
        <f ca="1">INDIRECT($F$920 &amp; D1073)="Other (specify)"</f>
        <v>1</v>
      </c>
      <c r="F1073" t="str">
        <f ca="1">CONCATENATE("Please specify value for '", C1073, "' in cell ", D1073, ".", CHAR(10))</f>
        <v xml:space="preserve">Please specify value for 'Other (Specify)' in cell A61.
</v>
      </c>
      <c r="G1073" s="9" t="str">
        <f t="shared" ca="1" si="249"/>
        <v>0</v>
      </c>
    </row>
    <row r="1074" spans="1:7" ht="15" customHeight="1">
      <c r="A1074" t="str">
        <f ca="1">IF(E1074="",F1074, "")</f>
        <v/>
      </c>
      <c r="B1074">
        <f>ROW('Proforma, Income &amp; Expense'!B62)</f>
        <v>62</v>
      </c>
      <c r="C1074" t="str">
        <f ca="1">INDIRECT($F$920 &amp; ADDRESS(B1074, 1,4  ))</f>
        <v>Other (Specify)</v>
      </c>
      <c r="D1074" t="str">
        <f>ADDRESS(B1074, 2,4  )</f>
        <v>B62</v>
      </c>
      <c r="E1074">
        <f ca="1">IF(ISBLANK( INDIRECT($F$920 &amp; D1074)),"", INDIRECT($F$920 &amp; D1074))</f>
        <v>0</v>
      </c>
      <c r="F1074" t="str">
        <f ca="1">CONCATENATE("Enter a residential value for '", C1074, "' in cell ", D1074, ".", CHAR(10))</f>
        <v xml:space="preserve">Enter a residential value for 'Other (Specify)' in cell B62.
</v>
      </c>
      <c r="G1074" s="9" t="str">
        <f t="shared" ca="1" si="249"/>
        <v>0</v>
      </c>
    </row>
    <row r="1075" spans="1:7" ht="15" customHeight="1">
      <c r="A1075" t="str">
        <f ca="1">IF(AND(OR(Calculations!$B$3:$B$4), E1075=""), F1075, "")</f>
        <v/>
      </c>
      <c r="B1075" s="52">
        <f>B1074</f>
        <v>62</v>
      </c>
      <c r="C1075" t="str">
        <f ca="1">INDIRECT($F$920 &amp; ADDRESS(B1075, 1,4  ))</f>
        <v>Other (Specify)</v>
      </c>
      <c r="D1075" t="str">
        <f>ADDRESS(B1074, 3,4  )</f>
        <v>C62</v>
      </c>
      <c r="E1075">
        <f ca="1">IF(ISBLANK( INDIRECT($F$920 &amp; D1075)),"", INDIRECT($F$920 &amp; D1075))</f>
        <v>0</v>
      </c>
      <c r="F1075" t="str">
        <f ca="1">CONCATENATE("Enter a residential 'Amount Last Provided to CHFA' value for '", C1075, "' in cell ", D1075, ".", CHAR(10))</f>
        <v xml:space="preserve">Enter a residential 'Amount Last Provided to CHFA' value for 'Other (Specify)' in cell C62.
</v>
      </c>
      <c r="G1075" s="9" t="str">
        <f t="shared" ca="1" si="249"/>
        <v>0</v>
      </c>
    </row>
    <row r="1076" spans="1:7" ht="15" customHeight="1">
      <c r="A1076" t="str">
        <f ca="1">IF(AND(E1076, SUM(E1074:E1075) &gt; 0), F1076, "")</f>
        <v/>
      </c>
      <c r="C1076" t="str">
        <f ca="1">INDIRECT($F$920 &amp; ADDRESS(B1075, 1,4  ))</f>
        <v>Other (Specify)</v>
      </c>
      <c r="D1076" t="str">
        <f>ADDRESS(B1075, 1,4  )</f>
        <v>A62</v>
      </c>
      <c r="E1076" t="b">
        <f ca="1">INDIRECT($F$920 &amp; D1076)="Other (specify)"</f>
        <v>1</v>
      </c>
      <c r="F1076" t="str">
        <f ca="1">CONCATENATE("Please specify value for '", C1076, "' in cell ", D1076, ".", CHAR(10))</f>
        <v xml:space="preserve">Please specify value for 'Other (Specify)' in cell A62.
</v>
      </c>
      <c r="G1076" s="9" t="str">
        <f t="shared" ca="1" si="249"/>
        <v>0</v>
      </c>
    </row>
    <row r="1077" spans="1:7" ht="15" customHeight="1">
      <c r="A1077" t="str">
        <f ca="1">IF(E1077="",F1077, "")</f>
        <v/>
      </c>
      <c r="B1077">
        <f>ROW('Proforma, Income &amp; Expense'!B65)</f>
        <v>65</v>
      </c>
      <c r="C1077" t="str">
        <f t="shared" ref="C1077:C1088" ca="1" si="250">INDIRECT($F$920 &amp; ADDRESS(B1077, 1,4  ))</f>
        <v>Real Estate Taxes</v>
      </c>
      <c r="D1077" t="str">
        <f>ADDRESS(B1077, 2,4  )</f>
        <v>B65</v>
      </c>
      <c r="E1077">
        <f t="shared" ref="E1077:E1088" ca="1" si="251">IF(ISBLANK( INDIRECT($F$920 &amp; D1077)),"", INDIRECT($F$920 &amp; D1077))</f>
        <v>0</v>
      </c>
      <c r="F1077" t="str">
        <f ca="1">CONCATENATE("Enter a residential value for '", C1077, "' in cell ", D1077, ".", CHAR(10))</f>
        <v xml:space="preserve">Enter a residential value for 'Real Estate Taxes' in cell B65.
</v>
      </c>
      <c r="G1077" s="9" t="str">
        <f t="shared" ca="1" si="249"/>
        <v>0</v>
      </c>
    </row>
    <row r="1078" spans="1:7" ht="15" customHeight="1">
      <c r="A1078" t="str">
        <f ca="1">IF(AND(OR(Calculations!$B$3:$B$4), E1078=""), F1078, "")</f>
        <v/>
      </c>
      <c r="B1078" s="52">
        <f>B1077</f>
        <v>65</v>
      </c>
      <c r="C1078" t="str">
        <f t="shared" ca="1" si="250"/>
        <v>Real Estate Taxes</v>
      </c>
      <c r="D1078" t="str">
        <f>ADDRESS(B1077, 3,4  )</f>
        <v>C65</v>
      </c>
      <c r="E1078">
        <f t="shared" ca="1" si="251"/>
        <v>0</v>
      </c>
      <c r="F1078" t="str">
        <f ca="1">CONCATENATE("Enter a residential 'Amount Last Provided to CHFA' value for '", C1078, "' in cell ", D1078, ".", CHAR(10))</f>
        <v xml:space="preserve">Enter a residential 'Amount Last Provided to CHFA' value for 'Real Estate Taxes' in cell C65.
</v>
      </c>
      <c r="G1078" s="9" t="str">
        <f t="shared" ca="1" si="249"/>
        <v>0</v>
      </c>
    </row>
    <row r="1079" spans="1:7" ht="15" customHeight="1">
      <c r="A1079" t="str">
        <f ca="1">IF(E1079="",F1079, "")</f>
        <v/>
      </c>
      <c r="B1079">
        <f>ROW('Proforma, Income &amp; Expense'!B66)</f>
        <v>66</v>
      </c>
      <c r="C1079" t="str">
        <f t="shared" ca="1" si="250"/>
        <v>Payment in Lieu of Taxes</v>
      </c>
      <c r="D1079" t="str">
        <f>ADDRESS(B1079, 2,4  )</f>
        <v>B66</v>
      </c>
      <c r="E1079">
        <f t="shared" ca="1" si="251"/>
        <v>0</v>
      </c>
      <c r="F1079" t="str">
        <f ca="1">CONCATENATE("Enter a residential value for '", C1079, "' in cell ", D1079, ".", CHAR(10))</f>
        <v xml:space="preserve">Enter a residential value for 'Payment in Lieu of Taxes' in cell B66.
</v>
      </c>
      <c r="G1079" s="9" t="str">
        <f t="shared" ca="1" si="249"/>
        <v>0</v>
      </c>
    </row>
    <row r="1080" spans="1:7" ht="15" customHeight="1">
      <c r="A1080" t="str">
        <f ca="1">IF(AND(OR(Calculations!$B$3:$B$4), E1080=""), F1080, "")</f>
        <v/>
      </c>
      <c r="B1080" s="52">
        <f>B1079</f>
        <v>66</v>
      </c>
      <c r="C1080" t="str">
        <f t="shared" ca="1" si="250"/>
        <v>Payment in Lieu of Taxes</v>
      </c>
      <c r="D1080" t="str">
        <f>ADDRESS(B1079, 3,4  )</f>
        <v>C66</v>
      </c>
      <c r="E1080">
        <f t="shared" ca="1" si="251"/>
        <v>0</v>
      </c>
      <c r="F1080" t="str">
        <f ca="1">CONCATENATE("Enter a residential 'Amount Last Provided to CHFA' value for '", C1080, "' in cell ", D1080, ".", CHAR(10))</f>
        <v xml:space="preserve">Enter a residential 'Amount Last Provided to CHFA' value for 'Payment in Lieu of Taxes' in cell C66.
</v>
      </c>
      <c r="G1080" s="9" t="str">
        <f t="shared" ca="1" si="249"/>
        <v>0</v>
      </c>
    </row>
    <row r="1081" spans="1:7" ht="15" customHeight="1">
      <c r="A1081" t="str">
        <f ca="1">IF(E1081="",F1081, "")</f>
        <v/>
      </c>
      <c r="B1081">
        <f>ROW('Proforma, Income &amp; Expense'!B67)</f>
        <v>67</v>
      </c>
      <c r="C1081" t="str">
        <f t="shared" ca="1" si="250"/>
        <v>Other Tax Assessments</v>
      </c>
      <c r="D1081" t="str">
        <f>ADDRESS(B1081, 2,4  )</f>
        <v>B67</v>
      </c>
      <c r="E1081">
        <f t="shared" ca="1" si="251"/>
        <v>0</v>
      </c>
      <c r="F1081" t="str">
        <f ca="1">CONCATENATE("Enter a residential value for '", C1081, "' in cell ", D1081, ".", CHAR(10))</f>
        <v xml:space="preserve">Enter a residential value for 'Other Tax Assessments' in cell B67.
</v>
      </c>
      <c r="G1081" s="9" t="str">
        <f t="shared" ca="1" si="249"/>
        <v>0</v>
      </c>
    </row>
    <row r="1082" spans="1:7" ht="15" customHeight="1">
      <c r="A1082" t="str">
        <f ca="1">IF(AND(OR(Calculations!$B$3:$B$4), E1082=""), F1082, "")</f>
        <v/>
      </c>
      <c r="B1082" s="52">
        <f>B1081</f>
        <v>67</v>
      </c>
      <c r="C1082" t="str">
        <f t="shared" ca="1" si="250"/>
        <v>Other Tax Assessments</v>
      </c>
      <c r="D1082" t="str">
        <f>ADDRESS(B1081, 3,4  )</f>
        <v>C67</v>
      </c>
      <c r="E1082">
        <f t="shared" ca="1" si="251"/>
        <v>0</v>
      </c>
      <c r="F1082" t="str">
        <f ca="1">CONCATENATE("Enter a residential 'Amount Last Provided to CHFA' value for '", C1082, "' in cell ", D1082, ".", CHAR(10))</f>
        <v xml:space="preserve">Enter a residential 'Amount Last Provided to CHFA' value for 'Other Tax Assessments' in cell C67.
</v>
      </c>
      <c r="G1082" s="9" t="str">
        <f t="shared" ca="1" si="249"/>
        <v>0</v>
      </c>
    </row>
    <row r="1083" spans="1:7" ht="15" customHeight="1">
      <c r="A1083" t="str">
        <f ca="1">IF(E1083="",F1083, "")</f>
        <v/>
      </c>
      <c r="B1083">
        <f>ROW('Proforma, Income &amp; Expense'!B68)</f>
        <v>68</v>
      </c>
      <c r="C1083" t="str">
        <f t="shared" ca="1" si="250"/>
        <v>Insurance</v>
      </c>
      <c r="D1083" t="str">
        <f>ADDRESS(B1083, 2,4  )</f>
        <v>B68</v>
      </c>
      <c r="E1083">
        <f t="shared" ca="1" si="251"/>
        <v>0</v>
      </c>
      <c r="F1083" t="str">
        <f ca="1">CONCATENATE("Enter a residential value for '", C1083, "' in cell ", D1083, ".", CHAR(10))</f>
        <v xml:space="preserve">Enter a residential value for 'Insurance' in cell B68.
</v>
      </c>
      <c r="G1083" s="9" t="str">
        <f t="shared" ref="G1083:G1093" ca="1" si="252">OFFSET(G1083, -1, 0) &amp; A1083</f>
        <v>0</v>
      </c>
    </row>
    <row r="1084" spans="1:7" ht="15" customHeight="1">
      <c r="A1084" t="str">
        <f ca="1">IF(AND(OR(Calculations!$B$3:$B$4), E1084=""), F1084, "")</f>
        <v/>
      </c>
      <c r="B1084" s="52">
        <f>B1083</f>
        <v>68</v>
      </c>
      <c r="C1084" t="str">
        <f t="shared" ca="1" si="250"/>
        <v>Insurance</v>
      </c>
      <c r="D1084" t="str">
        <f>ADDRESS(B1083, 3,4  )</f>
        <v>C68</v>
      </c>
      <c r="E1084">
        <f t="shared" ca="1" si="251"/>
        <v>0</v>
      </c>
      <c r="F1084" t="str">
        <f ca="1">CONCATENATE("Enter a residential 'Amount Last Provided to CHFA' value for '", C1084, "' in cell ", D1084, ".", CHAR(10))</f>
        <v xml:space="preserve">Enter a residential 'Amount Last Provided to CHFA' value for 'Insurance' in cell C68.
</v>
      </c>
      <c r="G1084" s="9" t="str">
        <f t="shared" ca="1" si="252"/>
        <v>0</v>
      </c>
    </row>
    <row r="1085" spans="1:7" ht="15" customHeight="1">
      <c r="A1085" t="str">
        <f ca="1">IF(E1085="",F1085, "")</f>
        <v/>
      </c>
      <c r="B1085">
        <f>ROW('Proforma, Income &amp; Expense'!B69)</f>
        <v>69</v>
      </c>
      <c r="C1085" t="str">
        <f t="shared" ca="1" si="250"/>
        <v>Payroll Tax</v>
      </c>
      <c r="D1085" t="str">
        <f>ADDRESS(B1085, 2,4  )</f>
        <v>B69</v>
      </c>
      <c r="E1085">
        <f t="shared" ca="1" si="251"/>
        <v>0</v>
      </c>
      <c r="F1085" t="str">
        <f ca="1">CONCATENATE("Enter a residential value for '", C1085, "' in cell ", D1085, ".", CHAR(10))</f>
        <v xml:space="preserve">Enter a residential value for 'Payroll Tax' in cell B69.
</v>
      </c>
      <c r="G1085" s="9" t="str">
        <f t="shared" ca="1" si="252"/>
        <v>0</v>
      </c>
    </row>
    <row r="1086" spans="1:7" ht="15" customHeight="1">
      <c r="A1086" t="str">
        <f ca="1">IF(AND(OR(Calculations!$B$3:$B$4), E1086=""), F1086, "")</f>
        <v/>
      </c>
      <c r="B1086" s="52">
        <f>B1085</f>
        <v>69</v>
      </c>
      <c r="C1086" t="str">
        <f t="shared" ca="1" si="250"/>
        <v>Payroll Tax</v>
      </c>
      <c r="D1086" t="str">
        <f>ADDRESS(B1085, 3,4  )</f>
        <v>C69</v>
      </c>
      <c r="E1086">
        <f t="shared" ca="1" si="251"/>
        <v>0</v>
      </c>
      <c r="F1086" t="str">
        <f ca="1">CONCATENATE("Enter a residential 'Amount Last Provided to CHFA' value for '", C1086, "' in cell ", D1086, ".", CHAR(10))</f>
        <v xml:space="preserve">Enter a residential 'Amount Last Provided to CHFA' value for 'Payroll Tax' in cell C69.
</v>
      </c>
      <c r="G1086" s="9" t="str">
        <f t="shared" ca="1" si="252"/>
        <v>0</v>
      </c>
    </row>
    <row r="1087" spans="1:7" ht="15" customHeight="1">
      <c r="A1087" t="str">
        <f ca="1">IF(E1087="",F1087, "")</f>
        <v/>
      </c>
      <c r="B1087">
        <f>ROW('Proforma, Income &amp; Expense'!B70)</f>
        <v>70</v>
      </c>
      <c r="C1087" t="str">
        <f t="shared" ca="1" si="250"/>
        <v>Other (Specify)</v>
      </c>
      <c r="D1087" t="str">
        <f>ADDRESS(B1087, 2,4  )</f>
        <v>B70</v>
      </c>
      <c r="E1087">
        <f t="shared" ca="1" si="251"/>
        <v>0</v>
      </c>
      <c r="F1087" t="str">
        <f ca="1">CONCATENATE("Enter a residential value for '", C1087, "' in cell ", D1087, ".", CHAR(10))</f>
        <v xml:space="preserve">Enter a residential value for 'Other (Specify)' in cell B70.
</v>
      </c>
      <c r="G1087" s="9" t="str">
        <f t="shared" ca="1" si="252"/>
        <v>0</v>
      </c>
    </row>
    <row r="1088" spans="1:7" ht="15" customHeight="1">
      <c r="A1088" t="str">
        <f ca="1">IF(AND(OR(Calculations!$B$3:$B$4), E1088=""), F1088, "")</f>
        <v/>
      </c>
      <c r="B1088" s="52">
        <f>B1087</f>
        <v>70</v>
      </c>
      <c r="C1088" t="str">
        <f t="shared" ca="1" si="250"/>
        <v>Other (Specify)</v>
      </c>
      <c r="D1088" t="str">
        <f>ADDRESS(B1087, 3,4  )</f>
        <v>C70</v>
      </c>
      <c r="E1088">
        <f t="shared" ca="1" si="251"/>
        <v>0</v>
      </c>
      <c r="F1088" t="str">
        <f ca="1">CONCATENATE("Enter a residential 'Amount Last Provided to CHFA' value for '", C1088, "' in cell ", D1088, ".", CHAR(10))</f>
        <v xml:space="preserve">Enter a residential 'Amount Last Provided to CHFA' value for 'Other (Specify)' in cell C70.
</v>
      </c>
      <c r="G1088" s="9" t="str">
        <f t="shared" ca="1" si="252"/>
        <v>0</v>
      </c>
    </row>
    <row r="1089" spans="1:19" ht="15" customHeight="1">
      <c r="A1089" t="str">
        <f ca="1">IF(AND(E1089, SUM(E1087:E1088) &gt; 0), F1089, "")</f>
        <v/>
      </c>
      <c r="C1089" t="str">
        <f ca="1">INDIRECT($F$920 &amp; ADDRESS(B1088, 1,4  ))</f>
        <v>Other (Specify)</v>
      </c>
      <c r="D1089" t="str">
        <f>ADDRESS(B1088, 1,4  )</f>
        <v>A70</v>
      </c>
      <c r="E1089" t="b">
        <f ca="1">INDIRECT($F$920 &amp; D1089)="Other (specify)"</f>
        <v>1</v>
      </c>
      <c r="F1089" t="str">
        <f ca="1">CONCATENATE("Please specify value for '", C1089, "' in cell ", D1089, ".", CHAR(10))</f>
        <v xml:space="preserve">Please specify value for 'Other (Specify)' in cell A70.
</v>
      </c>
      <c r="G1089" s="9" t="str">
        <f t="shared" ca="1" si="252"/>
        <v>0</v>
      </c>
    </row>
    <row r="1090" spans="1:19" ht="15" customHeight="1">
      <c r="A1090" t="str">
        <f ca="1">IF(E1090="",F1090, "")</f>
        <v/>
      </c>
      <c r="B1090">
        <f>ROW('Proforma, Income &amp; Expense'!B71)</f>
        <v>71</v>
      </c>
      <c r="C1090" t="str">
        <f ca="1">INDIRECT($F$920 &amp; ADDRESS(B1090, 1,4  ))</f>
        <v>Other (Specify)</v>
      </c>
      <c r="D1090" t="str">
        <f>ADDRESS(B1090, 2,4  )</f>
        <v>B71</v>
      </c>
      <c r="E1090">
        <f ca="1">IF(ISBLANK( INDIRECT($F$920 &amp; D1090)),"", INDIRECT($F$920 &amp; D1090))</f>
        <v>0</v>
      </c>
      <c r="F1090" t="str">
        <f ca="1">CONCATENATE("Enter a residential value for '", C1090, "' in cell ", D1090, ".", CHAR(10))</f>
        <v xml:space="preserve">Enter a residential value for 'Other (Specify)' in cell B71.
</v>
      </c>
      <c r="G1090" s="9" t="str">
        <f t="shared" ca="1" si="252"/>
        <v>0</v>
      </c>
    </row>
    <row r="1091" spans="1:19" ht="15" customHeight="1">
      <c r="A1091" t="str">
        <f ca="1">IF(AND(OR(Calculations!$B$3:$B$4), E1091=""), F1091, "")</f>
        <v/>
      </c>
      <c r="B1091" s="52">
        <f>B1090</f>
        <v>71</v>
      </c>
      <c r="C1091" t="str">
        <f ca="1">INDIRECT($F$920 &amp; ADDRESS(B1091, 1,4  ))</f>
        <v>Other (Specify)</v>
      </c>
      <c r="D1091" t="str">
        <f>ADDRESS(B1090, 3,4  )</f>
        <v>C71</v>
      </c>
      <c r="E1091">
        <f ca="1">IF(ISBLANK( INDIRECT($F$920 &amp; D1091)),"", INDIRECT($F$920 &amp; D1091))</f>
        <v>0</v>
      </c>
      <c r="F1091" t="str">
        <f ca="1">CONCATENATE("Enter a residential 'Amount Last Provided to CHFA' value for '", C1091, "' in cell ", D1091, ".", CHAR(10))</f>
        <v xml:space="preserve">Enter a residential 'Amount Last Provided to CHFA' value for 'Other (Specify)' in cell C71.
</v>
      </c>
      <c r="G1091" s="9" t="str">
        <f t="shared" ca="1" si="252"/>
        <v>0</v>
      </c>
    </row>
    <row r="1092" spans="1:19" ht="15" customHeight="1">
      <c r="A1092" t="str">
        <f ca="1">IF(AND(E1092, SUM(E1090:E1091) &gt; 0), F1092, "")</f>
        <v/>
      </c>
      <c r="C1092" t="str">
        <f ca="1">INDIRECT($F$920 &amp; ADDRESS(B1091, 1,4  ))</f>
        <v>Other (Specify)</v>
      </c>
      <c r="D1092" t="str">
        <f>ADDRESS(B1091, 1,4  )</f>
        <v>A71</v>
      </c>
      <c r="E1092" t="b">
        <f ca="1">INDIRECT($F$920 &amp; D1092)="Other (specify)"</f>
        <v>1</v>
      </c>
      <c r="F1092" t="str">
        <f ca="1">CONCATENATE("Please specify value for '", C1092, "' in cell ", D1092, ".", CHAR(10))</f>
        <v xml:space="preserve">Please specify value for 'Other (Specify)' in cell A71.
</v>
      </c>
      <c r="G1092" s="9" t="str">
        <f t="shared" ca="1" si="252"/>
        <v>0</v>
      </c>
    </row>
    <row r="1093" spans="1:19" ht="15" customHeight="1">
      <c r="A1093" t="str">
        <f ca="1">IF(E1093="",F1093, "")</f>
        <v/>
      </c>
      <c r="B1093">
        <f>ROW('Proforma, Income &amp; Expense'!B76)</f>
        <v>76</v>
      </c>
      <c r="C1093" t="str">
        <f ca="1">INDIRECT($F$920 &amp; ADDRESS(B1093, 1,4  ))</f>
        <v>Total Per Unit Annual Replacement Reserves</v>
      </c>
      <c r="D1093" t="str">
        <f>ADDRESS(B1093, 2,4  )</f>
        <v>B76</v>
      </c>
      <c r="E1093">
        <f ca="1">IF(ISBLANK( INDIRECT($F$920 &amp; D1093)),"", INDIRECT($F$920 &amp; D1093))</f>
        <v>0</v>
      </c>
      <c r="F1093" t="str">
        <f ca="1">CONCATENATE("Enter a value for '", C1093, "' in cell ", D1093, ".", CHAR(10))</f>
        <v xml:space="preserve">Enter a value for 'Total Per Unit Annual Replacement Reserves' in cell B76.
</v>
      </c>
      <c r="G1093" s="9" t="str">
        <f t="shared" ca="1" si="252"/>
        <v>0</v>
      </c>
    </row>
    <row r="1094" spans="1:19" ht="15" customHeight="1">
      <c r="A1094" t="str">
        <f t="shared" ref="A1094" ca="1" si="253">IF(E1094="",F1094, "")</f>
        <v/>
      </c>
      <c r="B1094">
        <f>ROW('Proforma, Income &amp; Expense'!B77)</f>
        <v>77</v>
      </c>
      <c r="C1094" t="str">
        <f t="shared" ref="C1094" ca="1" si="254">INDIRECT($F$920 &amp; ADDRESS(B1094, 1,4  ))</f>
        <v>Indicate if requesting waiver of Minimum PUPA Requirement.</v>
      </c>
      <c r="D1094" t="str">
        <f t="shared" ref="D1094" si="255">ADDRESS(B1094, 2,4  )</f>
        <v>B77</v>
      </c>
      <c r="E1094" t="str">
        <f t="shared" ref="E1094" ca="1" si="256">IF(ISBLANK( INDIRECT($F$920 &amp; D1094)),"", INDIRECT($F$920 &amp; D1094))</f>
        <v>No</v>
      </c>
      <c r="F1094" t="str">
        <f t="shared" ref="F1094" ca="1" si="257">CONCATENATE("Enter a value for '", C1094, "' in cell ", D1094, ".", CHAR(10))</f>
        <v xml:space="preserve">Enter a value for 'Indicate if requesting waiver of Minimum PUPA Requirement.' in cell B77.
</v>
      </c>
      <c r="G1094" s="9" t="str">
        <f t="shared" ref="G1094" ca="1" si="258">OFFSET(G1094, -1, 0) &amp; A1094</f>
        <v>0</v>
      </c>
    </row>
    <row r="1095" spans="1:19" ht="15" customHeight="1">
      <c r="G1095" s="9"/>
    </row>
    <row r="1096" spans="1:19" ht="15" customHeight="1">
      <c r="G1096" s="9"/>
    </row>
    <row r="1097" spans="1:19" ht="15" customHeight="1">
      <c r="A1097" s="55" t="s">
        <v>3877</v>
      </c>
      <c r="B1097" s="53"/>
      <c r="C1097" s="53"/>
      <c r="D1097" s="53"/>
      <c r="E1097" s="53"/>
      <c r="F1097" s="53"/>
      <c r="G1097" s="869">
        <f ca="1">OFFSET(G1097,-1,0)</f>
        <v>0</v>
      </c>
    </row>
    <row r="1098" spans="1:19" ht="15" customHeight="1"/>
    <row r="1099" spans="1:19" ht="15" customHeight="1"/>
    <row r="1100" spans="1:19" ht="15" customHeight="1">
      <c r="A1100" s="22" t="s">
        <v>100</v>
      </c>
      <c r="F1100" s="49" t="s">
        <v>3878</v>
      </c>
    </row>
    <row r="1101" spans="1:19" ht="15" customHeight="1">
      <c r="A1101" s="53" t="s">
        <v>3831</v>
      </c>
      <c r="B1101" s="53" t="s">
        <v>3832</v>
      </c>
      <c r="C1101" s="53" t="s">
        <v>3833</v>
      </c>
      <c r="D1101" s="53" t="s">
        <v>3834</v>
      </c>
      <c r="E1101" s="53" t="s">
        <v>3835</v>
      </c>
      <c r="F1101" s="53" t="s">
        <v>3836</v>
      </c>
      <c r="G1101" s="54" t="s">
        <v>3837</v>
      </c>
      <c r="H1101" s="53" t="s">
        <v>3879</v>
      </c>
      <c r="I1101" s="53" t="s">
        <v>3880</v>
      </c>
    </row>
    <row r="1102" spans="1:19" ht="15" customHeight="1">
      <c r="A1102" t="str">
        <f t="shared" ref="A1102:A1108" ca="1" si="259">IF(AND(E1102, H1102), F1102, "")</f>
        <v xml:space="preserve">Enter all information for Applicant to be Published on Reports.
</v>
      </c>
      <c r="B1102">
        <f>ROW('Contact Information'!B4)</f>
        <v>4</v>
      </c>
      <c r="C1102" t="str">
        <f ca="1">INDIRECT($F$1100 &amp; ADDRESS(B1102-1, 1,4  ))</f>
        <v>Applicant to be Published on Reports</v>
      </c>
      <c r="D1102" t="str">
        <f t="shared" ref="D1102:D1136" si="260">CONCATENATE(ADDRESS(B1102, 2, 4), ":", ADDRESS(B1102+I1102-1, 2,4))</f>
        <v>B4:B8</v>
      </c>
      <c r="E1102" t="b">
        <f t="shared" ref="E1102:E1136" ca="1" si="261">(J1102+K1102) - I1102 &lt;&gt; 0</f>
        <v>1</v>
      </c>
      <c r="F1102" t="str">
        <f t="shared" ref="F1102:F1136" ca="1" si="262">CONCATENATE("Enter all information for " &amp; C1102 &amp; ".", CHAR(10))</f>
        <v xml:space="preserve">Enter all information for Applicant to be Published on Reports.
</v>
      </c>
      <c r="G1102" t="str">
        <f ca="1">A1102</f>
        <v xml:space="preserve">Enter all information for Applicant to be Published on Reports.
</v>
      </c>
      <c r="H1102" t="b">
        <f>TRUE</f>
        <v>1</v>
      </c>
      <c r="I1102">
        <v>5</v>
      </c>
      <c r="J1102" s="52">
        <f ca="1">SUMPRODUCT(--ISTEXT(INDIRECT(L1102)))</f>
        <v>0</v>
      </c>
      <c r="K1102" s="52">
        <f ca="1">SUMPRODUCT(--ISNUMBER(INDIRECT(L1102)))</f>
        <v>0</v>
      </c>
      <c r="L1102" s="52" t="str">
        <f t="shared" ref="L1102:L1136" si="263">$F$1100 &amp; D1102</f>
        <v>'Contact Information'!B4:B8</v>
      </c>
      <c r="S1102" t="s">
        <v>3881</v>
      </c>
    </row>
    <row r="1103" spans="1:19" ht="15" customHeight="1">
      <c r="A1103" t="str">
        <f t="shared" ca="1" si="259"/>
        <v xml:space="preserve">Enter all information for Applicant Contact for Application Questions .
</v>
      </c>
      <c r="B1103">
        <f>ROW('Contact Information'!B11)</f>
        <v>11</v>
      </c>
      <c r="C1103" t="str">
        <f t="shared" ref="C1103:C1136" ca="1" si="264">INDIRECT($F$1100 &amp; ADDRESS(B1103-1, 1,4  ))</f>
        <v xml:space="preserve">Applicant Contact for Application Questions </v>
      </c>
      <c r="D1103" t="str">
        <f t="shared" si="260"/>
        <v>B11:B19</v>
      </c>
      <c r="E1103" t="b">
        <f t="shared" ca="1" si="261"/>
        <v>1</v>
      </c>
      <c r="F1103" t="str">
        <f t="shared" ca="1" si="262"/>
        <v xml:space="preserve">Enter all information for Applicant Contact for Application Questions .
</v>
      </c>
      <c r="G1103" s="9" t="str">
        <f t="shared" ref="G1103:G1104" ca="1" si="265">OFFSET(G1103, -1, 0) &amp; A1103</f>
        <v xml:space="preserve">Enter all information for Applicant to be Published on Reports.
Enter all information for Applicant Contact for Application Questions .
</v>
      </c>
      <c r="H1103" t="b">
        <f>TRUE</f>
        <v>1</v>
      </c>
      <c r="I1103" s="9">
        <v>9</v>
      </c>
      <c r="J1103" s="52">
        <f ca="1">SUMPRODUCT(--ISTEXT(INDIRECT(L1103)))</f>
        <v>0</v>
      </c>
      <c r="K1103" s="52">
        <f ca="1">SUMPRODUCT(--ISNUMBER(INDIRECT(L1103)))</f>
        <v>0</v>
      </c>
      <c r="L1103" s="52" t="str">
        <f t="shared" si="263"/>
        <v>'Contact Information'!B11:B19</v>
      </c>
      <c r="S1103" t="s">
        <v>3882</v>
      </c>
    </row>
    <row r="1104" spans="1:19" ht="15" customHeight="1">
      <c r="A1104" t="str">
        <f t="shared" ca="1" si="259"/>
        <v xml:space="preserve">Enter all information for Developer Contact .
</v>
      </c>
      <c r="B1104">
        <f>ROW('Contact Information'!B51)</f>
        <v>51</v>
      </c>
      <c r="C1104" t="str">
        <f t="shared" ca="1" si="264"/>
        <v xml:space="preserve">Developer Contact </v>
      </c>
      <c r="D1104" t="str">
        <f t="shared" si="260"/>
        <v>B51:B59</v>
      </c>
      <c r="E1104" t="b">
        <f t="shared" ca="1" si="261"/>
        <v>1</v>
      </c>
      <c r="F1104" t="str">
        <f t="shared" ca="1" si="262"/>
        <v xml:space="preserve">Enter all information for Developer Contact .
</v>
      </c>
      <c r="G1104" s="9" t="str">
        <f t="shared" ca="1" si="265"/>
        <v xml:space="preserve">Enter all information for Applicant to be Published on Reports.
Enter all information for Applicant Contact for Application Questions .
Enter all information for Developer Contact .
</v>
      </c>
      <c r="H1104" t="b">
        <f>TRUE</f>
        <v>1</v>
      </c>
      <c r="I1104" s="9">
        <v>9</v>
      </c>
      <c r="J1104" s="52">
        <f t="shared" ref="J1104" ca="1" si="266">SUMPRODUCT(--ISTEXT(INDIRECT(L1104)))</f>
        <v>0</v>
      </c>
      <c r="K1104" s="52">
        <f t="shared" ref="K1104:K1135" ca="1" si="267">SUMPRODUCT(--ISNUMBER(INDIRECT(L1104)))</f>
        <v>0</v>
      </c>
      <c r="L1104" s="52" t="str">
        <f t="shared" si="263"/>
        <v>'Contact Information'!B51:B59</v>
      </c>
    </row>
    <row r="1105" spans="1:16" ht="15" customHeight="1">
      <c r="A1105" t="str">
        <f ca="1">IF(AND(E1105, H1105), F1105, "")</f>
        <v xml:space="preserve">Enter all information for Syndicator/Investor .
</v>
      </c>
      <c r="B1105">
        <f>ROW('Contact Information'!B65)</f>
        <v>65</v>
      </c>
      <c r="C1105" t="str">
        <f t="shared" ca="1" si="264"/>
        <v xml:space="preserve">Syndicator/Investor </v>
      </c>
      <c r="D1105" t="str">
        <f t="shared" si="260"/>
        <v>B65:B73</v>
      </c>
      <c r="E1105" t="b">
        <f t="shared" ca="1" si="261"/>
        <v>1</v>
      </c>
      <c r="F1105" t="str">
        <f t="shared" ca="1" si="262"/>
        <v xml:space="preserve">Enter all information for Syndicator/Investor .
</v>
      </c>
      <c r="G1105" s="9" t="str">
        <f t="shared" ref="G1105:G1123" ca="1" si="268">OFFSET(G1105, -1, 0) &amp; A1105</f>
        <v xml:space="preserve">Enter all information for Applicant to be Published on Reports.
Enter all information for Applicant Contact for Application Questions .
Enter all information for Developer Contact .
Enter all information for Syndicator/Investor .
</v>
      </c>
      <c r="H1105" t="b">
        <f>TRUE</f>
        <v>1</v>
      </c>
      <c r="I1105" s="9">
        <v>9</v>
      </c>
      <c r="J1105" s="52">
        <f t="shared" ref="J1105:J1113" ca="1" si="269">SUMPRODUCT(--ISTEXT(INDIRECT(L1105)))</f>
        <v>0</v>
      </c>
      <c r="K1105" s="52">
        <f t="shared" ca="1" si="267"/>
        <v>0</v>
      </c>
      <c r="L1105" s="52" t="str">
        <f t="shared" si="263"/>
        <v>'Contact Information'!B65:B73</v>
      </c>
    </row>
    <row r="1106" spans="1:16" ht="15" customHeight="1">
      <c r="A1106" t="str">
        <f t="shared" ca="1" si="259"/>
        <v xml:space="preserve">Enter all information for State TC Syndicator/Investor.
</v>
      </c>
      <c r="B1106">
        <f>ROW('Contact Information'!B76)</f>
        <v>76</v>
      </c>
      <c r="C1106" t="str">
        <f t="shared" ca="1" si="264"/>
        <v>State TC Syndicator/Investor</v>
      </c>
      <c r="D1106" t="str">
        <f t="shared" si="260"/>
        <v>B76:B84</v>
      </c>
      <c r="E1106" t="b">
        <f t="shared" ca="1" si="261"/>
        <v>1</v>
      </c>
      <c r="F1106" t="str">
        <f t="shared" ca="1" si="262"/>
        <v xml:space="preserve">Enter all information for State TC Syndicator/Investor.
</v>
      </c>
      <c r="G1106"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106" t="b">
        <f>TRUE</f>
        <v>1</v>
      </c>
      <c r="I1106" s="9">
        <v>9</v>
      </c>
      <c r="J1106" s="52">
        <f t="shared" ca="1" si="269"/>
        <v>0</v>
      </c>
      <c r="K1106" s="52">
        <f t="shared" ca="1" si="267"/>
        <v>0</v>
      </c>
      <c r="L1106" s="52" t="str">
        <f t="shared" si="263"/>
        <v>'Contact Information'!B76:B84</v>
      </c>
    </row>
    <row r="1107" spans="1:16" ht="15" customHeight="1">
      <c r="A1107" t="str">
        <f t="shared" ca="1" si="259"/>
        <v xml:space="preserve">Enter all information for Ownership Entity (if formed, required for Carryover, PIS/Final and CHFA Loan).
</v>
      </c>
      <c r="B1107">
        <f>ROW('Contact Information'!B87)</f>
        <v>87</v>
      </c>
      <c r="C1107" t="str">
        <f t="shared" ca="1" si="264"/>
        <v>Ownership Entity (if formed, required for Carryover, PIS/Final and CHFA Loan)</v>
      </c>
      <c r="D1107" t="str">
        <f t="shared" si="260"/>
        <v>B87:B97</v>
      </c>
      <c r="E1107" t="b">
        <f t="shared" ca="1" si="261"/>
        <v>1</v>
      </c>
      <c r="F1107" t="str">
        <f t="shared" ca="1" si="262"/>
        <v xml:space="preserve">Enter all information for Ownership Entity (if formed, required for Carryover, PIS/Final and CHFA Loan).
</v>
      </c>
      <c r="G1107"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7" t="b">
        <f>TRUE</f>
        <v>1</v>
      </c>
      <c r="I1107" s="9">
        <v>11</v>
      </c>
      <c r="J1107" s="52">
        <f t="shared" ca="1" si="269"/>
        <v>0</v>
      </c>
      <c r="K1107" s="52">
        <f t="shared" ca="1" si="267"/>
        <v>0</v>
      </c>
      <c r="L1107" s="52" t="str">
        <f t="shared" si="263"/>
        <v>'Contact Information'!B87:B97</v>
      </c>
    </row>
    <row r="1108" spans="1:16" ht="15" customHeight="1">
      <c r="A1108" t="str">
        <f t="shared" ca="1" si="259"/>
        <v xml:space="preserve">Enter all information for Participating Nonprofit or PHA.
</v>
      </c>
      <c r="B1108">
        <f>ROW('Contact Information'!B104)</f>
        <v>104</v>
      </c>
      <c r="C1108" t="str">
        <f t="shared" ca="1" si="264"/>
        <v>Participating Nonprofit or PHA</v>
      </c>
      <c r="D1108" t="str">
        <f t="shared" si="260"/>
        <v>B104:B114</v>
      </c>
      <c r="E1108" t="b">
        <f t="shared" ca="1" si="261"/>
        <v>1</v>
      </c>
      <c r="F1108" t="str">
        <f t="shared" ca="1" si="262"/>
        <v xml:space="preserve">Enter all information for Participating Nonprofit or PHA.
</v>
      </c>
      <c r="G1108"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8" t="b">
        <f>TRUE</f>
        <v>1</v>
      </c>
      <c r="I1108" s="9">
        <v>11</v>
      </c>
      <c r="J1108" s="52">
        <f t="shared" ca="1" si="269"/>
        <v>0</v>
      </c>
      <c r="K1108" s="52">
        <f t="shared" ca="1" si="267"/>
        <v>0</v>
      </c>
      <c r="L1108" s="52" t="str">
        <f t="shared" si="263"/>
        <v>'Contact Information'!B104:B114</v>
      </c>
      <c r="P1108" t="s">
        <v>3883</v>
      </c>
    </row>
    <row r="1109" spans="1:16" ht="15" customHeight="1">
      <c r="A1109" t="str">
        <f t="shared" ref="A1109:A1136" ca="1" si="270">IF(AND(E1109, H1109), F1109, "")</f>
        <v/>
      </c>
      <c r="B1109">
        <f>ROW('Contact Information'!B134)</f>
        <v>134</v>
      </c>
      <c r="C1109" t="str">
        <f t="shared" ca="1" si="264"/>
        <v>3rd Party Estimator</v>
      </c>
      <c r="D1109" t="str">
        <f t="shared" si="260"/>
        <v>B134:B142</v>
      </c>
      <c r="E1109" t="b">
        <f t="shared" ca="1" si="261"/>
        <v>1</v>
      </c>
      <c r="F1109" t="str">
        <f t="shared" ca="1" si="262"/>
        <v xml:space="preserve">Enter all information for 3rd Party Estimator.
</v>
      </c>
      <c r="G1109"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9" t="b">
        <f>Calculations!$B$2</f>
        <v>0</v>
      </c>
      <c r="I1109" s="9">
        <v>9</v>
      </c>
      <c r="J1109" s="52">
        <f t="shared" ca="1" si="269"/>
        <v>0</v>
      </c>
      <c r="K1109" s="52">
        <f t="shared" ca="1" si="267"/>
        <v>0</v>
      </c>
      <c r="L1109" s="52" t="str">
        <f t="shared" si="263"/>
        <v>'Contact Information'!B134:B142</v>
      </c>
    </row>
    <row r="1110" spans="1:16" ht="15" customHeight="1">
      <c r="A1110" t="str">
        <f t="shared" ca="1" si="270"/>
        <v xml:space="preserve">Enter all information for General Partner.
</v>
      </c>
      <c r="B1110">
        <f>ROW('Contact Information'!B145)</f>
        <v>145</v>
      </c>
      <c r="C1110" t="str">
        <f t="shared" ca="1" si="264"/>
        <v>General Partner</v>
      </c>
      <c r="D1110" t="str">
        <f t="shared" si="260"/>
        <v>B145:B153</v>
      </c>
      <c r="E1110" t="b">
        <f t="shared" ca="1" si="261"/>
        <v>1</v>
      </c>
      <c r="F1110" t="str">
        <f t="shared" ca="1" si="262"/>
        <v xml:space="preserve">Enter all information for General Partner.
</v>
      </c>
      <c r="G1110"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10" t="b">
        <f>TRUE</f>
        <v>1</v>
      </c>
      <c r="I1110" s="9">
        <v>9</v>
      </c>
      <c r="J1110" s="52">
        <f t="shared" ca="1" si="269"/>
        <v>0</v>
      </c>
      <c r="K1110" s="52">
        <f t="shared" ca="1" si="267"/>
        <v>0</v>
      </c>
      <c r="L1110" s="52" t="str">
        <f t="shared" si="263"/>
        <v>'Contact Information'!B145:B153</v>
      </c>
    </row>
    <row r="1111" spans="1:16" ht="15" customHeight="1">
      <c r="A1111" t="str">
        <f t="shared" ca="1" si="270"/>
        <v xml:space="preserve">Enter all information for General Contractor.
</v>
      </c>
      <c r="B1111">
        <f>ROW('Contact Information'!B159)</f>
        <v>159</v>
      </c>
      <c r="C1111" t="str">
        <f t="shared" ca="1" si="264"/>
        <v>General Contractor</v>
      </c>
      <c r="D1111" t="str">
        <f t="shared" si="260"/>
        <v>B159:B167</v>
      </c>
      <c r="E1111" t="b">
        <f t="shared" ca="1" si="261"/>
        <v>1</v>
      </c>
      <c r="F1111" t="str">
        <f t="shared" ca="1" si="262"/>
        <v xml:space="preserve">Enter all information for General Contractor.
</v>
      </c>
      <c r="G1111"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11" t="b">
        <f>TRUE</f>
        <v>1</v>
      </c>
      <c r="I1111" s="9">
        <v>9</v>
      </c>
      <c r="J1111" s="52">
        <f t="shared" ca="1" si="269"/>
        <v>0</v>
      </c>
      <c r="K1111" s="52">
        <f t="shared" ca="1" si="267"/>
        <v>0</v>
      </c>
      <c r="L1111" s="52" t="str">
        <f t="shared" si="263"/>
        <v>'Contact Information'!B159:B167</v>
      </c>
    </row>
    <row r="1112" spans="1:16" ht="15" customHeight="1">
      <c r="A1112" t="str">
        <f t="shared" ca="1" si="270"/>
        <v xml:space="preserve">Enter all information for Management Company.
</v>
      </c>
      <c r="B1112">
        <f>ROW('Contact Information'!B173)</f>
        <v>173</v>
      </c>
      <c r="C1112" t="str">
        <f t="shared" ca="1" si="264"/>
        <v>Management Company</v>
      </c>
      <c r="D1112" t="str">
        <f t="shared" si="260"/>
        <v>B173:B181</v>
      </c>
      <c r="E1112" t="b">
        <f t="shared" ca="1" si="261"/>
        <v>1</v>
      </c>
      <c r="F1112" t="str">
        <f t="shared" ca="1" si="262"/>
        <v xml:space="preserve">Enter all information for Management Company.
</v>
      </c>
      <c r="G1112"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2" t="b">
        <f>TRUE</f>
        <v>1</v>
      </c>
      <c r="I1112" s="9">
        <v>9</v>
      </c>
      <c r="J1112" s="52">
        <f t="shared" ca="1" si="269"/>
        <v>0</v>
      </c>
      <c r="K1112" s="52">
        <f t="shared" ca="1" si="267"/>
        <v>0</v>
      </c>
      <c r="L1112" s="52" t="str">
        <f t="shared" si="263"/>
        <v>'Contact Information'!B173:B181</v>
      </c>
    </row>
    <row r="1113" spans="1:16" ht="15" customHeight="1">
      <c r="A1113" t="str">
        <f t="shared" ca="1" si="270"/>
        <v/>
      </c>
      <c r="B1113">
        <f>ROW('Contact Information'!B187)</f>
        <v>187</v>
      </c>
      <c r="C1113" t="str">
        <f t="shared" ca="1" si="264"/>
        <v>Fee/Turnkey Developer</v>
      </c>
      <c r="D1113" t="str">
        <f t="shared" si="260"/>
        <v>B187:B195</v>
      </c>
      <c r="E1113" t="b">
        <f t="shared" ca="1" si="261"/>
        <v>1</v>
      </c>
      <c r="F1113" t="str">
        <f t="shared" ca="1" si="262"/>
        <v xml:space="preserve">Enter all information for Fee/Turnkey Developer.
</v>
      </c>
      <c r="G1113" s="9" t="str">
        <f t="shared" ref="G1113" ca="1" si="271">OFFSET(G1113, -1, 0) &amp; A1113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3" t="b">
        <f>Calculations!$B$2</f>
        <v>0</v>
      </c>
      <c r="I1113" s="9">
        <v>9</v>
      </c>
      <c r="J1113" s="52">
        <f t="shared" ca="1" si="269"/>
        <v>0</v>
      </c>
      <c r="K1113" s="52">
        <f t="shared" ref="K1113" ca="1" si="272">SUMPRODUCT(--ISNUMBER(INDIRECT(L1113)))</f>
        <v>0</v>
      </c>
      <c r="L1113" s="52" t="str">
        <f t="shared" si="263"/>
        <v>'Contact Information'!B187:B195</v>
      </c>
      <c r="P1113" t="s">
        <v>3883</v>
      </c>
    </row>
    <row r="1114" spans="1:16" ht="15" customHeight="1">
      <c r="A1114" t="str">
        <f t="shared" ca="1" si="270"/>
        <v xml:space="preserve">Enter all information for Consultant (specify).
</v>
      </c>
      <c r="B1114">
        <f>ROW('Contact Information'!B201)</f>
        <v>201</v>
      </c>
      <c r="C1114" t="str">
        <f t="shared" ca="1" si="264"/>
        <v>Consultant (specify)</v>
      </c>
      <c r="D1114" t="str">
        <f t="shared" si="260"/>
        <v>B201:B209</v>
      </c>
      <c r="E1114" t="b">
        <f t="shared" ca="1" si="261"/>
        <v>1</v>
      </c>
      <c r="F1114" t="str">
        <f t="shared" ca="1" si="262"/>
        <v xml:space="preserve">Enter all information for Consultant (specify).
</v>
      </c>
      <c r="G1114"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4" t="b">
        <f>TRUE</f>
        <v>1</v>
      </c>
      <c r="I1114" s="9">
        <v>9</v>
      </c>
      <c r="J1114" s="52">
        <f t="shared" ref="J1114:J1127" ca="1" si="273">SUMPRODUCT(--ISTEXT(INDIRECT(L1114)))</f>
        <v>0</v>
      </c>
      <c r="K1114" s="52">
        <f t="shared" ca="1" si="267"/>
        <v>0</v>
      </c>
      <c r="L1114" s="52" t="str">
        <f t="shared" si="263"/>
        <v>'Contact Information'!B201:B209</v>
      </c>
      <c r="P1114" t="s">
        <v>3883</v>
      </c>
    </row>
    <row r="1115" spans="1:16" ht="15" customHeight="1">
      <c r="A1115" t="str">
        <f t="shared" ca="1" si="270"/>
        <v/>
      </c>
      <c r="B1115">
        <f>ROW('Contact Information'!B213)</f>
        <v>213</v>
      </c>
      <c r="C1115" t="str">
        <f t="shared" ca="1" si="264"/>
        <v>Consultant (specify)</v>
      </c>
      <c r="D1115" t="str">
        <f t="shared" si="260"/>
        <v>B213:B221</v>
      </c>
      <c r="E1115" t="b">
        <f t="shared" ca="1" si="261"/>
        <v>1</v>
      </c>
      <c r="F1115" t="str">
        <f t="shared" ca="1" si="262"/>
        <v xml:space="preserve">Enter all information for Consultant (specify).
</v>
      </c>
      <c r="G1115"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5" t="b">
        <f>Calculations!$B$2</f>
        <v>0</v>
      </c>
      <c r="I1115" s="9">
        <v>9</v>
      </c>
      <c r="J1115" s="52">
        <f t="shared" ca="1" si="273"/>
        <v>0</v>
      </c>
      <c r="K1115" s="52">
        <f t="shared" ca="1" si="267"/>
        <v>0</v>
      </c>
      <c r="L1115" s="52" t="str">
        <f t="shared" si="263"/>
        <v>'Contact Information'!B213:B221</v>
      </c>
      <c r="P1115" t="s">
        <v>3883</v>
      </c>
    </row>
    <row r="1116" spans="1:16" ht="15" customHeight="1">
      <c r="A1116" t="str">
        <f t="shared" ca="1" si="270"/>
        <v/>
      </c>
      <c r="B1116">
        <f>ROW('Contact Information'!B225)</f>
        <v>225</v>
      </c>
      <c r="C1116" t="str">
        <f t="shared" ca="1" si="264"/>
        <v>Consultant (specify)</v>
      </c>
      <c r="D1116" t="str">
        <f t="shared" si="260"/>
        <v>B225:B233</v>
      </c>
      <c r="E1116" t="b">
        <f t="shared" ca="1" si="261"/>
        <v>1</v>
      </c>
      <c r="F1116" t="str">
        <f t="shared" ca="1" si="262"/>
        <v xml:space="preserve">Enter all information for Consultant (specify).
</v>
      </c>
      <c r="G1116"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6" t="b">
        <f>Calculations!$B$2</f>
        <v>0</v>
      </c>
      <c r="I1116" s="9">
        <v>9</v>
      </c>
      <c r="J1116" s="52">
        <f t="shared" ca="1" si="273"/>
        <v>0</v>
      </c>
      <c r="K1116" s="52">
        <f t="shared" ca="1" si="267"/>
        <v>0</v>
      </c>
      <c r="L1116" s="52" t="str">
        <f t="shared" si="263"/>
        <v>'Contact Information'!B225:B233</v>
      </c>
    </row>
    <row r="1117" spans="1:16" ht="15" customHeight="1">
      <c r="A1117" t="str">
        <f t="shared" ca="1" si="270"/>
        <v xml:space="preserve">Enter all information for Tax Attorney Firm.
</v>
      </c>
      <c r="B1117">
        <f>ROW('Contact Information'!B237)</f>
        <v>237</v>
      </c>
      <c r="C1117" t="str">
        <f t="shared" ca="1" si="264"/>
        <v>Tax Attorney Firm</v>
      </c>
      <c r="D1117" t="str">
        <f t="shared" si="260"/>
        <v>B237:B245</v>
      </c>
      <c r="E1117" t="b">
        <f t="shared" ca="1" si="261"/>
        <v>1</v>
      </c>
      <c r="F1117" t="str">
        <f t="shared" ca="1" si="262"/>
        <v xml:space="preserve">Enter all information for Tax Attorney Firm.
</v>
      </c>
      <c r="G1117"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7" t="b">
        <f>TRUE</f>
        <v>1</v>
      </c>
      <c r="I1117" s="9">
        <v>9</v>
      </c>
      <c r="J1117" s="52">
        <f t="shared" ca="1" si="273"/>
        <v>0</v>
      </c>
      <c r="K1117" s="52">
        <f t="shared" ca="1" si="267"/>
        <v>0</v>
      </c>
      <c r="L1117" s="52" t="str">
        <f t="shared" si="263"/>
        <v>'Contact Information'!B237:B245</v>
      </c>
    </row>
    <row r="1118" spans="1:16" ht="15" customHeight="1">
      <c r="A1118" t="str">
        <f t="shared" ca="1" si="270"/>
        <v xml:space="preserve">Enter all information for CPA Firm.
</v>
      </c>
      <c r="B1118">
        <f>ROW('Contact Information'!B248)</f>
        <v>248</v>
      </c>
      <c r="C1118" t="str">
        <f t="shared" ca="1" si="264"/>
        <v>CPA Firm</v>
      </c>
      <c r="D1118" t="str">
        <f t="shared" si="260"/>
        <v>B248:B256</v>
      </c>
      <c r="E1118" t="b">
        <f t="shared" ca="1" si="261"/>
        <v>1</v>
      </c>
      <c r="F1118" t="str">
        <f t="shared" ca="1" si="262"/>
        <v xml:space="preserve">Enter all information for CPA Firm.
</v>
      </c>
      <c r="G1118"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8" t="b">
        <f>TRUE</f>
        <v>1</v>
      </c>
      <c r="I1118" s="9">
        <v>9</v>
      </c>
      <c r="J1118" s="52">
        <f t="shared" ca="1" si="273"/>
        <v>0</v>
      </c>
      <c r="K1118" s="52">
        <f t="shared" ca="1" si="267"/>
        <v>0</v>
      </c>
      <c r="L1118" s="52" t="str">
        <f t="shared" si="263"/>
        <v>'Contact Information'!B248:B256</v>
      </c>
    </row>
    <row r="1119" spans="1:16" ht="15" customHeight="1">
      <c r="A1119" t="str">
        <f t="shared" ca="1" si="270"/>
        <v xml:space="preserve">Enter all information for Architect Firm.
</v>
      </c>
      <c r="B1119">
        <f>ROW('Contact Information'!B259)</f>
        <v>259</v>
      </c>
      <c r="C1119" t="str">
        <f t="shared" ca="1" si="264"/>
        <v>Architect Firm</v>
      </c>
      <c r="D1119" t="str">
        <f t="shared" si="260"/>
        <v>B259:B267</v>
      </c>
      <c r="E1119" t="b">
        <f t="shared" ca="1" si="261"/>
        <v>1</v>
      </c>
      <c r="F1119" t="str">
        <f t="shared" ca="1" si="262"/>
        <v xml:space="preserve">Enter all information for Architect Firm.
</v>
      </c>
      <c r="G1119"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19" t="b">
        <f>TRUE</f>
        <v>1</v>
      </c>
      <c r="I1119" s="9">
        <v>9</v>
      </c>
      <c r="J1119" s="52">
        <f t="shared" ca="1" si="273"/>
        <v>0</v>
      </c>
      <c r="K1119" s="52">
        <f t="shared" ca="1" si="267"/>
        <v>0</v>
      </c>
      <c r="L1119" s="52" t="str">
        <f t="shared" si="263"/>
        <v>'Contact Information'!B259:B267</v>
      </c>
    </row>
    <row r="1120" spans="1:16" ht="15" customHeight="1">
      <c r="A1120" t="str">
        <f t="shared" ca="1" si="270"/>
        <v xml:space="preserve">Enter all information for Permanent Lender.
</v>
      </c>
      <c r="B1120">
        <f>ROW('Contact Information'!B270)</f>
        <v>270</v>
      </c>
      <c r="C1120" t="str">
        <f t="shared" ca="1" si="264"/>
        <v>Permanent Lender</v>
      </c>
      <c r="D1120" t="str">
        <f t="shared" si="260"/>
        <v>B270:B278</v>
      </c>
      <c r="E1120" t="b">
        <f t="shared" ca="1" si="261"/>
        <v>1</v>
      </c>
      <c r="F1120" t="str">
        <f t="shared" ca="1" si="262"/>
        <v xml:space="preserve">Enter all information for Permanent Lender.
</v>
      </c>
      <c r="G1120"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20" t="b">
        <f>TRUE</f>
        <v>1</v>
      </c>
      <c r="I1120" s="9">
        <v>9</v>
      </c>
      <c r="J1120" s="52">
        <f t="shared" ca="1" si="273"/>
        <v>0</v>
      </c>
      <c r="K1120" s="52">
        <f t="shared" ca="1" si="267"/>
        <v>0</v>
      </c>
      <c r="L1120" s="52" t="str">
        <f t="shared" si="263"/>
        <v>'Contact Information'!B270:B278</v>
      </c>
      <c r="P1120" t="s">
        <v>3883</v>
      </c>
    </row>
    <row r="1121" spans="1:19" ht="15" customHeight="1">
      <c r="A1121" t="str">
        <f t="shared" ca="1" si="270"/>
        <v xml:space="preserve">Enter all information for Commercial Lender.
</v>
      </c>
      <c r="B1121">
        <f>ROW('Contact Information'!B281)</f>
        <v>281</v>
      </c>
      <c r="C1121" t="str">
        <f t="shared" ca="1" si="264"/>
        <v>Commercial Lender</v>
      </c>
      <c r="D1121" t="str">
        <f t="shared" si="260"/>
        <v>B281:B289</v>
      </c>
      <c r="E1121" t="b">
        <f t="shared" ca="1" si="261"/>
        <v>1</v>
      </c>
      <c r="F1121" t="str">
        <f t="shared" ca="1" si="262"/>
        <v xml:space="preserve">Enter all information for Commercial Lender.
</v>
      </c>
      <c r="G1121"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21" t="b">
        <f>TRUE</f>
        <v>1</v>
      </c>
      <c r="I1121" s="9">
        <v>9</v>
      </c>
      <c r="J1121" s="52">
        <f t="shared" ca="1" si="273"/>
        <v>0</v>
      </c>
      <c r="K1121" s="52">
        <f t="shared" ca="1" si="267"/>
        <v>0</v>
      </c>
      <c r="L1121" s="52" t="str">
        <f t="shared" si="263"/>
        <v>'Contact Information'!B281:B289</v>
      </c>
    </row>
    <row r="1122" spans="1:19" ht="15" customHeight="1">
      <c r="A1122" t="str">
        <f t="shared" ca="1" si="270"/>
        <v xml:space="preserve">Enter all information for Construction Lender.
</v>
      </c>
      <c r="B1122">
        <f>ROW('Contact Information'!B292)</f>
        <v>292</v>
      </c>
      <c r="C1122" t="str">
        <f t="shared" ca="1" si="264"/>
        <v>Construction Lender</v>
      </c>
      <c r="D1122" t="str">
        <f t="shared" si="260"/>
        <v>B292:B300</v>
      </c>
      <c r="E1122" t="b">
        <f t="shared" ca="1" si="261"/>
        <v>1</v>
      </c>
      <c r="F1122" t="str">
        <f t="shared" ca="1" si="262"/>
        <v xml:space="preserve">Enter all information for Construction Lender.
</v>
      </c>
      <c r="G1122"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2" t="b">
        <f>TRUE</f>
        <v>1</v>
      </c>
      <c r="I1122" s="9">
        <v>9</v>
      </c>
      <c r="J1122" s="52">
        <f t="shared" ca="1" si="273"/>
        <v>0</v>
      </c>
      <c r="K1122" s="52">
        <f t="shared" ca="1" si="267"/>
        <v>0</v>
      </c>
      <c r="L1122" s="52" t="str">
        <f t="shared" si="263"/>
        <v>'Contact Information'!B292:B300</v>
      </c>
    </row>
    <row r="1123" spans="1:19" ht="15" customHeight="1">
      <c r="A1123" t="str">
        <f t="shared" ca="1" si="270"/>
        <v/>
      </c>
      <c r="B1123">
        <f>ROW('Contact Information'!B303)</f>
        <v>303</v>
      </c>
      <c r="C1123" t="str">
        <f t="shared" ca="1" si="264"/>
        <v>Environmental Phase I Preparer</v>
      </c>
      <c r="D1123" t="str">
        <f t="shared" si="260"/>
        <v>B303:B311</v>
      </c>
      <c r="E1123" t="b">
        <f t="shared" ca="1" si="261"/>
        <v>1</v>
      </c>
      <c r="F1123" t="str">
        <f t="shared" ca="1" si="262"/>
        <v xml:space="preserve">Enter all information for Environmental Phase I Preparer.
</v>
      </c>
      <c r="G1123" s="9" t="str">
        <f t="shared" ca="1" si="26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3" t="b">
        <f>Calculations!$B$2</f>
        <v>0</v>
      </c>
      <c r="I1123" s="9">
        <v>9</v>
      </c>
      <c r="J1123" s="52">
        <f t="shared" ca="1" si="273"/>
        <v>0</v>
      </c>
      <c r="K1123" s="52">
        <f t="shared" ca="1" si="267"/>
        <v>0</v>
      </c>
      <c r="L1123" s="52" t="str">
        <f t="shared" si="263"/>
        <v>'Contact Information'!B303:B311</v>
      </c>
      <c r="P1123" t="s">
        <v>3883</v>
      </c>
    </row>
    <row r="1124" spans="1:19" ht="15" customHeight="1">
      <c r="A1124" t="str">
        <f t="shared" ca="1" si="270"/>
        <v/>
      </c>
      <c r="B1124">
        <f>ROW('Contact Information'!B314)</f>
        <v>314</v>
      </c>
      <c r="C1124" t="str">
        <f t="shared" ca="1" si="264"/>
        <v>Capital Needs Report Preparer</v>
      </c>
      <c r="D1124" t="str">
        <f t="shared" si="260"/>
        <v>B314:B322</v>
      </c>
      <c r="E1124" t="b">
        <f t="shared" ca="1" si="261"/>
        <v>1</v>
      </c>
      <c r="F1124" t="str">
        <f t="shared" ca="1" si="262"/>
        <v xml:space="preserve">Enter all information for Capital Needs Report Preparer.
</v>
      </c>
      <c r="G1124" s="9" t="str">
        <f t="shared" ref="G1124:G1137" ca="1" si="274">OFFSET(G1124, -1, 0) &amp; A1124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4" t="b">
        <f>Calculations!$B$2</f>
        <v>0</v>
      </c>
      <c r="I1124" s="9">
        <v>9</v>
      </c>
      <c r="J1124" s="52">
        <f t="shared" ca="1" si="273"/>
        <v>0</v>
      </c>
      <c r="K1124" s="52">
        <f t="shared" ca="1" si="267"/>
        <v>0</v>
      </c>
      <c r="L1124" s="52" t="str">
        <f t="shared" si="263"/>
        <v>'Contact Information'!B314:B322</v>
      </c>
      <c r="P1124" t="s">
        <v>3883</v>
      </c>
    </row>
    <row r="1125" spans="1:19" ht="15" customHeight="1">
      <c r="A1125" t="str">
        <f t="shared" ca="1" si="270"/>
        <v/>
      </c>
      <c r="B1125">
        <f>ROW('Contact Information'!B325)</f>
        <v>325</v>
      </c>
      <c r="C1125" t="str">
        <f t="shared" ca="1" si="264"/>
        <v>Green Consultant</v>
      </c>
      <c r="D1125" t="str">
        <f t="shared" si="260"/>
        <v>B325:B333</v>
      </c>
      <c r="E1125" t="b">
        <f t="shared" ca="1" si="261"/>
        <v>1</v>
      </c>
      <c r="F1125" t="str">
        <f t="shared" ca="1" si="262"/>
        <v xml:space="preserve">Enter all information for Green Consultant.
</v>
      </c>
      <c r="G1125"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5" t="b">
        <f>Calculations!$B$2</f>
        <v>0</v>
      </c>
      <c r="I1125" s="9">
        <v>9</v>
      </c>
      <c r="J1125" s="52">
        <f t="shared" ca="1" si="273"/>
        <v>0</v>
      </c>
      <c r="K1125" s="52">
        <f t="shared" ca="1" si="267"/>
        <v>0</v>
      </c>
      <c r="L1125" s="52" t="str">
        <f t="shared" si="263"/>
        <v>'Contact Information'!B325:B333</v>
      </c>
      <c r="P1125" t="s">
        <v>3884</v>
      </c>
    </row>
    <row r="1126" spans="1:19" ht="15" customHeight="1">
      <c r="A1126" t="str">
        <f t="shared" ca="1" si="270"/>
        <v xml:space="preserve">Enter all information for Bond Purchaser.
</v>
      </c>
      <c r="B1126">
        <f>ROW('Contact Information'!B336)</f>
        <v>336</v>
      </c>
      <c r="C1126" t="str">
        <f t="shared" ca="1" si="264"/>
        <v>Bond Purchaser</v>
      </c>
      <c r="D1126" t="str">
        <f t="shared" si="260"/>
        <v>B336:B344</v>
      </c>
      <c r="E1126" t="b">
        <f t="shared" ca="1" si="261"/>
        <v>1</v>
      </c>
      <c r="F1126" t="str">
        <f t="shared" ca="1" si="262"/>
        <v xml:space="preserve">Enter all information for Bond Purchaser.
</v>
      </c>
      <c r="G1126"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26" t="b">
        <f>TRUE</f>
        <v>1</v>
      </c>
      <c r="I1126" s="9">
        <v>9</v>
      </c>
      <c r="J1126" s="52">
        <f t="shared" ca="1" si="273"/>
        <v>0</v>
      </c>
      <c r="K1126" s="52">
        <f t="shared" ca="1" si="267"/>
        <v>0</v>
      </c>
      <c r="L1126" s="52" t="str">
        <f t="shared" si="263"/>
        <v>'Contact Information'!B336:B344</v>
      </c>
      <c r="P1126" t="s">
        <v>3884</v>
      </c>
      <c r="S1126" s="1" t="s">
        <v>3885</v>
      </c>
    </row>
    <row r="1127" spans="1:19" ht="15" customHeight="1">
      <c r="A1127" t="str">
        <f t="shared" ca="1" si="270"/>
        <v xml:space="preserve">Enter all information for Bond Issuer (if not CHFA).
</v>
      </c>
      <c r="B1127">
        <f>ROW('Contact Information'!B348)</f>
        <v>348</v>
      </c>
      <c r="C1127" t="str">
        <f t="shared" ca="1" si="264"/>
        <v>Bond Issuer (if not CHFA)</v>
      </c>
      <c r="D1127" t="str">
        <f t="shared" si="260"/>
        <v>B348:B356</v>
      </c>
      <c r="E1127" t="b">
        <f t="shared" ca="1" si="261"/>
        <v>1</v>
      </c>
      <c r="F1127" t="str">
        <f t="shared" ca="1" si="262"/>
        <v xml:space="preserve">Enter all information for Bond Issuer (if not CHFA).
</v>
      </c>
      <c r="G1127"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7" t="b">
        <f>TRUE</f>
        <v>1</v>
      </c>
      <c r="I1127" s="9">
        <v>9</v>
      </c>
      <c r="J1127" s="52">
        <f t="shared" ca="1" si="273"/>
        <v>0</v>
      </c>
      <c r="K1127" s="52">
        <f t="shared" ca="1" si="267"/>
        <v>0</v>
      </c>
      <c r="L1127" s="52" t="str">
        <f t="shared" si="263"/>
        <v>'Contact Information'!B348:B356</v>
      </c>
      <c r="P1127" t="s">
        <v>3884</v>
      </c>
      <c r="S1127" s="1" t="b">
        <f>AND(Calculations!B5, NOT(Calculations!B6))</f>
        <v>0</v>
      </c>
    </row>
    <row r="1128" spans="1:19" ht="15" customHeight="1">
      <c r="A1128" t="str">
        <f t="shared" ca="1" si="270"/>
        <v/>
      </c>
      <c r="B1128">
        <f>ROW('Contact Information'!B359)</f>
        <v>359</v>
      </c>
      <c r="C1128" t="str">
        <f t="shared" ca="1" si="264"/>
        <v>Bond Counsel (if not CHFA)</v>
      </c>
      <c r="D1128" t="str">
        <f t="shared" si="260"/>
        <v>B359:B367</v>
      </c>
      <c r="E1128" t="b">
        <f t="shared" ca="1" si="261"/>
        <v>1</v>
      </c>
      <c r="F1128" t="str">
        <f t="shared" ca="1" si="262"/>
        <v xml:space="preserve">Enter all information for Bond Counsel (if not CHFA).
</v>
      </c>
      <c r="G1128"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8" t="b">
        <f>Calculations!$B$2</f>
        <v>0</v>
      </c>
      <c r="I1128" s="9">
        <v>9</v>
      </c>
      <c r="J1128" s="52">
        <f t="shared" ref="J1128:J1135" ca="1" si="275">SUMPRODUCT(--ISTEXT(INDIRECT(L1128)))</f>
        <v>0</v>
      </c>
      <c r="K1128" s="52">
        <f t="shared" ca="1" si="267"/>
        <v>0</v>
      </c>
      <c r="L1128" s="52" t="str">
        <f t="shared" si="263"/>
        <v>'Contact Information'!B359:B367</v>
      </c>
    </row>
    <row r="1129" spans="1:19" ht="15" customHeight="1">
      <c r="A1129" t="str">
        <f t="shared" ca="1" si="270"/>
        <v/>
      </c>
      <c r="B1129">
        <f>ROW('Contact Information'!B370)</f>
        <v>370</v>
      </c>
      <c r="C1129" t="str">
        <f t="shared" ca="1" si="264"/>
        <v>Mayor/Elected Official/Jurisdiction</v>
      </c>
      <c r="D1129" t="str">
        <f t="shared" si="260"/>
        <v>B370:B378</v>
      </c>
      <c r="E1129" t="b">
        <f t="shared" ca="1" si="261"/>
        <v>1</v>
      </c>
      <c r="F1129" t="str">
        <f t="shared" ca="1" si="262"/>
        <v xml:space="preserve">Enter all information for Mayor/Elected Official/Jurisdiction.
</v>
      </c>
      <c r="G1129"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9" t="b">
        <f>Calculations!$B$2</f>
        <v>0</v>
      </c>
      <c r="I1129" s="9">
        <v>9</v>
      </c>
      <c r="J1129" s="52">
        <f t="shared" ca="1" si="275"/>
        <v>0</v>
      </c>
      <c r="K1129" s="52">
        <f t="shared" ca="1" si="267"/>
        <v>0</v>
      </c>
      <c r="L1129" s="52" t="str">
        <f t="shared" si="263"/>
        <v>'Contact Information'!B370:B378</v>
      </c>
    </row>
    <row r="1130" spans="1:19" ht="15" customHeight="1">
      <c r="A1130" t="str">
        <f t="shared" ca="1" si="270"/>
        <v/>
      </c>
      <c r="B1130">
        <f>ROW('Contact Information'!B382)</f>
        <v>382</v>
      </c>
      <c r="C1130" t="str">
        <f t="shared" ca="1" si="264"/>
        <v>Council Member</v>
      </c>
      <c r="D1130" t="str">
        <f t="shared" si="260"/>
        <v>B382:B390</v>
      </c>
      <c r="E1130" t="b">
        <f t="shared" ca="1" si="261"/>
        <v>1</v>
      </c>
      <c r="F1130" t="str">
        <f t="shared" ca="1" si="262"/>
        <v xml:space="preserve">Enter all information for Council Member.
</v>
      </c>
      <c r="G1130"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0" t="b">
        <f>Calculations!$B$2</f>
        <v>0</v>
      </c>
      <c r="I1130" s="9">
        <v>9</v>
      </c>
      <c r="J1130" s="52">
        <f t="shared" ca="1" si="275"/>
        <v>0</v>
      </c>
      <c r="K1130" s="52">
        <f t="shared" ca="1" si="267"/>
        <v>0</v>
      </c>
      <c r="L1130" s="52" t="str">
        <f t="shared" si="263"/>
        <v>'Contact Information'!B382:B390</v>
      </c>
    </row>
    <row r="1131" spans="1:19" ht="15" customHeight="1">
      <c r="A1131" t="str">
        <f t="shared" ca="1" si="270"/>
        <v/>
      </c>
      <c r="B1131">
        <f>ROW('Contact Information'!B405)</f>
        <v>405</v>
      </c>
      <c r="C1131" t="str">
        <f t="shared" ca="1" si="264"/>
        <v>City Planner</v>
      </c>
      <c r="D1131" t="str">
        <f t="shared" si="260"/>
        <v>B405:B413</v>
      </c>
      <c r="E1131" t="b">
        <f t="shared" ca="1" si="261"/>
        <v>1</v>
      </c>
      <c r="F1131" t="str">
        <f t="shared" ca="1" si="262"/>
        <v xml:space="preserve">Enter all information for City Planner.
</v>
      </c>
      <c r="G1131"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1" t="b">
        <f>Calculations!$B$2</f>
        <v>0</v>
      </c>
      <c r="I1131" s="9">
        <v>9</v>
      </c>
      <c r="J1131" s="52">
        <f t="shared" ca="1" si="275"/>
        <v>0</v>
      </c>
      <c r="K1131" s="52">
        <f t="shared" ca="1" si="267"/>
        <v>0</v>
      </c>
      <c r="L1131" s="52" t="str">
        <f t="shared" si="263"/>
        <v>'Contact Information'!B405:B413</v>
      </c>
    </row>
    <row r="1132" spans="1:19" ht="15" customHeight="1">
      <c r="A1132" t="str">
        <f t="shared" ca="1" si="270"/>
        <v xml:space="preserve">Enter all information for Local Housing Authortity.
</v>
      </c>
      <c r="B1132">
        <f>ROW('Contact Information'!B416)</f>
        <v>416</v>
      </c>
      <c r="C1132" t="str">
        <f t="shared" ca="1" si="264"/>
        <v>Local Housing Authortity</v>
      </c>
      <c r="D1132" t="str">
        <f t="shared" si="260"/>
        <v>B416:B424</v>
      </c>
      <c r="E1132" t="b">
        <f t="shared" ca="1" si="261"/>
        <v>1</v>
      </c>
      <c r="F1132" t="str">
        <f t="shared" ca="1" si="262"/>
        <v xml:space="preserve">Enter all information for Local Housing Authortity.
</v>
      </c>
      <c r="G1132"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2" t="b">
        <f>TRUE</f>
        <v>1</v>
      </c>
      <c r="I1132" s="9">
        <v>9</v>
      </c>
      <c r="J1132" s="52">
        <f t="shared" ca="1" si="275"/>
        <v>0</v>
      </c>
      <c r="K1132" s="52">
        <f t="shared" ca="1" si="267"/>
        <v>0</v>
      </c>
      <c r="L1132" s="52" t="str">
        <f t="shared" si="263"/>
        <v>'Contact Information'!B416:B424</v>
      </c>
      <c r="P1132" t="s">
        <v>3883</v>
      </c>
    </row>
    <row r="1133" spans="1:19" ht="15" customHeight="1">
      <c r="A1133" t="str">
        <f t="shared" ca="1" si="270"/>
        <v/>
      </c>
      <c r="B1133">
        <f>ROW('Contact Information'!B428)</f>
        <v>428</v>
      </c>
      <c r="C1133" t="str">
        <f t="shared" ca="1" si="264"/>
        <v>Construction/Completion Guarantee</v>
      </c>
      <c r="D1133" t="str">
        <f t="shared" si="260"/>
        <v>B428:B436</v>
      </c>
      <c r="E1133" t="b">
        <f t="shared" ca="1" si="261"/>
        <v>1</v>
      </c>
      <c r="F1133" t="str">
        <f t="shared" ca="1" si="262"/>
        <v xml:space="preserve">Enter all information for Construction/Completion Guarantee.
</v>
      </c>
      <c r="G1133"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Calculations!$B$2</f>
        <v>0</v>
      </c>
      <c r="I1133" s="9">
        <v>9</v>
      </c>
      <c r="J1133" s="52">
        <f t="shared" ca="1" si="275"/>
        <v>0</v>
      </c>
      <c r="K1133" s="52">
        <f t="shared" ca="1" si="267"/>
        <v>0</v>
      </c>
      <c r="L1133" s="52" t="str">
        <f t="shared" si="263"/>
        <v>'Contact Information'!B428:B436</v>
      </c>
      <c r="P1133" t="s">
        <v>3883</v>
      </c>
    </row>
    <row r="1134" spans="1:19" ht="15" customHeight="1">
      <c r="A1134" t="str">
        <f t="shared" ca="1" si="270"/>
        <v/>
      </c>
      <c r="B1134">
        <f>ROW('Contact Information'!B439)</f>
        <v>439</v>
      </c>
      <c r="C1134" t="str">
        <f t="shared" ca="1" si="264"/>
        <v>Lease Up Guarantee</v>
      </c>
      <c r="D1134" t="str">
        <f t="shared" si="260"/>
        <v>B439:B447</v>
      </c>
      <c r="E1134" t="b">
        <f t="shared" ca="1" si="261"/>
        <v>1</v>
      </c>
      <c r="F1134" t="str">
        <f t="shared" ca="1" si="262"/>
        <v xml:space="preserve">Enter all information for Lease Up Guarantee.
</v>
      </c>
      <c r="G1134"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Calculations!$B$2</f>
        <v>0</v>
      </c>
      <c r="I1134" s="9">
        <v>9</v>
      </c>
      <c r="J1134" s="52">
        <f t="shared" ca="1" si="275"/>
        <v>0</v>
      </c>
      <c r="K1134" s="52">
        <f t="shared" ca="1" si="267"/>
        <v>0</v>
      </c>
      <c r="L1134" s="52" t="str">
        <f t="shared" si="263"/>
        <v>'Contact Information'!B439:B447</v>
      </c>
      <c r="P1134" t="s">
        <v>3883</v>
      </c>
    </row>
    <row r="1135" spans="1:19" ht="15" customHeight="1">
      <c r="A1135" t="str">
        <f t="shared" ca="1" si="270"/>
        <v/>
      </c>
      <c r="B1135">
        <f>ROW('Contact Information'!B450)</f>
        <v>450</v>
      </c>
      <c r="C1135" t="str">
        <f t="shared" ca="1" si="264"/>
        <v xml:space="preserve">Operating Deficit Guarantee </v>
      </c>
      <c r="D1135" t="str">
        <f t="shared" si="260"/>
        <v>B450:B458</v>
      </c>
      <c r="E1135" t="b">
        <f t="shared" ca="1" si="261"/>
        <v>1</v>
      </c>
      <c r="F1135" t="str">
        <f t="shared" ca="1" si="262"/>
        <v xml:space="preserve">Enter all information for Operating Deficit Guarantee .
</v>
      </c>
      <c r="G1135"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Calculations!$B$2</f>
        <v>0</v>
      </c>
      <c r="I1135" s="9">
        <v>9</v>
      </c>
      <c r="J1135" s="52">
        <f t="shared" ca="1" si="275"/>
        <v>0</v>
      </c>
      <c r="K1135" s="52">
        <f t="shared" ca="1" si="267"/>
        <v>0</v>
      </c>
      <c r="L1135" s="52" t="str">
        <f t="shared" si="263"/>
        <v>'Contact Information'!B450:B458</v>
      </c>
      <c r="P1135" t="s">
        <v>3883</v>
      </c>
    </row>
    <row r="1136" spans="1:19" ht="15" customHeight="1">
      <c r="A1136" t="str">
        <f t="shared" ca="1" si="270"/>
        <v/>
      </c>
      <c r="B1136">
        <f>ROW('Contact Information'!B461)</f>
        <v>461</v>
      </c>
      <c r="C1136" t="str">
        <f t="shared" ca="1" si="264"/>
        <v xml:space="preserve">Compliance Guarantee </v>
      </c>
      <c r="D1136" t="str">
        <f t="shared" si="260"/>
        <v>B461:B469</v>
      </c>
      <c r="E1136" t="b">
        <f t="shared" ca="1" si="261"/>
        <v>1</v>
      </c>
      <c r="F1136" t="str">
        <f t="shared" ca="1" si="262"/>
        <v xml:space="preserve">Enter all information for Compliance Guarantee .
</v>
      </c>
      <c r="G1136" s="9" t="str">
        <f t="shared" ref="G1136" ca="1" si="276">OFFSET(G1136, -1, 0) &amp; A1136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Calculations!$B$2</f>
        <v>0</v>
      </c>
      <c r="I1136" s="9">
        <v>9</v>
      </c>
      <c r="J1136" s="52">
        <f t="shared" ref="J1136" ca="1" si="277">SUMPRODUCT(--ISTEXT(INDIRECT(L1136)))</f>
        <v>0</v>
      </c>
      <c r="K1136" s="52">
        <f t="shared" ref="K1136" ca="1" si="278">SUMPRODUCT(--ISNUMBER(INDIRECT(L1136)))</f>
        <v>0</v>
      </c>
      <c r="L1136" s="52" t="str">
        <f t="shared" si="263"/>
        <v>'Contact Information'!B461:B469</v>
      </c>
      <c r="P1136" t="s">
        <v>3883</v>
      </c>
    </row>
    <row r="1137" spans="1:12" ht="15" customHeight="1">
      <c r="A1137" t="str">
        <f ca="1">IF(AND(H1137, NOT($E$1103), E1137=""),F1137, "")</f>
        <v/>
      </c>
      <c r="B1137">
        <f>ROW('Contact Information'!B3)</f>
        <v>3</v>
      </c>
      <c r="C1137" t="str">
        <f t="shared" ref="C1137:C1141" ca="1" si="279">INDIRECT($F$1100 &amp; ADDRESS(B1137, 1,4  ))</f>
        <v>Applicant to be Published on Reports</v>
      </c>
      <c r="D1137" t="str">
        <f t="shared" ref="D1137:D1200" si="280">ADDRESS(B1137+K1137, 2,4  )</f>
        <v>B4</v>
      </c>
      <c r="E1137" t="str">
        <f t="shared" ref="E1137:E1149" ca="1" si="281">IF(ISBLANK( INDIRECT($F$1100 &amp; D1137)),"", INDIRECT($F$1100 &amp; D1137))</f>
        <v/>
      </c>
      <c r="F1137" t="str">
        <f ca="1">CONCATENATE("Enter a "&amp; J1137 &amp;" for '", C1137, "' in cell ", D1137, ".", CHAR(10))</f>
        <v xml:space="preserve">Enter a Organization for 'Applicant to be Published on Reports' in cell B4.
</v>
      </c>
      <c r="G1137" s="9" t="str">
        <f t="shared" ca="1" si="2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TRUE</f>
        <v>1</v>
      </c>
      <c r="I1137" s="9"/>
      <c r="J1137" s="52" t="str">
        <f t="shared" ref="J1137:J1200" ca="1" si="282">INDIRECT($F$1100 &amp; ADDRESS(B1137+K1137, 1,4))</f>
        <v>Organization</v>
      </c>
      <c r="K1137" s="52">
        <v>1</v>
      </c>
    </row>
    <row r="1138" spans="1:12" ht="15" customHeight="1">
      <c r="A1138" t="str">
        <f t="shared" ref="A1138:A1201" ca="1" si="283">IF(AND(H1138, NOT($E$1103), E1138=""),F1138, "")</f>
        <v/>
      </c>
      <c r="B1138" s="52">
        <f t="shared" ref="B1138:B1141" si="284">B1137</f>
        <v>3</v>
      </c>
      <c r="C1138" t="str">
        <f t="shared" ca="1" si="279"/>
        <v>Applicant to be Published on Reports</v>
      </c>
      <c r="D1138" t="str">
        <f t="shared" si="280"/>
        <v>B5</v>
      </c>
      <c r="E1138" t="str">
        <f t="shared" ca="1" si="281"/>
        <v/>
      </c>
      <c r="F1138" t="str">
        <f ca="1">CONCATENATE("Enter an "&amp; J1138 &amp;" for '", C1138, "' in cell ", D1138, ".", CHAR(10))</f>
        <v xml:space="preserve">Enter an Contact First Name for 'Applicant to be Published on Reports' in cell B5.
</v>
      </c>
      <c r="G1138" s="9" t="str">
        <f t="shared" ref="G1138:G1141" ca="1" si="285">OFFSET(G1138, -1, 0) &amp; A1138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ca="1" si="282"/>
        <v>Contact First Name</v>
      </c>
      <c r="K1138" s="52">
        <v>2</v>
      </c>
      <c r="L1138" s="52"/>
    </row>
    <row r="1139" spans="1:12" ht="15" customHeight="1">
      <c r="A1139" t="str">
        <f t="shared" ca="1" si="283"/>
        <v/>
      </c>
      <c r="B1139" s="52">
        <f t="shared" si="284"/>
        <v>3</v>
      </c>
      <c r="C1139" t="str">
        <f t="shared" ca="1" si="279"/>
        <v>Applicant to be Published on Reports</v>
      </c>
      <c r="D1139" t="str">
        <f t="shared" si="280"/>
        <v>B6</v>
      </c>
      <c r="E1139" t="str">
        <f t="shared" ca="1" si="281"/>
        <v/>
      </c>
      <c r="F1139" t="str">
        <f ca="1">CONCATENATE("Enter a "&amp; J1139 &amp;" for '", C1139, "' in cell ", D1139, ".", CHAR(10))</f>
        <v xml:space="preserve">Enter a Contact Last Name for 'Applicant to be Published on Reports' in cell B6.
</v>
      </c>
      <c r="G1139" s="9" t="str">
        <f t="shared" ca="1" si="2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82"/>
        <v>Contact Last Name</v>
      </c>
      <c r="K1139" s="52">
        <v>3</v>
      </c>
      <c r="L1139" s="52"/>
    </row>
    <row r="1140" spans="1:12" ht="15" customHeight="1">
      <c r="A1140" t="str">
        <f t="shared" ca="1" si="283"/>
        <v/>
      </c>
      <c r="B1140" s="52">
        <f t="shared" si="284"/>
        <v>3</v>
      </c>
      <c r="C1140" t="str">
        <f t="shared" ca="1" si="279"/>
        <v>Applicant to be Published on Reports</v>
      </c>
      <c r="D1140" t="str">
        <f t="shared" si="280"/>
        <v>B7</v>
      </c>
      <c r="E1140" t="str">
        <f t="shared" ca="1" si="281"/>
        <v/>
      </c>
      <c r="F1140" t="str">
        <f ca="1">CONCATENATE("Enter a "&amp; J1140 &amp;" for '", C1140, "' in cell ", D1140, ".", CHAR(10))</f>
        <v xml:space="preserve">Enter a Phone (10 #'s only) for 'Applicant to be Published on Reports' in cell B7.
</v>
      </c>
      <c r="G1140" s="9" t="str">
        <f t="shared" ca="1" si="2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82"/>
        <v>Phone (10 #'s only)</v>
      </c>
      <c r="K1140" s="52">
        <v>4</v>
      </c>
      <c r="L1140" s="52"/>
    </row>
    <row r="1141" spans="1:12" ht="15" customHeight="1">
      <c r="A1141" t="str">
        <f t="shared" ca="1" si="283"/>
        <v/>
      </c>
      <c r="B1141" s="52">
        <f t="shared" si="284"/>
        <v>3</v>
      </c>
      <c r="C1141" t="str">
        <f t="shared" ca="1" si="279"/>
        <v>Applicant to be Published on Reports</v>
      </c>
      <c r="D1141" t="str">
        <f t="shared" si="280"/>
        <v>B8</v>
      </c>
      <c r="E1141" t="str">
        <f t="shared" ca="1" si="281"/>
        <v/>
      </c>
      <c r="F1141" t="str">
        <f ca="1">CONCATENATE("Enter a "&amp; J1141 &amp;" for '", C1141, "' in cell ", D1141, ".", CHAR(10))</f>
        <v xml:space="preserve">Enter a Email for 'Applicant to be Published on Reports' in cell B8.
</v>
      </c>
      <c r="G1141" s="9" t="str">
        <f t="shared" ca="1" si="2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82"/>
        <v>Email</v>
      </c>
      <c r="K1141" s="52">
        <v>5</v>
      </c>
      <c r="L1141" s="52"/>
    </row>
    <row r="1142" spans="1:12" ht="15" customHeight="1">
      <c r="A1142" t="str">
        <f t="shared" ca="1" si="283"/>
        <v/>
      </c>
      <c r="B1142">
        <f>ROW('Contact Information'!B10)</f>
        <v>10</v>
      </c>
      <c r="C1142" t="str">
        <f t="shared" ref="C1142:C1149" ca="1" si="286">INDIRECT($F$1100 &amp; ADDRESS(B1142, 1,4  ))</f>
        <v xml:space="preserve">Applicant Contact for Application Questions </v>
      </c>
      <c r="D1142" t="str">
        <f t="shared" si="280"/>
        <v>B11</v>
      </c>
      <c r="E1142" t="str">
        <f t="shared" ca="1" si="281"/>
        <v/>
      </c>
      <c r="F1142" t="str">
        <f ca="1">CONCATENATE("Enter a "&amp; J1142 &amp;" for '", C1142, "' in cell ", D1142, ".", CHAR(10))</f>
        <v xml:space="preserve">Enter a Organization for 'Applicant Contact for Application Questions ' in cell B11.
</v>
      </c>
      <c r="G1142" s="9" t="str">
        <f t="shared" ref="G1142:G1152" ca="1" si="287">OFFSET(G1142, -1, 0) &amp; A1142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82"/>
        <v>Organization</v>
      </c>
      <c r="K1142" s="52">
        <v>1</v>
      </c>
    </row>
    <row r="1143" spans="1:12" ht="15" customHeight="1">
      <c r="A1143" t="str">
        <f t="shared" ca="1" si="283"/>
        <v/>
      </c>
      <c r="B1143" s="52">
        <f t="shared" ref="B1143:B1150" si="288">B1142</f>
        <v>10</v>
      </c>
      <c r="C1143" t="str">
        <f t="shared" ca="1" si="286"/>
        <v xml:space="preserve">Applicant Contact for Application Questions </v>
      </c>
      <c r="D1143" t="str">
        <f t="shared" si="280"/>
        <v>B12</v>
      </c>
      <c r="E1143" t="str">
        <f t="shared" ca="1" si="281"/>
        <v/>
      </c>
      <c r="F1143" t="str">
        <f ca="1">CONCATENATE("Enter an "&amp; J1143 &amp;" for '", C1143, "' in cell ", D1143, ".", CHAR(10))</f>
        <v xml:space="preserve">Enter an Address for 'Applicant Contact for Application Questions ' in cell B12.
</v>
      </c>
      <c r="G1143"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82"/>
        <v>Address</v>
      </c>
      <c r="K1143" s="52">
        <v>2</v>
      </c>
    </row>
    <row r="1144" spans="1:12" ht="15" customHeight="1">
      <c r="A1144" t="str">
        <f t="shared" ca="1" si="283"/>
        <v/>
      </c>
      <c r="B1144" s="52">
        <f t="shared" si="288"/>
        <v>10</v>
      </c>
      <c r="C1144" t="str">
        <f t="shared" ca="1" si="286"/>
        <v xml:space="preserve">Applicant Contact for Application Questions </v>
      </c>
      <c r="D1144" t="str">
        <f t="shared" si="280"/>
        <v>B13</v>
      </c>
      <c r="E1144" t="str">
        <f t="shared" ca="1" si="281"/>
        <v/>
      </c>
      <c r="F1144" t="str">
        <f t="shared" ref="F1144:F1175" ca="1" si="289">CONCATENATE("Enter a "&amp; J1144 &amp;" for '", C1144, "' in cell ", D1144, ".", CHAR(10))</f>
        <v xml:space="preserve">Enter a City  for 'Applicant Contact for Application Questions ' in cell B13.
</v>
      </c>
      <c r="G1144"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82"/>
        <v xml:space="preserve">City </v>
      </c>
      <c r="K1144" s="52">
        <v>3</v>
      </c>
    </row>
    <row r="1145" spans="1:12" ht="15" customHeight="1">
      <c r="A1145" t="str">
        <f t="shared" ca="1" si="283"/>
        <v/>
      </c>
      <c r="B1145" s="52">
        <f t="shared" si="288"/>
        <v>10</v>
      </c>
      <c r="C1145" t="str">
        <f t="shared" ca="1" si="286"/>
        <v xml:space="preserve">Applicant Contact for Application Questions </v>
      </c>
      <c r="D1145" t="str">
        <f t="shared" si="280"/>
        <v>B14</v>
      </c>
      <c r="E1145" t="str">
        <f t="shared" ca="1" si="281"/>
        <v/>
      </c>
      <c r="F1145" t="str">
        <f t="shared" ca="1" si="289"/>
        <v xml:space="preserve">Enter a State for 'Applicant Contact for Application Questions ' in cell B14.
</v>
      </c>
      <c r="G1145"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82"/>
        <v>State</v>
      </c>
      <c r="K1145" s="52">
        <v>4</v>
      </c>
    </row>
    <row r="1146" spans="1:12" ht="15" customHeight="1">
      <c r="A1146" t="str">
        <f t="shared" ca="1" si="283"/>
        <v/>
      </c>
      <c r="B1146" s="52">
        <f t="shared" si="288"/>
        <v>10</v>
      </c>
      <c r="C1146" t="str">
        <f t="shared" ca="1" si="286"/>
        <v xml:space="preserve">Applicant Contact for Application Questions </v>
      </c>
      <c r="D1146" t="str">
        <f t="shared" si="280"/>
        <v>B15</v>
      </c>
      <c r="E1146" t="str">
        <f t="shared" ca="1" si="281"/>
        <v/>
      </c>
      <c r="F1146" t="str">
        <f t="shared" ca="1" si="289"/>
        <v xml:space="preserve">Enter a Zip (first five #'s only) for 'Applicant Contact for Application Questions ' in cell B15.
</v>
      </c>
      <c r="G1146"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82"/>
        <v>Zip (first five #'s only)</v>
      </c>
      <c r="K1146" s="52">
        <v>5</v>
      </c>
    </row>
    <row r="1147" spans="1:12" ht="15" customHeight="1">
      <c r="A1147" t="str">
        <f t="shared" ca="1" si="283"/>
        <v/>
      </c>
      <c r="B1147" s="52">
        <f t="shared" si="288"/>
        <v>10</v>
      </c>
      <c r="C1147" t="str">
        <f t="shared" ca="1" si="286"/>
        <v xml:space="preserve">Applicant Contact for Application Questions </v>
      </c>
      <c r="D1147" t="str">
        <f t="shared" si="280"/>
        <v>B16</v>
      </c>
      <c r="E1147" t="str">
        <f t="shared" ca="1" si="281"/>
        <v/>
      </c>
      <c r="F1147" t="str">
        <f t="shared" ca="1" si="289"/>
        <v xml:space="preserve">Enter a Contact First Name for 'Applicant Contact for Application Questions ' in cell B16.
</v>
      </c>
      <c r="G1147"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82"/>
        <v>Contact First Name</v>
      </c>
      <c r="K1147" s="52">
        <v>6</v>
      </c>
    </row>
    <row r="1148" spans="1:12" ht="15" customHeight="1">
      <c r="A1148" t="str">
        <f t="shared" ca="1" si="283"/>
        <v/>
      </c>
      <c r="B1148" s="52">
        <f t="shared" si="288"/>
        <v>10</v>
      </c>
      <c r="C1148" t="str">
        <f t="shared" ca="1" si="286"/>
        <v xml:space="preserve">Applicant Contact for Application Questions </v>
      </c>
      <c r="D1148" t="str">
        <f t="shared" si="280"/>
        <v>B17</v>
      </c>
      <c r="E1148" t="str">
        <f t="shared" ca="1" si="281"/>
        <v/>
      </c>
      <c r="F1148" t="str">
        <f t="shared" ca="1" si="289"/>
        <v xml:space="preserve">Enter a Contact Last Name for 'Applicant Contact for Application Questions ' in cell B17.
</v>
      </c>
      <c r="G1148"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82"/>
        <v>Contact Last Name</v>
      </c>
      <c r="K1148" s="52">
        <v>7</v>
      </c>
    </row>
    <row r="1149" spans="1:12" ht="15" customHeight="1">
      <c r="A1149" t="str">
        <f t="shared" ca="1" si="283"/>
        <v/>
      </c>
      <c r="B1149" s="52">
        <f t="shared" si="288"/>
        <v>10</v>
      </c>
      <c r="C1149" t="str">
        <f t="shared" ca="1" si="286"/>
        <v xml:space="preserve">Applicant Contact for Application Questions </v>
      </c>
      <c r="D1149" t="str">
        <f t="shared" si="280"/>
        <v>B18</v>
      </c>
      <c r="E1149" t="str">
        <f t="shared" ca="1" si="281"/>
        <v/>
      </c>
      <c r="F1149" t="str">
        <f t="shared" ca="1" si="289"/>
        <v xml:space="preserve">Enter a Phone (#'s only) for 'Applicant Contact for Application Questions ' in cell B18.
</v>
      </c>
      <c r="G1149"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82"/>
        <v>Phone (#'s only)</v>
      </c>
      <c r="K1149" s="52">
        <v>8</v>
      </c>
    </row>
    <row r="1150" spans="1:12" ht="15" customHeight="1">
      <c r="A1150" t="str">
        <f t="shared" ca="1" si="283"/>
        <v/>
      </c>
      <c r="B1150" s="52">
        <f t="shared" si="288"/>
        <v>10</v>
      </c>
      <c r="C1150" t="str">
        <f t="shared" ref="C1150" ca="1" si="290">INDIRECT($F$1100 &amp; ADDRESS(B1150, 1,4  ))</f>
        <v xml:space="preserve">Applicant Contact for Application Questions </v>
      </c>
      <c r="D1150" t="str">
        <f t="shared" si="280"/>
        <v>B19</v>
      </c>
      <c r="E1150" t="str">
        <f t="shared" ref="E1150" ca="1" si="291">IF(ISBLANK( INDIRECT($F$1100 &amp; D1150)),"", INDIRECT($F$1100 &amp; D1150))</f>
        <v/>
      </c>
      <c r="F1150" t="str">
        <f t="shared" ca="1" si="289"/>
        <v xml:space="preserve">Enter a Email for 'Applicant Contact for Application Questions ' in cell B19.
</v>
      </c>
      <c r="G1150" s="9" t="str">
        <f t="shared" ref="G1150" ca="1" si="292">OFFSET(G1150, -1, 0) &amp; A1150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82"/>
        <v>Email</v>
      </c>
      <c r="K1150" s="52">
        <v>9</v>
      </c>
    </row>
    <row r="1151" spans="1:12" ht="15" customHeight="1">
      <c r="A1151" t="str">
        <f t="shared" ca="1" si="283"/>
        <v/>
      </c>
      <c r="B1151">
        <f>ROW('Contact Information'!B50)</f>
        <v>50</v>
      </c>
      <c r="C1151" t="str">
        <f t="shared" ref="C1151:C1168" ca="1" si="293">INDIRECT($F$1100 &amp; ADDRESS(B1151, 1,4  ))</f>
        <v xml:space="preserve">Developer Contact </v>
      </c>
      <c r="D1151" t="str">
        <f t="shared" si="280"/>
        <v>B51</v>
      </c>
      <c r="E1151" t="str">
        <f t="shared" ref="E1151:E1168" ca="1" si="294">IF(ISBLANK( INDIRECT($F$1100 &amp; D1151)),"", INDIRECT($F$1100 &amp; D1151))</f>
        <v/>
      </c>
      <c r="F1151" t="str">
        <f t="shared" ca="1" si="289"/>
        <v xml:space="preserve">Enter a Organization (Common Name) for 'Developer Contact ' in cell B51.
</v>
      </c>
      <c r="G1151"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82"/>
        <v>Organization (Common Name)</v>
      </c>
      <c r="K1151" s="52">
        <v>1</v>
      </c>
    </row>
    <row r="1152" spans="1:12" ht="15" customHeight="1">
      <c r="A1152" t="str">
        <f t="shared" ca="1" si="283"/>
        <v/>
      </c>
      <c r="B1152" s="52">
        <f t="shared" ref="B1152:B1159" si="295">B1151</f>
        <v>50</v>
      </c>
      <c r="C1152" t="str">
        <f t="shared" ca="1" si="293"/>
        <v xml:space="preserve">Developer Contact </v>
      </c>
      <c r="D1152" t="str">
        <f t="shared" si="280"/>
        <v>B52</v>
      </c>
      <c r="E1152" t="str">
        <f t="shared" ca="1" si="294"/>
        <v/>
      </c>
      <c r="F1152" t="str">
        <f t="shared" ca="1" si="289"/>
        <v xml:space="preserve">Enter a Address for 'Developer Contact ' in cell B52.
</v>
      </c>
      <c r="G1152" s="9" t="str">
        <f t="shared" ca="1" si="2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82"/>
        <v>Address</v>
      </c>
      <c r="K1152" s="52">
        <v>2</v>
      </c>
    </row>
    <row r="1153" spans="1:11" ht="15" customHeight="1">
      <c r="A1153" t="str">
        <f t="shared" ca="1" si="283"/>
        <v/>
      </c>
      <c r="B1153" s="52">
        <f t="shared" si="295"/>
        <v>50</v>
      </c>
      <c r="C1153" t="str">
        <f t="shared" ca="1" si="293"/>
        <v xml:space="preserve">Developer Contact </v>
      </c>
      <c r="D1153" t="str">
        <f t="shared" si="280"/>
        <v>B53</v>
      </c>
      <c r="E1153" t="str">
        <f t="shared" ca="1" si="294"/>
        <v/>
      </c>
      <c r="F1153" t="str">
        <f t="shared" ca="1" si="289"/>
        <v xml:space="preserve">Enter a City  for 'Developer Contact ' in cell B53.
</v>
      </c>
      <c r="G1153" s="9" t="str">
        <f t="shared" ref="G1153:G1206" ca="1" si="296">OFFSET(G1153, -1, 0) &amp; A1153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82"/>
        <v xml:space="preserve">City </v>
      </c>
      <c r="K1153" s="52">
        <v>3</v>
      </c>
    </row>
    <row r="1154" spans="1:11" ht="15" customHeight="1">
      <c r="A1154" t="str">
        <f t="shared" ca="1" si="283"/>
        <v/>
      </c>
      <c r="B1154" s="52">
        <f t="shared" si="295"/>
        <v>50</v>
      </c>
      <c r="C1154" t="str">
        <f t="shared" ca="1" si="293"/>
        <v xml:space="preserve">Developer Contact </v>
      </c>
      <c r="D1154" t="str">
        <f t="shared" si="280"/>
        <v>B54</v>
      </c>
      <c r="E1154" t="str">
        <f t="shared" ca="1" si="294"/>
        <v/>
      </c>
      <c r="F1154" t="str">
        <f t="shared" ca="1" si="289"/>
        <v xml:space="preserve">Enter a State for 'Developer Contact ' in cell B54.
</v>
      </c>
      <c r="G1154"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82"/>
        <v>State</v>
      </c>
      <c r="K1154" s="52">
        <v>4</v>
      </c>
    </row>
    <row r="1155" spans="1:11" ht="15" customHeight="1">
      <c r="A1155" t="str">
        <f t="shared" ca="1" si="283"/>
        <v/>
      </c>
      <c r="B1155" s="52">
        <f t="shared" si="295"/>
        <v>50</v>
      </c>
      <c r="C1155" t="str">
        <f t="shared" ca="1" si="293"/>
        <v xml:space="preserve">Developer Contact </v>
      </c>
      <c r="D1155" t="str">
        <f t="shared" si="280"/>
        <v>B55</v>
      </c>
      <c r="E1155" t="str">
        <f t="shared" ca="1" si="294"/>
        <v/>
      </c>
      <c r="F1155" t="str">
        <f t="shared" ca="1" si="289"/>
        <v xml:space="preserve">Enter a Zip (first five #'s only) for 'Developer Contact ' in cell B55.
</v>
      </c>
      <c r="G1155"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82"/>
        <v>Zip (first five #'s only)</v>
      </c>
      <c r="K1155" s="52">
        <v>5</v>
      </c>
    </row>
    <row r="1156" spans="1:11" ht="15" customHeight="1">
      <c r="A1156" t="str">
        <f t="shared" ca="1" si="283"/>
        <v/>
      </c>
      <c r="B1156" s="52">
        <f t="shared" si="295"/>
        <v>50</v>
      </c>
      <c r="C1156" t="str">
        <f t="shared" ca="1" si="293"/>
        <v xml:space="preserve">Developer Contact </v>
      </c>
      <c r="D1156" t="str">
        <f t="shared" si="280"/>
        <v>B56</v>
      </c>
      <c r="E1156" t="str">
        <f t="shared" ca="1" si="294"/>
        <v/>
      </c>
      <c r="F1156" t="str">
        <f t="shared" ca="1" si="289"/>
        <v xml:space="preserve">Enter a Contact First Name for 'Developer Contact ' in cell B56.
</v>
      </c>
      <c r="G1156"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82"/>
        <v>Contact First Name</v>
      </c>
      <c r="K1156" s="52">
        <v>6</v>
      </c>
    </row>
    <row r="1157" spans="1:11" ht="15" customHeight="1">
      <c r="A1157" t="str">
        <f t="shared" ca="1" si="283"/>
        <v/>
      </c>
      <c r="B1157" s="52">
        <f t="shared" si="295"/>
        <v>50</v>
      </c>
      <c r="C1157" t="str">
        <f t="shared" ca="1" si="293"/>
        <v xml:space="preserve">Developer Contact </v>
      </c>
      <c r="D1157" t="str">
        <f t="shared" si="280"/>
        <v>B57</v>
      </c>
      <c r="E1157" t="str">
        <f t="shared" ca="1" si="294"/>
        <v/>
      </c>
      <c r="F1157" t="str">
        <f t="shared" ca="1" si="289"/>
        <v xml:space="preserve">Enter a Contact Last Name for 'Developer Contact ' in cell B57.
</v>
      </c>
      <c r="G1157"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82"/>
        <v>Contact Last Name</v>
      </c>
      <c r="K1157" s="52">
        <v>7</v>
      </c>
    </row>
    <row r="1158" spans="1:11" ht="15" customHeight="1">
      <c r="A1158" t="str">
        <f t="shared" ca="1" si="283"/>
        <v/>
      </c>
      <c r="B1158" s="52">
        <f t="shared" si="295"/>
        <v>50</v>
      </c>
      <c r="C1158" t="str">
        <f t="shared" ca="1" si="293"/>
        <v xml:space="preserve">Developer Contact </v>
      </c>
      <c r="D1158" t="str">
        <f t="shared" si="280"/>
        <v>B58</v>
      </c>
      <c r="E1158" t="str">
        <f t="shared" ca="1" si="294"/>
        <v/>
      </c>
      <c r="F1158" t="str">
        <f t="shared" ca="1" si="289"/>
        <v xml:space="preserve">Enter a Phone (#'s only) for 'Developer Contact ' in cell B58.
</v>
      </c>
      <c r="G1158"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82"/>
        <v>Phone (#'s only)</v>
      </c>
      <c r="K1158" s="52">
        <v>8</v>
      </c>
    </row>
    <row r="1159" spans="1:11" ht="15" customHeight="1">
      <c r="A1159" t="str">
        <f t="shared" ca="1" si="283"/>
        <v/>
      </c>
      <c r="B1159" s="52">
        <f t="shared" si="295"/>
        <v>50</v>
      </c>
      <c r="C1159" t="str">
        <f t="shared" ca="1" si="293"/>
        <v xml:space="preserve">Developer Contact </v>
      </c>
      <c r="D1159" t="str">
        <f t="shared" si="280"/>
        <v>B59</v>
      </c>
      <c r="E1159" t="str">
        <f t="shared" ca="1" si="294"/>
        <v/>
      </c>
      <c r="F1159" t="str">
        <f t="shared" ca="1" si="289"/>
        <v xml:space="preserve">Enter a Email for 'Developer Contact ' in cell B59.
</v>
      </c>
      <c r="G1159"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82"/>
        <v>Email</v>
      </c>
      <c r="K1159" s="52">
        <v>9</v>
      </c>
    </row>
    <row r="1160" spans="1:11" ht="15" customHeight="1">
      <c r="A1160" t="str">
        <f t="shared" ca="1" si="283"/>
        <v/>
      </c>
      <c r="B1160">
        <f>ROW('Contact Information'!B64)</f>
        <v>64</v>
      </c>
      <c r="C1160" t="str">
        <f t="shared" ca="1" si="293"/>
        <v xml:space="preserve">Syndicator/Investor </v>
      </c>
      <c r="D1160" t="str">
        <f t="shared" si="280"/>
        <v>B65</v>
      </c>
      <c r="E1160" t="str">
        <f t="shared" ca="1" si="294"/>
        <v/>
      </c>
      <c r="F1160" t="str">
        <f t="shared" ca="1" si="289"/>
        <v xml:space="preserve">Enter a Organization for 'Syndicator/Investor ' in cell B65.
</v>
      </c>
      <c r="G1160"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82"/>
        <v>Organization</v>
      </c>
      <c r="K1160" s="52">
        <v>1</v>
      </c>
    </row>
    <row r="1161" spans="1:11" ht="15" customHeight="1">
      <c r="A1161" t="str">
        <f t="shared" ca="1" si="283"/>
        <v/>
      </c>
      <c r="B1161" s="52">
        <f t="shared" ref="B1161:B1168" si="297">B1160</f>
        <v>64</v>
      </c>
      <c r="C1161" t="str">
        <f t="shared" ca="1" si="293"/>
        <v xml:space="preserve">Syndicator/Investor </v>
      </c>
      <c r="D1161" t="str">
        <f t="shared" si="280"/>
        <v>B66</v>
      </c>
      <c r="E1161" t="str">
        <f t="shared" ca="1" si="294"/>
        <v/>
      </c>
      <c r="F1161" t="str">
        <f t="shared" ca="1" si="289"/>
        <v xml:space="preserve">Enter a Address for 'Syndicator/Investor ' in cell B66.
</v>
      </c>
      <c r="G1161"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82"/>
        <v>Address</v>
      </c>
      <c r="K1161" s="52">
        <v>2</v>
      </c>
    </row>
    <row r="1162" spans="1:11" ht="15" customHeight="1">
      <c r="A1162" t="str">
        <f t="shared" ca="1" si="283"/>
        <v/>
      </c>
      <c r="B1162" s="52">
        <f t="shared" si="297"/>
        <v>64</v>
      </c>
      <c r="C1162" t="str">
        <f t="shared" ca="1" si="293"/>
        <v xml:space="preserve">Syndicator/Investor </v>
      </c>
      <c r="D1162" t="str">
        <f t="shared" si="280"/>
        <v>B67</v>
      </c>
      <c r="E1162" t="str">
        <f t="shared" ca="1" si="294"/>
        <v/>
      </c>
      <c r="F1162" t="str">
        <f t="shared" ca="1" si="289"/>
        <v xml:space="preserve">Enter a City  for 'Syndicator/Investor ' in cell B67.
</v>
      </c>
      <c r="G1162"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82"/>
        <v xml:space="preserve">City </v>
      </c>
      <c r="K1162" s="52">
        <v>3</v>
      </c>
    </row>
    <row r="1163" spans="1:11" ht="15" customHeight="1">
      <c r="A1163" t="str">
        <f t="shared" ca="1" si="283"/>
        <v/>
      </c>
      <c r="B1163" s="52">
        <f t="shared" si="297"/>
        <v>64</v>
      </c>
      <c r="C1163" t="str">
        <f t="shared" ca="1" si="293"/>
        <v xml:space="preserve">Syndicator/Investor </v>
      </c>
      <c r="D1163" t="str">
        <f t="shared" si="280"/>
        <v>B68</v>
      </c>
      <c r="E1163" t="str">
        <f t="shared" ca="1" si="294"/>
        <v/>
      </c>
      <c r="F1163" t="str">
        <f t="shared" ca="1" si="289"/>
        <v xml:space="preserve">Enter a State for 'Syndicator/Investor ' in cell B68.
</v>
      </c>
      <c r="G1163"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82"/>
        <v>State</v>
      </c>
      <c r="K1163" s="52">
        <v>4</v>
      </c>
    </row>
    <row r="1164" spans="1:11" ht="15" customHeight="1">
      <c r="A1164" t="str">
        <f t="shared" ca="1" si="283"/>
        <v/>
      </c>
      <c r="B1164" s="52">
        <f t="shared" si="297"/>
        <v>64</v>
      </c>
      <c r="C1164" t="str">
        <f t="shared" ca="1" si="293"/>
        <v xml:space="preserve">Syndicator/Investor </v>
      </c>
      <c r="D1164" t="str">
        <f t="shared" si="280"/>
        <v>B69</v>
      </c>
      <c r="E1164" t="str">
        <f t="shared" ca="1" si="294"/>
        <v/>
      </c>
      <c r="F1164" t="str">
        <f t="shared" ca="1" si="289"/>
        <v xml:space="preserve">Enter a Zip (first five #'s only) for 'Syndicator/Investor ' in cell B69.
</v>
      </c>
      <c r="G1164"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82"/>
        <v>Zip (first five #'s only)</v>
      </c>
      <c r="K1164" s="52">
        <v>5</v>
      </c>
    </row>
    <row r="1165" spans="1:11" ht="15" customHeight="1">
      <c r="A1165" t="str">
        <f t="shared" ca="1" si="283"/>
        <v/>
      </c>
      <c r="B1165" s="52">
        <f t="shared" si="297"/>
        <v>64</v>
      </c>
      <c r="C1165" t="str">
        <f t="shared" ca="1" si="293"/>
        <v xml:space="preserve">Syndicator/Investor </v>
      </c>
      <c r="D1165" t="str">
        <f t="shared" si="280"/>
        <v>B70</v>
      </c>
      <c r="E1165" t="str">
        <f t="shared" ca="1" si="294"/>
        <v/>
      </c>
      <c r="F1165" t="str">
        <f t="shared" ca="1" si="289"/>
        <v xml:space="preserve">Enter a Contact First Name for 'Syndicator/Investor ' in cell B70.
</v>
      </c>
      <c r="G1165"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82"/>
        <v>Contact First Name</v>
      </c>
      <c r="K1165" s="52">
        <v>6</v>
      </c>
    </row>
    <row r="1166" spans="1:11" ht="15" customHeight="1">
      <c r="A1166" t="str">
        <f t="shared" ca="1" si="283"/>
        <v/>
      </c>
      <c r="B1166" s="52">
        <f t="shared" si="297"/>
        <v>64</v>
      </c>
      <c r="C1166" t="str">
        <f t="shared" ca="1" si="293"/>
        <v xml:space="preserve">Syndicator/Investor </v>
      </c>
      <c r="D1166" t="str">
        <f t="shared" si="280"/>
        <v>B71</v>
      </c>
      <c r="E1166" t="str">
        <f t="shared" ca="1" si="294"/>
        <v/>
      </c>
      <c r="F1166" t="str">
        <f t="shared" ca="1" si="289"/>
        <v xml:space="preserve">Enter a Contact Last Name for 'Syndicator/Investor ' in cell B71.
</v>
      </c>
      <c r="G1166"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82"/>
        <v>Contact Last Name</v>
      </c>
      <c r="K1166" s="52">
        <v>7</v>
      </c>
    </row>
    <row r="1167" spans="1:11" ht="15" customHeight="1">
      <c r="A1167" t="str">
        <f t="shared" ca="1" si="283"/>
        <v/>
      </c>
      <c r="B1167" s="52">
        <f t="shared" si="297"/>
        <v>64</v>
      </c>
      <c r="C1167" t="str">
        <f t="shared" ca="1" si="293"/>
        <v xml:space="preserve">Syndicator/Investor </v>
      </c>
      <c r="D1167" t="str">
        <f t="shared" si="280"/>
        <v>B72</v>
      </c>
      <c r="E1167" t="str">
        <f t="shared" ca="1" si="294"/>
        <v/>
      </c>
      <c r="F1167" t="str">
        <f t="shared" ca="1" si="289"/>
        <v xml:space="preserve">Enter a Phone (#'s only) for 'Syndicator/Investor ' in cell B72.
</v>
      </c>
      <c r="G1167"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82"/>
        <v>Phone (#'s only)</v>
      </c>
      <c r="K1167" s="52">
        <v>8</v>
      </c>
    </row>
    <row r="1168" spans="1:11" ht="15" customHeight="1">
      <c r="A1168" t="str">
        <f t="shared" ca="1" si="283"/>
        <v/>
      </c>
      <c r="B1168" s="52">
        <f t="shared" si="297"/>
        <v>64</v>
      </c>
      <c r="C1168" t="str">
        <f t="shared" ca="1" si="293"/>
        <v xml:space="preserve">Syndicator/Investor </v>
      </c>
      <c r="D1168" t="str">
        <f t="shared" si="280"/>
        <v>B73</v>
      </c>
      <c r="E1168" t="str">
        <f t="shared" ca="1" si="294"/>
        <v/>
      </c>
      <c r="F1168" t="str">
        <f t="shared" ca="1" si="289"/>
        <v xml:space="preserve">Enter a Email for 'Syndicator/Investor ' in cell B73.
</v>
      </c>
      <c r="G1168"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82"/>
        <v>Email</v>
      </c>
      <c r="K1168" s="52">
        <v>9</v>
      </c>
    </row>
    <row r="1169" spans="1:11" ht="15" customHeight="1">
      <c r="A1169" t="str">
        <f t="shared" ca="1" si="283"/>
        <v/>
      </c>
      <c r="B1169">
        <f>ROW('Contact Information'!B75)</f>
        <v>75</v>
      </c>
      <c r="C1169" t="str">
        <f t="shared" ref="C1169:C1205" ca="1" si="298">INDIRECT($F$1100 &amp; ADDRESS(B1169, 1,4  ))</f>
        <v>State TC Syndicator/Investor</v>
      </c>
      <c r="D1169" t="str">
        <f t="shared" si="280"/>
        <v>B76</v>
      </c>
      <c r="E1169" t="str">
        <f t="shared" ref="E1169:E1205" ca="1" si="299">IF(ISBLANK( INDIRECT($F$1100 &amp; D1169)),"", INDIRECT($F$1100 &amp; D1169))</f>
        <v/>
      </c>
      <c r="F1169" t="str">
        <f t="shared" ca="1" si="289"/>
        <v xml:space="preserve">Enter a Organization for 'State TC Syndicator/Investor' in cell B76.
</v>
      </c>
      <c r="G1169"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82"/>
        <v>Organization</v>
      </c>
      <c r="K1169" s="52">
        <v>1</v>
      </c>
    </row>
    <row r="1170" spans="1:11" ht="15" customHeight="1">
      <c r="A1170" t="str">
        <f t="shared" ca="1" si="283"/>
        <v/>
      </c>
      <c r="B1170" s="52">
        <f t="shared" ref="B1170:B1188" si="300">B1169</f>
        <v>75</v>
      </c>
      <c r="C1170" t="str">
        <f t="shared" ca="1" si="298"/>
        <v>State TC Syndicator/Investor</v>
      </c>
      <c r="D1170" t="str">
        <f t="shared" si="280"/>
        <v>B77</v>
      </c>
      <c r="E1170" t="str">
        <f t="shared" ca="1" si="299"/>
        <v/>
      </c>
      <c r="F1170" t="str">
        <f t="shared" ca="1" si="289"/>
        <v xml:space="preserve">Enter a Address for 'State TC Syndicator/Investor' in cell B77.
</v>
      </c>
      <c r="G1170"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82"/>
        <v>Address</v>
      </c>
      <c r="K1170" s="52">
        <v>2</v>
      </c>
    </row>
    <row r="1171" spans="1:11" ht="15" customHeight="1">
      <c r="A1171" t="str">
        <f t="shared" ca="1" si="283"/>
        <v/>
      </c>
      <c r="B1171" s="52">
        <f t="shared" si="300"/>
        <v>75</v>
      </c>
      <c r="C1171" t="str">
        <f t="shared" ca="1" si="298"/>
        <v>State TC Syndicator/Investor</v>
      </c>
      <c r="D1171" t="str">
        <f t="shared" si="280"/>
        <v>B78</v>
      </c>
      <c r="E1171" t="str">
        <f t="shared" ca="1" si="299"/>
        <v/>
      </c>
      <c r="F1171" t="str">
        <f t="shared" ca="1" si="289"/>
        <v xml:space="preserve">Enter a City  for 'State TC Syndicator/Investor' in cell B78.
</v>
      </c>
      <c r="G1171"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82"/>
        <v xml:space="preserve">City </v>
      </c>
      <c r="K1171" s="52">
        <v>3</v>
      </c>
    </row>
    <row r="1172" spans="1:11" ht="15" customHeight="1">
      <c r="A1172" t="str">
        <f t="shared" ca="1" si="283"/>
        <v/>
      </c>
      <c r="B1172" s="52">
        <f t="shared" si="300"/>
        <v>75</v>
      </c>
      <c r="C1172" t="str">
        <f t="shared" ca="1" si="298"/>
        <v>State TC Syndicator/Investor</v>
      </c>
      <c r="D1172" t="str">
        <f t="shared" si="280"/>
        <v>B79</v>
      </c>
      <c r="E1172" t="str">
        <f t="shared" ca="1" si="299"/>
        <v/>
      </c>
      <c r="F1172" t="str">
        <f t="shared" ca="1" si="289"/>
        <v xml:space="preserve">Enter a State for 'State TC Syndicator/Investor' in cell B79.
</v>
      </c>
      <c r="G1172"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82"/>
        <v>State</v>
      </c>
      <c r="K1172" s="52">
        <v>4</v>
      </c>
    </row>
    <row r="1173" spans="1:11" ht="15" customHeight="1">
      <c r="A1173" t="str">
        <f t="shared" ca="1" si="283"/>
        <v/>
      </c>
      <c r="B1173" s="52">
        <f t="shared" si="300"/>
        <v>75</v>
      </c>
      <c r="C1173" t="str">
        <f t="shared" ca="1" si="298"/>
        <v>State TC Syndicator/Investor</v>
      </c>
      <c r="D1173" t="str">
        <f t="shared" si="280"/>
        <v>B80</v>
      </c>
      <c r="E1173" t="str">
        <f t="shared" ca="1" si="299"/>
        <v/>
      </c>
      <c r="F1173" t="str">
        <f t="shared" ca="1" si="289"/>
        <v xml:space="preserve">Enter a Zip (first five #'s only) for 'State TC Syndicator/Investor' in cell B80.
</v>
      </c>
      <c r="G1173"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82"/>
        <v>Zip (first five #'s only)</v>
      </c>
      <c r="K1173" s="52">
        <v>5</v>
      </c>
    </row>
    <row r="1174" spans="1:11" ht="15" customHeight="1">
      <c r="A1174" t="str">
        <f t="shared" ca="1" si="283"/>
        <v/>
      </c>
      <c r="B1174" s="52">
        <f t="shared" si="300"/>
        <v>75</v>
      </c>
      <c r="C1174" t="str">
        <f t="shared" ca="1" si="298"/>
        <v>State TC Syndicator/Investor</v>
      </c>
      <c r="D1174" t="str">
        <f t="shared" si="280"/>
        <v>B81</v>
      </c>
      <c r="E1174" t="str">
        <f t="shared" ca="1" si="299"/>
        <v/>
      </c>
      <c r="F1174" t="str">
        <f t="shared" ca="1" si="289"/>
        <v xml:space="preserve">Enter a Contact First Name for 'State TC Syndicator/Investor' in cell B81.
</v>
      </c>
      <c r="G1174"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82"/>
        <v>Contact First Name</v>
      </c>
      <c r="K1174" s="52">
        <v>6</v>
      </c>
    </row>
    <row r="1175" spans="1:11" ht="15" customHeight="1">
      <c r="A1175" t="str">
        <f t="shared" ca="1" si="283"/>
        <v/>
      </c>
      <c r="B1175" s="52">
        <f t="shared" si="300"/>
        <v>75</v>
      </c>
      <c r="C1175" t="str">
        <f t="shared" ca="1" si="298"/>
        <v>State TC Syndicator/Investor</v>
      </c>
      <c r="D1175" t="str">
        <f t="shared" si="280"/>
        <v>B82</v>
      </c>
      <c r="E1175" t="str">
        <f t="shared" ca="1" si="299"/>
        <v/>
      </c>
      <c r="F1175" t="str">
        <f t="shared" ca="1" si="289"/>
        <v xml:space="preserve">Enter a Contact Last Name for 'State TC Syndicator/Investor' in cell B82.
</v>
      </c>
      <c r="G1175"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82"/>
        <v>Contact Last Name</v>
      </c>
      <c r="K1175" s="52">
        <v>7</v>
      </c>
    </row>
    <row r="1176" spans="1:11" ht="15" customHeight="1">
      <c r="A1176" t="str">
        <f t="shared" ca="1" si="283"/>
        <v/>
      </c>
      <c r="B1176" s="52">
        <f t="shared" si="300"/>
        <v>75</v>
      </c>
      <c r="C1176" t="str">
        <f t="shared" ca="1" si="298"/>
        <v>State TC Syndicator/Investor</v>
      </c>
      <c r="D1176" t="str">
        <f t="shared" si="280"/>
        <v>B83</v>
      </c>
      <c r="E1176" t="str">
        <f t="shared" ca="1" si="299"/>
        <v/>
      </c>
      <c r="F1176" t="str">
        <f ca="1">CONCATENATE("Enter an "&amp; J1176 &amp;" for '", C1176, "' in cell ", D1176, ".", CHAR(10))</f>
        <v xml:space="preserve">Enter an Phone (#'s only) for 'State TC Syndicator/Investor' in cell B83.
</v>
      </c>
      <c r="G1176"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82"/>
        <v>Phone (#'s only)</v>
      </c>
      <c r="K1176" s="52">
        <v>8</v>
      </c>
    </row>
    <row r="1177" spans="1:11" ht="15" customHeight="1">
      <c r="A1177" t="str">
        <f t="shared" ca="1" si="283"/>
        <v/>
      </c>
      <c r="B1177" s="52">
        <f t="shared" si="300"/>
        <v>75</v>
      </c>
      <c r="C1177" t="str">
        <f t="shared" ref="C1177" ca="1" si="301">INDIRECT($F$1100 &amp; ADDRESS(B1177, 1,4  ))</f>
        <v>State TC Syndicator/Investor</v>
      </c>
      <c r="D1177" t="str">
        <f t="shared" si="280"/>
        <v>B84</v>
      </c>
      <c r="E1177" t="str">
        <f t="shared" ref="E1177" ca="1" si="302">IF(ISBLANK( INDIRECT($F$1100 &amp; D1177)),"", INDIRECT($F$1100 &amp; D1177))</f>
        <v/>
      </c>
      <c r="F1177" t="str">
        <f t="shared" ref="F1177:F1188" ca="1" si="303">CONCATENATE("Enter "&amp; J1177 &amp;" for '", C1177, "' in cell ", D1177, ".", CHAR(10))</f>
        <v xml:space="preserve">Enter Email for 'State TC Syndicator/Investor' in cell B84.
</v>
      </c>
      <c r="G1177" s="9" t="str">
        <f t="shared" ref="G1177" ca="1" si="304">OFFSET(G1177, -1, 0) &amp; A1177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82"/>
        <v>Email</v>
      </c>
      <c r="K1177" s="52">
        <v>9</v>
      </c>
    </row>
    <row r="1178" spans="1:11" ht="15" customHeight="1">
      <c r="A1178" t="str">
        <f t="shared" ca="1" si="283"/>
        <v/>
      </c>
      <c r="B1178">
        <f>ROW('Contact Information'!B86)</f>
        <v>86</v>
      </c>
      <c r="C1178" t="str">
        <f t="shared" ref="C1178:C1185" ca="1" si="305">INDIRECT($F$1100 &amp; ADDRESS(B1178, 1,4  ))</f>
        <v>Ownership Entity (if formed, required for Carryover, PIS/Final and CHFA Loan)</v>
      </c>
      <c r="D1178" t="str">
        <f t="shared" si="280"/>
        <v>B87</v>
      </c>
      <c r="E1178" t="str">
        <f t="shared" ref="E1178:E1185" ca="1" si="306">IF(ISBLANK( INDIRECT($F$1100 &amp; D1178)),"", INDIRECT($F$1100 &amp; D1178))</f>
        <v/>
      </c>
      <c r="F1178" t="str">
        <f t="shared" ca="1" si="303"/>
        <v xml:space="preserve">Enter Organization for 'Ownership Entity (if formed, required for Carryover, PIS/Final and CHFA Loan)' in cell B87.
</v>
      </c>
      <c r="G1178" s="9" t="str">
        <f t="shared" ref="G1178:G1185" ca="1" si="307">OFFSET(G1178, -1, 0) &amp; A1178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82"/>
        <v>Organization</v>
      </c>
      <c r="K1178" s="52">
        <v>1</v>
      </c>
    </row>
    <row r="1179" spans="1:11" ht="15" customHeight="1">
      <c r="A1179" t="str">
        <f t="shared" ca="1" si="283"/>
        <v/>
      </c>
      <c r="B1179" s="52">
        <f t="shared" si="300"/>
        <v>86</v>
      </c>
      <c r="C1179" t="str">
        <f t="shared" ca="1" si="305"/>
        <v>Ownership Entity (if formed, required for Carryover, PIS/Final and CHFA Loan)</v>
      </c>
      <c r="D1179" t="str">
        <f t="shared" si="280"/>
        <v>B88</v>
      </c>
      <c r="E1179" t="str">
        <f t="shared" ca="1" si="306"/>
        <v/>
      </c>
      <c r="F1179" t="str">
        <f t="shared" ca="1" si="303"/>
        <v xml:space="preserve">Enter Address for 'Ownership Entity (if formed, required for Carryover, PIS/Final and CHFA Loan)' in cell B88.
</v>
      </c>
      <c r="G1179"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82"/>
        <v>Address</v>
      </c>
      <c r="K1179" s="52">
        <v>2</v>
      </c>
    </row>
    <row r="1180" spans="1:11" ht="15" customHeight="1">
      <c r="A1180" t="str">
        <f t="shared" ca="1" si="283"/>
        <v/>
      </c>
      <c r="B1180" s="52">
        <f t="shared" si="300"/>
        <v>86</v>
      </c>
      <c r="C1180" t="str">
        <f t="shared" ca="1" si="305"/>
        <v>Ownership Entity (if formed, required for Carryover, PIS/Final and CHFA Loan)</v>
      </c>
      <c r="D1180" t="str">
        <f t="shared" si="280"/>
        <v>B89</v>
      </c>
      <c r="E1180" t="str">
        <f t="shared" ca="1" si="306"/>
        <v/>
      </c>
      <c r="F1180" t="str">
        <f t="shared" ca="1" si="303"/>
        <v xml:space="preserve">Enter City  for 'Ownership Entity (if formed, required for Carryover, PIS/Final and CHFA Loan)' in cell B89.
</v>
      </c>
      <c r="G1180"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t="str">
        <f t="shared" ca="1" si="282"/>
        <v xml:space="preserve">City </v>
      </c>
      <c r="K1180" s="52">
        <v>3</v>
      </c>
    </row>
    <row r="1181" spans="1:11" ht="15" customHeight="1">
      <c r="A1181" t="str">
        <f t="shared" ca="1" si="283"/>
        <v/>
      </c>
      <c r="B1181" s="52">
        <f t="shared" si="300"/>
        <v>86</v>
      </c>
      <c r="C1181" t="str">
        <f t="shared" ca="1" si="305"/>
        <v>Ownership Entity (if formed, required for Carryover, PIS/Final and CHFA Loan)</v>
      </c>
      <c r="D1181" t="str">
        <f t="shared" si="280"/>
        <v>B90</v>
      </c>
      <c r="E1181" t="str">
        <f t="shared" ca="1" si="306"/>
        <v/>
      </c>
      <c r="F1181" t="str">
        <f t="shared" ca="1" si="303"/>
        <v xml:space="preserve">Enter State for 'Ownership Entity (if formed, required for Carryover, PIS/Final and CHFA Loan)' in cell B90.
</v>
      </c>
      <c r="G1181"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82"/>
        <v>State</v>
      </c>
      <c r="K1181" s="52">
        <v>4</v>
      </c>
    </row>
    <row r="1182" spans="1:11" ht="15" customHeight="1">
      <c r="A1182" t="str">
        <f t="shared" ca="1" si="283"/>
        <v/>
      </c>
      <c r="B1182" s="52">
        <f t="shared" si="300"/>
        <v>86</v>
      </c>
      <c r="C1182" t="str">
        <f t="shared" ca="1" si="305"/>
        <v>Ownership Entity (if formed, required for Carryover, PIS/Final and CHFA Loan)</v>
      </c>
      <c r="D1182" t="str">
        <f t="shared" si="280"/>
        <v>B91</v>
      </c>
      <c r="E1182" t="str">
        <f t="shared" ca="1" si="306"/>
        <v/>
      </c>
      <c r="F1182" t="str">
        <f t="shared" ca="1" si="303"/>
        <v xml:space="preserve">Enter Zip (first five #'s only) for 'Ownership Entity (if formed, required for Carryover, PIS/Final and CHFA Loan)' in cell B91.
</v>
      </c>
      <c r="G1182"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82"/>
        <v>Zip (first five #'s only)</v>
      </c>
      <c r="K1182" s="52">
        <v>5</v>
      </c>
    </row>
    <row r="1183" spans="1:11" ht="15" customHeight="1">
      <c r="A1183" t="str">
        <f t="shared" ca="1" si="283"/>
        <v/>
      </c>
      <c r="B1183" s="52">
        <f t="shared" si="300"/>
        <v>86</v>
      </c>
      <c r="C1183" t="str">
        <f t="shared" ca="1" si="305"/>
        <v>Ownership Entity (if formed, required for Carryover, PIS/Final and CHFA Loan)</v>
      </c>
      <c r="D1183" t="str">
        <f t="shared" si="280"/>
        <v>B92</v>
      </c>
      <c r="E1183" t="str">
        <f t="shared" ca="1" si="306"/>
        <v/>
      </c>
      <c r="F1183" t="str">
        <f t="shared" ca="1" si="303"/>
        <v xml:space="preserve">Enter Contact First Name for 'Ownership Entity (if formed, required for Carryover, PIS/Final and CHFA Loan)' in cell B92.
</v>
      </c>
      <c r="G1183"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82"/>
        <v>Contact First Name</v>
      </c>
      <c r="K1183" s="52">
        <v>6</v>
      </c>
    </row>
    <row r="1184" spans="1:11" ht="15" customHeight="1">
      <c r="A1184" t="str">
        <f t="shared" ca="1" si="283"/>
        <v/>
      </c>
      <c r="B1184" s="52">
        <f t="shared" si="300"/>
        <v>86</v>
      </c>
      <c r="C1184" t="str">
        <f t="shared" ca="1" si="305"/>
        <v>Ownership Entity (if formed, required for Carryover, PIS/Final and CHFA Loan)</v>
      </c>
      <c r="D1184" t="str">
        <f t="shared" si="280"/>
        <v>B93</v>
      </c>
      <c r="E1184" t="str">
        <f t="shared" ca="1" si="306"/>
        <v/>
      </c>
      <c r="F1184" t="str">
        <f t="shared" ca="1" si="303"/>
        <v xml:space="preserve">Enter Contact Last Name for 'Ownership Entity (if formed, required for Carryover, PIS/Final and CHFA Loan)' in cell B93.
</v>
      </c>
      <c r="G1184"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82"/>
        <v>Contact Last Name</v>
      </c>
      <c r="K1184" s="52">
        <v>7</v>
      </c>
    </row>
    <row r="1185" spans="1:11" ht="15" customHeight="1">
      <c r="A1185" t="str">
        <f t="shared" ca="1" si="283"/>
        <v/>
      </c>
      <c r="B1185" s="52">
        <f t="shared" si="300"/>
        <v>86</v>
      </c>
      <c r="C1185" t="str">
        <f t="shared" ca="1" si="305"/>
        <v>Ownership Entity (if formed, required for Carryover, PIS/Final and CHFA Loan)</v>
      </c>
      <c r="D1185" t="str">
        <f t="shared" si="280"/>
        <v>B94</v>
      </c>
      <c r="E1185" t="str">
        <f t="shared" ca="1" si="306"/>
        <v/>
      </c>
      <c r="F1185" t="str">
        <f t="shared" ca="1" si="303"/>
        <v xml:space="preserve">Enter Phone (#'s only) for 'Ownership Entity (if formed, required for Carryover, PIS/Final and CHFA Loan)' in cell B94.
</v>
      </c>
      <c r="G1185" s="9" t="str">
        <f t="shared" ca="1" si="30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82"/>
        <v>Phone (#'s only)</v>
      </c>
      <c r="K1185" s="52">
        <v>8</v>
      </c>
    </row>
    <row r="1186" spans="1:11" ht="15" customHeight="1">
      <c r="A1186" t="str">
        <f t="shared" ca="1" si="283"/>
        <v/>
      </c>
      <c r="B1186" s="52">
        <f t="shared" si="300"/>
        <v>86</v>
      </c>
      <c r="C1186" t="str">
        <f t="shared" ref="C1186" ca="1" si="308">INDIRECT($F$1100 &amp; ADDRESS(B1186, 1,4  ))</f>
        <v>Ownership Entity (if formed, required for Carryover, PIS/Final and CHFA Loan)</v>
      </c>
      <c r="D1186" t="str">
        <f t="shared" si="280"/>
        <v>B95</v>
      </c>
      <c r="E1186" t="str">
        <f t="shared" ref="E1186" ca="1" si="309">IF(ISBLANK( INDIRECT($F$1100 &amp; D1186)),"", INDIRECT($F$1100 &amp; D1186))</f>
        <v/>
      </c>
      <c r="F1186" t="str">
        <f t="shared" ca="1" si="303"/>
        <v xml:space="preserve">Enter Email for 'Ownership Entity (if formed, required for Carryover, PIS/Final and CHFA Loan)' in cell B95.
</v>
      </c>
      <c r="G1186" s="9" t="str">
        <f t="shared" ref="G1186" ca="1" si="310">OFFSET(G1186, -1, 0) &amp; A1186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82"/>
        <v>Email</v>
      </c>
      <c r="K1186" s="52">
        <v>9</v>
      </c>
    </row>
    <row r="1187" spans="1:11" ht="15" customHeight="1">
      <c r="A1187" t="str">
        <f t="shared" ca="1" si="283"/>
        <v/>
      </c>
      <c r="B1187" s="52">
        <f t="shared" si="300"/>
        <v>86</v>
      </c>
      <c r="C1187" t="str">
        <f t="shared" ref="C1187" ca="1" si="311">INDIRECT($F$1100 &amp; ADDRESS(B1187, 1,4  ))</f>
        <v>Ownership Entity (if formed, required for Carryover, PIS/Final and CHFA Loan)</v>
      </c>
      <c r="D1187" t="str">
        <f t="shared" si="280"/>
        <v>B96</v>
      </c>
      <c r="E1187" t="str">
        <f t="shared" ref="E1187" ca="1" si="312">IF(ISBLANK( INDIRECT($F$1100 &amp; D1187)),"", INDIRECT($F$1100 &amp; D1187))</f>
        <v/>
      </c>
      <c r="F1187" t="str">
        <f t="shared" ca="1" si="303"/>
        <v xml:space="preserve">Enter Name(s) and State(s) of previous LIHTC properties for 'Ownership Entity (if formed, required for Carryover, PIS/Final and CHFA Loan)' in cell B96.
</v>
      </c>
      <c r="G1187" s="9" t="str">
        <f t="shared" ref="G1187" ca="1" si="313">OFFSET(G1187, -1, 0) &amp; A1187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82"/>
        <v>Name(s) and State(s) of previous LIHTC properties</v>
      </c>
      <c r="K1187" s="52">
        <v>10</v>
      </c>
    </row>
    <row r="1188" spans="1:11" ht="15" customHeight="1">
      <c r="A1188" t="str">
        <f t="shared" ca="1" si="283"/>
        <v/>
      </c>
      <c r="B1188" s="52">
        <f t="shared" si="300"/>
        <v>86</v>
      </c>
      <c r="C1188" t="str">
        <f t="shared" ref="C1188" ca="1" si="314">INDIRECT($F$1100 &amp; ADDRESS(B1188, 1,4  ))</f>
        <v>Ownership Entity (if formed, required for Carryover, PIS/Final and CHFA Loan)</v>
      </c>
      <c r="D1188" t="str">
        <f t="shared" si="280"/>
        <v>B97</v>
      </c>
      <c r="E1188" t="str">
        <f t="shared" ref="E1188" ca="1" si="315">IF(ISBLANK( INDIRECT($F$1100 &amp; D1188)),"", INDIRECT($F$1100 &amp; D1188))</f>
        <v/>
      </c>
      <c r="F1188" t="str">
        <f t="shared" ca="1" si="303"/>
        <v xml:space="preserve">Enter Please identify the racial/ethnic composition of your organization's ownership (for profit) or executive leadership (nonprofit) whichever is applicable for 'Ownership Entity (if formed, required for Carryover, PIS/Final and CHFA Loan)' in cell B97.
</v>
      </c>
      <c r="G1188" s="9" t="str">
        <f t="shared" ref="G1188" ca="1" si="316">OFFSET(G1188, -1, 0) &amp; A1188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82"/>
        <v>Please identify the racial/ethnic composition of your organization's ownership (for profit) or executive leadership (nonprofit) whichever is applicable</v>
      </c>
      <c r="K1188" s="52">
        <v>11</v>
      </c>
    </row>
    <row r="1189" spans="1:11" ht="15" customHeight="1">
      <c r="A1189" t="str">
        <f t="shared" ca="1" si="283"/>
        <v/>
      </c>
      <c r="B1189">
        <f>ROW('Contact Information'!B103)</f>
        <v>103</v>
      </c>
      <c r="C1189" t="str">
        <f t="shared" ca="1" si="298"/>
        <v>Participating Nonprofit or PHA</v>
      </c>
      <c r="D1189" t="str">
        <f t="shared" si="280"/>
        <v>B104</v>
      </c>
      <c r="E1189" t="str">
        <f t="shared" ca="1" si="299"/>
        <v/>
      </c>
      <c r="F1189" t="str">
        <f ca="1">CONCATENATE("Enter a "&amp; J1189 &amp;" for '", C1189, "' in cell ", D1189, ".", CHAR(10))</f>
        <v xml:space="preserve">Enter a Organization for 'Participating Nonprofit or PHA' in cell B104.
</v>
      </c>
      <c r="G1189"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82"/>
        <v>Organization</v>
      </c>
      <c r="K1189" s="52">
        <v>1</v>
      </c>
    </row>
    <row r="1190" spans="1:11" ht="15" customHeight="1">
      <c r="A1190" t="str">
        <f t="shared" ca="1" si="283"/>
        <v/>
      </c>
      <c r="B1190" s="52">
        <f t="shared" ref="B1190:B1199" si="317">B1189</f>
        <v>103</v>
      </c>
      <c r="C1190" t="str">
        <f t="shared" ca="1" si="298"/>
        <v>Participating Nonprofit or PHA</v>
      </c>
      <c r="D1190" t="str">
        <f t="shared" si="280"/>
        <v>B105</v>
      </c>
      <c r="E1190" t="str">
        <f t="shared" ca="1" si="299"/>
        <v/>
      </c>
      <c r="F1190" t="str">
        <f ca="1">CONCATENATE("Enter an "&amp; J1190 &amp;" for '", C1190, "' in cell ", D1190, ".", CHAR(10))</f>
        <v xml:space="preserve">Enter an Address for 'Participating Nonprofit or PHA' in cell B105.
</v>
      </c>
      <c r="G1190"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82"/>
        <v>Address</v>
      </c>
      <c r="K1190" s="52">
        <v>2</v>
      </c>
    </row>
    <row r="1191" spans="1:11" ht="15" customHeight="1">
      <c r="A1191" t="str">
        <f t="shared" ca="1" si="283"/>
        <v/>
      </c>
      <c r="B1191" s="52">
        <f t="shared" si="317"/>
        <v>103</v>
      </c>
      <c r="C1191" t="str">
        <f t="shared" ca="1" si="298"/>
        <v>Participating Nonprofit or PHA</v>
      </c>
      <c r="D1191" t="str">
        <f t="shared" si="280"/>
        <v>B106</v>
      </c>
      <c r="E1191" t="str">
        <f t="shared" ca="1" si="299"/>
        <v/>
      </c>
      <c r="F1191" t="str">
        <f t="shared" ref="F1191:F1196" ca="1" si="318">CONCATENATE("Enter a "&amp; J1191 &amp;" for '", C1191, "' in cell ", D1191, ".", CHAR(10))</f>
        <v xml:space="preserve">Enter a City  for 'Participating Nonprofit or PHA' in cell B106.
</v>
      </c>
      <c r="G1191"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82"/>
        <v xml:space="preserve">City </v>
      </c>
      <c r="K1191" s="52">
        <v>3</v>
      </c>
    </row>
    <row r="1192" spans="1:11" ht="15" customHeight="1">
      <c r="A1192" t="str">
        <f t="shared" ca="1" si="283"/>
        <v/>
      </c>
      <c r="B1192" s="52">
        <f t="shared" si="317"/>
        <v>103</v>
      </c>
      <c r="C1192" t="str">
        <f t="shared" ca="1" si="298"/>
        <v>Participating Nonprofit or PHA</v>
      </c>
      <c r="D1192" t="str">
        <f t="shared" si="280"/>
        <v>B107</v>
      </c>
      <c r="E1192" t="str">
        <f t="shared" ca="1" si="299"/>
        <v/>
      </c>
      <c r="F1192" t="str">
        <f t="shared" ca="1" si="318"/>
        <v xml:space="preserve">Enter a State for 'Participating Nonprofit or PHA' in cell B107.
</v>
      </c>
      <c r="G1192"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82"/>
        <v>State</v>
      </c>
      <c r="K1192" s="52">
        <v>4</v>
      </c>
    </row>
    <row r="1193" spans="1:11" ht="15" customHeight="1">
      <c r="A1193" t="str">
        <f t="shared" ca="1" si="283"/>
        <v/>
      </c>
      <c r="B1193" s="52">
        <f t="shared" si="317"/>
        <v>103</v>
      </c>
      <c r="C1193" t="str">
        <f t="shared" ca="1" si="298"/>
        <v>Participating Nonprofit or PHA</v>
      </c>
      <c r="D1193" t="str">
        <f t="shared" si="280"/>
        <v>B108</v>
      </c>
      <c r="E1193" t="str">
        <f t="shared" ca="1" si="299"/>
        <v/>
      </c>
      <c r="F1193" t="str">
        <f t="shared" ca="1" si="318"/>
        <v xml:space="preserve">Enter a Zip (first five #'s only) for 'Participating Nonprofit or PHA' in cell B108.
</v>
      </c>
      <c r="G1193"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t="b">
        <f>TRUE</f>
        <v>1</v>
      </c>
      <c r="I1193" s="9"/>
      <c r="J1193" s="52" t="str">
        <f t="shared" ca="1" si="282"/>
        <v>Zip (first five #'s only)</v>
      </c>
      <c r="K1193" s="52">
        <v>5</v>
      </c>
    </row>
    <row r="1194" spans="1:11" ht="15" customHeight="1">
      <c r="A1194" t="str">
        <f t="shared" ca="1" si="283"/>
        <v/>
      </c>
      <c r="B1194" s="52">
        <f t="shared" si="317"/>
        <v>103</v>
      </c>
      <c r="C1194" t="str">
        <f t="shared" ca="1" si="298"/>
        <v>Participating Nonprofit or PHA</v>
      </c>
      <c r="D1194" t="str">
        <f t="shared" si="280"/>
        <v>B109</v>
      </c>
      <c r="E1194" t="str">
        <f t="shared" ca="1" si="299"/>
        <v/>
      </c>
      <c r="F1194" t="str">
        <f t="shared" ca="1" si="318"/>
        <v xml:space="preserve">Enter a Contact First Name for 'Participating Nonprofit or PHA' in cell B109.
</v>
      </c>
      <c r="G1194"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t="b">
        <f>TRUE</f>
        <v>1</v>
      </c>
      <c r="I1194" s="9"/>
      <c r="J1194" s="52" t="str">
        <f t="shared" ca="1" si="282"/>
        <v>Contact First Name</v>
      </c>
      <c r="K1194" s="52">
        <v>6</v>
      </c>
    </row>
    <row r="1195" spans="1:11" ht="15" customHeight="1">
      <c r="A1195" t="str">
        <f t="shared" ca="1" si="283"/>
        <v/>
      </c>
      <c r="B1195" s="52">
        <f t="shared" si="317"/>
        <v>103</v>
      </c>
      <c r="C1195" t="str">
        <f t="shared" ca="1" si="298"/>
        <v>Participating Nonprofit or PHA</v>
      </c>
      <c r="D1195" t="str">
        <f t="shared" si="280"/>
        <v>B110</v>
      </c>
      <c r="E1195" t="str">
        <f t="shared" ca="1" si="299"/>
        <v/>
      </c>
      <c r="F1195" t="str">
        <f t="shared" ca="1" si="318"/>
        <v xml:space="preserve">Enter a Contact Last Name for 'Participating Nonprofit or PHA' in cell B110.
</v>
      </c>
      <c r="G1195"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t="b">
        <f>TRUE</f>
        <v>1</v>
      </c>
      <c r="I1195" s="9"/>
      <c r="J1195" s="52" t="str">
        <f t="shared" ca="1" si="282"/>
        <v>Contact Last Name</v>
      </c>
      <c r="K1195" s="52">
        <v>7</v>
      </c>
    </row>
    <row r="1196" spans="1:11" ht="15" customHeight="1">
      <c r="A1196" t="str">
        <f t="shared" ca="1" si="283"/>
        <v/>
      </c>
      <c r="B1196" s="52">
        <f t="shared" si="317"/>
        <v>103</v>
      </c>
      <c r="C1196" t="str">
        <f t="shared" ca="1" si="298"/>
        <v>Participating Nonprofit or PHA</v>
      </c>
      <c r="D1196" t="str">
        <f t="shared" si="280"/>
        <v>B111</v>
      </c>
      <c r="E1196" t="str">
        <f t="shared" ca="1" si="299"/>
        <v/>
      </c>
      <c r="F1196" t="str">
        <f t="shared" ca="1" si="318"/>
        <v xml:space="preserve">Enter a Phone (#'s only) for 'Participating Nonprofit or PHA' in cell B111.
</v>
      </c>
      <c r="G1196"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t="b">
        <f>TRUE</f>
        <v>1</v>
      </c>
      <c r="I1196" s="9"/>
      <c r="J1196" s="52" t="str">
        <f t="shared" ca="1" si="282"/>
        <v>Phone (#'s only)</v>
      </c>
      <c r="K1196" s="52">
        <v>8</v>
      </c>
    </row>
    <row r="1197" spans="1:11" ht="15" customHeight="1">
      <c r="A1197" t="str">
        <f t="shared" ca="1" si="283"/>
        <v/>
      </c>
      <c r="B1197" s="52">
        <f t="shared" si="317"/>
        <v>103</v>
      </c>
      <c r="C1197" t="str">
        <f t="shared" ca="1" si="298"/>
        <v>Participating Nonprofit or PHA</v>
      </c>
      <c r="D1197" t="str">
        <f t="shared" si="280"/>
        <v>B112</v>
      </c>
      <c r="E1197" t="str">
        <f t="shared" ca="1" si="299"/>
        <v/>
      </c>
      <c r="F1197" t="str">
        <f ca="1">CONCATENATE("Enter an "&amp; J1197 &amp;" for '", C1197, "' in cell ", D1197, ".", CHAR(10))</f>
        <v xml:space="preserve">Enter an Email for 'Participating Nonprofit or PHA' in cell B112.
</v>
      </c>
      <c r="G1197"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t="b">
        <f>TRUE</f>
        <v>1</v>
      </c>
      <c r="I1197" s="9"/>
      <c r="J1197" s="52" t="str">
        <f t="shared" ca="1" si="282"/>
        <v>Email</v>
      </c>
      <c r="K1197" s="52">
        <v>9</v>
      </c>
    </row>
    <row r="1198" spans="1:11" ht="15" customHeight="1">
      <c r="A1198" t="str">
        <f t="shared" ca="1" si="283"/>
        <v/>
      </c>
      <c r="B1198" s="52">
        <f t="shared" si="317"/>
        <v>103</v>
      </c>
      <c r="C1198" t="str">
        <f t="shared" ref="C1198:C1199" ca="1" si="319">INDIRECT($F$1100 &amp; ADDRESS(B1198, 1,4  ))</f>
        <v>Participating Nonprofit or PHA</v>
      </c>
      <c r="D1198" t="str">
        <f t="shared" si="280"/>
        <v>B113</v>
      </c>
      <c r="E1198" t="str">
        <f t="shared" ref="E1198:E1199" ca="1" si="320">IF(ISBLANK( INDIRECT($F$1100 &amp; D1198)),"", INDIRECT($F$1100 &amp; D1198))</f>
        <v/>
      </c>
      <c r="F1198" t="str">
        <f ca="1">CONCATENATE("Enter an "&amp; J1198 &amp;" for '", C1198, "' in cell ", D1198, ".", CHAR(10))</f>
        <v xml:space="preserve">Enter an Legal Status for 'Participating Nonprofit or PHA' in cell B113.
</v>
      </c>
      <c r="G1198" s="9" t="str">
        <f t="shared" ref="G1198:G1199" ca="1" si="321">OFFSET(G1198, -1, 0) &amp; A1198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t="b">
        <f>TRUE</f>
        <v>1</v>
      </c>
      <c r="I1198" s="9"/>
      <c r="J1198" s="52" t="str">
        <f t="shared" ca="1" si="282"/>
        <v>Legal Status</v>
      </c>
      <c r="K1198" s="52">
        <v>10</v>
      </c>
    </row>
    <row r="1199" spans="1:11" ht="15" customHeight="1">
      <c r="A1199" t="str">
        <f t="shared" ca="1" si="283"/>
        <v/>
      </c>
      <c r="B1199" s="52">
        <f t="shared" si="317"/>
        <v>103</v>
      </c>
      <c r="C1199" t="str">
        <f t="shared" ca="1" si="319"/>
        <v>Participating Nonprofit or PHA</v>
      </c>
      <c r="D1199" t="str">
        <f t="shared" si="280"/>
        <v>B114</v>
      </c>
      <c r="E1199" t="str">
        <f t="shared" ca="1" si="320"/>
        <v/>
      </c>
      <c r="F1199" t="str">
        <f ca="1">CONCATENATE("Enter an "&amp; J1199 &amp;" for '", C1199, "' in cell ", D1199, ".", CHAR(10))</f>
        <v xml:space="preserve">Enter an Tax ID Number for 'Participating Nonprofit or PHA' in cell B114.
</v>
      </c>
      <c r="G1199" s="9" t="str">
        <f t="shared" ca="1" si="32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t="b">
        <f>TRUE</f>
        <v>1</v>
      </c>
      <c r="I1199" s="9"/>
      <c r="J1199" s="52" t="str">
        <f t="shared" ca="1" si="282"/>
        <v>Tax ID Number</v>
      </c>
      <c r="K1199" s="52">
        <v>11</v>
      </c>
    </row>
    <row r="1200" spans="1:11" ht="15" customHeight="1">
      <c r="A1200" t="str">
        <f t="shared" ca="1" si="283"/>
        <v/>
      </c>
      <c r="B1200">
        <f>ROW('Contact Information'!B133)</f>
        <v>133</v>
      </c>
      <c r="C1200" t="str">
        <f t="shared" ca="1" si="298"/>
        <v>3rd Party Estimator</v>
      </c>
      <c r="D1200" t="str">
        <f t="shared" si="280"/>
        <v>B134</v>
      </c>
      <c r="E1200" t="str">
        <f t="shared" ca="1" si="299"/>
        <v/>
      </c>
      <c r="F1200" t="str">
        <f ca="1">CONCATENATE("Enter a "&amp; J1200 &amp;" for '", C1200, "' in cell ", D1200, ".", CHAR(10))</f>
        <v xml:space="preserve">Enter a Organization for '3rd Party Estimator' in cell B134.
</v>
      </c>
      <c r="G1200"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s="9" t="b">
        <f>Calculations!$B$2</f>
        <v>0</v>
      </c>
      <c r="I1200" s="9"/>
      <c r="J1200" s="52" t="str">
        <f t="shared" ca="1" si="282"/>
        <v>Organization</v>
      </c>
      <c r="K1200" s="52">
        <v>1</v>
      </c>
    </row>
    <row r="1201" spans="1:11" ht="15" customHeight="1">
      <c r="A1201" t="str">
        <f t="shared" ca="1" si="283"/>
        <v/>
      </c>
      <c r="B1201" s="52">
        <f t="shared" ref="B1201:B1208" si="322">B1200</f>
        <v>133</v>
      </c>
      <c r="C1201" t="str">
        <f t="shared" ca="1" si="298"/>
        <v>3rd Party Estimator</v>
      </c>
      <c r="D1201" t="str">
        <f t="shared" ref="D1201:D1264" si="323">ADDRESS(B1201+K1201, 2,4  )</f>
        <v>B135</v>
      </c>
      <c r="E1201" t="str">
        <f t="shared" ca="1" si="299"/>
        <v/>
      </c>
      <c r="F1201" t="str">
        <f ca="1">CONCATENATE("Enter an "&amp; J1201 &amp;" for '", C1201, "' in cell ", D1201, ".", CHAR(10))</f>
        <v xml:space="preserve">Enter an Address for '3rd Party Estimator' in cell B135.
</v>
      </c>
      <c r="G1201"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ref="J1201:J1264" ca="1" si="324">INDIRECT($F$1100 &amp; ADDRESS(B1201+K1201, 1,4))</f>
        <v>Address</v>
      </c>
      <c r="K1201" s="52">
        <v>2</v>
      </c>
    </row>
    <row r="1202" spans="1:11" ht="15" customHeight="1">
      <c r="A1202" t="str">
        <f t="shared" ref="A1202:A1265" ca="1" si="325">IF(AND(H1202, NOT($E$1103), E1202=""),F1202, "")</f>
        <v/>
      </c>
      <c r="B1202" s="52">
        <f t="shared" si="322"/>
        <v>133</v>
      </c>
      <c r="C1202" t="str">
        <f t="shared" ca="1" si="298"/>
        <v>3rd Party Estimator</v>
      </c>
      <c r="D1202" t="str">
        <f t="shared" si="323"/>
        <v>B136</v>
      </c>
      <c r="E1202" t="str">
        <f t="shared" ca="1" si="299"/>
        <v/>
      </c>
      <c r="F1202" t="str">
        <f t="shared" ref="F1202:F1207" ca="1" si="326">CONCATENATE("Enter a "&amp; J1202 &amp;" for '", C1202, "' in cell ", D1202, ".", CHAR(10))</f>
        <v xml:space="preserve">Enter a City  for '3rd Party Estimator' in cell B136.
</v>
      </c>
      <c r="G1202"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s="9" t="b">
        <f>Calculations!$B$2</f>
        <v>0</v>
      </c>
      <c r="I1202" s="9"/>
      <c r="J1202" s="52" t="str">
        <f t="shared" ca="1" si="324"/>
        <v xml:space="preserve">City </v>
      </c>
      <c r="K1202" s="52">
        <v>3</v>
      </c>
    </row>
    <row r="1203" spans="1:11" ht="15" customHeight="1">
      <c r="A1203" t="str">
        <f t="shared" ca="1" si="325"/>
        <v/>
      </c>
      <c r="B1203" s="52">
        <f t="shared" si="322"/>
        <v>133</v>
      </c>
      <c r="C1203" t="str">
        <f t="shared" ca="1" si="298"/>
        <v>3rd Party Estimator</v>
      </c>
      <c r="D1203" t="str">
        <f t="shared" si="323"/>
        <v>B137</v>
      </c>
      <c r="E1203" t="str">
        <f t="shared" ca="1" si="299"/>
        <v/>
      </c>
      <c r="F1203" t="str">
        <f t="shared" ca="1" si="326"/>
        <v xml:space="preserve">Enter a State for '3rd Party Estimator' in cell B137.
</v>
      </c>
      <c r="G1203"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s="9" t="b">
        <f>Calculations!$B$2</f>
        <v>0</v>
      </c>
      <c r="I1203" s="9"/>
      <c r="J1203" s="52" t="str">
        <f t="shared" ca="1" si="324"/>
        <v>State</v>
      </c>
      <c r="K1203" s="52">
        <v>4</v>
      </c>
    </row>
    <row r="1204" spans="1:11" ht="15" customHeight="1">
      <c r="A1204" t="str">
        <f t="shared" ca="1" si="325"/>
        <v/>
      </c>
      <c r="B1204" s="52">
        <f t="shared" si="322"/>
        <v>133</v>
      </c>
      <c r="C1204" t="str">
        <f t="shared" ca="1" si="298"/>
        <v>3rd Party Estimator</v>
      </c>
      <c r="D1204" t="str">
        <f t="shared" si="323"/>
        <v>B138</v>
      </c>
      <c r="E1204" t="str">
        <f t="shared" ca="1" si="299"/>
        <v/>
      </c>
      <c r="F1204" t="str">
        <f t="shared" ca="1" si="326"/>
        <v xml:space="preserve">Enter a Zip (first five #'s only) for '3rd Party Estimator' in cell B138.
</v>
      </c>
      <c r="G1204"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s="9" t="b">
        <f>Calculations!$B$2</f>
        <v>0</v>
      </c>
      <c r="I1204" s="9"/>
      <c r="J1204" s="52" t="str">
        <f t="shared" ca="1" si="324"/>
        <v>Zip (first five #'s only)</v>
      </c>
      <c r="K1204" s="52">
        <v>5</v>
      </c>
    </row>
    <row r="1205" spans="1:11" ht="15" customHeight="1">
      <c r="A1205" t="str">
        <f t="shared" ca="1" si="325"/>
        <v/>
      </c>
      <c r="B1205" s="52">
        <f t="shared" si="322"/>
        <v>133</v>
      </c>
      <c r="C1205" t="str">
        <f t="shared" ca="1" si="298"/>
        <v>3rd Party Estimator</v>
      </c>
      <c r="D1205" t="str">
        <f t="shared" si="323"/>
        <v>B139</v>
      </c>
      <c r="E1205" t="str">
        <f t="shared" ca="1" si="299"/>
        <v/>
      </c>
      <c r="F1205" t="str">
        <f t="shared" ca="1" si="326"/>
        <v xml:space="preserve">Enter a Contact First Name for '3rd Party Estimator' in cell B139.
</v>
      </c>
      <c r="G1205"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s="9" t="b">
        <f>Calculations!$B$2</f>
        <v>0</v>
      </c>
      <c r="I1205" s="9"/>
      <c r="J1205" s="52" t="str">
        <f t="shared" ca="1" si="324"/>
        <v>Contact First Name</v>
      </c>
      <c r="K1205" s="52">
        <v>6</v>
      </c>
    </row>
    <row r="1206" spans="1:11" ht="15" customHeight="1">
      <c r="A1206" t="str">
        <f t="shared" ca="1" si="325"/>
        <v/>
      </c>
      <c r="B1206" s="52">
        <f t="shared" si="322"/>
        <v>133</v>
      </c>
      <c r="C1206" t="str">
        <f t="shared" ref="C1206:C1282" ca="1" si="327">INDIRECT($F$1100 &amp; ADDRESS(B1206, 1,4  ))</f>
        <v>3rd Party Estimator</v>
      </c>
      <c r="D1206" t="str">
        <f t="shared" si="323"/>
        <v>B140</v>
      </c>
      <c r="E1206" t="str">
        <f t="shared" ref="E1206:E1282" ca="1" si="328">IF(ISBLANK( INDIRECT($F$1100 &amp; D1206)),"", INDIRECT($F$1100 &amp; D1206))</f>
        <v/>
      </c>
      <c r="F1206" t="str">
        <f t="shared" ca="1" si="326"/>
        <v xml:space="preserve">Enter a Contact Last Name for '3rd Party Estimator' in cell B140.
</v>
      </c>
      <c r="G1206" s="9" t="str">
        <f t="shared" ca="1" si="2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s="9" t="b">
        <f>Calculations!$B$2</f>
        <v>0</v>
      </c>
      <c r="I1206" s="9"/>
      <c r="J1206" s="52" t="str">
        <f t="shared" ca="1" si="324"/>
        <v>Contact Last Name</v>
      </c>
      <c r="K1206" s="52">
        <v>7</v>
      </c>
    </row>
    <row r="1207" spans="1:11" ht="15" customHeight="1">
      <c r="A1207" t="str">
        <f t="shared" ca="1" si="325"/>
        <v/>
      </c>
      <c r="B1207" s="52">
        <f t="shared" si="322"/>
        <v>133</v>
      </c>
      <c r="C1207" t="str">
        <f t="shared" ca="1" si="327"/>
        <v>3rd Party Estimator</v>
      </c>
      <c r="D1207" t="str">
        <f t="shared" si="323"/>
        <v>B141</v>
      </c>
      <c r="E1207" t="str">
        <f t="shared" ca="1" si="328"/>
        <v/>
      </c>
      <c r="F1207" t="str">
        <f t="shared" ca="1" si="326"/>
        <v xml:space="preserve">Enter a Phone (#'s only) for '3rd Party Estimator' in cell B141.
</v>
      </c>
      <c r="G1207" s="9" t="str">
        <f t="shared" ref="G1207:G1370" ca="1" si="329">OFFSET(G1207, -1, 0) &amp; A1207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s="9" t="b">
        <f>Calculations!$B$2</f>
        <v>0</v>
      </c>
      <c r="I1207" s="9"/>
      <c r="J1207" s="52" t="str">
        <f t="shared" ca="1" si="324"/>
        <v>Phone (#'s only)</v>
      </c>
      <c r="K1207" s="52">
        <v>8</v>
      </c>
    </row>
    <row r="1208" spans="1:11" ht="15" customHeight="1">
      <c r="A1208" t="str">
        <f t="shared" ca="1" si="325"/>
        <v/>
      </c>
      <c r="B1208" s="52">
        <f t="shared" si="322"/>
        <v>133</v>
      </c>
      <c r="C1208" t="str">
        <f t="shared" ca="1" si="327"/>
        <v>3rd Party Estimator</v>
      </c>
      <c r="D1208" t="str">
        <f t="shared" si="323"/>
        <v>B142</v>
      </c>
      <c r="E1208" t="str">
        <f t="shared" ca="1" si="328"/>
        <v/>
      </c>
      <c r="F1208" t="str">
        <f ca="1">CONCATENATE("Enter an "&amp; J1208 &amp;" for '", C1208, "' in cell ", D1208, ".", CHAR(10))</f>
        <v xml:space="preserve">Enter an Email for '3rd Party Estimator' in cell B142.
</v>
      </c>
      <c r="G120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s="9" t="b">
        <f>Calculations!$B$2</f>
        <v>0</v>
      </c>
      <c r="I1208" s="9"/>
      <c r="J1208" s="52" t="str">
        <f t="shared" ca="1" si="324"/>
        <v>Email</v>
      </c>
      <c r="K1208" s="52">
        <v>9</v>
      </c>
    </row>
    <row r="1209" spans="1:11" ht="15" customHeight="1">
      <c r="A1209" t="str">
        <f t="shared" ca="1" si="325"/>
        <v/>
      </c>
      <c r="B1209">
        <f>ROW('Contact Information'!B144)</f>
        <v>144</v>
      </c>
      <c r="C1209" t="str">
        <f t="shared" ca="1" si="327"/>
        <v>General Partner</v>
      </c>
      <c r="D1209" t="str">
        <f t="shared" si="323"/>
        <v>B145</v>
      </c>
      <c r="E1209" t="str">
        <f t="shared" ca="1" si="328"/>
        <v/>
      </c>
      <c r="F1209" t="str">
        <f ca="1">CONCATENATE("Enter a "&amp; J1209 &amp;" for '", C1209, "' in cell ", D1209, ".", CHAR(10))</f>
        <v xml:space="preserve">Enter a Organization for 'General Partner' in cell B145.
</v>
      </c>
      <c r="G120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t="b">
        <f>TRUE</f>
        <v>1</v>
      </c>
      <c r="I1209" s="9"/>
      <c r="J1209" s="52" t="str">
        <f t="shared" ca="1" si="324"/>
        <v>Organization</v>
      </c>
      <c r="K1209" s="52">
        <v>1</v>
      </c>
    </row>
    <row r="1210" spans="1:11" ht="15" customHeight="1">
      <c r="A1210" t="str">
        <f t="shared" ca="1" si="325"/>
        <v/>
      </c>
      <c r="B1210" s="52">
        <f t="shared" ref="B1210:B1217" si="330">B1209</f>
        <v>144</v>
      </c>
      <c r="C1210" t="str">
        <f t="shared" ca="1" si="327"/>
        <v>General Partner</v>
      </c>
      <c r="D1210" t="str">
        <f t="shared" si="323"/>
        <v>B146</v>
      </c>
      <c r="E1210" t="str">
        <f t="shared" ca="1" si="328"/>
        <v/>
      </c>
      <c r="F1210" t="str">
        <f ca="1">CONCATENATE("Enter an "&amp; J1210 &amp;" for '", C1210, "' in cell ", D1210, ".", CHAR(10))</f>
        <v xml:space="preserve">Enter an Address for 'General Partner' in cell B146.
</v>
      </c>
      <c r="G121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4"/>
        <v>Address</v>
      </c>
      <c r="K1210" s="52">
        <v>2</v>
      </c>
    </row>
    <row r="1211" spans="1:11" ht="15" customHeight="1">
      <c r="A1211" t="str">
        <f t="shared" ca="1" si="325"/>
        <v/>
      </c>
      <c r="B1211" s="52">
        <f t="shared" si="330"/>
        <v>144</v>
      </c>
      <c r="C1211" t="str">
        <f t="shared" ca="1" si="327"/>
        <v>General Partner</v>
      </c>
      <c r="D1211" t="str">
        <f t="shared" si="323"/>
        <v>B147</v>
      </c>
      <c r="E1211" t="str">
        <f t="shared" ca="1" si="328"/>
        <v/>
      </c>
      <c r="F1211" t="str">
        <f t="shared" ref="F1211:F1216" ca="1" si="331">CONCATENATE("Enter a "&amp; J1211 &amp;" for '", C1211, "' in cell ", D1211, ".", CHAR(10))</f>
        <v xml:space="preserve">Enter a City  for 'General Partner' in cell B147.
</v>
      </c>
      <c r="G121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4"/>
        <v xml:space="preserve">City </v>
      </c>
      <c r="K1211" s="52">
        <v>3</v>
      </c>
    </row>
    <row r="1212" spans="1:11" ht="15" customHeight="1">
      <c r="A1212" t="str">
        <f t="shared" ca="1" si="325"/>
        <v/>
      </c>
      <c r="B1212" s="52">
        <f t="shared" si="330"/>
        <v>144</v>
      </c>
      <c r="C1212" t="str">
        <f t="shared" ca="1" si="327"/>
        <v>General Partner</v>
      </c>
      <c r="D1212" t="str">
        <f t="shared" si="323"/>
        <v>B148</v>
      </c>
      <c r="E1212" t="str">
        <f t="shared" ca="1" si="328"/>
        <v/>
      </c>
      <c r="F1212" t="str">
        <f t="shared" ca="1" si="331"/>
        <v xml:space="preserve">Enter a State for 'General Partner' in cell B148.
</v>
      </c>
      <c r="G1212"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4"/>
        <v>State</v>
      </c>
      <c r="K1212" s="52">
        <v>4</v>
      </c>
    </row>
    <row r="1213" spans="1:11" ht="15" customHeight="1">
      <c r="A1213" t="str">
        <f t="shared" ca="1" si="325"/>
        <v/>
      </c>
      <c r="B1213" s="52">
        <f t="shared" si="330"/>
        <v>144</v>
      </c>
      <c r="C1213" t="str">
        <f t="shared" ca="1" si="327"/>
        <v>General Partner</v>
      </c>
      <c r="D1213" t="str">
        <f t="shared" si="323"/>
        <v>B149</v>
      </c>
      <c r="E1213" t="str">
        <f t="shared" ca="1" si="328"/>
        <v/>
      </c>
      <c r="F1213" t="str">
        <f t="shared" ca="1" si="331"/>
        <v xml:space="preserve">Enter a Zip for 'General Partner' in cell B149.
</v>
      </c>
      <c r="G121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4"/>
        <v>Zip</v>
      </c>
      <c r="K1213" s="52">
        <v>5</v>
      </c>
    </row>
    <row r="1214" spans="1:11" ht="15" customHeight="1">
      <c r="A1214" t="str">
        <f t="shared" ca="1" si="325"/>
        <v/>
      </c>
      <c r="B1214" s="52">
        <f t="shared" si="330"/>
        <v>144</v>
      </c>
      <c r="C1214" t="str">
        <f t="shared" ca="1" si="327"/>
        <v>General Partner</v>
      </c>
      <c r="D1214" t="str">
        <f t="shared" si="323"/>
        <v>B150</v>
      </c>
      <c r="E1214" t="str">
        <f t="shared" ca="1" si="328"/>
        <v/>
      </c>
      <c r="F1214" t="str">
        <f t="shared" ca="1" si="331"/>
        <v xml:space="preserve">Enter a Contact First Name for 'General Partner' in cell B150.
</v>
      </c>
      <c r="G121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4"/>
        <v>Contact First Name</v>
      </c>
      <c r="K1214" s="52">
        <v>6</v>
      </c>
    </row>
    <row r="1215" spans="1:11" ht="15" customHeight="1">
      <c r="A1215" t="str">
        <f t="shared" ca="1" si="325"/>
        <v/>
      </c>
      <c r="B1215" s="52">
        <f t="shared" si="330"/>
        <v>144</v>
      </c>
      <c r="C1215" t="str">
        <f t="shared" ca="1" si="327"/>
        <v>General Partner</v>
      </c>
      <c r="D1215" t="str">
        <f t="shared" si="323"/>
        <v>B151</v>
      </c>
      <c r="E1215" t="str">
        <f t="shared" ca="1" si="328"/>
        <v/>
      </c>
      <c r="F1215" t="str">
        <f t="shared" ca="1" si="331"/>
        <v xml:space="preserve">Enter a Contact Last Name for 'General Partner' in cell B151.
</v>
      </c>
      <c r="G121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4"/>
        <v>Contact Last Name</v>
      </c>
      <c r="K1215" s="52">
        <v>7</v>
      </c>
    </row>
    <row r="1216" spans="1:11" ht="15" customHeight="1">
      <c r="A1216" t="str">
        <f t="shared" ca="1" si="325"/>
        <v/>
      </c>
      <c r="B1216" s="52">
        <f t="shared" si="330"/>
        <v>144</v>
      </c>
      <c r="C1216" t="str">
        <f t="shared" ca="1" si="327"/>
        <v>General Partner</v>
      </c>
      <c r="D1216" t="str">
        <f t="shared" si="323"/>
        <v>B152</v>
      </c>
      <c r="E1216" t="str">
        <f t="shared" ca="1" si="328"/>
        <v/>
      </c>
      <c r="F1216" t="str">
        <f t="shared" ca="1" si="331"/>
        <v xml:space="preserve">Enter a Phone (#'s only) for 'General Partner' in cell B152.
</v>
      </c>
      <c r="G121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4"/>
        <v>Phone (#'s only)</v>
      </c>
      <c r="K1216" s="52">
        <v>8</v>
      </c>
    </row>
    <row r="1217" spans="1:11" ht="15" customHeight="1">
      <c r="A1217" t="str">
        <f t="shared" ca="1" si="325"/>
        <v/>
      </c>
      <c r="B1217" s="52">
        <f t="shared" si="330"/>
        <v>144</v>
      </c>
      <c r="C1217" t="str">
        <f t="shared" ca="1" si="327"/>
        <v>General Partner</v>
      </c>
      <c r="D1217" t="str">
        <f t="shared" si="323"/>
        <v>B153</v>
      </c>
      <c r="E1217" t="str">
        <f t="shared" ca="1" si="328"/>
        <v/>
      </c>
      <c r="F1217" t="str">
        <f ca="1">CONCATENATE("Enter an "&amp; J1217 &amp;" for '", C1217, "' in cell ", D1217, ".", CHAR(10))</f>
        <v xml:space="preserve">Enter an Email for 'General Partner' in cell B153.
</v>
      </c>
      <c r="G121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4"/>
        <v>Email</v>
      </c>
      <c r="K1217" s="52">
        <v>9</v>
      </c>
    </row>
    <row r="1218" spans="1:11" ht="15" customHeight="1">
      <c r="A1218" t="str">
        <f t="shared" ca="1" si="325"/>
        <v/>
      </c>
      <c r="B1218">
        <f>ROW('Contact Information'!B158)</f>
        <v>158</v>
      </c>
      <c r="C1218" t="str">
        <f t="shared" ref="C1218:C1226" ca="1" si="332">INDIRECT($F$1100 &amp; ADDRESS(B1218, 1,4  ))</f>
        <v>General Contractor</v>
      </c>
      <c r="D1218" t="str">
        <f t="shared" si="323"/>
        <v>B159</v>
      </c>
      <c r="E1218" t="str">
        <f t="shared" ref="E1218:E1226" ca="1" si="333">IF(ISBLANK( INDIRECT($F$1100 &amp; D1218)),"", INDIRECT($F$1100 &amp; D1218))</f>
        <v/>
      </c>
      <c r="F1218" t="str">
        <f ca="1">CONCATENATE("Enter a "&amp; J1218 &amp;" for '", C1218, "' in cell ", D1218, ".", CHAR(10))</f>
        <v xml:space="preserve">Enter a Organization for 'General Contractor' in cell B159.
</v>
      </c>
      <c r="G1218" s="9" t="str">
        <f t="shared" ref="G1218:G1226" ca="1" si="334">OFFSET(G1218, -1, 0) &amp; A1218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4"/>
        <v>Organization</v>
      </c>
      <c r="K1218" s="52">
        <v>1</v>
      </c>
    </row>
    <row r="1219" spans="1:11" ht="15" customHeight="1">
      <c r="A1219" t="str">
        <f t="shared" ca="1" si="325"/>
        <v/>
      </c>
      <c r="B1219" s="52">
        <f t="shared" ref="B1219:B1253" si="335">B1218</f>
        <v>158</v>
      </c>
      <c r="C1219" t="str">
        <f t="shared" ca="1" si="332"/>
        <v>General Contractor</v>
      </c>
      <c r="D1219" t="str">
        <f t="shared" si="323"/>
        <v>B160</v>
      </c>
      <c r="E1219" t="str">
        <f t="shared" ca="1" si="333"/>
        <v/>
      </c>
      <c r="F1219" t="str">
        <f ca="1">CONCATENATE("Enter an "&amp; J1219 &amp;" for '", C1219, "' in cell ", D1219, ".", CHAR(10))</f>
        <v xml:space="preserve">Enter an Address for 'General Contractor' in cell B160.
</v>
      </c>
      <c r="G121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4"/>
        <v>Address</v>
      </c>
      <c r="K1219" s="52">
        <v>2</v>
      </c>
    </row>
    <row r="1220" spans="1:11" ht="15" customHeight="1">
      <c r="A1220" t="str">
        <f t="shared" ca="1" si="325"/>
        <v/>
      </c>
      <c r="B1220" s="52">
        <f t="shared" si="335"/>
        <v>158</v>
      </c>
      <c r="C1220" t="str">
        <f t="shared" ca="1" si="332"/>
        <v>General Contractor</v>
      </c>
      <c r="D1220" t="str">
        <f t="shared" si="323"/>
        <v>B161</v>
      </c>
      <c r="E1220" t="str">
        <f t="shared" ca="1" si="333"/>
        <v/>
      </c>
      <c r="F1220" t="str">
        <f t="shared" ref="F1220:F1225" ca="1" si="336">CONCATENATE("Enter a "&amp; J1220 &amp;" for '", C1220, "' in cell ", D1220, ".", CHAR(10))</f>
        <v xml:space="preserve">Enter a City  for 'General Contractor' in cell B161.
</v>
      </c>
      <c r="G122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4"/>
        <v xml:space="preserve">City </v>
      </c>
      <c r="K1220" s="52">
        <v>3</v>
      </c>
    </row>
    <row r="1221" spans="1:11" ht="15" customHeight="1">
      <c r="A1221" t="str">
        <f t="shared" ca="1" si="325"/>
        <v/>
      </c>
      <c r="B1221" s="52">
        <f t="shared" si="335"/>
        <v>158</v>
      </c>
      <c r="C1221" t="str">
        <f t="shared" ca="1" si="332"/>
        <v>General Contractor</v>
      </c>
      <c r="D1221" t="str">
        <f t="shared" si="323"/>
        <v>B162</v>
      </c>
      <c r="E1221" t="str">
        <f t="shared" ca="1" si="333"/>
        <v/>
      </c>
      <c r="F1221" t="str">
        <f t="shared" ca="1" si="336"/>
        <v xml:space="preserve">Enter a State for 'General Contractor' in cell B162.
</v>
      </c>
      <c r="G122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4"/>
        <v>State</v>
      </c>
      <c r="K1221" s="52">
        <v>4</v>
      </c>
    </row>
    <row r="1222" spans="1:11" ht="15" customHeight="1">
      <c r="A1222" t="str">
        <f t="shared" ca="1" si="325"/>
        <v/>
      </c>
      <c r="B1222" s="52">
        <f t="shared" si="335"/>
        <v>158</v>
      </c>
      <c r="C1222" t="str">
        <f t="shared" ca="1" si="332"/>
        <v>General Contractor</v>
      </c>
      <c r="D1222" t="str">
        <f t="shared" si="323"/>
        <v>B163</v>
      </c>
      <c r="E1222" t="str">
        <f t="shared" ca="1" si="333"/>
        <v/>
      </c>
      <c r="F1222" t="str">
        <f t="shared" ca="1" si="336"/>
        <v xml:space="preserve">Enter a Zip (first five #'s only) for 'General Contractor' in cell B163.
</v>
      </c>
      <c r="G122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4"/>
        <v>Zip (first five #'s only)</v>
      </c>
      <c r="K1222" s="52">
        <v>5</v>
      </c>
    </row>
    <row r="1223" spans="1:11" ht="15" customHeight="1">
      <c r="A1223" t="str">
        <f t="shared" ca="1" si="325"/>
        <v/>
      </c>
      <c r="B1223" s="52">
        <f t="shared" si="335"/>
        <v>158</v>
      </c>
      <c r="C1223" t="str">
        <f t="shared" ca="1" si="332"/>
        <v>General Contractor</v>
      </c>
      <c r="D1223" t="str">
        <f t="shared" si="323"/>
        <v>B164</v>
      </c>
      <c r="E1223" t="str">
        <f t="shared" ca="1" si="333"/>
        <v/>
      </c>
      <c r="F1223" t="str">
        <f t="shared" ca="1" si="336"/>
        <v xml:space="preserve">Enter a Contact First Name for 'General Contractor' in cell B164.
</v>
      </c>
      <c r="G122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4"/>
        <v>Contact First Name</v>
      </c>
      <c r="K1223" s="52">
        <v>6</v>
      </c>
    </row>
    <row r="1224" spans="1:11" ht="15" customHeight="1">
      <c r="A1224" t="str">
        <f t="shared" ca="1" si="325"/>
        <v/>
      </c>
      <c r="B1224" s="52">
        <f t="shared" si="335"/>
        <v>158</v>
      </c>
      <c r="C1224" t="str">
        <f t="shared" ca="1" si="332"/>
        <v>General Contractor</v>
      </c>
      <c r="D1224" t="str">
        <f t="shared" si="323"/>
        <v>B165</v>
      </c>
      <c r="E1224" t="str">
        <f t="shared" ca="1" si="333"/>
        <v/>
      </c>
      <c r="F1224" t="str">
        <f t="shared" ca="1" si="336"/>
        <v xml:space="preserve">Enter a Contact Last Name for 'General Contractor' in cell B165.
</v>
      </c>
      <c r="G122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4"/>
        <v>Contact Last Name</v>
      </c>
      <c r="K1224" s="52">
        <v>7</v>
      </c>
    </row>
    <row r="1225" spans="1:11" ht="15" customHeight="1">
      <c r="A1225" t="str">
        <f t="shared" ca="1" si="325"/>
        <v/>
      </c>
      <c r="B1225" s="52">
        <f t="shared" si="335"/>
        <v>158</v>
      </c>
      <c r="C1225" t="str">
        <f t="shared" ca="1" si="332"/>
        <v>General Contractor</v>
      </c>
      <c r="D1225" t="str">
        <f t="shared" si="323"/>
        <v>B166</v>
      </c>
      <c r="E1225" t="str">
        <f t="shared" ca="1" si="333"/>
        <v/>
      </c>
      <c r="F1225" t="str">
        <f t="shared" ca="1" si="336"/>
        <v xml:space="preserve">Enter a Phone (#'s only) for 'General Contractor' in cell B166.
</v>
      </c>
      <c r="G122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4"/>
        <v>Phone (#'s only)</v>
      </c>
      <c r="K1225" s="52">
        <v>8</v>
      </c>
    </row>
    <row r="1226" spans="1:11" ht="15" customHeight="1">
      <c r="A1226" t="str">
        <f t="shared" ca="1" si="325"/>
        <v/>
      </c>
      <c r="B1226" s="52">
        <f t="shared" si="335"/>
        <v>158</v>
      </c>
      <c r="C1226" t="str">
        <f t="shared" ca="1" si="332"/>
        <v>General Contractor</v>
      </c>
      <c r="D1226" t="str">
        <f t="shared" si="323"/>
        <v>B167</v>
      </c>
      <c r="E1226" t="str">
        <f t="shared" ca="1" si="333"/>
        <v/>
      </c>
      <c r="F1226" t="str">
        <f ca="1">CONCATENATE("Enter an "&amp; J1226 &amp;" for '", C1226, "' in cell ", D1226, ".", CHAR(10))</f>
        <v xml:space="preserve">Enter an Email for 'General Contractor' in cell B167.
</v>
      </c>
      <c r="G122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4"/>
        <v>Email</v>
      </c>
      <c r="K1226" s="52">
        <v>9</v>
      </c>
    </row>
    <row r="1227" spans="1:11" ht="15" customHeight="1">
      <c r="A1227" t="str">
        <f t="shared" ca="1" si="325"/>
        <v/>
      </c>
      <c r="B1227">
        <f>ROW('Contact Information'!B172)</f>
        <v>172</v>
      </c>
      <c r="C1227" t="str">
        <f t="shared" ref="C1227:C1235" ca="1" si="337">INDIRECT($F$1100 &amp; ADDRESS(B1227, 1,4  ))</f>
        <v>Management Company</v>
      </c>
      <c r="D1227" t="str">
        <f t="shared" si="323"/>
        <v>B173</v>
      </c>
      <c r="E1227" t="str">
        <f t="shared" ref="E1227:E1235" ca="1" si="338">IF(ISBLANK( INDIRECT($F$1100 &amp; D1227)),"", INDIRECT($F$1100 &amp; D1227))</f>
        <v/>
      </c>
      <c r="F1227" t="str">
        <f ca="1">CONCATENATE("Enter a "&amp; J1227 &amp;" for '", C1227, "' in cell ", D1227, ".", CHAR(10))</f>
        <v xml:space="preserve">Enter a Organization for 'Management Company' in cell B173.
</v>
      </c>
      <c r="G1227" s="9" t="str">
        <f t="shared" ref="G1227:G1235" ca="1" si="339">OFFSET(G1227, -1, 0) &amp; A1227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4"/>
        <v>Organization</v>
      </c>
      <c r="K1227" s="52">
        <v>1</v>
      </c>
    </row>
    <row r="1228" spans="1:11" ht="15" customHeight="1">
      <c r="A1228" t="str">
        <f t="shared" ca="1" si="325"/>
        <v/>
      </c>
      <c r="B1228" s="52">
        <f t="shared" si="335"/>
        <v>172</v>
      </c>
      <c r="C1228" t="str">
        <f t="shared" ca="1" si="337"/>
        <v>Management Company</v>
      </c>
      <c r="D1228" t="str">
        <f t="shared" si="323"/>
        <v>B174</v>
      </c>
      <c r="E1228" t="str">
        <f t="shared" ca="1" si="338"/>
        <v/>
      </c>
      <c r="F1228" t="str">
        <f ca="1">CONCATENATE("Enter an "&amp; J1228 &amp;" for '", C1228, "' in cell ", D1228, ".", CHAR(10))</f>
        <v xml:space="preserve">Enter an Address for 'Management Company' in cell B174.
</v>
      </c>
      <c r="G1228"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4"/>
        <v>Address</v>
      </c>
      <c r="K1228" s="52">
        <v>2</v>
      </c>
    </row>
    <row r="1229" spans="1:11" ht="15" customHeight="1">
      <c r="A1229" t="str">
        <f t="shared" ca="1" si="325"/>
        <v/>
      </c>
      <c r="B1229" s="52">
        <f t="shared" si="335"/>
        <v>172</v>
      </c>
      <c r="C1229" t="str">
        <f t="shared" ca="1" si="337"/>
        <v>Management Company</v>
      </c>
      <c r="D1229" t="str">
        <f t="shared" si="323"/>
        <v>B175</v>
      </c>
      <c r="E1229" t="str">
        <f t="shared" ca="1" si="338"/>
        <v/>
      </c>
      <c r="F1229" t="str">
        <f t="shared" ref="F1229:F1234" ca="1" si="340">CONCATENATE("Enter a "&amp; J1229 &amp;" for '", C1229, "' in cell ", D1229, ".", CHAR(10))</f>
        <v xml:space="preserve">Enter a City  for 'Management Company' in cell B175.
</v>
      </c>
      <c r="G1229"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TRUE</f>
        <v>1</v>
      </c>
      <c r="I1229" s="9"/>
      <c r="J1229" s="52" t="str">
        <f t="shared" ca="1" si="324"/>
        <v xml:space="preserve">City </v>
      </c>
      <c r="K1229" s="52">
        <v>3</v>
      </c>
    </row>
    <row r="1230" spans="1:11" ht="15" customHeight="1">
      <c r="A1230" t="str">
        <f t="shared" ca="1" si="325"/>
        <v/>
      </c>
      <c r="B1230" s="52">
        <f t="shared" si="335"/>
        <v>172</v>
      </c>
      <c r="C1230" t="str">
        <f t="shared" ca="1" si="337"/>
        <v>Management Company</v>
      </c>
      <c r="D1230" t="str">
        <f t="shared" si="323"/>
        <v>B176</v>
      </c>
      <c r="E1230" t="str">
        <f t="shared" ca="1" si="338"/>
        <v/>
      </c>
      <c r="F1230" t="str">
        <f t="shared" ca="1" si="340"/>
        <v xml:space="preserve">Enter a State for 'Management Company' in cell B176.
</v>
      </c>
      <c r="G123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TRUE</f>
        <v>1</v>
      </c>
      <c r="I1230" s="9"/>
      <c r="J1230" s="52" t="str">
        <f t="shared" ca="1" si="324"/>
        <v>State</v>
      </c>
      <c r="K1230" s="52">
        <v>4</v>
      </c>
    </row>
    <row r="1231" spans="1:11" ht="15" customHeight="1">
      <c r="A1231" t="str">
        <f t="shared" ca="1" si="325"/>
        <v/>
      </c>
      <c r="B1231" s="52">
        <f t="shared" si="335"/>
        <v>172</v>
      </c>
      <c r="C1231" t="str">
        <f t="shared" ca="1" si="337"/>
        <v>Management Company</v>
      </c>
      <c r="D1231" t="str">
        <f t="shared" si="323"/>
        <v>B177</v>
      </c>
      <c r="E1231" t="str">
        <f t="shared" ca="1" si="338"/>
        <v/>
      </c>
      <c r="F1231" t="str">
        <f t="shared" ca="1" si="340"/>
        <v xml:space="preserve">Enter a Zip (first five #'s only) for 'Management Company' in cell B177.
</v>
      </c>
      <c r="G123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TRUE</f>
        <v>1</v>
      </c>
      <c r="I1231" s="9"/>
      <c r="J1231" s="52" t="str">
        <f t="shared" ca="1" si="324"/>
        <v>Zip (first five #'s only)</v>
      </c>
      <c r="K1231" s="52">
        <v>5</v>
      </c>
    </row>
    <row r="1232" spans="1:11" ht="15" customHeight="1">
      <c r="A1232" t="str">
        <f t="shared" ca="1" si="325"/>
        <v/>
      </c>
      <c r="B1232" s="52">
        <f t="shared" si="335"/>
        <v>172</v>
      </c>
      <c r="C1232" t="str">
        <f t="shared" ca="1" si="337"/>
        <v>Management Company</v>
      </c>
      <c r="D1232" t="str">
        <f t="shared" si="323"/>
        <v>B178</v>
      </c>
      <c r="E1232" t="str">
        <f t="shared" ca="1" si="338"/>
        <v/>
      </c>
      <c r="F1232" t="str">
        <f t="shared" ca="1" si="340"/>
        <v xml:space="preserve">Enter a Contact First Name for 'Management Company' in cell B178.
</v>
      </c>
      <c r="G123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TRUE</f>
        <v>1</v>
      </c>
      <c r="I1232" s="9"/>
      <c r="J1232" s="52" t="str">
        <f t="shared" ca="1" si="324"/>
        <v>Contact First Name</v>
      </c>
      <c r="K1232" s="52">
        <v>6</v>
      </c>
    </row>
    <row r="1233" spans="1:11" ht="15" customHeight="1">
      <c r="A1233" t="str">
        <f t="shared" ca="1" si="325"/>
        <v/>
      </c>
      <c r="B1233" s="52">
        <f t="shared" si="335"/>
        <v>172</v>
      </c>
      <c r="C1233" t="str">
        <f t="shared" ca="1" si="337"/>
        <v>Management Company</v>
      </c>
      <c r="D1233" t="str">
        <f t="shared" si="323"/>
        <v>B179</v>
      </c>
      <c r="E1233" t="str">
        <f t="shared" ca="1" si="338"/>
        <v/>
      </c>
      <c r="F1233" t="str">
        <f t="shared" ca="1" si="340"/>
        <v xml:space="preserve">Enter a Contact Last Name for 'Management Company' in cell B179.
</v>
      </c>
      <c r="G123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TRUE</f>
        <v>1</v>
      </c>
      <c r="I1233" s="9"/>
      <c r="J1233" s="52" t="str">
        <f t="shared" ca="1" si="324"/>
        <v>Contact Last Name</v>
      </c>
      <c r="K1233" s="52">
        <v>7</v>
      </c>
    </row>
    <row r="1234" spans="1:11" ht="15" customHeight="1">
      <c r="A1234" t="str">
        <f t="shared" ca="1" si="325"/>
        <v/>
      </c>
      <c r="B1234" s="52">
        <f t="shared" si="335"/>
        <v>172</v>
      </c>
      <c r="C1234" t="str">
        <f t="shared" ca="1" si="337"/>
        <v>Management Company</v>
      </c>
      <c r="D1234" t="str">
        <f t="shared" si="323"/>
        <v>B180</v>
      </c>
      <c r="E1234" t="str">
        <f t="shared" ca="1" si="338"/>
        <v/>
      </c>
      <c r="F1234" t="str">
        <f t="shared" ca="1" si="340"/>
        <v xml:space="preserve">Enter a Phone (#'s only) for 'Management Company' in cell B180.
</v>
      </c>
      <c r="G123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TRUE</f>
        <v>1</v>
      </c>
      <c r="I1234" s="9"/>
      <c r="J1234" s="52" t="str">
        <f t="shared" ca="1" si="324"/>
        <v>Phone (#'s only)</v>
      </c>
      <c r="K1234" s="52">
        <v>8</v>
      </c>
    </row>
    <row r="1235" spans="1:11" ht="15" customHeight="1">
      <c r="A1235" t="str">
        <f t="shared" ca="1" si="325"/>
        <v/>
      </c>
      <c r="B1235" s="52">
        <f t="shared" si="335"/>
        <v>172</v>
      </c>
      <c r="C1235" t="str">
        <f t="shared" ca="1" si="337"/>
        <v>Management Company</v>
      </c>
      <c r="D1235" t="str">
        <f t="shared" si="323"/>
        <v>B181</v>
      </c>
      <c r="E1235" t="str">
        <f t="shared" ca="1" si="338"/>
        <v/>
      </c>
      <c r="F1235" t="str">
        <f ca="1">CONCATENATE("Enter an "&amp; J1235 &amp;" for '", C1235, "' in cell ", D1235, ".", CHAR(10))</f>
        <v xml:space="preserve">Enter an Email for 'Management Company' in cell B181.
</v>
      </c>
      <c r="G123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TRUE</f>
        <v>1</v>
      </c>
      <c r="I1235" s="9"/>
      <c r="J1235" s="52" t="str">
        <f t="shared" ca="1" si="324"/>
        <v>Email</v>
      </c>
      <c r="K1235" s="52">
        <v>9</v>
      </c>
    </row>
    <row r="1236" spans="1:11" ht="15" customHeight="1">
      <c r="A1236" t="str">
        <f t="shared" ca="1" si="325"/>
        <v/>
      </c>
      <c r="B1236">
        <f>ROW('Contact Information'!B186)</f>
        <v>186</v>
      </c>
      <c r="C1236" t="str">
        <f t="shared" ref="C1236:C1244" ca="1" si="341">INDIRECT($F$1100 &amp; ADDRESS(B1236, 1,4  ))</f>
        <v>Fee/Turnkey Developer</v>
      </c>
      <c r="D1236" t="str">
        <f t="shared" si="323"/>
        <v>B187</v>
      </c>
      <c r="E1236" t="str">
        <f t="shared" ref="E1236:E1244" ca="1" si="342">IF(ISBLANK( INDIRECT($F$1100 &amp; D1236)),"", INDIRECT($F$1100 &amp; D1236))</f>
        <v/>
      </c>
      <c r="F1236" t="str">
        <f ca="1">CONCATENATE("Enter a "&amp; J1236 &amp;" for '", C1236, "' in cell ", D1236, ".", CHAR(10))</f>
        <v xml:space="preserve">Enter a Organization for 'Fee/Turnkey Developer' in cell B187.
</v>
      </c>
      <c r="G1236" s="9" t="str">
        <f t="shared" ref="G1236:G1244" ca="1" si="343">OFFSET(G1236, -1, 0) &amp; A1236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Calculations!$B$2</f>
        <v>0</v>
      </c>
      <c r="I1236" s="9"/>
      <c r="J1236" s="52" t="str">
        <f t="shared" ca="1" si="324"/>
        <v>Organization</v>
      </c>
      <c r="K1236" s="52">
        <v>1</v>
      </c>
    </row>
    <row r="1237" spans="1:11" ht="15" customHeight="1">
      <c r="A1237" t="str">
        <f t="shared" ca="1" si="325"/>
        <v/>
      </c>
      <c r="B1237" s="52">
        <f t="shared" si="335"/>
        <v>186</v>
      </c>
      <c r="C1237" t="str">
        <f t="shared" ca="1" si="341"/>
        <v>Fee/Turnkey Developer</v>
      </c>
      <c r="D1237" t="str">
        <f t="shared" si="323"/>
        <v>B188</v>
      </c>
      <c r="E1237" t="str">
        <f t="shared" ca="1" si="342"/>
        <v/>
      </c>
      <c r="F1237" t="str">
        <f ca="1">CONCATENATE("Enter an "&amp; J1237 &amp;" for '", C1237, "' in cell ", D1237, ".", CHAR(10))</f>
        <v xml:space="preserve">Enter an Address for 'Fee/Turnkey Developer' in cell B188.
</v>
      </c>
      <c r="G1237"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4"/>
        <v>Address</v>
      </c>
      <c r="K1237" s="52">
        <v>2</v>
      </c>
    </row>
    <row r="1238" spans="1:11" ht="15" customHeight="1">
      <c r="A1238" t="str">
        <f t="shared" ca="1" si="325"/>
        <v/>
      </c>
      <c r="B1238" s="52">
        <f t="shared" si="335"/>
        <v>186</v>
      </c>
      <c r="C1238" t="str">
        <f t="shared" ca="1" si="341"/>
        <v>Fee/Turnkey Developer</v>
      </c>
      <c r="D1238" t="str">
        <f t="shared" si="323"/>
        <v>B189</v>
      </c>
      <c r="E1238" t="str">
        <f t="shared" ca="1" si="342"/>
        <v/>
      </c>
      <c r="F1238" t="str">
        <f t="shared" ref="F1238:F1243" ca="1" si="344">CONCATENATE("Enter a "&amp; J1238 &amp;" for '", C1238, "' in cell ", D1238, ".", CHAR(10))</f>
        <v xml:space="preserve">Enter a City  for 'Fee/Turnkey Developer' in cell B189.
</v>
      </c>
      <c r="G1238"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Calculations!$B$2</f>
        <v>0</v>
      </c>
      <c r="I1238" s="9"/>
      <c r="J1238" s="52" t="str">
        <f t="shared" ca="1" si="324"/>
        <v xml:space="preserve">City </v>
      </c>
      <c r="K1238" s="52">
        <v>3</v>
      </c>
    </row>
    <row r="1239" spans="1:11" ht="15" customHeight="1">
      <c r="A1239" t="str">
        <f t="shared" ca="1" si="325"/>
        <v/>
      </c>
      <c r="B1239" s="52">
        <f t="shared" si="335"/>
        <v>186</v>
      </c>
      <c r="C1239" t="str">
        <f t="shared" ca="1" si="341"/>
        <v>Fee/Turnkey Developer</v>
      </c>
      <c r="D1239" t="str">
        <f t="shared" si="323"/>
        <v>B190</v>
      </c>
      <c r="E1239" t="str">
        <f t="shared" ca="1" si="342"/>
        <v/>
      </c>
      <c r="F1239" t="str">
        <f t="shared" ca="1" si="344"/>
        <v xml:space="preserve">Enter a State for 'Fee/Turnkey Developer' in cell B190.
</v>
      </c>
      <c r="G1239"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Calculations!$B$2</f>
        <v>0</v>
      </c>
      <c r="I1239" s="9"/>
      <c r="J1239" s="52" t="str">
        <f t="shared" ca="1" si="324"/>
        <v>State</v>
      </c>
      <c r="K1239" s="52">
        <v>4</v>
      </c>
    </row>
    <row r="1240" spans="1:11" ht="15" customHeight="1">
      <c r="A1240" t="str">
        <f t="shared" ca="1" si="325"/>
        <v/>
      </c>
      <c r="B1240" s="52">
        <f t="shared" si="335"/>
        <v>186</v>
      </c>
      <c r="C1240" t="str">
        <f t="shared" ca="1" si="341"/>
        <v>Fee/Turnkey Developer</v>
      </c>
      <c r="D1240" t="str">
        <f t="shared" si="323"/>
        <v>B191</v>
      </c>
      <c r="E1240" t="str">
        <f t="shared" ca="1" si="342"/>
        <v/>
      </c>
      <c r="F1240" t="str">
        <f t="shared" ca="1" si="344"/>
        <v xml:space="preserve">Enter a Zip (first five #'s only) for 'Fee/Turnkey Developer' in cell B191.
</v>
      </c>
      <c r="G1240"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Calculations!$B$2</f>
        <v>0</v>
      </c>
      <c r="I1240" s="9"/>
      <c r="J1240" s="52" t="str">
        <f t="shared" ca="1" si="324"/>
        <v>Zip (first five #'s only)</v>
      </c>
      <c r="K1240" s="52">
        <v>5</v>
      </c>
    </row>
    <row r="1241" spans="1:11" ht="15" customHeight="1">
      <c r="A1241" t="str">
        <f t="shared" ca="1" si="325"/>
        <v/>
      </c>
      <c r="B1241" s="52">
        <f t="shared" si="335"/>
        <v>186</v>
      </c>
      <c r="C1241" t="str">
        <f t="shared" ca="1" si="341"/>
        <v>Fee/Turnkey Developer</v>
      </c>
      <c r="D1241" t="str">
        <f t="shared" si="323"/>
        <v>B192</v>
      </c>
      <c r="E1241" t="str">
        <f t="shared" ca="1" si="342"/>
        <v/>
      </c>
      <c r="F1241" t="str">
        <f t="shared" ca="1" si="344"/>
        <v xml:space="preserve">Enter a Contact First Name for 'Fee/Turnkey Developer' in cell B192.
</v>
      </c>
      <c r="G1241"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Calculations!$B$2</f>
        <v>0</v>
      </c>
      <c r="I1241" s="9"/>
      <c r="J1241" s="52" t="str">
        <f t="shared" ca="1" si="324"/>
        <v>Contact First Name</v>
      </c>
      <c r="K1241" s="52">
        <v>6</v>
      </c>
    </row>
    <row r="1242" spans="1:11" ht="15" customHeight="1">
      <c r="A1242" t="str">
        <f t="shared" ca="1" si="325"/>
        <v/>
      </c>
      <c r="B1242" s="52">
        <f t="shared" si="335"/>
        <v>186</v>
      </c>
      <c r="C1242" t="str">
        <f t="shared" ca="1" si="341"/>
        <v>Fee/Turnkey Developer</v>
      </c>
      <c r="D1242" t="str">
        <f t="shared" si="323"/>
        <v>B193</v>
      </c>
      <c r="E1242" t="str">
        <f t="shared" ca="1" si="342"/>
        <v/>
      </c>
      <c r="F1242" t="str">
        <f t="shared" ca="1" si="344"/>
        <v xml:space="preserve">Enter a Contact Last Name for 'Fee/Turnkey Developer' in cell B193.
</v>
      </c>
      <c r="G1242"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Calculations!$B$2</f>
        <v>0</v>
      </c>
      <c r="I1242" s="9"/>
      <c r="J1242" s="52" t="str">
        <f t="shared" ca="1" si="324"/>
        <v>Contact Last Name</v>
      </c>
      <c r="K1242" s="52">
        <v>7</v>
      </c>
    </row>
    <row r="1243" spans="1:11" ht="15" customHeight="1">
      <c r="A1243" t="str">
        <f t="shared" ca="1" si="325"/>
        <v/>
      </c>
      <c r="B1243" s="52">
        <f t="shared" si="335"/>
        <v>186</v>
      </c>
      <c r="C1243" t="str">
        <f t="shared" ca="1" si="341"/>
        <v>Fee/Turnkey Developer</v>
      </c>
      <c r="D1243" t="str">
        <f t="shared" si="323"/>
        <v>B194</v>
      </c>
      <c r="E1243" t="str">
        <f t="shared" ca="1" si="342"/>
        <v/>
      </c>
      <c r="F1243" t="str">
        <f t="shared" ca="1" si="344"/>
        <v xml:space="preserve">Enter a Phone (#'s only) for 'Fee/Turnkey Developer' in cell B194.
</v>
      </c>
      <c r="G1243"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Calculations!$B$2</f>
        <v>0</v>
      </c>
      <c r="I1243" s="9"/>
      <c r="J1243" s="52" t="str">
        <f t="shared" ca="1" si="324"/>
        <v>Phone (#'s only)</v>
      </c>
      <c r="K1243" s="52">
        <v>8</v>
      </c>
    </row>
    <row r="1244" spans="1:11" ht="15" customHeight="1">
      <c r="A1244" t="str">
        <f t="shared" ca="1" si="325"/>
        <v/>
      </c>
      <c r="B1244" s="52">
        <f t="shared" si="335"/>
        <v>186</v>
      </c>
      <c r="C1244" t="str">
        <f t="shared" ca="1" si="341"/>
        <v>Fee/Turnkey Developer</v>
      </c>
      <c r="D1244" t="str">
        <f t="shared" si="323"/>
        <v>B195</v>
      </c>
      <c r="E1244" t="str">
        <f t="shared" ca="1" si="342"/>
        <v/>
      </c>
      <c r="F1244" t="str">
        <f ca="1">CONCATENATE("Enter an "&amp; J1244 &amp;" for '", C1244, "' in cell ", D1244, ".", CHAR(10))</f>
        <v xml:space="preserve">Enter an Email for 'Fee/Turnkey Developer' in cell B195.
</v>
      </c>
      <c r="G1244" s="9" t="str">
        <f t="shared" ca="1" si="34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Calculations!$B$2</f>
        <v>0</v>
      </c>
      <c r="I1244" s="9"/>
      <c r="J1244" s="52" t="str">
        <f t="shared" ca="1" si="324"/>
        <v>Email</v>
      </c>
      <c r="K1244" s="52">
        <v>9</v>
      </c>
    </row>
    <row r="1245" spans="1:11" ht="15" customHeight="1">
      <c r="A1245" t="str">
        <f t="shared" ca="1" si="325"/>
        <v/>
      </c>
      <c r="B1245">
        <f>ROW('Contact Information'!B200)</f>
        <v>200</v>
      </c>
      <c r="C1245" t="str">
        <f t="shared" ref="C1245:C1253" ca="1" si="345">INDIRECT($F$1100 &amp; ADDRESS(B1245, 1,4  ))</f>
        <v>Consultant (specify)</v>
      </c>
      <c r="D1245" t="str">
        <f t="shared" si="323"/>
        <v>B201</v>
      </c>
      <c r="E1245" t="str">
        <f t="shared" ref="E1245:E1253" ca="1" si="346">IF(ISBLANK( INDIRECT($F$1100 &amp; D1245)),"", INDIRECT($F$1100 &amp; D1245))</f>
        <v/>
      </c>
      <c r="F1245" t="str">
        <f ca="1">CONCATENATE("Enter a "&amp; J1245 &amp;" for '", C1245, "' in cell ", D1245, ".", CHAR(10))</f>
        <v xml:space="preserve">Enter a Organization for 'Consultant (specify)' in cell B201.
</v>
      </c>
      <c r="G1245" s="9" t="str">
        <f t="shared" ref="G1245:G1253" ca="1" si="347">OFFSET(G1245, -1, 0) &amp; A1245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TRUE</f>
        <v>1</v>
      </c>
      <c r="I1245" s="9"/>
      <c r="J1245" s="52" t="str">
        <f t="shared" ca="1" si="324"/>
        <v>Organization</v>
      </c>
      <c r="K1245" s="52">
        <v>1</v>
      </c>
    </row>
    <row r="1246" spans="1:11" ht="15" customHeight="1">
      <c r="A1246" t="str">
        <f t="shared" ca="1" si="325"/>
        <v/>
      </c>
      <c r="B1246" s="52">
        <f t="shared" si="335"/>
        <v>200</v>
      </c>
      <c r="C1246" t="str">
        <f t="shared" ca="1" si="345"/>
        <v>Consultant (specify)</v>
      </c>
      <c r="D1246" t="str">
        <f t="shared" si="323"/>
        <v>B202</v>
      </c>
      <c r="E1246" t="str">
        <f t="shared" ca="1" si="346"/>
        <v/>
      </c>
      <c r="F1246" t="str">
        <f ca="1">CONCATENATE("Enter an "&amp; J1246 &amp;" for '", C1246, "' in cell ", D1246, ".", CHAR(10))</f>
        <v xml:space="preserve">Enter an Type of Consultant for 'Consultant (specify)' in cell B202.
</v>
      </c>
      <c r="G1246"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4"/>
        <v>Type of Consultant</v>
      </c>
      <c r="K1246" s="52">
        <v>2</v>
      </c>
    </row>
    <row r="1247" spans="1:11" ht="15" customHeight="1">
      <c r="A1247" t="str">
        <f t="shared" ca="1" si="325"/>
        <v/>
      </c>
      <c r="B1247" s="52">
        <f t="shared" si="335"/>
        <v>200</v>
      </c>
      <c r="C1247" t="str">
        <f t="shared" ca="1" si="345"/>
        <v>Consultant (specify)</v>
      </c>
      <c r="D1247" t="str">
        <f t="shared" si="323"/>
        <v>B203</v>
      </c>
      <c r="E1247" t="str">
        <f t="shared" ca="1" si="346"/>
        <v/>
      </c>
      <c r="F1247" t="str">
        <f t="shared" ref="F1247:F1252" ca="1" si="348">CONCATENATE("Enter a "&amp; J1247 &amp;" for '", C1247, "' in cell ", D1247, ".", CHAR(10))</f>
        <v xml:space="preserve">Enter a Address for 'Consultant (specify)' in cell B203.
</v>
      </c>
      <c r="G1247"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TRUE</f>
        <v>1</v>
      </c>
      <c r="I1247" s="9"/>
      <c r="J1247" s="52" t="str">
        <f t="shared" ca="1" si="324"/>
        <v>Address</v>
      </c>
      <c r="K1247" s="52">
        <v>3</v>
      </c>
    </row>
    <row r="1248" spans="1:11" ht="15" customHeight="1">
      <c r="A1248" t="str">
        <f t="shared" ca="1" si="325"/>
        <v/>
      </c>
      <c r="B1248" s="52">
        <f t="shared" si="335"/>
        <v>200</v>
      </c>
      <c r="C1248" t="str">
        <f t="shared" ca="1" si="345"/>
        <v>Consultant (specify)</v>
      </c>
      <c r="D1248" t="str">
        <f t="shared" si="323"/>
        <v>B204</v>
      </c>
      <c r="E1248" t="str">
        <f t="shared" ca="1" si="346"/>
        <v/>
      </c>
      <c r="F1248" t="str">
        <f t="shared" ca="1" si="348"/>
        <v xml:space="preserve">Enter a City  for 'Consultant (specify)' in cell B204.
</v>
      </c>
      <c r="G1248"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TRUE</f>
        <v>1</v>
      </c>
      <c r="I1248" s="9"/>
      <c r="J1248" s="52" t="str">
        <f t="shared" ca="1" si="324"/>
        <v xml:space="preserve">City </v>
      </c>
      <c r="K1248" s="52">
        <v>4</v>
      </c>
    </row>
    <row r="1249" spans="1:11" ht="15" customHeight="1">
      <c r="A1249" t="str">
        <f t="shared" ca="1" si="325"/>
        <v/>
      </c>
      <c r="B1249" s="52">
        <f t="shared" si="335"/>
        <v>200</v>
      </c>
      <c r="C1249" t="str">
        <f t="shared" ca="1" si="345"/>
        <v>Consultant (specify)</v>
      </c>
      <c r="D1249" t="str">
        <f t="shared" si="323"/>
        <v>B205</v>
      </c>
      <c r="E1249" t="str">
        <f t="shared" ca="1" si="346"/>
        <v/>
      </c>
      <c r="F1249" t="str">
        <f t="shared" ca="1" si="348"/>
        <v xml:space="preserve">Enter a State for 'Consultant (specify)' in cell B205.
</v>
      </c>
      <c r="G1249"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TRUE</f>
        <v>1</v>
      </c>
      <c r="I1249" s="9"/>
      <c r="J1249" s="52" t="str">
        <f t="shared" ca="1" si="324"/>
        <v>State</v>
      </c>
      <c r="K1249" s="52">
        <v>5</v>
      </c>
    </row>
    <row r="1250" spans="1:11" ht="15" customHeight="1">
      <c r="A1250" t="str">
        <f t="shared" ca="1" si="325"/>
        <v/>
      </c>
      <c r="B1250" s="52">
        <f t="shared" si="335"/>
        <v>200</v>
      </c>
      <c r="C1250" t="str">
        <f t="shared" ca="1" si="345"/>
        <v>Consultant (specify)</v>
      </c>
      <c r="D1250" t="str">
        <f t="shared" si="323"/>
        <v>B206</v>
      </c>
      <c r="E1250" t="str">
        <f t="shared" ca="1" si="346"/>
        <v/>
      </c>
      <c r="F1250" t="str">
        <f t="shared" ca="1" si="348"/>
        <v xml:space="preserve">Enter a Zip (first five #'s only) for 'Consultant (specify)' in cell B206.
</v>
      </c>
      <c r="G1250"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TRUE</f>
        <v>1</v>
      </c>
      <c r="I1250" s="9"/>
      <c r="J1250" s="52" t="str">
        <f t="shared" ca="1" si="324"/>
        <v>Zip (first five #'s only)</v>
      </c>
      <c r="K1250" s="52">
        <v>6</v>
      </c>
    </row>
    <row r="1251" spans="1:11" ht="15" customHeight="1">
      <c r="A1251" t="str">
        <f t="shared" ca="1" si="325"/>
        <v/>
      </c>
      <c r="B1251" s="52">
        <f t="shared" si="335"/>
        <v>200</v>
      </c>
      <c r="C1251" t="str">
        <f t="shared" ca="1" si="345"/>
        <v>Consultant (specify)</v>
      </c>
      <c r="D1251" t="str">
        <f t="shared" si="323"/>
        <v>B207</v>
      </c>
      <c r="E1251" t="str">
        <f t="shared" ca="1" si="346"/>
        <v/>
      </c>
      <c r="F1251" t="str">
        <f t="shared" ca="1" si="348"/>
        <v xml:space="preserve">Enter a Contact First Name for 'Consultant (specify)' in cell B207.
</v>
      </c>
      <c r="G1251"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TRUE</f>
        <v>1</v>
      </c>
      <c r="I1251" s="9"/>
      <c r="J1251" s="52" t="str">
        <f t="shared" ca="1" si="324"/>
        <v>Contact First Name</v>
      </c>
      <c r="K1251" s="52">
        <v>7</v>
      </c>
    </row>
    <row r="1252" spans="1:11" ht="15" customHeight="1">
      <c r="A1252" t="str">
        <f t="shared" ca="1" si="325"/>
        <v/>
      </c>
      <c r="B1252" s="52">
        <f t="shared" si="335"/>
        <v>200</v>
      </c>
      <c r="C1252" t="str">
        <f t="shared" ca="1" si="345"/>
        <v>Consultant (specify)</v>
      </c>
      <c r="D1252" t="str">
        <f t="shared" si="323"/>
        <v>B208</v>
      </c>
      <c r="E1252" t="str">
        <f t="shared" ca="1" si="346"/>
        <v/>
      </c>
      <c r="F1252" t="str">
        <f t="shared" ca="1" si="348"/>
        <v xml:space="preserve">Enter a Contact Last Name for 'Consultant (specify)' in cell B208.
</v>
      </c>
      <c r="G1252"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TRUE</f>
        <v>1</v>
      </c>
      <c r="I1252" s="9"/>
      <c r="J1252" s="52" t="str">
        <f t="shared" ca="1" si="324"/>
        <v>Contact Last Name</v>
      </c>
      <c r="K1252" s="52">
        <v>8</v>
      </c>
    </row>
    <row r="1253" spans="1:11" ht="15" customHeight="1">
      <c r="A1253" t="str">
        <f t="shared" ca="1" si="325"/>
        <v/>
      </c>
      <c r="B1253" s="52">
        <f t="shared" si="335"/>
        <v>200</v>
      </c>
      <c r="C1253" t="str">
        <f t="shared" ca="1" si="345"/>
        <v>Consultant (specify)</v>
      </c>
      <c r="D1253" t="str">
        <f t="shared" si="323"/>
        <v>B209</v>
      </c>
      <c r="E1253" t="str">
        <f t="shared" ca="1" si="346"/>
        <v/>
      </c>
      <c r="F1253" t="str">
        <f ca="1">CONCATENATE("Enter an "&amp; J1253 &amp;" for '", C1253, "' in cell ", D1253, ".", CHAR(10))</f>
        <v xml:space="preserve">Enter an Phone (#'s only) for 'Consultant (specify)' in cell B209.
</v>
      </c>
      <c r="G1253" s="9" t="str">
        <f t="shared" ca="1" si="34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TRUE</f>
        <v>1</v>
      </c>
      <c r="I1253" s="9"/>
      <c r="J1253" s="52" t="str">
        <f t="shared" ca="1" si="324"/>
        <v>Phone (#'s only)</v>
      </c>
      <c r="K1253" s="52">
        <v>9</v>
      </c>
    </row>
    <row r="1254" spans="1:11" ht="15" customHeight="1">
      <c r="A1254" t="str">
        <f t="shared" ca="1" si="325"/>
        <v/>
      </c>
      <c r="B1254">
        <f>ROW('Contact Information'!B212)</f>
        <v>212</v>
      </c>
      <c r="C1254" t="str">
        <f t="shared" ca="1" si="327"/>
        <v>Consultant (specify)</v>
      </c>
      <c r="D1254" t="str">
        <f t="shared" si="323"/>
        <v>B213</v>
      </c>
      <c r="E1254" t="str">
        <f t="shared" ca="1" si="328"/>
        <v/>
      </c>
      <c r="F1254" t="str">
        <f ca="1">CONCATENATE("Enter a "&amp; J1254 &amp;" for '", C1254, "' in cell ", D1254, ".", CHAR(10))</f>
        <v xml:space="preserve">Enter a Organization for 'Consultant (specify)' in cell B213.
</v>
      </c>
      <c r="G125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Calculations!$B$2</f>
        <v>0</v>
      </c>
      <c r="I1254" s="9"/>
      <c r="J1254" s="52" t="str">
        <f t="shared" ca="1" si="324"/>
        <v>Organization</v>
      </c>
      <c r="K1254" s="52">
        <v>1</v>
      </c>
    </row>
    <row r="1255" spans="1:11" ht="15" customHeight="1">
      <c r="A1255" t="str">
        <f t="shared" ca="1" si="325"/>
        <v/>
      </c>
      <c r="B1255" s="52">
        <f t="shared" ref="B1255:B1262" si="349">B1254</f>
        <v>212</v>
      </c>
      <c r="C1255" t="str">
        <f t="shared" ca="1" si="327"/>
        <v>Consultant (specify)</v>
      </c>
      <c r="D1255" t="str">
        <f t="shared" si="323"/>
        <v>B214</v>
      </c>
      <c r="E1255" t="str">
        <f t="shared" ca="1" si="328"/>
        <v/>
      </c>
      <c r="F1255" t="str">
        <f ca="1">CONCATENATE("Enter an "&amp; J1255 &amp;" for '", C1255, "' in cell ", D1255, ".", CHAR(10))</f>
        <v xml:space="preserve">Enter an Type of Consultant for 'Consultant (specify)' in cell B214.
</v>
      </c>
      <c r="G125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4"/>
        <v>Type of Consultant</v>
      </c>
      <c r="K1255" s="52">
        <v>2</v>
      </c>
    </row>
    <row r="1256" spans="1:11" ht="15" customHeight="1">
      <c r="A1256" t="str">
        <f t="shared" ca="1" si="325"/>
        <v/>
      </c>
      <c r="B1256" s="52">
        <f t="shared" si="349"/>
        <v>212</v>
      </c>
      <c r="C1256" t="str">
        <f t="shared" ca="1" si="327"/>
        <v>Consultant (specify)</v>
      </c>
      <c r="D1256" t="str">
        <f t="shared" si="323"/>
        <v>B215</v>
      </c>
      <c r="E1256" t="str">
        <f t="shared" ca="1" si="328"/>
        <v/>
      </c>
      <c r="F1256" t="str">
        <f t="shared" ref="F1256:F1261" ca="1" si="350">CONCATENATE("Enter a "&amp; J1256 &amp;" for '", C1256, "' in cell ", D1256, ".", CHAR(10))</f>
        <v xml:space="preserve">Enter a Address for 'Consultant (specify)' in cell B215.
</v>
      </c>
      <c r="G125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4"/>
        <v>Address</v>
      </c>
      <c r="K1256" s="52">
        <v>3</v>
      </c>
    </row>
    <row r="1257" spans="1:11" ht="15" customHeight="1">
      <c r="A1257" t="str">
        <f t="shared" ca="1" si="325"/>
        <v/>
      </c>
      <c r="B1257" s="52">
        <f t="shared" si="349"/>
        <v>212</v>
      </c>
      <c r="C1257" t="str">
        <f t="shared" ca="1" si="327"/>
        <v>Consultant (specify)</v>
      </c>
      <c r="D1257" t="str">
        <f t="shared" si="323"/>
        <v>B216</v>
      </c>
      <c r="E1257" t="str">
        <f t="shared" ca="1" si="328"/>
        <v/>
      </c>
      <c r="F1257" t="str">
        <f t="shared" ca="1" si="350"/>
        <v xml:space="preserve">Enter a City  for 'Consultant (specify)' in cell B216.
</v>
      </c>
      <c r="G125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4"/>
        <v xml:space="preserve">City </v>
      </c>
      <c r="K1257" s="52">
        <v>4</v>
      </c>
    </row>
    <row r="1258" spans="1:11" ht="15" customHeight="1">
      <c r="A1258" t="str">
        <f t="shared" ca="1" si="325"/>
        <v/>
      </c>
      <c r="B1258" s="52">
        <f t="shared" si="349"/>
        <v>212</v>
      </c>
      <c r="C1258" t="str">
        <f t="shared" ca="1" si="327"/>
        <v>Consultant (specify)</v>
      </c>
      <c r="D1258" t="str">
        <f t="shared" si="323"/>
        <v>B217</v>
      </c>
      <c r="E1258" t="str">
        <f t="shared" ca="1" si="328"/>
        <v/>
      </c>
      <c r="F1258" t="str">
        <f t="shared" ca="1" si="350"/>
        <v xml:space="preserve">Enter a State for 'Consultant (specify)' in cell B217.
</v>
      </c>
      <c r="G125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ca="1" si="324"/>
        <v>State</v>
      </c>
      <c r="K1258" s="52">
        <v>5</v>
      </c>
    </row>
    <row r="1259" spans="1:11" ht="15" customHeight="1">
      <c r="A1259" t="str">
        <f t="shared" ca="1" si="325"/>
        <v/>
      </c>
      <c r="B1259" s="52">
        <f t="shared" si="349"/>
        <v>212</v>
      </c>
      <c r="C1259" t="str">
        <f t="shared" ca="1" si="327"/>
        <v>Consultant (specify)</v>
      </c>
      <c r="D1259" t="str">
        <f t="shared" si="323"/>
        <v>B218</v>
      </c>
      <c r="E1259" t="str">
        <f t="shared" ca="1" si="328"/>
        <v/>
      </c>
      <c r="F1259" t="str">
        <f t="shared" ca="1" si="350"/>
        <v xml:space="preserve">Enter a Zip (first five #'s only) for 'Consultant (specify)' in cell B218.
</v>
      </c>
      <c r="G125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24"/>
        <v>Zip (first five #'s only)</v>
      </c>
      <c r="K1259" s="52">
        <v>6</v>
      </c>
    </row>
    <row r="1260" spans="1:11" ht="15" customHeight="1">
      <c r="A1260" t="str">
        <f t="shared" ca="1" si="325"/>
        <v/>
      </c>
      <c r="B1260" s="52">
        <f t="shared" si="349"/>
        <v>212</v>
      </c>
      <c r="C1260" t="str">
        <f t="shared" ca="1" si="327"/>
        <v>Consultant (specify)</v>
      </c>
      <c r="D1260" t="str">
        <f t="shared" si="323"/>
        <v>B219</v>
      </c>
      <c r="E1260" t="str">
        <f t="shared" ca="1" si="328"/>
        <v/>
      </c>
      <c r="F1260" t="str">
        <f t="shared" ca="1" si="350"/>
        <v xml:space="preserve">Enter a Contact First Name for 'Consultant (specify)' in cell B219.
</v>
      </c>
      <c r="G126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24"/>
        <v>Contact First Name</v>
      </c>
      <c r="K1260" s="52">
        <v>7</v>
      </c>
    </row>
    <row r="1261" spans="1:11" ht="15" customHeight="1">
      <c r="A1261" t="str">
        <f t="shared" ca="1" si="325"/>
        <v/>
      </c>
      <c r="B1261" s="52">
        <f t="shared" si="349"/>
        <v>212</v>
      </c>
      <c r="C1261" t="str">
        <f t="shared" ca="1" si="327"/>
        <v>Consultant (specify)</v>
      </c>
      <c r="D1261" t="str">
        <f t="shared" si="323"/>
        <v>B220</v>
      </c>
      <c r="E1261" t="str">
        <f t="shared" ca="1" si="328"/>
        <v/>
      </c>
      <c r="F1261" t="str">
        <f t="shared" ca="1" si="350"/>
        <v xml:space="preserve">Enter a Contact Last Name for 'Consultant (specify)' in cell B220.
</v>
      </c>
      <c r="G126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24"/>
        <v>Contact Last Name</v>
      </c>
      <c r="K1261" s="52">
        <v>8</v>
      </c>
    </row>
    <row r="1262" spans="1:11" ht="15" customHeight="1">
      <c r="A1262" t="str">
        <f t="shared" ca="1" si="325"/>
        <v/>
      </c>
      <c r="B1262" s="52">
        <f t="shared" si="349"/>
        <v>212</v>
      </c>
      <c r="C1262" t="str">
        <f t="shared" ca="1" si="327"/>
        <v>Consultant (specify)</v>
      </c>
      <c r="D1262" t="str">
        <f t="shared" si="323"/>
        <v>B221</v>
      </c>
      <c r="E1262" t="str">
        <f t="shared" ca="1" si="328"/>
        <v/>
      </c>
      <c r="F1262" t="str">
        <f ca="1">CONCATENATE("Enter an "&amp; J1262 &amp;" for '", C1262, "' in cell ", D1262, ".", CHAR(10))</f>
        <v xml:space="preserve">Enter an Phone (#'s only) for 'Consultant (specify)' in cell B221.
</v>
      </c>
      <c r="G1262"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24"/>
        <v>Phone (#'s only)</v>
      </c>
      <c r="K1262" s="52">
        <v>9</v>
      </c>
    </row>
    <row r="1263" spans="1:11" ht="15" customHeight="1">
      <c r="A1263" t="str">
        <f t="shared" ca="1" si="325"/>
        <v/>
      </c>
      <c r="B1263">
        <f>ROW('Contact Information'!B224)</f>
        <v>224</v>
      </c>
      <c r="C1263" t="str">
        <f t="shared" ca="1" si="327"/>
        <v>Consultant (specify)</v>
      </c>
      <c r="D1263" t="str">
        <f t="shared" si="323"/>
        <v>B225</v>
      </c>
      <c r="E1263" t="str">
        <f t="shared" ca="1" si="328"/>
        <v/>
      </c>
      <c r="F1263" t="str">
        <f ca="1">CONCATENATE("Enter a "&amp; J1263 &amp;" for '", C1263, "' in cell ", D1263, ".", CHAR(10))</f>
        <v xml:space="preserve">Enter a Organization for 'Consultant (specify)' in cell B225.
</v>
      </c>
      <c r="G126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24"/>
        <v>Organization</v>
      </c>
      <c r="K1263" s="52">
        <v>1</v>
      </c>
    </row>
    <row r="1264" spans="1:11" ht="15" customHeight="1">
      <c r="A1264" t="str">
        <f t="shared" ca="1" si="325"/>
        <v/>
      </c>
      <c r="B1264" s="52">
        <f t="shared" ref="B1264:B1280" si="351">B1263</f>
        <v>224</v>
      </c>
      <c r="C1264" t="str">
        <f t="shared" ca="1" si="327"/>
        <v>Consultant (specify)</v>
      </c>
      <c r="D1264" t="str">
        <f t="shared" si="323"/>
        <v>B226</v>
      </c>
      <c r="E1264" t="str">
        <f t="shared" ca="1" si="328"/>
        <v/>
      </c>
      <c r="F1264" t="str">
        <f ca="1">CONCATENATE("Enter an "&amp; J1264 &amp;" for '", C1264, "' in cell ", D1264, ".", CHAR(10))</f>
        <v xml:space="preserve">Enter an Type of Consultant for 'Consultant (specify)' in cell B226.
</v>
      </c>
      <c r="G126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24"/>
        <v>Type of Consultant</v>
      </c>
      <c r="K1264" s="52">
        <v>2</v>
      </c>
    </row>
    <row r="1265" spans="1:11" ht="15" customHeight="1">
      <c r="A1265" t="str">
        <f t="shared" ca="1" si="325"/>
        <v/>
      </c>
      <c r="B1265" s="52">
        <f t="shared" si="351"/>
        <v>224</v>
      </c>
      <c r="C1265" t="str">
        <f t="shared" ca="1" si="327"/>
        <v>Consultant (specify)</v>
      </c>
      <c r="D1265" t="str">
        <f t="shared" ref="D1265:D1328" si="352">ADDRESS(B1265+K1265, 2,4  )</f>
        <v>B227</v>
      </c>
      <c r="E1265" t="str">
        <f t="shared" ca="1" si="328"/>
        <v/>
      </c>
      <c r="F1265" t="str">
        <f t="shared" ref="F1265:F1270" ca="1" si="353">CONCATENATE("Enter a "&amp; J1265 &amp;" for '", C1265, "' in cell ", D1265, ".", CHAR(10))</f>
        <v xml:space="preserve">Enter a Address for 'Consultant (specify)' in cell B227.
</v>
      </c>
      <c r="G126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Calculations!$B$2</f>
        <v>0</v>
      </c>
      <c r="I1265" s="9"/>
      <c r="J1265" s="52" t="str">
        <f t="shared" ref="J1265:J1328" ca="1" si="354">INDIRECT($F$1100 &amp; ADDRESS(B1265+K1265, 1,4))</f>
        <v>Address</v>
      </c>
      <c r="K1265" s="52">
        <v>3</v>
      </c>
    </row>
    <row r="1266" spans="1:11" ht="15" customHeight="1">
      <c r="A1266" t="str">
        <f t="shared" ref="A1266:A1329" ca="1" si="355">IF(AND(H1266, NOT($E$1103), E1266=""),F1266, "")</f>
        <v/>
      </c>
      <c r="B1266" s="52">
        <f t="shared" si="351"/>
        <v>224</v>
      </c>
      <c r="C1266" t="str">
        <f t="shared" ca="1" si="327"/>
        <v>Consultant (specify)</v>
      </c>
      <c r="D1266" t="str">
        <f t="shared" si="352"/>
        <v>B228</v>
      </c>
      <c r="E1266" t="str">
        <f t="shared" ca="1" si="328"/>
        <v/>
      </c>
      <c r="F1266" t="str">
        <f t="shared" ca="1" si="353"/>
        <v xml:space="preserve">Enter a City  for 'Consultant (specify)' in cell B228.
</v>
      </c>
      <c r="G126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Calculations!$B$2</f>
        <v>0</v>
      </c>
      <c r="I1266" s="9"/>
      <c r="J1266" s="52" t="str">
        <f t="shared" ca="1" si="354"/>
        <v xml:space="preserve">City </v>
      </c>
      <c r="K1266" s="52">
        <v>4</v>
      </c>
    </row>
    <row r="1267" spans="1:11" ht="15" customHeight="1">
      <c r="A1267" t="str">
        <f t="shared" ca="1" si="355"/>
        <v/>
      </c>
      <c r="B1267" s="52">
        <f t="shared" si="351"/>
        <v>224</v>
      </c>
      <c r="C1267" t="str">
        <f t="shared" ca="1" si="327"/>
        <v>Consultant (specify)</v>
      </c>
      <c r="D1267" t="str">
        <f t="shared" si="352"/>
        <v>B229</v>
      </c>
      <c r="E1267" t="str">
        <f t="shared" ca="1" si="328"/>
        <v/>
      </c>
      <c r="F1267" t="str">
        <f t="shared" ca="1" si="353"/>
        <v xml:space="preserve">Enter a State for 'Consultant (specify)' in cell B229.
</v>
      </c>
      <c r="G126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Calculations!$B$2</f>
        <v>0</v>
      </c>
      <c r="I1267" s="9"/>
      <c r="J1267" s="52" t="str">
        <f t="shared" ca="1" si="354"/>
        <v>State</v>
      </c>
      <c r="K1267" s="52">
        <v>5</v>
      </c>
    </row>
    <row r="1268" spans="1:11" ht="15" customHeight="1">
      <c r="A1268" t="str">
        <f t="shared" ca="1" si="355"/>
        <v/>
      </c>
      <c r="B1268" s="52">
        <f t="shared" si="351"/>
        <v>224</v>
      </c>
      <c r="C1268" t="str">
        <f t="shared" ca="1" si="327"/>
        <v>Consultant (specify)</v>
      </c>
      <c r="D1268" t="str">
        <f t="shared" si="352"/>
        <v>B230</v>
      </c>
      <c r="E1268" t="str">
        <f t="shared" ca="1" si="328"/>
        <v/>
      </c>
      <c r="F1268" t="str">
        <f t="shared" ca="1" si="353"/>
        <v xml:space="preserve">Enter a Zip (first five #'s only) for 'Consultant (specify)' in cell B230.
</v>
      </c>
      <c r="G126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Calculations!$B$2</f>
        <v>0</v>
      </c>
      <c r="I1268" s="9"/>
      <c r="J1268" s="52" t="str">
        <f t="shared" ca="1" si="354"/>
        <v>Zip (first five #'s only)</v>
      </c>
      <c r="K1268" s="52">
        <v>6</v>
      </c>
    </row>
    <row r="1269" spans="1:11" ht="15" customHeight="1">
      <c r="A1269" t="str">
        <f t="shared" ca="1" si="355"/>
        <v/>
      </c>
      <c r="B1269" s="52">
        <f t="shared" si="351"/>
        <v>224</v>
      </c>
      <c r="C1269" t="str">
        <f t="shared" ca="1" si="327"/>
        <v>Consultant (specify)</v>
      </c>
      <c r="D1269" t="str">
        <f t="shared" si="352"/>
        <v>B231</v>
      </c>
      <c r="E1269" t="str">
        <f t="shared" ca="1" si="328"/>
        <v/>
      </c>
      <c r="F1269" t="str">
        <f t="shared" ca="1" si="353"/>
        <v xml:space="preserve">Enter a Contact First Name for 'Consultant (specify)' in cell B231.
</v>
      </c>
      <c r="G126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Calculations!$B$2</f>
        <v>0</v>
      </c>
      <c r="I1269" s="9"/>
      <c r="J1269" s="52" t="str">
        <f t="shared" ca="1" si="354"/>
        <v>Contact First Name</v>
      </c>
      <c r="K1269" s="52">
        <v>7</v>
      </c>
    </row>
    <row r="1270" spans="1:11" ht="15" customHeight="1">
      <c r="A1270" t="str">
        <f t="shared" ca="1" si="355"/>
        <v/>
      </c>
      <c r="B1270" s="52">
        <f t="shared" si="351"/>
        <v>224</v>
      </c>
      <c r="C1270" t="str">
        <f t="shared" ca="1" si="327"/>
        <v>Consultant (specify)</v>
      </c>
      <c r="D1270" t="str">
        <f t="shared" si="352"/>
        <v>B232</v>
      </c>
      <c r="E1270" t="str">
        <f t="shared" ca="1" si="328"/>
        <v/>
      </c>
      <c r="F1270" t="str">
        <f t="shared" ca="1" si="353"/>
        <v xml:space="preserve">Enter a Contact Last Name for 'Consultant (specify)' in cell B232.
</v>
      </c>
      <c r="G127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Calculations!$B$2</f>
        <v>0</v>
      </c>
      <c r="I1270" s="9"/>
      <c r="J1270" s="52" t="str">
        <f t="shared" ca="1" si="354"/>
        <v>Contact Last Name</v>
      </c>
      <c r="K1270" s="52">
        <v>8</v>
      </c>
    </row>
    <row r="1271" spans="1:11" ht="15" customHeight="1">
      <c r="A1271" t="str">
        <f t="shared" ca="1" si="355"/>
        <v/>
      </c>
      <c r="B1271" s="52">
        <f t="shared" si="351"/>
        <v>224</v>
      </c>
      <c r="C1271" t="str">
        <f t="shared" ca="1" si="327"/>
        <v>Consultant (specify)</v>
      </c>
      <c r="D1271" t="str">
        <f t="shared" si="352"/>
        <v>B233</v>
      </c>
      <c r="E1271" t="str">
        <f t="shared" ca="1" si="328"/>
        <v/>
      </c>
      <c r="F1271" t="str">
        <f t="shared" ref="F1271:F1280" ca="1" si="356">CONCATENATE("Enter an "&amp; J1271 &amp;" for '", C1271, "' in cell ", D1271, ".", CHAR(10))</f>
        <v xml:space="preserve">Enter an Phone (#'s only) for 'Consultant (specify)' in cell B233.
</v>
      </c>
      <c r="G127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Calculations!$B$2</f>
        <v>0</v>
      </c>
      <c r="I1271" s="9"/>
      <c r="J1271" s="52" t="str">
        <f t="shared" ca="1" si="354"/>
        <v>Phone (#'s only)</v>
      </c>
      <c r="K1271" s="52">
        <v>9</v>
      </c>
    </row>
    <row r="1272" spans="1:11" ht="15" customHeight="1">
      <c r="A1272" t="str">
        <f t="shared" ca="1" si="355"/>
        <v/>
      </c>
      <c r="B1272">
        <f>ROW('Contact Information'!B236)</f>
        <v>236</v>
      </c>
      <c r="C1272" t="str">
        <f t="shared" ref="C1272:C1280" ca="1" si="357">INDIRECT($F$1100 &amp; ADDRESS(B1272, 1,4  ))</f>
        <v>Tax Attorney Firm</v>
      </c>
      <c r="D1272" t="str">
        <f t="shared" si="352"/>
        <v>B237</v>
      </c>
      <c r="E1272" t="str">
        <f t="shared" ref="E1272:E1280" ca="1" si="358">IF(ISBLANK( INDIRECT($F$1100 &amp; D1272)),"", INDIRECT($F$1100 &amp; D1272))</f>
        <v/>
      </c>
      <c r="F1272" t="str">
        <f t="shared" ca="1" si="356"/>
        <v xml:space="preserve">Enter an Organization for 'Tax Attorney Firm' in cell B237.
</v>
      </c>
      <c r="G1272" s="9" t="str">
        <f t="shared" ref="G1272:G1280" ca="1" si="359">OFFSET(G1272, -1, 0) &amp; A1272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TRUE</f>
        <v>1</v>
      </c>
      <c r="I1272" s="9"/>
      <c r="J1272" s="52" t="str">
        <f t="shared" ca="1" si="354"/>
        <v>Organization</v>
      </c>
      <c r="K1272" s="52">
        <v>1</v>
      </c>
    </row>
    <row r="1273" spans="1:11" ht="15" customHeight="1">
      <c r="A1273" t="str">
        <f t="shared" ca="1" si="355"/>
        <v/>
      </c>
      <c r="B1273" s="52">
        <f t="shared" si="351"/>
        <v>236</v>
      </c>
      <c r="C1273" t="str">
        <f t="shared" ca="1" si="357"/>
        <v>Tax Attorney Firm</v>
      </c>
      <c r="D1273" t="str">
        <f t="shared" si="352"/>
        <v>B238</v>
      </c>
      <c r="E1273" t="str">
        <f t="shared" ca="1" si="358"/>
        <v/>
      </c>
      <c r="F1273" t="str">
        <f t="shared" ca="1" si="356"/>
        <v xml:space="preserve">Enter an Address for 'Tax Attorney Firm' in cell B238.
</v>
      </c>
      <c r="G1273"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4"/>
        <v>Address</v>
      </c>
      <c r="K1273" s="52">
        <v>2</v>
      </c>
    </row>
    <row r="1274" spans="1:11" ht="15" customHeight="1">
      <c r="A1274" t="str">
        <f t="shared" ca="1" si="355"/>
        <v/>
      </c>
      <c r="B1274" s="52">
        <f t="shared" si="351"/>
        <v>236</v>
      </c>
      <c r="C1274" t="str">
        <f t="shared" ca="1" si="357"/>
        <v>Tax Attorney Firm</v>
      </c>
      <c r="D1274" t="str">
        <f t="shared" si="352"/>
        <v>B239</v>
      </c>
      <c r="E1274" t="str">
        <f t="shared" ca="1" si="358"/>
        <v/>
      </c>
      <c r="F1274" t="str">
        <f t="shared" ca="1" si="356"/>
        <v xml:space="preserve">Enter an City  for 'Tax Attorney Firm' in cell B239.
</v>
      </c>
      <c r="G1274"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4"/>
        <v xml:space="preserve">City </v>
      </c>
      <c r="K1274" s="52">
        <v>3</v>
      </c>
    </row>
    <row r="1275" spans="1:11" ht="15" customHeight="1">
      <c r="A1275" t="str">
        <f t="shared" ca="1" si="355"/>
        <v/>
      </c>
      <c r="B1275" s="52">
        <f t="shared" si="351"/>
        <v>236</v>
      </c>
      <c r="C1275" t="str">
        <f t="shared" ca="1" si="357"/>
        <v>Tax Attorney Firm</v>
      </c>
      <c r="D1275" t="str">
        <f t="shared" si="352"/>
        <v>B240</v>
      </c>
      <c r="E1275" t="str">
        <f t="shared" ca="1" si="358"/>
        <v/>
      </c>
      <c r="F1275" t="str">
        <f t="shared" ca="1" si="356"/>
        <v xml:space="preserve">Enter an State for 'Tax Attorney Firm' in cell B240.
</v>
      </c>
      <c r="G1275"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4"/>
        <v>State</v>
      </c>
      <c r="K1275" s="52">
        <v>4</v>
      </c>
    </row>
    <row r="1276" spans="1:11" ht="15" customHeight="1">
      <c r="A1276" t="str">
        <f t="shared" ca="1" si="355"/>
        <v/>
      </c>
      <c r="B1276" s="52">
        <f t="shared" si="351"/>
        <v>236</v>
      </c>
      <c r="C1276" t="str">
        <f t="shared" ca="1" si="357"/>
        <v>Tax Attorney Firm</v>
      </c>
      <c r="D1276" t="str">
        <f t="shared" si="352"/>
        <v>B241</v>
      </c>
      <c r="E1276" t="str">
        <f t="shared" ca="1" si="358"/>
        <v/>
      </c>
      <c r="F1276" t="str">
        <f t="shared" ca="1" si="356"/>
        <v xml:space="preserve">Enter an Zip (first five #'s only) for 'Tax Attorney Firm' in cell B241.
</v>
      </c>
      <c r="G1276"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4"/>
        <v>Zip (first five #'s only)</v>
      </c>
      <c r="K1276" s="52">
        <v>5</v>
      </c>
    </row>
    <row r="1277" spans="1:11" ht="15" customHeight="1">
      <c r="A1277" t="str">
        <f t="shared" ca="1" si="355"/>
        <v/>
      </c>
      <c r="B1277" s="52">
        <f t="shared" si="351"/>
        <v>236</v>
      </c>
      <c r="C1277" t="str">
        <f t="shared" ca="1" si="357"/>
        <v>Tax Attorney Firm</v>
      </c>
      <c r="D1277" t="str">
        <f t="shared" si="352"/>
        <v>B242</v>
      </c>
      <c r="E1277" t="str">
        <f t="shared" ca="1" si="358"/>
        <v/>
      </c>
      <c r="F1277" t="str">
        <f t="shared" ca="1" si="356"/>
        <v xml:space="preserve">Enter an Contact First Name for 'Tax Attorney Firm' in cell B242.
</v>
      </c>
      <c r="G1277"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4"/>
        <v>Contact First Name</v>
      </c>
      <c r="K1277" s="52">
        <v>6</v>
      </c>
    </row>
    <row r="1278" spans="1:11" ht="15" customHeight="1">
      <c r="A1278" t="str">
        <f t="shared" ca="1" si="355"/>
        <v/>
      </c>
      <c r="B1278" s="52">
        <f t="shared" si="351"/>
        <v>236</v>
      </c>
      <c r="C1278" t="str">
        <f t="shared" ca="1" si="357"/>
        <v>Tax Attorney Firm</v>
      </c>
      <c r="D1278" t="str">
        <f t="shared" si="352"/>
        <v>B243</v>
      </c>
      <c r="E1278" t="str">
        <f t="shared" ca="1" si="358"/>
        <v/>
      </c>
      <c r="F1278" t="str">
        <f t="shared" ca="1" si="356"/>
        <v xml:space="preserve">Enter an Contact Last Name for 'Tax Attorney Firm' in cell B243.
</v>
      </c>
      <c r="G1278"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4"/>
        <v>Contact Last Name</v>
      </c>
      <c r="K1278" s="52">
        <v>7</v>
      </c>
    </row>
    <row r="1279" spans="1:11" ht="15" customHeight="1">
      <c r="A1279" t="str">
        <f t="shared" ca="1" si="355"/>
        <v/>
      </c>
      <c r="B1279" s="52">
        <f t="shared" si="351"/>
        <v>236</v>
      </c>
      <c r="C1279" t="str">
        <f t="shared" ca="1" si="357"/>
        <v>Tax Attorney Firm</v>
      </c>
      <c r="D1279" t="str">
        <f t="shared" si="352"/>
        <v>B244</v>
      </c>
      <c r="E1279" t="str">
        <f t="shared" ca="1" si="358"/>
        <v/>
      </c>
      <c r="F1279" t="str">
        <f t="shared" ca="1" si="356"/>
        <v xml:space="preserve">Enter an Phone (#'s only) for 'Tax Attorney Firm' in cell B244.
</v>
      </c>
      <c r="G1279"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4"/>
        <v>Phone (#'s only)</v>
      </c>
      <c r="K1279" s="52">
        <v>8</v>
      </c>
    </row>
    <row r="1280" spans="1:11" ht="15" customHeight="1">
      <c r="A1280" t="str">
        <f t="shared" ca="1" si="355"/>
        <v/>
      </c>
      <c r="B1280" s="52">
        <f t="shared" si="351"/>
        <v>236</v>
      </c>
      <c r="C1280" t="str">
        <f t="shared" ca="1" si="357"/>
        <v>Tax Attorney Firm</v>
      </c>
      <c r="D1280" t="str">
        <f t="shared" si="352"/>
        <v>B245</v>
      </c>
      <c r="E1280" t="str">
        <f t="shared" ca="1" si="358"/>
        <v/>
      </c>
      <c r="F1280" t="str">
        <f t="shared" ca="1" si="356"/>
        <v xml:space="preserve">Enter an Email for 'Tax Attorney Firm' in cell B245.
</v>
      </c>
      <c r="G1280" s="9" t="str">
        <f t="shared" ca="1" si="35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4"/>
        <v>Email</v>
      </c>
      <c r="K1280" s="52">
        <v>9</v>
      </c>
    </row>
    <row r="1281" spans="1:11" ht="15" customHeight="1">
      <c r="A1281" t="str">
        <f t="shared" ca="1" si="355"/>
        <v/>
      </c>
      <c r="B1281">
        <f>ROW('Contact Information'!B247)</f>
        <v>247</v>
      </c>
      <c r="C1281" t="str">
        <f t="shared" ca="1" si="327"/>
        <v>CPA Firm</v>
      </c>
      <c r="D1281" t="str">
        <f t="shared" si="352"/>
        <v>B248</v>
      </c>
      <c r="E1281" t="str">
        <f t="shared" ca="1" si="328"/>
        <v/>
      </c>
      <c r="F1281" t="str">
        <f ca="1">CONCATENATE("Enter a "&amp; J1281 &amp;" for '", C1281, "' in cell ", D1281, ".", CHAR(10))</f>
        <v xml:space="preserve">Enter a Organization for 'CPA Firm' in cell B248.
</v>
      </c>
      <c r="G128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4"/>
        <v>Organization</v>
      </c>
      <c r="K1281" s="52">
        <v>1</v>
      </c>
    </row>
    <row r="1282" spans="1:11" ht="15" customHeight="1">
      <c r="A1282" t="str">
        <f t="shared" ca="1" si="355"/>
        <v/>
      </c>
      <c r="B1282" s="52">
        <f t="shared" ref="B1282:B1298" si="360">B1281</f>
        <v>247</v>
      </c>
      <c r="C1282" t="str">
        <f t="shared" ca="1" si="327"/>
        <v>CPA Firm</v>
      </c>
      <c r="D1282" t="str">
        <f t="shared" si="352"/>
        <v>B249</v>
      </c>
      <c r="E1282" t="str">
        <f t="shared" ca="1" si="328"/>
        <v/>
      </c>
      <c r="F1282" t="str">
        <f ca="1">CONCATENATE("Enter an "&amp; J1282 &amp;" for '", C1282, "' in cell ", D1282, ".", CHAR(10))</f>
        <v xml:space="preserve">Enter an Address for 'CPA Firm' in cell B249.
</v>
      </c>
      <c r="G1282"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4"/>
        <v>Address</v>
      </c>
      <c r="K1282" s="52">
        <v>2</v>
      </c>
    </row>
    <row r="1283" spans="1:11" ht="15" customHeight="1">
      <c r="A1283" t="str">
        <f t="shared" ca="1" si="355"/>
        <v/>
      </c>
      <c r="B1283" s="52">
        <f t="shared" si="360"/>
        <v>247</v>
      </c>
      <c r="C1283" t="str">
        <f t="shared" ref="C1283:C1369" ca="1" si="361">INDIRECT($F$1100 &amp; ADDRESS(B1283, 1,4  ))</f>
        <v>CPA Firm</v>
      </c>
      <c r="D1283" t="str">
        <f t="shared" si="352"/>
        <v>B250</v>
      </c>
      <c r="E1283" t="str">
        <f t="shared" ref="E1283:E1369" ca="1" si="362">IF(ISBLANK( INDIRECT($F$1100 &amp; D1283)),"", INDIRECT($F$1100 &amp; D1283))</f>
        <v/>
      </c>
      <c r="F1283" t="str">
        <f t="shared" ref="F1283:F1288" ca="1" si="363">CONCATENATE("Enter a "&amp; J1283 &amp;" for '", C1283, "' in cell ", D1283, ".", CHAR(10))</f>
        <v xml:space="preserve">Enter a City  for 'CPA Firm' in cell B250.
</v>
      </c>
      <c r="G128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4"/>
        <v xml:space="preserve">City </v>
      </c>
      <c r="K1283" s="52">
        <v>3</v>
      </c>
    </row>
    <row r="1284" spans="1:11" ht="15" customHeight="1">
      <c r="A1284" t="str">
        <f t="shared" ca="1" si="355"/>
        <v/>
      </c>
      <c r="B1284" s="52">
        <f t="shared" si="360"/>
        <v>247</v>
      </c>
      <c r="C1284" t="str">
        <f t="shared" ca="1" si="361"/>
        <v>CPA Firm</v>
      </c>
      <c r="D1284" t="str">
        <f t="shared" si="352"/>
        <v>B251</v>
      </c>
      <c r="E1284" t="str">
        <f t="shared" ca="1" si="362"/>
        <v/>
      </c>
      <c r="F1284" t="str">
        <f t="shared" ca="1" si="363"/>
        <v xml:space="preserve">Enter a State for 'CPA Firm' in cell B251.
</v>
      </c>
      <c r="G128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4"/>
        <v>State</v>
      </c>
      <c r="K1284" s="52">
        <v>4</v>
      </c>
    </row>
    <row r="1285" spans="1:11" ht="15" customHeight="1">
      <c r="A1285" t="str">
        <f t="shared" ca="1" si="355"/>
        <v/>
      </c>
      <c r="B1285" s="52">
        <f t="shared" si="360"/>
        <v>247</v>
      </c>
      <c r="C1285" t="str">
        <f t="shared" ca="1" si="361"/>
        <v>CPA Firm</v>
      </c>
      <c r="D1285" t="str">
        <f t="shared" si="352"/>
        <v>B252</v>
      </c>
      <c r="E1285" t="str">
        <f t="shared" ca="1" si="362"/>
        <v/>
      </c>
      <c r="F1285" t="str">
        <f t="shared" ca="1" si="363"/>
        <v xml:space="preserve">Enter a Zip (first five #'s only) for 'CPA Firm' in cell B252.
</v>
      </c>
      <c r="G128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4"/>
        <v>Zip (first five #'s only)</v>
      </c>
      <c r="K1285" s="52">
        <v>5</v>
      </c>
    </row>
    <row r="1286" spans="1:11" ht="15" customHeight="1">
      <c r="A1286" t="str">
        <f t="shared" ca="1" si="355"/>
        <v/>
      </c>
      <c r="B1286" s="52">
        <f t="shared" si="360"/>
        <v>247</v>
      </c>
      <c r="C1286" t="str">
        <f t="shared" ca="1" si="361"/>
        <v>CPA Firm</v>
      </c>
      <c r="D1286" t="str">
        <f t="shared" si="352"/>
        <v>B253</v>
      </c>
      <c r="E1286" t="str">
        <f t="shared" ca="1" si="362"/>
        <v/>
      </c>
      <c r="F1286" t="str">
        <f t="shared" ca="1" si="363"/>
        <v xml:space="preserve">Enter a Contact First Name for 'CPA Firm' in cell B253.
</v>
      </c>
      <c r="G128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4"/>
        <v>Contact First Name</v>
      </c>
      <c r="K1286" s="52">
        <v>6</v>
      </c>
    </row>
    <row r="1287" spans="1:11" ht="15" customHeight="1">
      <c r="A1287" t="str">
        <f t="shared" ca="1" si="355"/>
        <v/>
      </c>
      <c r="B1287" s="52">
        <f t="shared" si="360"/>
        <v>247</v>
      </c>
      <c r="C1287" t="str">
        <f t="shared" ca="1" si="361"/>
        <v>CPA Firm</v>
      </c>
      <c r="D1287" t="str">
        <f t="shared" si="352"/>
        <v>B254</v>
      </c>
      <c r="E1287" t="str">
        <f t="shared" ca="1" si="362"/>
        <v/>
      </c>
      <c r="F1287" t="str">
        <f t="shared" ca="1" si="363"/>
        <v xml:space="preserve">Enter a Contact Last Name for 'CPA Firm' in cell B254.
</v>
      </c>
      <c r="G128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4"/>
        <v>Contact Last Name</v>
      </c>
      <c r="K1287" s="52">
        <v>7</v>
      </c>
    </row>
    <row r="1288" spans="1:11" ht="15" customHeight="1">
      <c r="A1288" t="str">
        <f t="shared" ca="1" si="355"/>
        <v/>
      </c>
      <c r="B1288" s="52">
        <f t="shared" si="360"/>
        <v>247</v>
      </c>
      <c r="C1288" t="str">
        <f t="shared" ca="1" si="361"/>
        <v>CPA Firm</v>
      </c>
      <c r="D1288" t="str">
        <f t="shared" si="352"/>
        <v>B255</v>
      </c>
      <c r="E1288" t="str">
        <f t="shared" ca="1" si="362"/>
        <v/>
      </c>
      <c r="F1288" t="str">
        <f t="shared" ca="1" si="363"/>
        <v xml:space="preserve">Enter a Phone (#'s only) for 'CPA Firm' in cell B255.
</v>
      </c>
      <c r="G128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4"/>
        <v>Phone (#'s only)</v>
      </c>
      <c r="K1288" s="52">
        <v>8</v>
      </c>
    </row>
    <row r="1289" spans="1:11" ht="15" customHeight="1">
      <c r="A1289" t="str">
        <f t="shared" ca="1" si="355"/>
        <v/>
      </c>
      <c r="B1289" s="52">
        <f t="shared" si="360"/>
        <v>247</v>
      </c>
      <c r="C1289" t="str">
        <f t="shared" ca="1" si="361"/>
        <v>CPA Firm</v>
      </c>
      <c r="D1289" t="str">
        <f t="shared" si="352"/>
        <v>B256</v>
      </c>
      <c r="E1289" t="str">
        <f t="shared" ca="1" si="362"/>
        <v/>
      </c>
      <c r="F1289" t="str">
        <f ca="1">CONCATENATE("Enter an "&amp; J1289 &amp;" for '", C1289, "' in cell ", D1289, ".", CHAR(10))</f>
        <v xml:space="preserve">Enter an Email for 'CPA Firm' in cell B256.
</v>
      </c>
      <c r="G128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4"/>
        <v>Email</v>
      </c>
      <c r="K1289" s="52">
        <v>9</v>
      </c>
    </row>
    <row r="1290" spans="1:11" ht="15" customHeight="1">
      <c r="A1290" t="str">
        <f t="shared" ca="1" si="355"/>
        <v/>
      </c>
      <c r="B1290">
        <f>ROW('Contact Information'!B258)</f>
        <v>258</v>
      </c>
      <c r="C1290" t="str">
        <f t="shared" ca="1" si="361"/>
        <v>Architect Firm</v>
      </c>
      <c r="D1290" t="str">
        <f t="shared" si="352"/>
        <v>B259</v>
      </c>
      <c r="E1290" t="str">
        <f t="shared" ca="1" si="362"/>
        <v/>
      </c>
      <c r="F1290" t="str">
        <f ca="1">CONCATENATE("Enter a "&amp; J1290 &amp;" for '", C1290, "' in cell ", D1290, ".", CHAR(10))</f>
        <v xml:space="preserve">Enter a Organization for 'Architect Firm' in cell B259.
</v>
      </c>
      <c r="G1290" s="9" t="str">
        <f t="shared" ref="G1290:G1298" ca="1" si="364">OFFSET(G1290, -1, 0) &amp; A1290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4"/>
        <v>Organization</v>
      </c>
      <c r="K1290" s="52">
        <v>1</v>
      </c>
    </row>
    <row r="1291" spans="1:11" ht="15" customHeight="1">
      <c r="A1291" t="str">
        <f t="shared" ca="1" si="355"/>
        <v/>
      </c>
      <c r="B1291" s="52">
        <f t="shared" si="360"/>
        <v>258</v>
      </c>
      <c r="C1291" t="str">
        <f t="shared" ca="1" si="361"/>
        <v>Architect Firm</v>
      </c>
      <c r="D1291" t="str">
        <f t="shared" si="352"/>
        <v>B260</v>
      </c>
      <c r="E1291" t="str">
        <f t="shared" ca="1" si="362"/>
        <v/>
      </c>
      <c r="F1291" t="str">
        <f ca="1">CONCATENATE("Enter an "&amp; J1291 &amp;" for '", C1291, "' in cell ", D1291, ".", CHAR(10))</f>
        <v xml:space="preserve">Enter an Address for 'Architect Firm' in cell B260.
</v>
      </c>
      <c r="G1291"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4"/>
        <v>Address</v>
      </c>
      <c r="K1291" s="52">
        <v>2</v>
      </c>
    </row>
    <row r="1292" spans="1:11" ht="15" customHeight="1">
      <c r="A1292" t="str">
        <f t="shared" ca="1" si="355"/>
        <v/>
      </c>
      <c r="B1292" s="52">
        <f t="shared" si="360"/>
        <v>258</v>
      </c>
      <c r="C1292" t="str">
        <f t="shared" ref="C1292:C1298" ca="1" si="365">INDIRECT($F$1100 &amp; ADDRESS(B1292, 1,4  ))</f>
        <v>Architect Firm</v>
      </c>
      <c r="D1292" t="str">
        <f t="shared" si="352"/>
        <v>B261</v>
      </c>
      <c r="E1292" t="str">
        <f t="shared" ref="E1292:E1298" ca="1" si="366">IF(ISBLANK( INDIRECT($F$1100 &amp; D1292)),"", INDIRECT($F$1100 &amp; D1292))</f>
        <v/>
      </c>
      <c r="F1292" t="str">
        <f t="shared" ref="F1292:F1297" ca="1" si="367">CONCATENATE("Enter a "&amp; J1292 &amp;" for '", C1292, "' in cell ", D1292, ".", CHAR(10))</f>
        <v xml:space="preserve">Enter a City  for 'Architect Firm' in cell B261.
</v>
      </c>
      <c r="G1292"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4"/>
        <v xml:space="preserve">City </v>
      </c>
      <c r="K1292" s="52">
        <v>3</v>
      </c>
    </row>
    <row r="1293" spans="1:11" ht="15" customHeight="1">
      <c r="A1293" t="str">
        <f t="shared" ca="1" si="355"/>
        <v/>
      </c>
      <c r="B1293" s="52">
        <f t="shared" si="360"/>
        <v>258</v>
      </c>
      <c r="C1293" t="str">
        <f t="shared" ca="1" si="365"/>
        <v>Architect Firm</v>
      </c>
      <c r="D1293" t="str">
        <f t="shared" si="352"/>
        <v>B262</v>
      </c>
      <c r="E1293" t="str">
        <f t="shared" ca="1" si="366"/>
        <v/>
      </c>
      <c r="F1293" t="str">
        <f t="shared" ca="1" si="367"/>
        <v xml:space="preserve">Enter a State for 'Architect Firm' in cell B262.
</v>
      </c>
      <c r="G1293"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4"/>
        <v>State</v>
      </c>
      <c r="K1293" s="52">
        <v>4</v>
      </c>
    </row>
    <row r="1294" spans="1:11" ht="15" customHeight="1">
      <c r="A1294" t="str">
        <f t="shared" ca="1" si="355"/>
        <v/>
      </c>
      <c r="B1294" s="52">
        <f t="shared" si="360"/>
        <v>258</v>
      </c>
      <c r="C1294" t="str">
        <f t="shared" ca="1" si="365"/>
        <v>Architect Firm</v>
      </c>
      <c r="D1294" t="str">
        <f t="shared" si="352"/>
        <v>B263</v>
      </c>
      <c r="E1294" t="str">
        <f t="shared" ca="1" si="366"/>
        <v/>
      </c>
      <c r="F1294" t="str">
        <f t="shared" ca="1" si="367"/>
        <v xml:space="preserve">Enter a Zip (first five #'s only) for 'Architect Firm' in cell B263.
</v>
      </c>
      <c r="G1294"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4"/>
        <v>Zip (first five #'s only)</v>
      </c>
      <c r="K1294" s="52">
        <v>5</v>
      </c>
    </row>
    <row r="1295" spans="1:11" ht="15" customHeight="1">
      <c r="A1295" t="str">
        <f t="shared" ca="1" si="355"/>
        <v/>
      </c>
      <c r="B1295" s="52">
        <f t="shared" si="360"/>
        <v>258</v>
      </c>
      <c r="C1295" t="str">
        <f t="shared" ca="1" si="365"/>
        <v>Architect Firm</v>
      </c>
      <c r="D1295" t="str">
        <f t="shared" si="352"/>
        <v>B264</v>
      </c>
      <c r="E1295" t="str">
        <f t="shared" ca="1" si="366"/>
        <v/>
      </c>
      <c r="F1295" t="str">
        <f t="shared" ca="1" si="367"/>
        <v xml:space="preserve">Enter a Contact First Name for 'Architect Firm' in cell B264.
</v>
      </c>
      <c r="G1295"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4"/>
        <v>Contact First Name</v>
      </c>
      <c r="K1295" s="52">
        <v>6</v>
      </c>
    </row>
    <row r="1296" spans="1:11" ht="15" customHeight="1">
      <c r="A1296" t="str">
        <f t="shared" ca="1" si="355"/>
        <v/>
      </c>
      <c r="B1296" s="52">
        <f t="shared" si="360"/>
        <v>258</v>
      </c>
      <c r="C1296" t="str">
        <f t="shared" ca="1" si="365"/>
        <v>Architect Firm</v>
      </c>
      <c r="D1296" t="str">
        <f t="shared" si="352"/>
        <v>B265</v>
      </c>
      <c r="E1296" t="str">
        <f t="shared" ca="1" si="366"/>
        <v/>
      </c>
      <c r="F1296" t="str">
        <f t="shared" ca="1" si="367"/>
        <v xml:space="preserve">Enter a Contact Last Name for 'Architect Firm' in cell B265.
</v>
      </c>
      <c r="G1296"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4"/>
        <v>Contact Last Name</v>
      </c>
      <c r="K1296" s="52">
        <v>7</v>
      </c>
    </row>
    <row r="1297" spans="1:11" ht="15" customHeight="1">
      <c r="A1297" t="str">
        <f t="shared" ca="1" si="355"/>
        <v/>
      </c>
      <c r="B1297" s="52">
        <f t="shared" si="360"/>
        <v>258</v>
      </c>
      <c r="C1297" t="str">
        <f t="shared" ca="1" si="365"/>
        <v>Architect Firm</v>
      </c>
      <c r="D1297" t="str">
        <f t="shared" si="352"/>
        <v>B266</v>
      </c>
      <c r="E1297" t="str">
        <f t="shared" ca="1" si="366"/>
        <v/>
      </c>
      <c r="F1297" t="str">
        <f t="shared" ca="1" si="367"/>
        <v xml:space="preserve">Enter a Phone (#'s only) for 'Architect Firm' in cell B266.
</v>
      </c>
      <c r="G1297"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4"/>
        <v>Phone (#'s only)</v>
      </c>
      <c r="K1297" s="52">
        <v>8</v>
      </c>
    </row>
    <row r="1298" spans="1:11" ht="15" customHeight="1">
      <c r="A1298" t="str">
        <f t="shared" ca="1" si="355"/>
        <v/>
      </c>
      <c r="B1298" s="52">
        <f t="shared" si="360"/>
        <v>258</v>
      </c>
      <c r="C1298" t="str">
        <f t="shared" ca="1" si="365"/>
        <v>Architect Firm</v>
      </c>
      <c r="D1298" t="str">
        <f t="shared" si="352"/>
        <v>B267</v>
      </c>
      <c r="E1298" t="str">
        <f t="shared" ca="1" si="366"/>
        <v/>
      </c>
      <c r="F1298" t="str">
        <f ca="1">CONCATENATE("Enter an "&amp; J1298 &amp;" for '", C1298, "' in cell ", D1298, ".", CHAR(10))</f>
        <v xml:space="preserve">Enter an Email for 'Architect Firm' in cell B267.
</v>
      </c>
      <c r="G1298"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4"/>
        <v>Email</v>
      </c>
      <c r="K1298" s="52">
        <v>9</v>
      </c>
    </row>
    <row r="1299" spans="1:11" ht="15" customHeight="1">
      <c r="A1299" t="str">
        <f t="shared" ca="1" si="355"/>
        <v/>
      </c>
      <c r="B1299">
        <f>ROW('Contact Information'!B269)</f>
        <v>269</v>
      </c>
      <c r="C1299" t="str">
        <f t="shared" ca="1" si="361"/>
        <v>Permanent Lender</v>
      </c>
      <c r="D1299" t="str">
        <f t="shared" si="352"/>
        <v>B270</v>
      </c>
      <c r="E1299" t="str">
        <f t="shared" ca="1" si="362"/>
        <v/>
      </c>
      <c r="F1299" t="str">
        <f ca="1">CONCATENATE("Enter a "&amp; J1299 &amp;" for '", C1299, "' in cell ", D1299, ".", CHAR(10))</f>
        <v xml:space="preserve">Enter a Organization for 'Permanent Lender' in cell B270.
</v>
      </c>
      <c r="G129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4"/>
        <v>Organization</v>
      </c>
      <c r="K1299" s="52">
        <v>1</v>
      </c>
    </row>
    <row r="1300" spans="1:11" ht="15" customHeight="1">
      <c r="A1300" t="str">
        <f t="shared" ca="1" si="355"/>
        <v/>
      </c>
      <c r="B1300" s="52">
        <f t="shared" ref="B1300:B1307" si="368">B1299</f>
        <v>269</v>
      </c>
      <c r="C1300" t="str">
        <f t="shared" ca="1" si="361"/>
        <v>Permanent Lender</v>
      </c>
      <c r="D1300" t="str">
        <f t="shared" si="352"/>
        <v>B271</v>
      </c>
      <c r="E1300" t="str">
        <f t="shared" ca="1" si="362"/>
        <v/>
      </c>
      <c r="F1300" t="str">
        <f ca="1">CONCATENATE("Enter an "&amp; J1300 &amp;" for '", C1300, "' in cell ", D1300, ".", CHAR(10))</f>
        <v xml:space="preserve">Enter an Address for 'Permanent Lender' in cell B271.
</v>
      </c>
      <c r="G130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4"/>
        <v>Address</v>
      </c>
      <c r="K1300" s="52">
        <v>2</v>
      </c>
    </row>
    <row r="1301" spans="1:11" ht="15" customHeight="1">
      <c r="A1301" t="str">
        <f t="shared" ca="1" si="355"/>
        <v/>
      </c>
      <c r="B1301" s="52">
        <f t="shared" si="368"/>
        <v>269</v>
      </c>
      <c r="C1301" t="str">
        <f t="shared" ca="1" si="361"/>
        <v>Permanent Lender</v>
      </c>
      <c r="D1301" t="str">
        <f t="shared" si="352"/>
        <v>B272</v>
      </c>
      <c r="E1301" t="str">
        <f t="shared" ca="1" si="362"/>
        <v/>
      </c>
      <c r="F1301" t="str">
        <f t="shared" ref="F1301:F1306" ca="1" si="369">CONCATENATE("Enter a "&amp; J1301 &amp;" for '", C1301, "' in cell ", D1301, ".", CHAR(10))</f>
        <v xml:space="preserve">Enter a City  for 'Permanent Lender' in cell B272.
</v>
      </c>
      <c r="G130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4"/>
        <v xml:space="preserve">City </v>
      </c>
      <c r="K1301" s="52">
        <v>3</v>
      </c>
    </row>
    <row r="1302" spans="1:11" ht="15" customHeight="1">
      <c r="A1302" t="str">
        <f t="shared" ca="1" si="355"/>
        <v/>
      </c>
      <c r="B1302" s="52">
        <f t="shared" si="368"/>
        <v>269</v>
      </c>
      <c r="C1302" t="str">
        <f t="shared" ca="1" si="361"/>
        <v>Permanent Lender</v>
      </c>
      <c r="D1302" t="str">
        <f t="shared" si="352"/>
        <v>B273</v>
      </c>
      <c r="E1302" t="str">
        <f t="shared" ca="1" si="362"/>
        <v/>
      </c>
      <c r="F1302" t="str">
        <f t="shared" ca="1" si="369"/>
        <v xml:space="preserve">Enter a State for 'Permanent Lender' in cell B273.
</v>
      </c>
      <c r="G1302"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4"/>
        <v>State</v>
      </c>
      <c r="K1302" s="52">
        <v>4</v>
      </c>
    </row>
    <row r="1303" spans="1:11" ht="15" customHeight="1">
      <c r="A1303" t="str">
        <f t="shared" ca="1" si="355"/>
        <v/>
      </c>
      <c r="B1303" s="52">
        <f t="shared" si="368"/>
        <v>269</v>
      </c>
      <c r="C1303" t="str">
        <f t="shared" ca="1" si="361"/>
        <v>Permanent Lender</v>
      </c>
      <c r="D1303" t="str">
        <f t="shared" si="352"/>
        <v>B274</v>
      </c>
      <c r="E1303" t="str">
        <f t="shared" ca="1" si="362"/>
        <v/>
      </c>
      <c r="F1303" t="str">
        <f t="shared" ca="1" si="369"/>
        <v xml:space="preserve">Enter a Zip (first five #'s only) for 'Permanent Lender' in cell B274.
</v>
      </c>
      <c r="G130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4"/>
        <v>Zip (first five #'s only)</v>
      </c>
      <c r="K1303" s="52">
        <v>5</v>
      </c>
    </row>
    <row r="1304" spans="1:11" ht="15" customHeight="1">
      <c r="A1304" t="str">
        <f t="shared" ca="1" si="355"/>
        <v/>
      </c>
      <c r="B1304" s="52">
        <f t="shared" si="368"/>
        <v>269</v>
      </c>
      <c r="C1304" t="str">
        <f t="shared" ca="1" si="361"/>
        <v>Permanent Lender</v>
      </c>
      <c r="D1304" t="str">
        <f t="shared" si="352"/>
        <v>B275</v>
      </c>
      <c r="E1304" t="str">
        <f t="shared" ca="1" si="362"/>
        <v/>
      </c>
      <c r="F1304" t="str">
        <f t="shared" ca="1" si="369"/>
        <v xml:space="preserve">Enter a Contact First Name for 'Permanent Lender' in cell B275.
</v>
      </c>
      <c r="G130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4"/>
        <v>Contact First Name</v>
      </c>
      <c r="K1304" s="52">
        <v>6</v>
      </c>
    </row>
    <row r="1305" spans="1:11" ht="15" customHeight="1">
      <c r="A1305" t="str">
        <f t="shared" ca="1" si="355"/>
        <v/>
      </c>
      <c r="B1305" s="52">
        <f t="shared" si="368"/>
        <v>269</v>
      </c>
      <c r="C1305" t="str">
        <f t="shared" ca="1" si="361"/>
        <v>Permanent Lender</v>
      </c>
      <c r="D1305" t="str">
        <f t="shared" si="352"/>
        <v>B276</v>
      </c>
      <c r="E1305" t="str">
        <f t="shared" ca="1" si="362"/>
        <v/>
      </c>
      <c r="F1305" t="str">
        <f t="shared" ca="1" si="369"/>
        <v xml:space="preserve">Enter a Contact Last Name for 'Permanent Lender' in cell B276.
</v>
      </c>
      <c r="G130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4"/>
        <v>Contact Last Name</v>
      </c>
      <c r="K1305" s="52">
        <v>7</v>
      </c>
    </row>
    <row r="1306" spans="1:11" ht="15" customHeight="1">
      <c r="A1306" t="str">
        <f t="shared" ca="1" si="355"/>
        <v/>
      </c>
      <c r="B1306" s="52">
        <f t="shared" si="368"/>
        <v>269</v>
      </c>
      <c r="C1306" t="str">
        <f t="shared" ca="1" si="361"/>
        <v>Permanent Lender</v>
      </c>
      <c r="D1306" t="str">
        <f t="shared" si="352"/>
        <v>B277</v>
      </c>
      <c r="E1306" t="str">
        <f t="shared" ca="1" si="362"/>
        <v/>
      </c>
      <c r="F1306" t="str">
        <f t="shared" ca="1" si="369"/>
        <v xml:space="preserve">Enter a Phone (#'s only) for 'Permanent Lender' in cell B277.
</v>
      </c>
      <c r="G130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4"/>
        <v>Phone (#'s only)</v>
      </c>
      <c r="K1306" s="52">
        <v>8</v>
      </c>
    </row>
    <row r="1307" spans="1:11" ht="15" customHeight="1">
      <c r="A1307" t="str">
        <f t="shared" ca="1" si="355"/>
        <v/>
      </c>
      <c r="B1307" s="52">
        <f t="shared" si="368"/>
        <v>269</v>
      </c>
      <c r="C1307" t="str">
        <f t="shared" ca="1" si="361"/>
        <v>Permanent Lender</v>
      </c>
      <c r="D1307" t="str">
        <f t="shared" si="352"/>
        <v>B278</v>
      </c>
      <c r="E1307" t="str">
        <f t="shared" ca="1" si="362"/>
        <v/>
      </c>
      <c r="F1307" t="str">
        <f ca="1">CONCATENATE("Enter an "&amp; J1307 &amp;" for '", C1307, "' in cell ", D1307, ".", CHAR(10))</f>
        <v xml:space="preserve">Enter an Email for 'Permanent Lender' in cell B278.
</v>
      </c>
      <c r="G130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4"/>
        <v>Email</v>
      </c>
      <c r="K1307" s="52">
        <v>9</v>
      </c>
    </row>
    <row r="1308" spans="1:11" ht="15" customHeight="1">
      <c r="A1308" t="str">
        <f t="shared" ca="1" si="355"/>
        <v/>
      </c>
      <c r="B1308">
        <f>ROW('Contact Information'!B280)</f>
        <v>280</v>
      </c>
      <c r="C1308" t="str">
        <f t="shared" ca="1" si="361"/>
        <v>Commercial Lender</v>
      </c>
      <c r="D1308" t="str">
        <f t="shared" si="352"/>
        <v>B281</v>
      </c>
      <c r="E1308" t="str">
        <f t="shared" ca="1" si="362"/>
        <v/>
      </c>
      <c r="F1308" t="str">
        <f ca="1">CONCATENATE("Enter a "&amp; J1308 &amp;" for '", C1308, "' in cell ", D1308, ".", CHAR(10))</f>
        <v xml:space="preserve">Enter a Organization for 'Commercial Lender' in cell B281.
</v>
      </c>
      <c r="G130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4"/>
        <v>Organization</v>
      </c>
      <c r="K1308" s="52">
        <v>1</v>
      </c>
    </row>
    <row r="1309" spans="1:11" ht="15" customHeight="1">
      <c r="A1309" t="str">
        <f t="shared" ca="1" si="355"/>
        <v/>
      </c>
      <c r="B1309" s="52">
        <f t="shared" ref="B1309:B1362" si="370">B1308</f>
        <v>280</v>
      </c>
      <c r="C1309" t="str">
        <f t="shared" ca="1" si="361"/>
        <v>Commercial Lender</v>
      </c>
      <c r="D1309" t="str">
        <f t="shared" si="352"/>
        <v>B282</v>
      </c>
      <c r="E1309" t="str">
        <f t="shared" ca="1" si="362"/>
        <v/>
      </c>
      <c r="F1309" t="str">
        <f ca="1">CONCATENATE("Enter an "&amp; J1309 &amp;" for '", C1309, "' in cell ", D1309, ".", CHAR(10))</f>
        <v xml:space="preserve">Enter an Address for 'Commercial Lender' in cell B282.
</v>
      </c>
      <c r="G130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4"/>
        <v>Address</v>
      </c>
      <c r="K1309" s="52">
        <v>2</v>
      </c>
    </row>
    <row r="1310" spans="1:11" ht="15" customHeight="1">
      <c r="A1310" t="str">
        <f t="shared" ca="1" si="355"/>
        <v/>
      </c>
      <c r="B1310" s="52">
        <f t="shared" si="370"/>
        <v>280</v>
      </c>
      <c r="C1310" t="str">
        <f t="shared" ca="1" si="361"/>
        <v>Commercial Lender</v>
      </c>
      <c r="D1310" t="str">
        <f t="shared" si="352"/>
        <v>B283</v>
      </c>
      <c r="E1310" t="str">
        <f t="shared" ca="1" si="362"/>
        <v/>
      </c>
      <c r="F1310" t="str">
        <f t="shared" ref="F1310:F1315" ca="1" si="371">CONCATENATE("Enter a "&amp; J1310 &amp;" for '", C1310, "' in cell ", D1310, ".", CHAR(10))</f>
        <v xml:space="preserve">Enter a City  for 'Commercial Lender' in cell B283.
</v>
      </c>
      <c r="G131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4"/>
        <v xml:space="preserve">City </v>
      </c>
      <c r="K1310" s="52">
        <v>3</v>
      </c>
    </row>
    <row r="1311" spans="1:11" ht="15" customHeight="1">
      <c r="A1311" t="str">
        <f t="shared" ca="1" si="355"/>
        <v/>
      </c>
      <c r="B1311" s="52">
        <f t="shared" si="370"/>
        <v>280</v>
      </c>
      <c r="C1311" t="str">
        <f t="shared" ca="1" si="361"/>
        <v>Commercial Lender</v>
      </c>
      <c r="D1311" t="str">
        <f t="shared" si="352"/>
        <v>B284</v>
      </c>
      <c r="E1311" t="str">
        <f t="shared" ca="1" si="362"/>
        <v/>
      </c>
      <c r="F1311" t="str">
        <f t="shared" ca="1" si="371"/>
        <v xml:space="preserve">Enter a State for 'Commercial Lender' in cell B284.
</v>
      </c>
      <c r="G1311"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4"/>
        <v>State</v>
      </c>
      <c r="K1311" s="52">
        <v>4</v>
      </c>
    </row>
    <row r="1312" spans="1:11" ht="15" customHeight="1">
      <c r="A1312" t="str">
        <f t="shared" ca="1" si="355"/>
        <v/>
      </c>
      <c r="B1312" s="52">
        <f t="shared" si="370"/>
        <v>280</v>
      </c>
      <c r="C1312" t="str">
        <f t="shared" ca="1" si="361"/>
        <v>Commercial Lender</v>
      </c>
      <c r="D1312" t="str">
        <f t="shared" si="352"/>
        <v>B285</v>
      </c>
      <c r="E1312" t="str">
        <f t="shared" ca="1" si="362"/>
        <v/>
      </c>
      <c r="F1312" t="str">
        <f t="shared" ca="1" si="371"/>
        <v xml:space="preserve">Enter a Zip (first five #'s only) for 'Commercial Lender' in cell B285.
</v>
      </c>
      <c r="G1312"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4"/>
        <v>Zip (first five #'s only)</v>
      </c>
      <c r="K1312" s="52">
        <v>5</v>
      </c>
    </row>
    <row r="1313" spans="1:11" ht="15" customHeight="1">
      <c r="A1313" t="str">
        <f t="shared" ca="1" si="355"/>
        <v/>
      </c>
      <c r="B1313" s="52">
        <f t="shared" si="370"/>
        <v>280</v>
      </c>
      <c r="C1313" t="str">
        <f t="shared" ca="1" si="361"/>
        <v>Commercial Lender</v>
      </c>
      <c r="D1313" t="str">
        <f t="shared" si="352"/>
        <v>B286</v>
      </c>
      <c r="E1313" t="str">
        <f t="shared" ca="1" si="362"/>
        <v/>
      </c>
      <c r="F1313" t="str">
        <f t="shared" ca="1" si="371"/>
        <v xml:space="preserve">Enter a Contact First Name for 'Commercial Lender' in cell B286.
</v>
      </c>
      <c r="G131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4"/>
        <v>Contact First Name</v>
      </c>
      <c r="K1313" s="52">
        <v>6</v>
      </c>
    </row>
    <row r="1314" spans="1:11" ht="15" customHeight="1">
      <c r="A1314" t="str">
        <f t="shared" ca="1" si="355"/>
        <v/>
      </c>
      <c r="B1314" s="52">
        <f t="shared" si="370"/>
        <v>280</v>
      </c>
      <c r="C1314" t="str">
        <f t="shared" ca="1" si="361"/>
        <v>Commercial Lender</v>
      </c>
      <c r="D1314" t="str">
        <f t="shared" si="352"/>
        <v>B287</v>
      </c>
      <c r="E1314" t="str">
        <f t="shared" ca="1" si="362"/>
        <v/>
      </c>
      <c r="F1314" t="str">
        <f t="shared" ca="1" si="371"/>
        <v xml:space="preserve">Enter a Contact Last Name for 'Commercial Lender' in cell B287.
</v>
      </c>
      <c r="G131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4"/>
        <v>Contact Last Name</v>
      </c>
      <c r="K1314" s="52">
        <v>7</v>
      </c>
    </row>
    <row r="1315" spans="1:11" ht="15" customHeight="1">
      <c r="A1315" t="str">
        <f t="shared" ca="1" si="355"/>
        <v/>
      </c>
      <c r="B1315" s="52">
        <f t="shared" si="370"/>
        <v>280</v>
      </c>
      <c r="C1315" t="str">
        <f t="shared" ca="1" si="361"/>
        <v>Commercial Lender</v>
      </c>
      <c r="D1315" t="str">
        <f t="shared" si="352"/>
        <v>B288</v>
      </c>
      <c r="E1315" t="str">
        <f t="shared" ca="1" si="362"/>
        <v/>
      </c>
      <c r="F1315" t="str">
        <f t="shared" ca="1" si="371"/>
        <v xml:space="preserve">Enter a Phone (#'s only) for 'Commercial Lender' in cell B288.
</v>
      </c>
      <c r="G131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4"/>
        <v>Phone (#'s only)</v>
      </c>
      <c r="K1315" s="52">
        <v>8</v>
      </c>
    </row>
    <row r="1316" spans="1:11" ht="15" customHeight="1">
      <c r="A1316" t="str">
        <f t="shared" ca="1" si="355"/>
        <v/>
      </c>
      <c r="B1316" s="52">
        <f t="shared" si="370"/>
        <v>280</v>
      </c>
      <c r="C1316" t="str">
        <f t="shared" ca="1" si="361"/>
        <v>Commercial Lender</v>
      </c>
      <c r="D1316" t="str">
        <f t="shared" si="352"/>
        <v>B289</v>
      </c>
      <c r="E1316" t="str">
        <f t="shared" ca="1" si="362"/>
        <v/>
      </c>
      <c r="F1316" t="str">
        <f ca="1">CONCATENATE("Enter an "&amp; J1316 &amp;" for '", C1316, "' in cell ", D1316, ".", CHAR(10))</f>
        <v xml:space="preserve">Enter an Email for 'Commercial Lender' in cell B289.
</v>
      </c>
      <c r="G131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4"/>
        <v>Email</v>
      </c>
      <c r="K1316" s="52">
        <v>9</v>
      </c>
    </row>
    <row r="1317" spans="1:11" ht="15" customHeight="1">
      <c r="A1317" t="str">
        <f t="shared" ca="1" si="355"/>
        <v/>
      </c>
      <c r="B1317">
        <f>ROW('Contact Information'!B291)</f>
        <v>291</v>
      </c>
      <c r="C1317" t="str">
        <f t="shared" ref="C1317:C1325" ca="1" si="372">INDIRECT($F$1100 &amp; ADDRESS(B1317, 1,4  ))</f>
        <v>Construction Lender</v>
      </c>
      <c r="D1317" t="str">
        <f t="shared" si="352"/>
        <v>B292</v>
      </c>
      <c r="E1317" t="str">
        <f t="shared" ref="E1317:E1325" ca="1" si="373">IF(ISBLANK( INDIRECT($F$1100 &amp; D1317)),"", INDIRECT($F$1100 &amp; D1317))</f>
        <v/>
      </c>
      <c r="F1317" t="str">
        <f ca="1">CONCATENATE("Enter a "&amp; J1317 &amp;" for '", C1317, "' in cell ", D1317, ".", CHAR(10))</f>
        <v xml:space="preserve">Enter a Organization for 'Construction Lender' in cell B292.
</v>
      </c>
      <c r="G1317" s="9" t="str">
        <f t="shared" ref="G1317:G1325" ca="1" si="374">OFFSET(G1317, -1, 0) &amp; A1317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4"/>
        <v>Organization</v>
      </c>
      <c r="K1317" s="52">
        <v>1</v>
      </c>
    </row>
    <row r="1318" spans="1:11" ht="15" customHeight="1">
      <c r="A1318" t="str">
        <f t="shared" ca="1" si="355"/>
        <v/>
      </c>
      <c r="B1318" s="52">
        <f t="shared" si="370"/>
        <v>291</v>
      </c>
      <c r="C1318" t="str">
        <f t="shared" ca="1" si="372"/>
        <v>Construction Lender</v>
      </c>
      <c r="D1318" t="str">
        <f t="shared" si="352"/>
        <v>B293</v>
      </c>
      <c r="E1318" t="str">
        <f t="shared" ca="1" si="373"/>
        <v/>
      </c>
      <c r="F1318" t="str">
        <f ca="1">CONCATENATE("Enter an "&amp; J1318 &amp;" for '", C1318, "' in cell ", D1318, ".", CHAR(10))</f>
        <v xml:space="preserve">Enter an Address for 'Construction Lender' in cell B293.
</v>
      </c>
      <c r="G1318"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4"/>
        <v>Address</v>
      </c>
      <c r="K1318" s="52">
        <v>2</v>
      </c>
    </row>
    <row r="1319" spans="1:11" ht="15" customHeight="1">
      <c r="A1319" t="str">
        <f t="shared" ca="1" si="355"/>
        <v/>
      </c>
      <c r="B1319" s="52">
        <f t="shared" si="370"/>
        <v>291</v>
      </c>
      <c r="C1319" t="str">
        <f t="shared" ca="1" si="372"/>
        <v>Construction Lender</v>
      </c>
      <c r="D1319" t="str">
        <f t="shared" si="352"/>
        <v>B294</v>
      </c>
      <c r="E1319" t="str">
        <f t="shared" ca="1" si="373"/>
        <v/>
      </c>
      <c r="F1319" t="str">
        <f t="shared" ref="F1319:F1324" ca="1" si="375">CONCATENATE("Enter a "&amp; J1319 &amp;" for '", C1319, "' in cell ", D1319, ".", CHAR(10))</f>
        <v xml:space="preserve">Enter a City  for 'Construction Lender' in cell B294.
</v>
      </c>
      <c r="G1319"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TRUE</f>
        <v>1</v>
      </c>
      <c r="I1319" s="9"/>
      <c r="J1319" s="52" t="str">
        <f t="shared" ca="1" si="354"/>
        <v xml:space="preserve">City </v>
      </c>
      <c r="K1319" s="52">
        <v>3</v>
      </c>
    </row>
    <row r="1320" spans="1:11" ht="15" customHeight="1">
      <c r="A1320" t="str">
        <f t="shared" ca="1" si="355"/>
        <v/>
      </c>
      <c r="B1320" s="52">
        <f t="shared" si="370"/>
        <v>291</v>
      </c>
      <c r="C1320" t="str">
        <f t="shared" ca="1" si="372"/>
        <v>Construction Lender</v>
      </c>
      <c r="D1320" t="str">
        <f t="shared" si="352"/>
        <v>B295</v>
      </c>
      <c r="E1320" t="str">
        <f t="shared" ca="1" si="373"/>
        <v/>
      </c>
      <c r="F1320" t="str">
        <f t="shared" ca="1" si="375"/>
        <v xml:space="preserve">Enter a State for 'Construction Lender' in cell B295.
</v>
      </c>
      <c r="G1320"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TRUE</f>
        <v>1</v>
      </c>
      <c r="I1320" s="9"/>
      <c r="J1320" s="52" t="str">
        <f t="shared" ca="1" si="354"/>
        <v>State</v>
      </c>
      <c r="K1320" s="52">
        <v>4</v>
      </c>
    </row>
    <row r="1321" spans="1:11" ht="15" customHeight="1">
      <c r="A1321" t="str">
        <f t="shared" ca="1" si="355"/>
        <v/>
      </c>
      <c r="B1321" s="52">
        <f t="shared" si="370"/>
        <v>291</v>
      </c>
      <c r="C1321" t="str">
        <f t="shared" ca="1" si="372"/>
        <v>Construction Lender</v>
      </c>
      <c r="D1321" t="str">
        <f t="shared" si="352"/>
        <v>B296</v>
      </c>
      <c r="E1321" t="str">
        <f t="shared" ca="1" si="373"/>
        <v/>
      </c>
      <c r="F1321" t="str">
        <f t="shared" ca="1" si="375"/>
        <v xml:space="preserve">Enter a Zip for 'Construction Lender' in cell B296.
</v>
      </c>
      <c r="G1321"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TRUE</f>
        <v>1</v>
      </c>
      <c r="I1321" s="9"/>
      <c r="J1321" s="52" t="str">
        <f t="shared" ca="1" si="354"/>
        <v>Zip</v>
      </c>
      <c r="K1321" s="52">
        <v>5</v>
      </c>
    </row>
    <row r="1322" spans="1:11" ht="15" customHeight="1">
      <c r="A1322" t="str">
        <f t="shared" ca="1" si="355"/>
        <v/>
      </c>
      <c r="B1322" s="52">
        <f t="shared" si="370"/>
        <v>291</v>
      </c>
      <c r="C1322" t="str">
        <f t="shared" ca="1" si="372"/>
        <v>Construction Lender</v>
      </c>
      <c r="D1322" t="str">
        <f t="shared" si="352"/>
        <v>B297</v>
      </c>
      <c r="E1322" t="str">
        <f t="shared" ca="1" si="373"/>
        <v/>
      </c>
      <c r="F1322" t="str">
        <f t="shared" ca="1" si="375"/>
        <v xml:space="preserve">Enter a Contact First Name for 'Construction Lender' in cell B297.
</v>
      </c>
      <c r="G1322"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TRUE</f>
        <v>1</v>
      </c>
      <c r="I1322" s="9"/>
      <c r="J1322" s="52" t="str">
        <f t="shared" ca="1" si="354"/>
        <v>Contact First Name</v>
      </c>
      <c r="K1322" s="52">
        <v>6</v>
      </c>
    </row>
    <row r="1323" spans="1:11" ht="15" customHeight="1">
      <c r="A1323" t="str">
        <f t="shared" ca="1" si="355"/>
        <v/>
      </c>
      <c r="B1323" s="52">
        <f t="shared" si="370"/>
        <v>291</v>
      </c>
      <c r="C1323" t="str">
        <f t="shared" ca="1" si="372"/>
        <v>Construction Lender</v>
      </c>
      <c r="D1323" t="str">
        <f t="shared" si="352"/>
        <v>B298</v>
      </c>
      <c r="E1323" t="str">
        <f t="shared" ca="1" si="373"/>
        <v/>
      </c>
      <c r="F1323" t="str">
        <f t="shared" ca="1" si="375"/>
        <v xml:space="preserve">Enter a Contact Last Name for 'Construction Lender' in cell B298.
</v>
      </c>
      <c r="G1323"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TRUE</f>
        <v>1</v>
      </c>
      <c r="I1323" s="9"/>
      <c r="J1323" s="52" t="str">
        <f t="shared" ca="1" si="354"/>
        <v>Contact Last Name</v>
      </c>
      <c r="K1323" s="52">
        <v>7</v>
      </c>
    </row>
    <row r="1324" spans="1:11" ht="15" customHeight="1">
      <c r="A1324" t="str">
        <f t="shared" ca="1" si="355"/>
        <v/>
      </c>
      <c r="B1324" s="52">
        <f t="shared" si="370"/>
        <v>291</v>
      </c>
      <c r="C1324" t="str">
        <f t="shared" ca="1" si="372"/>
        <v>Construction Lender</v>
      </c>
      <c r="D1324" t="str">
        <f t="shared" si="352"/>
        <v>B299</v>
      </c>
      <c r="E1324" t="str">
        <f t="shared" ca="1" si="373"/>
        <v/>
      </c>
      <c r="F1324" t="str">
        <f t="shared" ca="1" si="375"/>
        <v xml:space="preserve">Enter a Phone (#'s only) for 'Construction Lender' in cell B299.
</v>
      </c>
      <c r="G1324"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TRUE</f>
        <v>1</v>
      </c>
      <c r="I1324" s="9"/>
      <c r="J1324" s="52" t="str">
        <f t="shared" ca="1" si="354"/>
        <v>Phone (#'s only)</v>
      </c>
      <c r="K1324" s="52">
        <v>8</v>
      </c>
    </row>
    <row r="1325" spans="1:11" ht="15" customHeight="1">
      <c r="A1325" t="str">
        <f t="shared" ca="1" si="355"/>
        <v/>
      </c>
      <c r="B1325" s="52">
        <f t="shared" si="370"/>
        <v>291</v>
      </c>
      <c r="C1325" t="str">
        <f t="shared" ca="1" si="372"/>
        <v>Construction Lender</v>
      </c>
      <c r="D1325" t="str">
        <f t="shared" si="352"/>
        <v>B300</v>
      </c>
      <c r="E1325" t="str">
        <f t="shared" ca="1" si="373"/>
        <v/>
      </c>
      <c r="F1325" t="str">
        <f ca="1">CONCATENATE("Enter an "&amp; J1325 &amp;" for '", C1325, "' in cell ", D1325, ".", CHAR(10))</f>
        <v xml:space="preserve">Enter an Email for 'Construction Lender' in cell B300.
</v>
      </c>
      <c r="G1325" s="9" t="str">
        <f t="shared" ca="1" si="37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TRUE</f>
        <v>1</v>
      </c>
      <c r="I1325" s="9"/>
      <c r="J1325" s="52" t="str">
        <f t="shared" ca="1" si="354"/>
        <v>Email</v>
      </c>
      <c r="K1325" s="52">
        <v>9</v>
      </c>
    </row>
    <row r="1326" spans="1:11" ht="15" customHeight="1">
      <c r="A1326" t="str">
        <f t="shared" ca="1" si="355"/>
        <v/>
      </c>
      <c r="B1326">
        <f>ROW('Contact Information'!B302)</f>
        <v>302</v>
      </c>
      <c r="C1326" t="str">
        <f t="shared" ref="C1326:C1334" ca="1" si="376">INDIRECT($F$1100 &amp; ADDRESS(B1326, 1,4  ))</f>
        <v>Environmental Phase I Preparer</v>
      </c>
      <c r="D1326" t="str">
        <f t="shared" si="352"/>
        <v>B303</v>
      </c>
      <c r="E1326" t="str">
        <f t="shared" ref="E1326:E1334" ca="1" si="377">IF(ISBLANK( INDIRECT($F$1100 &amp; D1326)),"", INDIRECT($F$1100 &amp; D1326))</f>
        <v/>
      </c>
      <c r="F1326" t="str">
        <f ca="1">CONCATENATE("Enter a "&amp; J1326 &amp;" for '", C1326, "' in cell ", D1326, ".", CHAR(10))</f>
        <v xml:space="preserve">Enter a Organization for 'Environmental Phase I Preparer' in cell B303.
</v>
      </c>
      <c r="G1326" s="9" t="str">
        <f t="shared" ref="G1326:G1334" ca="1" si="378">OFFSET(G1326, -1, 0) &amp; A1326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Calculations!$B$2</f>
        <v>0</v>
      </c>
      <c r="I1326" s="9"/>
      <c r="J1326" s="52" t="str">
        <f t="shared" ca="1" si="354"/>
        <v>Organization</v>
      </c>
      <c r="K1326" s="52">
        <v>1</v>
      </c>
    </row>
    <row r="1327" spans="1:11" ht="15" customHeight="1">
      <c r="A1327" t="str">
        <f t="shared" ca="1" si="355"/>
        <v/>
      </c>
      <c r="B1327" s="52">
        <f t="shared" si="370"/>
        <v>302</v>
      </c>
      <c r="C1327" t="str">
        <f t="shared" ca="1" si="376"/>
        <v>Environmental Phase I Preparer</v>
      </c>
      <c r="D1327" t="str">
        <f t="shared" si="352"/>
        <v>B304</v>
      </c>
      <c r="E1327" t="str">
        <f t="shared" ca="1" si="377"/>
        <v/>
      </c>
      <c r="F1327" t="str">
        <f ca="1">CONCATENATE("Enter an "&amp; J1327 &amp;" for '", C1327, "' in cell ", D1327, ".", CHAR(10))</f>
        <v xml:space="preserve">Enter an Address for 'Environmental Phase I Preparer' in cell B304.
</v>
      </c>
      <c r="G1327"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54"/>
        <v>Address</v>
      </c>
      <c r="K1327" s="52">
        <v>2</v>
      </c>
    </row>
    <row r="1328" spans="1:11" ht="15" customHeight="1">
      <c r="A1328" t="str">
        <f t="shared" ca="1" si="355"/>
        <v/>
      </c>
      <c r="B1328" s="52">
        <f t="shared" si="370"/>
        <v>302</v>
      </c>
      <c r="C1328" t="str">
        <f t="shared" ca="1" si="376"/>
        <v>Environmental Phase I Preparer</v>
      </c>
      <c r="D1328" t="str">
        <f t="shared" si="352"/>
        <v>B305</v>
      </c>
      <c r="E1328" t="str">
        <f t="shared" ca="1" si="377"/>
        <v/>
      </c>
      <c r="F1328" t="str">
        <f t="shared" ref="F1328:F1333" ca="1" si="379">CONCATENATE("Enter a "&amp; J1328 &amp;" for '", C1328, "' in cell ", D1328, ".", CHAR(10))</f>
        <v xml:space="preserve">Enter a City  for 'Environmental Phase I Preparer' in cell B305.
</v>
      </c>
      <c r="G1328"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54"/>
        <v xml:space="preserve">City </v>
      </c>
      <c r="K1328" s="52">
        <v>3</v>
      </c>
    </row>
    <row r="1329" spans="1:11" ht="15" customHeight="1">
      <c r="A1329" t="str">
        <f t="shared" ca="1" si="355"/>
        <v/>
      </c>
      <c r="B1329" s="52">
        <f t="shared" si="370"/>
        <v>302</v>
      </c>
      <c r="C1329" t="str">
        <f t="shared" ca="1" si="376"/>
        <v>Environmental Phase I Preparer</v>
      </c>
      <c r="D1329" t="str">
        <f t="shared" ref="D1329:D1393" si="380">ADDRESS(B1329+K1329, 2,4  )</f>
        <v>B306</v>
      </c>
      <c r="E1329" t="str">
        <f t="shared" ca="1" si="377"/>
        <v/>
      </c>
      <c r="F1329" t="str">
        <f t="shared" ca="1" si="379"/>
        <v xml:space="preserve">Enter a State for 'Environmental Phase I Preparer' in cell B306.
</v>
      </c>
      <c r="G1329"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ref="J1329:J1393" ca="1" si="381">INDIRECT($F$1100 &amp; ADDRESS(B1329+K1329, 1,4))</f>
        <v>State</v>
      </c>
      <c r="K1329" s="52">
        <v>4</v>
      </c>
    </row>
    <row r="1330" spans="1:11" ht="15" customHeight="1">
      <c r="A1330" t="str">
        <f t="shared" ref="A1330:A1394" ca="1" si="382">IF(AND(H1330, NOT($E$1103), E1330=""),F1330, "")</f>
        <v/>
      </c>
      <c r="B1330" s="52">
        <f t="shared" si="370"/>
        <v>302</v>
      </c>
      <c r="C1330" t="str">
        <f t="shared" ca="1" si="376"/>
        <v>Environmental Phase I Preparer</v>
      </c>
      <c r="D1330" t="str">
        <f t="shared" si="380"/>
        <v>B307</v>
      </c>
      <c r="E1330" t="str">
        <f t="shared" ca="1" si="377"/>
        <v/>
      </c>
      <c r="F1330" t="str">
        <f t="shared" ca="1" si="379"/>
        <v xml:space="preserve">Enter a Zip (first five #'s only) for 'Environmental Phase I Preparer' in cell B307.
</v>
      </c>
      <c r="G1330"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ca="1" si="381"/>
        <v>Zip (first five #'s only)</v>
      </c>
      <c r="K1330" s="52">
        <v>5</v>
      </c>
    </row>
    <row r="1331" spans="1:11" ht="15" customHeight="1">
      <c r="A1331" t="str">
        <f t="shared" ca="1" si="382"/>
        <v/>
      </c>
      <c r="B1331" s="52">
        <f t="shared" si="370"/>
        <v>302</v>
      </c>
      <c r="C1331" t="str">
        <f t="shared" ca="1" si="376"/>
        <v>Environmental Phase I Preparer</v>
      </c>
      <c r="D1331" t="str">
        <f t="shared" si="380"/>
        <v>B308</v>
      </c>
      <c r="E1331" t="str">
        <f t="shared" ca="1" si="377"/>
        <v/>
      </c>
      <c r="F1331" t="str">
        <f t="shared" ca="1" si="379"/>
        <v xml:space="preserve">Enter a Contact First Name for 'Environmental Phase I Preparer' in cell B308.
</v>
      </c>
      <c r="G1331"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81"/>
        <v>Contact First Name</v>
      </c>
      <c r="K1331" s="52">
        <v>6</v>
      </c>
    </row>
    <row r="1332" spans="1:11" ht="15" customHeight="1">
      <c r="A1332" t="str">
        <f t="shared" ca="1" si="382"/>
        <v/>
      </c>
      <c r="B1332" s="52">
        <f t="shared" si="370"/>
        <v>302</v>
      </c>
      <c r="C1332" t="str">
        <f t="shared" ca="1" si="376"/>
        <v>Environmental Phase I Preparer</v>
      </c>
      <c r="D1332" t="str">
        <f t="shared" si="380"/>
        <v>B309</v>
      </c>
      <c r="E1332" t="str">
        <f t="shared" ca="1" si="377"/>
        <v/>
      </c>
      <c r="F1332" t="str">
        <f t="shared" ca="1" si="379"/>
        <v xml:space="preserve">Enter a Contact Last Name for 'Environmental Phase I Preparer' in cell B309.
</v>
      </c>
      <c r="G1332"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81"/>
        <v>Contact Last Name</v>
      </c>
      <c r="K1332" s="52">
        <v>7</v>
      </c>
    </row>
    <row r="1333" spans="1:11" ht="15" customHeight="1">
      <c r="A1333" t="str">
        <f t="shared" ca="1" si="382"/>
        <v/>
      </c>
      <c r="B1333" s="52">
        <f t="shared" si="370"/>
        <v>302</v>
      </c>
      <c r="C1333" t="str">
        <f t="shared" ca="1" si="376"/>
        <v>Environmental Phase I Preparer</v>
      </c>
      <c r="D1333" t="str">
        <f t="shared" si="380"/>
        <v>B310</v>
      </c>
      <c r="E1333" t="str">
        <f t="shared" ca="1" si="377"/>
        <v/>
      </c>
      <c r="F1333" t="str">
        <f t="shared" ca="1" si="379"/>
        <v xml:space="preserve">Enter a Phone (#'s only) for 'Environmental Phase I Preparer' in cell B310.
</v>
      </c>
      <c r="G1333"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81"/>
        <v>Phone (#'s only)</v>
      </c>
      <c r="K1333" s="52">
        <v>8</v>
      </c>
    </row>
    <row r="1334" spans="1:11" ht="15" customHeight="1">
      <c r="A1334" t="str">
        <f t="shared" ca="1" si="382"/>
        <v/>
      </c>
      <c r="B1334" s="52">
        <f t="shared" si="370"/>
        <v>302</v>
      </c>
      <c r="C1334" t="str">
        <f t="shared" ca="1" si="376"/>
        <v>Environmental Phase I Preparer</v>
      </c>
      <c r="D1334" t="str">
        <f t="shared" si="380"/>
        <v>B311</v>
      </c>
      <c r="E1334" t="str">
        <f t="shared" ca="1" si="377"/>
        <v/>
      </c>
      <c r="F1334" t="str">
        <f ca="1">CONCATENATE("Enter an "&amp; J1334 &amp;" for '", C1334, "' in cell ", D1334, ".", CHAR(10))</f>
        <v xml:space="preserve">Enter an Email for 'Environmental Phase I Preparer' in cell B311.
</v>
      </c>
      <c r="G1334" s="9" t="str">
        <f t="shared" ca="1" si="37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81"/>
        <v>Email</v>
      </c>
      <c r="K1334" s="52">
        <v>9</v>
      </c>
    </row>
    <row r="1335" spans="1:11" ht="15" customHeight="1">
      <c r="A1335" t="str">
        <f t="shared" ca="1" si="382"/>
        <v/>
      </c>
      <c r="B1335">
        <f>ROW('Contact Information'!B313)</f>
        <v>313</v>
      </c>
      <c r="C1335" t="str">
        <f t="shared" ref="C1335:C1343" ca="1" si="383">INDIRECT($F$1100 &amp; ADDRESS(B1335, 1,4  ))</f>
        <v>Capital Needs Report Preparer</v>
      </c>
      <c r="D1335" t="str">
        <f t="shared" si="380"/>
        <v>B314</v>
      </c>
      <c r="E1335" t="str">
        <f t="shared" ref="E1335:E1343" ca="1" si="384">IF(ISBLANK( INDIRECT($F$1100 &amp; D1335)),"", INDIRECT($F$1100 &amp; D1335))</f>
        <v/>
      </c>
      <c r="F1335" t="str">
        <f ca="1">CONCATENATE("Enter a "&amp; J1335 &amp;" for '", C1335, "' in cell ", D1335, ".", CHAR(10))</f>
        <v xml:space="preserve">Enter a Organization for 'Capital Needs Report Preparer' in cell B314.
</v>
      </c>
      <c r="G1335" s="9" t="str">
        <f t="shared" ref="G1335:G1343" ca="1" si="385">OFFSET(G1335, -1, 0) &amp; A1335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81"/>
        <v>Organization</v>
      </c>
      <c r="K1335" s="52">
        <v>1</v>
      </c>
    </row>
    <row r="1336" spans="1:11" ht="15" customHeight="1">
      <c r="A1336" t="str">
        <f t="shared" ca="1" si="382"/>
        <v/>
      </c>
      <c r="B1336" s="52">
        <f t="shared" si="370"/>
        <v>313</v>
      </c>
      <c r="C1336" t="str">
        <f t="shared" ca="1" si="383"/>
        <v>Capital Needs Report Preparer</v>
      </c>
      <c r="D1336" t="str">
        <f t="shared" si="380"/>
        <v>B315</v>
      </c>
      <c r="E1336" t="str">
        <f t="shared" ca="1" si="384"/>
        <v/>
      </c>
      <c r="F1336" t="str">
        <f ca="1">CONCATENATE("Enter an "&amp; J1336 &amp;" for '", C1336, "' in cell ", D1336, ".", CHAR(10))</f>
        <v xml:space="preserve">Enter an Address for 'Capital Needs Report Preparer' in cell B315.
</v>
      </c>
      <c r="G1336"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81"/>
        <v>Address</v>
      </c>
      <c r="K1336" s="52">
        <v>2</v>
      </c>
    </row>
    <row r="1337" spans="1:11" ht="15" customHeight="1">
      <c r="A1337" t="str">
        <f t="shared" ca="1" si="382"/>
        <v/>
      </c>
      <c r="B1337" s="52">
        <f t="shared" si="370"/>
        <v>313</v>
      </c>
      <c r="C1337" t="str">
        <f t="shared" ca="1" si="383"/>
        <v>Capital Needs Report Preparer</v>
      </c>
      <c r="D1337" t="str">
        <f t="shared" si="380"/>
        <v>B316</v>
      </c>
      <c r="E1337" t="str">
        <f t="shared" ca="1" si="384"/>
        <v/>
      </c>
      <c r="F1337" t="str">
        <f t="shared" ref="F1337:F1342" ca="1" si="386">CONCATENATE("Enter a "&amp; J1337 &amp;" for '", C1337, "' in cell ", D1337, ".", CHAR(10))</f>
        <v xml:space="preserve">Enter a City  for 'Capital Needs Report Preparer' in cell B316.
</v>
      </c>
      <c r="G1337"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81"/>
        <v xml:space="preserve">City </v>
      </c>
      <c r="K1337" s="52">
        <v>3</v>
      </c>
    </row>
    <row r="1338" spans="1:11" ht="15" customHeight="1">
      <c r="A1338" t="str">
        <f t="shared" ca="1" si="382"/>
        <v/>
      </c>
      <c r="B1338" s="52">
        <f t="shared" si="370"/>
        <v>313</v>
      </c>
      <c r="C1338" t="str">
        <f t="shared" ca="1" si="383"/>
        <v>Capital Needs Report Preparer</v>
      </c>
      <c r="D1338" t="str">
        <f t="shared" si="380"/>
        <v>B317</v>
      </c>
      <c r="E1338" t="str">
        <f t="shared" ca="1" si="384"/>
        <v/>
      </c>
      <c r="F1338" t="str">
        <f t="shared" ca="1" si="386"/>
        <v xml:space="preserve">Enter a State for 'Capital Needs Report Preparer' in cell B317.
</v>
      </c>
      <c r="G1338"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81"/>
        <v>State</v>
      </c>
      <c r="K1338" s="52">
        <v>4</v>
      </c>
    </row>
    <row r="1339" spans="1:11" ht="15" customHeight="1">
      <c r="A1339" t="str">
        <f t="shared" ca="1" si="382"/>
        <v/>
      </c>
      <c r="B1339" s="52">
        <f t="shared" si="370"/>
        <v>313</v>
      </c>
      <c r="C1339" t="str">
        <f t="shared" ca="1" si="383"/>
        <v>Capital Needs Report Preparer</v>
      </c>
      <c r="D1339" t="str">
        <f t="shared" si="380"/>
        <v>B318</v>
      </c>
      <c r="E1339" t="str">
        <f t="shared" ca="1" si="384"/>
        <v/>
      </c>
      <c r="F1339" t="str">
        <f t="shared" ca="1" si="386"/>
        <v xml:space="preserve">Enter a Zip (first five #'s only) for 'Capital Needs Report Preparer' in cell B318.
</v>
      </c>
      <c r="G1339"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81"/>
        <v>Zip (first five #'s only)</v>
      </c>
      <c r="K1339" s="52">
        <v>5</v>
      </c>
    </row>
    <row r="1340" spans="1:11" ht="15" customHeight="1">
      <c r="A1340" t="str">
        <f t="shared" ca="1" si="382"/>
        <v/>
      </c>
      <c r="B1340" s="52">
        <f t="shared" si="370"/>
        <v>313</v>
      </c>
      <c r="C1340" t="str">
        <f t="shared" ca="1" si="383"/>
        <v>Capital Needs Report Preparer</v>
      </c>
      <c r="D1340" t="str">
        <f t="shared" si="380"/>
        <v>B319</v>
      </c>
      <c r="E1340" t="str">
        <f t="shared" ca="1" si="384"/>
        <v/>
      </c>
      <c r="F1340" t="str">
        <f t="shared" ca="1" si="386"/>
        <v xml:space="preserve">Enter a Contact First Name for 'Capital Needs Report Preparer' in cell B319.
</v>
      </c>
      <c r="G1340"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81"/>
        <v>Contact First Name</v>
      </c>
      <c r="K1340" s="52">
        <v>6</v>
      </c>
    </row>
    <row r="1341" spans="1:11" ht="15" customHeight="1">
      <c r="A1341" t="str">
        <f t="shared" ca="1" si="382"/>
        <v/>
      </c>
      <c r="B1341" s="52">
        <f t="shared" si="370"/>
        <v>313</v>
      </c>
      <c r="C1341" t="str">
        <f t="shared" ca="1" si="383"/>
        <v>Capital Needs Report Preparer</v>
      </c>
      <c r="D1341" t="str">
        <f t="shared" si="380"/>
        <v>B320</v>
      </c>
      <c r="E1341" t="str">
        <f t="shared" ca="1" si="384"/>
        <v/>
      </c>
      <c r="F1341" t="str">
        <f t="shared" ca="1" si="386"/>
        <v xml:space="preserve">Enter a Contact Last Name for 'Capital Needs Report Preparer' in cell B320.
</v>
      </c>
      <c r="G1341"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81"/>
        <v>Contact Last Name</v>
      </c>
      <c r="K1341" s="52">
        <v>7</v>
      </c>
    </row>
    <row r="1342" spans="1:11" ht="15" customHeight="1">
      <c r="A1342" t="str">
        <f t="shared" ca="1" si="382"/>
        <v/>
      </c>
      <c r="B1342" s="52">
        <f t="shared" si="370"/>
        <v>313</v>
      </c>
      <c r="C1342" t="str">
        <f t="shared" ca="1" si="383"/>
        <v>Capital Needs Report Preparer</v>
      </c>
      <c r="D1342" t="str">
        <f t="shared" si="380"/>
        <v>B321</v>
      </c>
      <c r="E1342" t="str">
        <f t="shared" ca="1" si="384"/>
        <v/>
      </c>
      <c r="F1342" t="str">
        <f t="shared" ca="1" si="386"/>
        <v xml:space="preserve">Enter a Phone (#'s only) for 'Capital Needs Report Preparer' in cell B321.
</v>
      </c>
      <c r="G1342"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81"/>
        <v>Phone (#'s only)</v>
      </c>
      <c r="K1342" s="52">
        <v>8</v>
      </c>
    </row>
    <row r="1343" spans="1:11" ht="15" customHeight="1">
      <c r="A1343" t="str">
        <f t="shared" ca="1" si="382"/>
        <v/>
      </c>
      <c r="B1343" s="52">
        <f t="shared" si="370"/>
        <v>313</v>
      </c>
      <c r="C1343" t="str">
        <f t="shared" ca="1" si="383"/>
        <v>Capital Needs Report Preparer</v>
      </c>
      <c r="D1343" t="str">
        <f t="shared" si="380"/>
        <v>B322</v>
      </c>
      <c r="E1343" t="str">
        <f t="shared" ca="1" si="384"/>
        <v/>
      </c>
      <c r="F1343" t="str">
        <f ca="1">CONCATENATE("Enter an "&amp; J1343 &amp;" for '", C1343, "' in cell ", D1343, ".", CHAR(10))</f>
        <v xml:space="preserve">Enter an Email for 'Capital Needs Report Preparer' in cell B322.
</v>
      </c>
      <c r="G1343" s="9" t="str">
        <f t="shared" ca="1" si="3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81"/>
        <v>Email</v>
      </c>
      <c r="K1343" s="52">
        <v>9</v>
      </c>
    </row>
    <row r="1344" spans="1:11" ht="15" customHeight="1">
      <c r="A1344" t="str">
        <f t="shared" ca="1" si="382"/>
        <v/>
      </c>
      <c r="B1344">
        <f>ROW('Contact Information'!B324)</f>
        <v>324</v>
      </c>
      <c r="C1344" t="str">
        <f t="shared" ref="C1344:C1352" ca="1" si="387">INDIRECT($F$1100 &amp; ADDRESS(B1344, 1,4  ))</f>
        <v>Green Consultant</v>
      </c>
      <c r="D1344" t="str">
        <f t="shared" si="380"/>
        <v>B325</v>
      </c>
      <c r="E1344" t="str">
        <f t="shared" ref="E1344:E1352" ca="1" si="388">IF(ISBLANK( INDIRECT($F$1100 &amp; D1344)),"", INDIRECT($F$1100 &amp; D1344))</f>
        <v/>
      </c>
      <c r="F1344" t="str">
        <f ca="1">CONCATENATE("Enter a "&amp; J1344 &amp;" for '", C1344, "' in cell ", D1344, ".", CHAR(10))</f>
        <v xml:space="preserve">Enter a Organization for 'Green Consultant' in cell B325.
</v>
      </c>
      <c r="G1344" s="9" t="str">
        <f t="shared" ref="G1344:G1352" ca="1" si="389">OFFSET(G1344, -1, 0) &amp; A1344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81"/>
        <v>Organization</v>
      </c>
      <c r="K1344" s="52">
        <v>1</v>
      </c>
    </row>
    <row r="1345" spans="1:11" ht="15" customHeight="1">
      <c r="A1345" t="str">
        <f t="shared" ca="1" si="382"/>
        <v/>
      </c>
      <c r="B1345" s="52">
        <f t="shared" si="370"/>
        <v>324</v>
      </c>
      <c r="C1345" t="str">
        <f t="shared" ca="1" si="387"/>
        <v>Green Consultant</v>
      </c>
      <c r="D1345" t="str">
        <f t="shared" si="380"/>
        <v>B326</v>
      </c>
      <c r="E1345" t="str">
        <f t="shared" ca="1" si="388"/>
        <v/>
      </c>
      <c r="F1345" t="str">
        <f ca="1">CONCATENATE("Enter an "&amp; J1345 &amp;" for '", C1345, "' in cell ", D1345, ".", CHAR(10))</f>
        <v xml:space="preserve">Enter an Address for 'Green Consultant' in cell B326.
</v>
      </c>
      <c r="G1345"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81"/>
        <v>Address</v>
      </c>
      <c r="K1345" s="52">
        <v>2</v>
      </c>
    </row>
    <row r="1346" spans="1:11" ht="15" customHeight="1">
      <c r="A1346" t="str">
        <f t="shared" ca="1" si="382"/>
        <v/>
      </c>
      <c r="B1346" s="52">
        <f t="shared" si="370"/>
        <v>324</v>
      </c>
      <c r="C1346" t="str">
        <f t="shared" ca="1" si="387"/>
        <v>Green Consultant</v>
      </c>
      <c r="D1346" t="str">
        <f t="shared" si="380"/>
        <v>B327</v>
      </c>
      <c r="E1346" t="str">
        <f t="shared" ca="1" si="388"/>
        <v/>
      </c>
      <c r="F1346" t="str">
        <f t="shared" ref="F1346:F1351" ca="1" si="390">CONCATENATE("Enter a "&amp; J1346 &amp;" for '", C1346, "' in cell ", D1346, ".", CHAR(10))</f>
        <v xml:space="preserve">Enter a City  for 'Green Consultant' in cell B327.
</v>
      </c>
      <c r="G1346"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Calculations!$B$2</f>
        <v>0</v>
      </c>
      <c r="I1346" s="9"/>
      <c r="J1346" s="52" t="str">
        <f t="shared" ca="1" si="381"/>
        <v xml:space="preserve">City </v>
      </c>
      <c r="K1346" s="52">
        <v>3</v>
      </c>
    </row>
    <row r="1347" spans="1:11" ht="15" customHeight="1">
      <c r="A1347" t="str">
        <f t="shared" ca="1" si="382"/>
        <v/>
      </c>
      <c r="B1347" s="52">
        <f t="shared" si="370"/>
        <v>324</v>
      </c>
      <c r="C1347" t="str">
        <f t="shared" ca="1" si="387"/>
        <v>Green Consultant</v>
      </c>
      <c r="D1347" t="str">
        <f t="shared" si="380"/>
        <v>B328</v>
      </c>
      <c r="E1347" t="str">
        <f t="shared" ca="1" si="388"/>
        <v/>
      </c>
      <c r="F1347" t="str">
        <f t="shared" ca="1" si="390"/>
        <v xml:space="preserve">Enter a State for 'Green Consultant' in cell B328.
</v>
      </c>
      <c r="G1347"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Calculations!$B$2</f>
        <v>0</v>
      </c>
      <c r="I1347" s="9"/>
      <c r="J1347" s="52" t="str">
        <f t="shared" ca="1" si="381"/>
        <v>State</v>
      </c>
      <c r="K1347" s="52">
        <v>4</v>
      </c>
    </row>
    <row r="1348" spans="1:11" ht="15" customHeight="1">
      <c r="A1348" t="str">
        <f t="shared" ca="1" si="382"/>
        <v/>
      </c>
      <c r="B1348" s="52">
        <f t="shared" si="370"/>
        <v>324</v>
      </c>
      <c r="C1348" t="str">
        <f t="shared" ca="1" si="387"/>
        <v>Green Consultant</v>
      </c>
      <c r="D1348" t="str">
        <f t="shared" si="380"/>
        <v>B329</v>
      </c>
      <c r="E1348" t="str">
        <f t="shared" ca="1" si="388"/>
        <v/>
      </c>
      <c r="F1348" t="str">
        <f t="shared" ca="1" si="390"/>
        <v xml:space="preserve">Enter a Zip (first five #'s only) for 'Green Consultant' in cell B329.
</v>
      </c>
      <c r="G1348"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Calculations!$B$2</f>
        <v>0</v>
      </c>
      <c r="I1348" s="9"/>
      <c r="J1348" s="52" t="str">
        <f t="shared" ca="1" si="381"/>
        <v>Zip (first five #'s only)</v>
      </c>
      <c r="K1348" s="52">
        <v>5</v>
      </c>
    </row>
    <row r="1349" spans="1:11" ht="15" customHeight="1">
      <c r="A1349" t="str">
        <f t="shared" ca="1" si="382"/>
        <v/>
      </c>
      <c r="B1349" s="52">
        <f t="shared" si="370"/>
        <v>324</v>
      </c>
      <c r="C1349" t="str">
        <f t="shared" ca="1" si="387"/>
        <v>Green Consultant</v>
      </c>
      <c r="D1349" t="str">
        <f t="shared" si="380"/>
        <v>B330</v>
      </c>
      <c r="E1349" t="str">
        <f t="shared" ca="1" si="388"/>
        <v/>
      </c>
      <c r="F1349" t="str">
        <f t="shared" ca="1" si="390"/>
        <v xml:space="preserve">Enter a Contact First Name for 'Green Consultant' in cell B330.
</v>
      </c>
      <c r="G1349"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Calculations!$B$2</f>
        <v>0</v>
      </c>
      <c r="I1349" s="9"/>
      <c r="J1349" s="52" t="str">
        <f t="shared" ca="1" si="381"/>
        <v>Contact First Name</v>
      </c>
      <c r="K1349" s="52">
        <v>6</v>
      </c>
    </row>
    <row r="1350" spans="1:11" ht="15" customHeight="1">
      <c r="A1350" t="str">
        <f t="shared" ca="1" si="382"/>
        <v/>
      </c>
      <c r="B1350" s="52">
        <f t="shared" si="370"/>
        <v>324</v>
      </c>
      <c r="C1350" t="str">
        <f t="shared" ca="1" si="387"/>
        <v>Green Consultant</v>
      </c>
      <c r="D1350" t="str">
        <f t="shared" si="380"/>
        <v>B331</v>
      </c>
      <c r="E1350" t="str">
        <f t="shared" ca="1" si="388"/>
        <v/>
      </c>
      <c r="F1350" t="str">
        <f t="shared" ca="1" si="390"/>
        <v xml:space="preserve">Enter a Contact Last Name for 'Green Consultant' in cell B331.
</v>
      </c>
      <c r="G1350"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Calculations!$B$2</f>
        <v>0</v>
      </c>
      <c r="I1350" s="9"/>
      <c r="J1350" s="52" t="str">
        <f t="shared" ca="1" si="381"/>
        <v>Contact Last Name</v>
      </c>
      <c r="K1350" s="52">
        <v>7</v>
      </c>
    </row>
    <row r="1351" spans="1:11" ht="15" customHeight="1">
      <c r="A1351" t="str">
        <f t="shared" ca="1" si="382"/>
        <v/>
      </c>
      <c r="B1351" s="52">
        <f t="shared" si="370"/>
        <v>324</v>
      </c>
      <c r="C1351" t="str">
        <f t="shared" ca="1" si="387"/>
        <v>Green Consultant</v>
      </c>
      <c r="D1351" t="str">
        <f t="shared" si="380"/>
        <v>B332</v>
      </c>
      <c r="E1351" t="str">
        <f t="shared" ca="1" si="388"/>
        <v/>
      </c>
      <c r="F1351" t="str">
        <f t="shared" ca="1" si="390"/>
        <v xml:space="preserve">Enter a Phone (#'s only) for 'Green Consultant' in cell B332.
</v>
      </c>
      <c r="G1351"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Calculations!$B$2</f>
        <v>0</v>
      </c>
      <c r="I1351" s="9"/>
      <c r="J1351" s="52" t="str">
        <f t="shared" ca="1" si="381"/>
        <v>Phone (#'s only)</v>
      </c>
      <c r="K1351" s="52">
        <v>8</v>
      </c>
    </row>
    <row r="1352" spans="1:11" ht="15" customHeight="1">
      <c r="A1352" t="str">
        <f t="shared" ca="1" si="382"/>
        <v/>
      </c>
      <c r="B1352" s="52">
        <f t="shared" si="370"/>
        <v>324</v>
      </c>
      <c r="C1352" t="str">
        <f t="shared" ca="1" si="387"/>
        <v>Green Consultant</v>
      </c>
      <c r="D1352" t="str">
        <f t="shared" si="380"/>
        <v>B333</v>
      </c>
      <c r="E1352" t="str">
        <f t="shared" ca="1" si="388"/>
        <v/>
      </c>
      <c r="F1352" t="str">
        <f ca="1">CONCATENATE("Enter an "&amp; J1352 &amp;" for '", C1352, "' in cell ", D1352, ".", CHAR(10))</f>
        <v xml:space="preserve">Enter an Email for 'Green Consultant' in cell B333.
</v>
      </c>
      <c r="G1352" s="9" t="str">
        <f t="shared" ca="1" si="38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Calculations!$B$2</f>
        <v>0</v>
      </c>
      <c r="I1352" s="9"/>
      <c r="J1352" s="52" t="str">
        <f t="shared" ca="1" si="381"/>
        <v>Email</v>
      </c>
      <c r="K1352" s="52">
        <v>9</v>
      </c>
    </row>
    <row r="1353" spans="1:11" ht="15" customHeight="1">
      <c r="A1353" t="str">
        <f t="shared" ca="1" si="382"/>
        <v/>
      </c>
      <c r="B1353">
        <f>ROW('Contact Information'!B335)</f>
        <v>335</v>
      </c>
      <c r="C1353" t="str">
        <f t="shared" ref="C1353:C1361" ca="1" si="391">INDIRECT($F$1100 &amp; ADDRESS(B1353, 1,4  ))</f>
        <v>Bond Purchaser</v>
      </c>
      <c r="D1353" t="str">
        <f t="shared" si="380"/>
        <v>B336</v>
      </c>
      <c r="E1353" t="str">
        <f t="shared" ref="E1353:E1361" ca="1" si="392">IF(ISBLANK( INDIRECT($F$1100 &amp; D1353)),"", INDIRECT($F$1100 &amp; D1353))</f>
        <v/>
      </c>
      <c r="F1353" t="str">
        <f ca="1">CONCATENATE("Enter a "&amp; J1353 &amp;" for '", C1353, "' in cell ", D1353, ".", CHAR(10))</f>
        <v xml:space="preserve">Enter a Organization for 'Bond Purchaser' in cell B336.
</v>
      </c>
      <c r="G1353" s="9" t="str">
        <f t="shared" ref="G1353:G1361" ca="1" si="393">OFFSET(G1353, -1, 0) &amp; A1353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TRUE</f>
        <v>1</v>
      </c>
      <c r="I1353" s="9"/>
      <c r="J1353" s="52" t="str">
        <f t="shared" ca="1" si="381"/>
        <v>Organization</v>
      </c>
      <c r="K1353" s="52">
        <v>1</v>
      </c>
    </row>
    <row r="1354" spans="1:11" ht="15" customHeight="1">
      <c r="A1354" t="str">
        <f t="shared" ca="1" si="382"/>
        <v/>
      </c>
      <c r="B1354" s="52">
        <f t="shared" si="370"/>
        <v>335</v>
      </c>
      <c r="C1354" t="str">
        <f t="shared" ca="1" si="391"/>
        <v>Bond Purchaser</v>
      </c>
      <c r="D1354" t="str">
        <f t="shared" si="380"/>
        <v>B337</v>
      </c>
      <c r="E1354" t="str">
        <f t="shared" ca="1" si="392"/>
        <v/>
      </c>
      <c r="F1354" t="str">
        <f ca="1">CONCATENATE("Enter an "&amp; J1354 &amp;" for '", C1354, "' in cell ", D1354, ".", CHAR(10))</f>
        <v xml:space="preserve">Enter an Address for 'Bond Purchaser' in cell B337.
</v>
      </c>
      <c r="G1354"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81"/>
        <v>Address</v>
      </c>
      <c r="K1354" s="52">
        <v>2</v>
      </c>
    </row>
    <row r="1355" spans="1:11" ht="15" customHeight="1">
      <c r="A1355" t="str">
        <f t="shared" ca="1" si="382"/>
        <v/>
      </c>
      <c r="B1355" s="52">
        <f t="shared" si="370"/>
        <v>335</v>
      </c>
      <c r="C1355" t="str">
        <f t="shared" ca="1" si="391"/>
        <v>Bond Purchaser</v>
      </c>
      <c r="D1355" t="str">
        <f t="shared" si="380"/>
        <v>B338</v>
      </c>
      <c r="E1355" t="str">
        <f t="shared" ca="1" si="392"/>
        <v/>
      </c>
      <c r="F1355" t="str">
        <f t="shared" ref="F1355:F1360" ca="1" si="394">CONCATENATE("Enter a "&amp; J1355 &amp;" for '", C1355, "' in cell ", D1355, ".", CHAR(10))</f>
        <v xml:space="preserve">Enter a City  for 'Bond Purchaser' in cell B338.
</v>
      </c>
      <c r="G1355"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ca="1" si="381"/>
        <v xml:space="preserve">City </v>
      </c>
      <c r="K1355" s="52">
        <v>3</v>
      </c>
    </row>
    <row r="1356" spans="1:11" ht="15" customHeight="1">
      <c r="A1356" t="str">
        <f t="shared" ca="1" si="382"/>
        <v/>
      </c>
      <c r="B1356" s="52">
        <f t="shared" si="370"/>
        <v>335</v>
      </c>
      <c r="C1356" t="str">
        <f t="shared" ca="1" si="391"/>
        <v>Bond Purchaser</v>
      </c>
      <c r="D1356" t="str">
        <f t="shared" si="380"/>
        <v>B339</v>
      </c>
      <c r="E1356" t="str">
        <f t="shared" ca="1" si="392"/>
        <v/>
      </c>
      <c r="F1356" t="str">
        <f t="shared" ca="1" si="394"/>
        <v xml:space="preserve">Enter a State for 'Bond Purchaser' in cell B339.
</v>
      </c>
      <c r="G1356"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81"/>
        <v>State</v>
      </c>
      <c r="K1356" s="52">
        <v>4</v>
      </c>
    </row>
    <row r="1357" spans="1:11" ht="15" customHeight="1">
      <c r="A1357" t="str">
        <f t="shared" ca="1" si="382"/>
        <v/>
      </c>
      <c r="B1357" s="52">
        <f t="shared" si="370"/>
        <v>335</v>
      </c>
      <c r="C1357" t="str">
        <f t="shared" ca="1" si="391"/>
        <v>Bond Purchaser</v>
      </c>
      <c r="D1357" t="str">
        <f t="shared" si="380"/>
        <v>B340</v>
      </c>
      <c r="E1357" t="str">
        <f t="shared" ca="1" si="392"/>
        <v/>
      </c>
      <c r="F1357" t="str">
        <f t="shared" ca="1" si="394"/>
        <v xml:space="preserve">Enter a Zip (first five #'s only) for 'Bond Purchaser' in cell B340.
</v>
      </c>
      <c r="G1357"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81"/>
        <v>Zip (first five #'s only)</v>
      </c>
      <c r="K1357" s="52">
        <v>5</v>
      </c>
    </row>
    <row r="1358" spans="1:11" ht="15" customHeight="1">
      <c r="A1358" t="str">
        <f t="shared" ca="1" si="382"/>
        <v/>
      </c>
      <c r="B1358" s="52">
        <f t="shared" si="370"/>
        <v>335</v>
      </c>
      <c r="C1358" t="str">
        <f t="shared" ca="1" si="391"/>
        <v>Bond Purchaser</v>
      </c>
      <c r="D1358" t="str">
        <f t="shared" si="380"/>
        <v>B341</v>
      </c>
      <c r="E1358" t="str">
        <f t="shared" ca="1" si="392"/>
        <v/>
      </c>
      <c r="F1358" t="str">
        <f t="shared" ca="1" si="394"/>
        <v xml:space="preserve">Enter a Contact First Name for 'Bond Purchaser' in cell B341.
</v>
      </c>
      <c r="G1358"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81"/>
        <v>Contact First Name</v>
      </c>
      <c r="K1358" s="52">
        <v>6</v>
      </c>
    </row>
    <row r="1359" spans="1:11" ht="15" customHeight="1">
      <c r="A1359" t="str">
        <f t="shared" ca="1" si="382"/>
        <v/>
      </c>
      <c r="B1359" s="52">
        <f t="shared" si="370"/>
        <v>335</v>
      </c>
      <c r="C1359" t="str">
        <f t="shared" ca="1" si="391"/>
        <v>Bond Purchaser</v>
      </c>
      <c r="D1359" t="str">
        <f t="shared" si="380"/>
        <v>B342</v>
      </c>
      <c r="E1359" t="str">
        <f t="shared" ca="1" si="392"/>
        <v/>
      </c>
      <c r="F1359" t="str">
        <f t="shared" ca="1" si="394"/>
        <v xml:space="preserve">Enter a Contact Last Name for 'Bond Purchaser' in cell B342.
</v>
      </c>
      <c r="G1359"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81"/>
        <v>Contact Last Name</v>
      </c>
      <c r="K1359" s="52">
        <v>7</v>
      </c>
    </row>
    <row r="1360" spans="1:11" ht="15" customHeight="1">
      <c r="A1360" t="str">
        <f t="shared" ca="1" si="382"/>
        <v/>
      </c>
      <c r="B1360" s="52">
        <f t="shared" si="370"/>
        <v>335</v>
      </c>
      <c r="C1360" t="str">
        <f t="shared" ca="1" si="391"/>
        <v>Bond Purchaser</v>
      </c>
      <c r="D1360" t="str">
        <f t="shared" si="380"/>
        <v>B343</v>
      </c>
      <c r="E1360" t="str">
        <f t="shared" ca="1" si="392"/>
        <v/>
      </c>
      <c r="F1360" t="str">
        <f t="shared" ca="1" si="394"/>
        <v xml:space="preserve">Enter a Phone (#'s only) for 'Bond Purchaser' in cell B343.
</v>
      </c>
      <c r="G1360"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81"/>
        <v>Phone (#'s only)</v>
      </c>
      <c r="K1360" s="52">
        <v>8</v>
      </c>
    </row>
    <row r="1361" spans="1:11" ht="15" customHeight="1">
      <c r="A1361" t="str">
        <f t="shared" ca="1" si="382"/>
        <v/>
      </c>
      <c r="B1361" s="52">
        <f t="shared" si="370"/>
        <v>335</v>
      </c>
      <c r="C1361" t="str">
        <f t="shared" ca="1" si="391"/>
        <v>Bond Purchaser</v>
      </c>
      <c r="D1361" t="str">
        <f t="shared" si="380"/>
        <v>B344</v>
      </c>
      <c r="E1361" t="str">
        <f t="shared" ca="1" si="392"/>
        <v/>
      </c>
      <c r="F1361" t="str">
        <f ca="1">CONCATENATE("Enter an "&amp; J1361 &amp;" for '", C1361, "' in cell ", D1361, ".", CHAR(10))</f>
        <v xml:space="preserve">Enter an Email for 'Bond Purchaser' in cell B344.
</v>
      </c>
      <c r="G1361" s="9" t="str">
        <f t="shared" ca="1" si="39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81"/>
        <v>Email</v>
      </c>
      <c r="K1361" s="52">
        <v>9</v>
      </c>
    </row>
    <row r="1362" spans="1:11" ht="15" customHeight="1">
      <c r="A1362" t="str">
        <f t="shared" ca="1" si="382"/>
        <v/>
      </c>
      <c r="B1362" s="52">
        <f t="shared" si="370"/>
        <v>335</v>
      </c>
      <c r="C1362" t="str">
        <f t="shared" ref="C1362" ca="1" si="395">INDIRECT($F$1100 &amp; ADDRESS(B1362, 1,4  ))</f>
        <v>Bond Purchaser</v>
      </c>
      <c r="D1362" t="str">
        <f t="shared" ref="D1362" si="396">ADDRESS(B1362+K1362, 2,4  )</f>
        <v>B345</v>
      </c>
      <c r="E1362" t="str">
        <f t="shared" ref="E1362" ca="1" si="397">IF(ISBLANK( INDIRECT($F$1100 &amp; D1362)),"", INDIRECT($F$1100 &amp; D1362))</f>
        <v/>
      </c>
      <c r="F1362" t="str">
        <f ca="1">CONCATENATE("Enter a "&amp; J1362 &amp;" for '", C1362, "' in cell ", D1362, ".", CHAR(10))</f>
        <v xml:space="preserve">Enter a Bonds are Public or Private Placement for 'Bond Purchaser' in cell B345.
</v>
      </c>
      <c r="G1362" s="9" t="str">
        <f t="shared" ref="G1362" ca="1" si="398">OFFSET(G1362, -1, 0) &amp; A1362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ref="J1362" ca="1" si="399">INDIRECT($F$1100 &amp; ADDRESS(B1362+K1362, 1,4))</f>
        <v>Bonds are Public or Private Placement</v>
      </c>
      <c r="K1362" s="52">
        <v>10</v>
      </c>
    </row>
    <row r="1363" spans="1:11" ht="15" customHeight="1">
      <c r="A1363" t="str">
        <f t="shared" ca="1" si="382"/>
        <v/>
      </c>
      <c r="B1363">
        <f>ROW('Contact Information'!B347)</f>
        <v>347</v>
      </c>
      <c r="C1363" t="str">
        <f t="shared" ca="1" si="361"/>
        <v>Bond Issuer (if not CHFA)</v>
      </c>
      <c r="D1363" t="str">
        <f t="shared" si="380"/>
        <v>B348</v>
      </c>
      <c r="E1363" t="str">
        <f t="shared" ca="1" si="362"/>
        <v/>
      </c>
      <c r="F1363" t="str">
        <f ca="1">CONCATENATE("Enter a "&amp; J1363 &amp;" for '", C1363, "' in cell ", D1363, ".", CHAR(10))</f>
        <v xml:space="preserve">Enter a Organization for 'Bond Issuer (if not CHFA)' in cell B348.
</v>
      </c>
      <c r="G1363"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ca="1" si="381"/>
        <v>Organization</v>
      </c>
      <c r="K1363" s="52">
        <v>1</v>
      </c>
    </row>
    <row r="1364" spans="1:11" ht="15" customHeight="1">
      <c r="A1364" t="str">
        <f t="shared" ca="1" si="382"/>
        <v/>
      </c>
      <c r="B1364" s="52">
        <f t="shared" ref="B1364:B1371" si="400">B1363</f>
        <v>347</v>
      </c>
      <c r="C1364" t="str">
        <f t="shared" ca="1" si="361"/>
        <v>Bond Issuer (if not CHFA)</v>
      </c>
      <c r="D1364" t="str">
        <f t="shared" si="380"/>
        <v>B349</v>
      </c>
      <c r="E1364" t="str">
        <f t="shared" ca="1" si="362"/>
        <v/>
      </c>
      <c r="F1364" t="str">
        <f ca="1">CONCATENATE("Enter an "&amp; J1364 &amp;" for '", C1364, "' in cell ", D1364, ".", CHAR(10))</f>
        <v xml:space="preserve">Enter an Address for 'Bond Issuer (if not CHFA)' in cell B349.
</v>
      </c>
      <c r="G1364"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81"/>
        <v>Address</v>
      </c>
      <c r="K1364" s="52">
        <v>2</v>
      </c>
    </row>
    <row r="1365" spans="1:11" ht="15" customHeight="1">
      <c r="A1365" t="str">
        <f t="shared" ca="1" si="382"/>
        <v/>
      </c>
      <c r="B1365" s="52">
        <f t="shared" si="400"/>
        <v>347</v>
      </c>
      <c r="C1365" t="str">
        <f t="shared" ca="1" si="361"/>
        <v>Bond Issuer (if not CHFA)</v>
      </c>
      <c r="D1365" t="str">
        <f t="shared" si="380"/>
        <v>B350</v>
      </c>
      <c r="E1365" t="str">
        <f t="shared" ca="1" si="362"/>
        <v/>
      </c>
      <c r="F1365" t="str">
        <f t="shared" ref="F1365:F1370" ca="1" si="401">CONCATENATE("Enter a "&amp; J1365 &amp;" for '", C1365, "' in cell ", D1365, ".", CHAR(10))</f>
        <v xml:space="preserve">Enter a City  for 'Bond Issuer (if not CHFA)' in cell B350.
</v>
      </c>
      <c r="G1365"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TRUE</f>
        <v>1</v>
      </c>
      <c r="I1365" s="9"/>
      <c r="J1365" s="52" t="str">
        <f t="shared" ca="1" si="381"/>
        <v xml:space="preserve">City </v>
      </c>
      <c r="K1365" s="52">
        <v>3</v>
      </c>
    </row>
    <row r="1366" spans="1:11" ht="15" customHeight="1">
      <c r="A1366" t="str">
        <f t="shared" ca="1" si="382"/>
        <v/>
      </c>
      <c r="B1366" s="52">
        <f t="shared" si="400"/>
        <v>347</v>
      </c>
      <c r="C1366" t="str">
        <f t="shared" ca="1" si="361"/>
        <v>Bond Issuer (if not CHFA)</v>
      </c>
      <c r="D1366" t="str">
        <f t="shared" si="380"/>
        <v>B351</v>
      </c>
      <c r="E1366" t="str">
        <f t="shared" ca="1" si="362"/>
        <v/>
      </c>
      <c r="F1366" t="str">
        <f t="shared" ca="1" si="401"/>
        <v xml:space="preserve">Enter a State for 'Bond Issuer (if not CHFA)' in cell B351.
</v>
      </c>
      <c r="G1366"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TRUE</f>
        <v>1</v>
      </c>
      <c r="I1366" s="9"/>
      <c r="J1366" s="52" t="str">
        <f t="shared" ca="1" si="381"/>
        <v>State</v>
      </c>
      <c r="K1366" s="52">
        <v>4</v>
      </c>
    </row>
    <row r="1367" spans="1:11" ht="15" customHeight="1">
      <c r="A1367" t="str">
        <f t="shared" ca="1" si="382"/>
        <v/>
      </c>
      <c r="B1367" s="52">
        <f t="shared" si="400"/>
        <v>347</v>
      </c>
      <c r="C1367" t="str">
        <f t="shared" ca="1" si="361"/>
        <v>Bond Issuer (if not CHFA)</v>
      </c>
      <c r="D1367" t="str">
        <f t="shared" si="380"/>
        <v>B352</v>
      </c>
      <c r="E1367" t="str">
        <f t="shared" ca="1" si="362"/>
        <v/>
      </c>
      <c r="F1367" t="str">
        <f t="shared" ca="1" si="401"/>
        <v xml:space="preserve">Enter a Zip (first five #'s only) for 'Bond Issuer (if not CHFA)' in cell B352.
</v>
      </c>
      <c r="G1367"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TRUE</f>
        <v>1</v>
      </c>
      <c r="I1367" s="9"/>
      <c r="J1367" s="52" t="str">
        <f t="shared" ca="1" si="381"/>
        <v>Zip (first five #'s only)</v>
      </c>
      <c r="K1367" s="52">
        <v>5</v>
      </c>
    </row>
    <row r="1368" spans="1:11" ht="15" customHeight="1">
      <c r="A1368" t="str">
        <f t="shared" ca="1" si="382"/>
        <v/>
      </c>
      <c r="B1368" s="52">
        <f t="shared" si="400"/>
        <v>347</v>
      </c>
      <c r="C1368" t="str">
        <f t="shared" ca="1" si="361"/>
        <v>Bond Issuer (if not CHFA)</v>
      </c>
      <c r="D1368" t="str">
        <f t="shared" si="380"/>
        <v>B353</v>
      </c>
      <c r="E1368" t="str">
        <f t="shared" ca="1" si="362"/>
        <v/>
      </c>
      <c r="F1368" t="str">
        <f t="shared" ca="1" si="401"/>
        <v xml:space="preserve">Enter a Contact First Name for 'Bond Issuer (if not CHFA)' in cell B353.
</v>
      </c>
      <c r="G1368"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TRUE</f>
        <v>1</v>
      </c>
      <c r="I1368" s="9"/>
      <c r="J1368" s="52" t="str">
        <f t="shared" ca="1" si="381"/>
        <v>Contact First Name</v>
      </c>
      <c r="K1368" s="52">
        <v>6</v>
      </c>
    </row>
    <row r="1369" spans="1:11" ht="15" customHeight="1">
      <c r="A1369" t="str">
        <f t="shared" ca="1" si="382"/>
        <v/>
      </c>
      <c r="B1369" s="52">
        <f t="shared" si="400"/>
        <v>347</v>
      </c>
      <c r="C1369" t="str">
        <f t="shared" ca="1" si="361"/>
        <v>Bond Issuer (if not CHFA)</v>
      </c>
      <c r="D1369" t="str">
        <f t="shared" si="380"/>
        <v>B354</v>
      </c>
      <c r="E1369" t="str">
        <f t="shared" ca="1" si="362"/>
        <v/>
      </c>
      <c r="F1369" t="str">
        <f t="shared" ca="1" si="401"/>
        <v xml:space="preserve">Enter a Contact Last Name for 'Bond Issuer (if not CHFA)' in cell B354.
</v>
      </c>
      <c r="G1369"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TRUE</f>
        <v>1</v>
      </c>
      <c r="I1369" s="9"/>
      <c r="J1369" s="52" t="str">
        <f t="shared" ca="1" si="381"/>
        <v>Contact Last Name</v>
      </c>
      <c r="K1369" s="52">
        <v>7</v>
      </c>
    </row>
    <row r="1370" spans="1:11" ht="15" customHeight="1">
      <c r="A1370" t="str">
        <f t="shared" ca="1" si="382"/>
        <v/>
      </c>
      <c r="B1370" s="52">
        <f t="shared" si="400"/>
        <v>347</v>
      </c>
      <c r="C1370" t="str">
        <f t="shared" ref="C1370:C1408" ca="1" si="402">INDIRECT($F$1100 &amp; ADDRESS(B1370, 1,4  ))</f>
        <v>Bond Issuer (if not CHFA)</v>
      </c>
      <c r="D1370" t="str">
        <f t="shared" si="380"/>
        <v>B355</v>
      </c>
      <c r="E1370" t="str">
        <f t="shared" ref="E1370:E1398" ca="1" si="403">IF(ISBLANK( INDIRECT($F$1100 &amp; D1370)),"", INDIRECT($F$1100 &amp; D1370))</f>
        <v/>
      </c>
      <c r="F1370" t="str">
        <f t="shared" ca="1" si="401"/>
        <v xml:space="preserve">Enter a Phone (#'s only) for 'Bond Issuer (if not CHFA)' in cell B355.
</v>
      </c>
      <c r="G1370" s="9" t="str">
        <f t="shared" ca="1" si="32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TRUE</f>
        <v>1</v>
      </c>
      <c r="I1370" s="9"/>
      <c r="J1370" s="52" t="str">
        <f t="shared" ca="1" si="381"/>
        <v>Phone (#'s only)</v>
      </c>
      <c r="K1370" s="52">
        <v>8</v>
      </c>
    </row>
    <row r="1371" spans="1:11" ht="15" customHeight="1">
      <c r="A1371" t="str">
        <f t="shared" ca="1" si="382"/>
        <v/>
      </c>
      <c r="B1371" s="52">
        <f t="shared" si="400"/>
        <v>347</v>
      </c>
      <c r="C1371" t="str">
        <f t="shared" ca="1" si="402"/>
        <v>Bond Issuer (if not CHFA)</v>
      </c>
      <c r="D1371" t="str">
        <f t="shared" si="380"/>
        <v>B356</v>
      </c>
      <c r="E1371" t="str">
        <f t="shared" ca="1" si="403"/>
        <v/>
      </c>
      <c r="F1371" t="str">
        <f ca="1">CONCATENATE("Enter an "&amp; J1371 &amp;" for '", C1371, "' in cell ", D1371, ".", CHAR(10))</f>
        <v xml:space="preserve">Enter an Email for 'Bond Issuer (if not CHFA)' in cell B356.
</v>
      </c>
      <c r="G1371" s="9" t="str">
        <f t="shared" ref="G1371:G1482" ca="1" si="404">OFFSET(G1371, -1, 0) &amp; A1371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TRUE</f>
        <v>1</v>
      </c>
      <c r="I1371" s="9"/>
      <c r="J1371" s="52" t="str">
        <f t="shared" ca="1" si="381"/>
        <v>Email</v>
      </c>
      <c r="K1371" s="52">
        <v>9</v>
      </c>
    </row>
    <row r="1372" spans="1:11" ht="15" customHeight="1">
      <c r="A1372" t="str">
        <f t="shared" ca="1" si="382"/>
        <v/>
      </c>
      <c r="B1372">
        <f>ROW('Contact Information'!B358)</f>
        <v>358</v>
      </c>
      <c r="C1372" t="str">
        <f t="shared" ca="1" si="402"/>
        <v>Bond Counsel (if not CHFA)</v>
      </c>
      <c r="D1372" t="str">
        <f t="shared" si="380"/>
        <v>B359</v>
      </c>
      <c r="E1372" t="str">
        <f t="shared" ca="1" si="403"/>
        <v/>
      </c>
      <c r="F1372" t="str">
        <f ca="1">CONCATENATE("Enter a "&amp; J1372 &amp;" for '", C1372, "' in cell ", D1372, ".", CHAR(10))</f>
        <v xml:space="preserve">Enter a Organization for 'Bond Counsel (if not CHFA)' in cell B359.
</v>
      </c>
      <c r="G137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Calculations!$B$2</f>
        <v>0</v>
      </c>
      <c r="I1372" s="9"/>
      <c r="J1372" s="52" t="str">
        <f t="shared" ca="1" si="381"/>
        <v>Organization</v>
      </c>
      <c r="K1372" s="52">
        <v>1</v>
      </c>
    </row>
    <row r="1373" spans="1:11" ht="15" customHeight="1">
      <c r="A1373" t="str">
        <f t="shared" ca="1" si="382"/>
        <v/>
      </c>
      <c r="B1373" s="52">
        <f t="shared" ref="B1373:B1380" si="405">B1372</f>
        <v>358</v>
      </c>
      <c r="C1373" t="str">
        <f t="shared" ca="1" si="402"/>
        <v>Bond Counsel (if not CHFA)</v>
      </c>
      <c r="D1373" t="str">
        <f t="shared" si="380"/>
        <v>B360</v>
      </c>
      <c r="E1373" t="str">
        <f t="shared" ca="1" si="403"/>
        <v/>
      </c>
      <c r="F1373" t="str">
        <f ca="1">CONCATENATE("Enter an "&amp; J1373 &amp;" for '", C1373, "' in cell ", D1373, ".", CHAR(10))</f>
        <v xml:space="preserve">Enter an Address for 'Bond Counsel (if not CHFA)' in cell B360.
</v>
      </c>
      <c r="G1373"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81"/>
        <v>Address</v>
      </c>
      <c r="K1373" s="52">
        <v>2</v>
      </c>
    </row>
    <row r="1374" spans="1:11" ht="15" customHeight="1">
      <c r="A1374" t="str">
        <f t="shared" ca="1" si="382"/>
        <v/>
      </c>
      <c r="B1374" s="52">
        <f t="shared" si="405"/>
        <v>358</v>
      </c>
      <c r="C1374" t="str">
        <f t="shared" ca="1" si="402"/>
        <v>Bond Counsel (if not CHFA)</v>
      </c>
      <c r="D1374" t="str">
        <f t="shared" si="380"/>
        <v>B361</v>
      </c>
      <c r="E1374" t="str">
        <f t="shared" ca="1" si="403"/>
        <v/>
      </c>
      <c r="F1374" t="str">
        <f t="shared" ref="F1374:F1379" ca="1" si="406">CONCATENATE("Enter a "&amp; J1374 &amp;" for '", C1374, "' in cell ", D1374, ".", CHAR(10))</f>
        <v xml:space="preserve">Enter a City  for 'Bond Counsel (if not CHFA)' in cell B361.
</v>
      </c>
      <c r="G1374"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81"/>
        <v xml:space="preserve">City </v>
      </c>
      <c r="K1374" s="52">
        <v>3</v>
      </c>
    </row>
    <row r="1375" spans="1:11" ht="15" customHeight="1">
      <c r="A1375" t="str">
        <f t="shared" ca="1" si="382"/>
        <v/>
      </c>
      <c r="B1375" s="52">
        <f t="shared" si="405"/>
        <v>358</v>
      </c>
      <c r="C1375" t="str">
        <f t="shared" ca="1" si="402"/>
        <v>Bond Counsel (if not CHFA)</v>
      </c>
      <c r="D1375" t="str">
        <f t="shared" si="380"/>
        <v>B362</v>
      </c>
      <c r="E1375" t="str">
        <f t="shared" ca="1" si="403"/>
        <v/>
      </c>
      <c r="F1375" t="str">
        <f t="shared" ca="1" si="406"/>
        <v xml:space="preserve">Enter a State for 'Bond Counsel (if not CHFA)' in cell B362.
</v>
      </c>
      <c r="G1375"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81"/>
        <v>State</v>
      </c>
      <c r="K1375" s="52">
        <v>4</v>
      </c>
    </row>
    <row r="1376" spans="1:11" ht="15" customHeight="1">
      <c r="A1376" t="str">
        <f t="shared" ca="1" si="382"/>
        <v/>
      </c>
      <c r="B1376" s="52">
        <f t="shared" si="405"/>
        <v>358</v>
      </c>
      <c r="C1376" t="str">
        <f t="shared" ca="1" si="402"/>
        <v>Bond Counsel (if not CHFA)</v>
      </c>
      <c r="D1376" t="str">
        <f t="shared" si="380"/>
        <v>B363</v>
      </c>
      <c r="E1376" t="str">
        <f t="shared" ca="1" si="403"/>
        <v/>
      </c>
      <c r="F1376" t="str">
        <f t="shared" ca="1" si="406"/>
        <v xml:space="preserve">Enter a Zip (first five #'s only) for 'Bond Counsel (if not CHFA)' in cell B363.
</v>
      </c>
      <c r="G1376"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81"/>
        <v>Zip (first five #'s only)</v>
      </c>
      <c r="K1376" s="52">
        <v>5</v>
      </c>
    </row>
    <row r="1377" spans="1:11" ht="15" customHeight="1">
      <c r="A1377" t="str">
        <f t="shared" ca="1" si="382"/>
        <v/>
      </c>
      <c r="B1377" s="52">
        <f t="shared" si="405"/>
        <v>358</v>
      </c>
      <c r="C1377" t="str">
        <f t="shared" ca="1" si="402"/>
        <v>Bond Counsel (if not CHFA)</v>
      </c>
      <c r="D1377" t="str">
        <f t="shared" si="380"/>
        <v>B364</v>
      </c>
      <c r="E1377" t="str">
        <f t="shared" ca="1" si="403"/>
        <v/>
      </c>
      <c r="F1377" t="str">
        <f t="shared" ca="1" si="406"/>
        <v xml:space="preserve">Enter a Contact First Name for 'Bond Counsel (if not CHFA)' in cell B364.
</v>
      </c>
      <c r="G1377"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81"/>
        <v>Contact First Name</v>
      </c>
      <c r="K1377" s="52">
        <v>6</v>
      </c>
    </row>
    <row r="1378" spans="1:11" ht="15" customHeight="1">
      <c r="A1378" t="str">
        <f t="shared" ca="1" si="382"/>
        <v/>
      </c>
      <c r="B1378" s="52">
        <f t="shared" si="405"/>
        <v>358</v>
      </c>
      <c r="C1378" t="str">
        <f t="shared" ca="1" si="402"/>
        <v>Bond Counsel (if not CHFA)</v>
      </c>
      <c r="D1378" t="str">
        <f t="shared" si="380"/>
        <v>B365</v>
      </c>
      <c r="E1378" t="str">
        <f t="shared" ca="1" si="403"/>
        <v/>
      </c>
      <c r="F1378" t="str">
        <f t="shared" ca="1" si="406"/>
        <v xml:space="preserve">Enter a Contact Last Name for 'Bond Counsel (if not CHFA)' in cell B365.
</v>
      </c>
      <c r="G1378"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81"/>
        <v>Contact Last Name</v>
      </c>
      <c r="K1378" s="52">
        <v>7</v>
      </c>
    </row>
    <row r="1379" spans="1:11" ht="15" customHeight="1">
      <c r="A1379" t="str">
        <f t="shared" ca="1" si="382"/>
        <v/>
      </c>
      <c r="B1379" s="52">
        <f t="shared" si="405"/>
        <v>358</v>
      </c>
      <c r="C1379" t="str">
        <f t="shared" ca="1" si="402"/>
        <v>Bond Counsel (if not CHFA)</v>
      </c>
      <c r="D1379" t="str">
        <f t="shared" si="380"/>
        <v>B366</v>
      </c>
      <c r="E1379" t="str">
        <f t="shared" ca="1" si="403"/>
        <v/>
      </c>
      <c r="F1379" t="str">
        <f t="shared" ca="1" si="406"/>
        <v xml:space="preserve">Enter a Phone (#'s only) for 'Bond Counsel (if not CHFA)' in cell B366.
</v>
      </c>
      <c r="G1379"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81"/>
        <v>Phone (#'s only)</v>
      </c>
      <c r="K1379" s="52">
        <v>8</v>
      </c>
    </row>
    <row r="1380" spans="1:11" ht="15" customHeight="1">
      <c r="A1380" t="str">
        <f t="shared" ca="1" si="382"/>
        <v/>
      </c>
      <c r="B1380" s="52">
        <f t="shared" si="405"/>
        <v>358</v>
      </c>
      <c r="C1380" t="str">
        <f t="shared" ca="1" si="402"/>
        <v>Bond Counsel (if not CHFA)</v>
      </c>
      <c r="D1380" t="str">
        <f t="shared" si="380"/>
        <v>B367</v>
      </c>
      <c r="E1380" t="str">
        <f t="shared" ca="1" si="403"/>
        <v/>
      </c>
      <c r="F1380" t="str">
        <f ca="1">CONCATENATE("Enter an "&amp; J1380 &amp;" for '", C1380, "' in cell ", D1380, ".", CHAR(10))</f>
        <v xml:space="preserve">Enter an Email for 'Bond Counsel (if not CHFA)' in cell B367.
</v>
      </c>
      <c r="G1380"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81"/>
        <v>Email</v>
      </c>
      <c r="K1380" s="52">
        <v>9</v>
      </c>
    </row>
    <row r="1381" spans="1:11" ht="15" customHeight="1">
      <c r="A1381" t="str">
        <f t="shared" ca="1" si="382"/>
        <v/>
      </c>
      <c r="B1381">
        <f>ROW('Contact Information'!B369)</f>
        <v>369</v>
      </c>
      <c r="C1381" t="str">
        <f t="shared" ca="1" si="402"/>
        <v>Mayor/Elected Official/Jurisdiction</v>
      </c>
      <c r="D1381" t="str">
        <f t="shared" si="380"/>
        <v>B370</v>
      </c>
      <c r="E1381" t="str">
        <f t="shared" ca="1" si="403"/>
        <v/>
      </c>
      <c r="F1381" t="str">
        <f ca="1">CONCATENATE("Enter a "&amp; J1381 &amp;" for '", C1381, "' in cell ", D1381, ".", CHAR(10))</f>
        <v xml:space="preserve">Enter a City/Jurisdiction Name for 'Mayor/Elected Official/Jurisdiction' in cell B370.
</v>
      </c>
      <c r="G1381"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81"/>
        <v>City/Jurisdiction Name</v>
      </c>
      <c r="K1381" s="52">
        <v>1</v>
      </c>
    </row>
    <row r="1382" spans="1:11" ht="15" customHeight="1">
      <c r="A1382" t="str">
        <f t="shared" ca="1" si="382"/>
        <v/>
      </c>
      <c r="B1382" s="52">
        <f t="shared" ref="B1382:B1389" si="407">B1381</f>
        <v>369</v>
      </c>
      <c r="C1382" t="str">
        <f t="shared" ca="1" si="402"/>
        <v>Mayor/Elected Official/Jurisdiction</v>
      </c>
      <c r="D1382" t="str">
        <f t="shared" si="380"/>
        <v>B371</v>
      </c>
      <c r="E1382" t="str">
        <f t="shared" ca="1" si="403"/>
        <v/>
      </c>
      <c r="F1382" t="str">
        <f ca="1">CONCATENATE("Enter an "&amp; J1382 &amp;" for '", C1382, "' in cell ", D1382, ".", CHAR(10))</f>
        <v xml:space="preserve">Enter an Title of Elected Official for 'Mayor/Elected Official/Jurisdiction' in cell B371.
</v>
      </c>
      <c r="G138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81"/>
        <v>Title of Elected Official</v>
      </c>
      <c r="K1382" s="52">
        <v>2</v>
      </c>
    </row>
    <row r="1383" spans="1:11" ht="15" customHeight="1">
      <c r="A1383" t="str">
        <f t="shared" ca="1" si="382"/>
        <v/>
      </c>
      <c r="B1383" s="52">
        <f t="shared" si="407"/>
        <v>369</v>
      </c>
      <c r="C1383" t="str">
        <f t="shared" ca="1" si="402"/>
        <v>Mayor/Elected Official/Jurisdiction</v>
      </c>
      <c r="D1383" t="str">
        <f t="shared" si="380"/>
        <v>B372</v>
      </c>
      <c r="E1383" t="str">
        <f t="shared" ca="1" si="403"/>
        <v/>
      </c>
      <c r="F1383" t="str">
        <f t="shared" ref="F1383:F1388" ca="1" si="408">CONCATENATE("Enter a "&amp; J1383 &amp;" for '", C1383, "' in cell ", D1383, ".", CHAR(10))</f>
        <v xml:space="preserve">Enter a Address for 'Mayor/Elected Official/Jurisdiction' in cell B372.
</v>
      </c>
      <c r="G1383"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81"/>
        <v>Address</v>
      </c>
      <c r="K1383" s="52">
        <v>3</v>
      </c>
    </row>
    <row r="1384" spans="1:11" ht="15" customHeight="1">
      <c r="A1384" t="str">
        <f t="shared" ca="1" si="382"/>
        <v/>
      </c>
      <c r="B1384" s="52">
        <f t="shared" si="407"/>
        <v>369</v>
      </c>
      <c r="C1384" t="str">
        <f t="shared" ca="1" si="402"/>
        <v>Mayor/Elected Official/Jurisdiction</v>
      </c>
      <c r="D1384" t="str">
        <f t="shared" si="380"/>
        <v>B373</v>
      </c>
      <c r="E1384" t="str">
        <f t="shared" ca="1" si="403"/>
        <v/>
      </c>
      <c r="F1384" t="str">
        <f t="shared" ca="1" si="408"/>
        <v xml:space="preserve">Enter a City  for 'Mayor/Elected Official/Jurisdiction' in cell B373.
</v>
      </c>
      <c r="G1384"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81"/>
        <v xml:space="preserve">City </v>
      </c>
      <c r="K1384" s="52">
        <v>4</v>
      </c>
    </row>
    <row r="1385" spans="1:11" ht="15" customHeight="1">
      <c r="A1385" t="str">
        <f t="shared" ca="1" si="382"/>
        <v/>
      </c>
      <c r="B1385" s="52">
        <f t="shared" si="407"/>
        <v>369</v>
      </c>
      <c r="C1385" t="str">
        <f t="shared" ca="1" si="402"/>
        <v>Mayor/Elected Official/Jurisdiction</v>
      </c>
      <c r="D1385" t="str">
        <f t="shared" si="380"/>
        <v>B374</v>
      </c>
      <c r="E1385" t="str">
        <f t="shared" ca="1" si="403"/>
        <v/>
      </c>
      <c r="F1385" t="str">
        <f t="shared" ca="1" si="408"/>
        <v xml:space="preserve">Enter a State for 'Mayor/Elected Official/Jurisdiction' in cell B374.
</v>
      </c>
      <c r="G1385"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81"/>
        <v>State</v>
      </c>
      <c r="K1385" s="52">
        <v>5</v>
      </c>
    </row>
    <row r="1386" spans="1:11" ht="15" customHeight="1">
      <c r="A1386" t="str">
        <f t="shared" ca="1" si="382"/>
        <v/>
      </c>
      <c r="B1386" s="52">
        <f t="shared" si="407"/>
        <v>369</v>
      </c>
      <c r="C1386" t="str">
        <f t="shared" ca="1" si="402"/>
        <v>Mayor/Elected Official/Jurisdiction</v>
      </c>
      <c r="D1386" t="str">
        <f t="shared" si="380"/>
        <v>B375</v>
      </c>
      <c r="E1386" t="str">
        <f t="shared" ca="1" si="403"/>
        <v/>
      </c>
      <c r="F1386" t="str">
        <f t="shared" ca="1" si="408"/>
        <v xml:space="preserve">Enter a Zip (first five #'s only) for 'Mayor/Elected Official/Jurisdiction' in cell B375.
</v>
      </c>
      <c r="G1386"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81"/>
        <v>Zip (first five #'s only)</v>
      </c>
      <c r="K1386" s="52">
        <v>6</v>
      </c>
    </row>
    <row r="1387" spans="1:11" ht="15" customHeight="1">
      <c r="A1387" t="str">
        <f t="shared" ca="1" si="382"/>
        <v/>
      </c>
      <c r="B1387" s="52">
        <f t="shared" si="407"/>
        <v>369</v>
      </c>
      <c r="C1387" t="str">
        <f t="shared" ca="1" si="402"/>
        <v>Mayor/Elected Official/Jurisdiction</v>
      </c>
      <c r="D1387" t="str">
        <f t="shared" si="380"/>
        <v>B376</v>
      </c>
      <c r="E1387" t="str">
        <f t="shared" ca="1" si="403"/>
        <v/>
      </c>
      <c r="F1387" t="str">
        <f t="shared" ca="1" si="408"/>
        <v xml:space="preserve">Enter a Contact First Name for 'Mayor/Elected Official/Jurisdiction' in cell B376.
</v>
      </c>
      <c r="G1387"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ca="1" si="381"/>
        <v>Contact First Name</v>
      </c>
      <c r="K1387" s="52">
        <v>7</v>
      </c>
    </row>
    <row r="1388" spans="1:11" ht="15" customHeight="1">
      <c r="A1388" t="str">
        <f t="shared" ca="1" si="382"/>
        <v/>
      </c>
      <c r="B1388" s="52">
        <f t="shared" si="407"/>
        <v>369</v>
      </c>
      <c r="C1388" t="str">
        <f t="shared" ca="1" si="402"/>
        <v>Mayor/Elected Official/Jurisdiction</v>
      </c>
      <c r="D1388" t="str">
        <f t="shared" si="380"/>
        <v>B377</v>
      </c>
      <c r="E1388" t="str">
        <f t="shared" ca="1" si="403"/>
        <v/>
      </c>
      <c r="F1388" t="str">
        <f t="shared" ca="1" si="408"/>
        <v xml:space="preserve">Enter a Contact Last Name for 'Mayor/Elected Official/Jurisdiction' in cell B377.
</v>
      </c>
      <c r="G1388"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381"/>
        <v>Contact Last Name</v>
      </c>
      <c r="K1388" s="52">
        <v>8</v>
      </c>
    </row>
    <row r="1389" spans="1:11" ht="15" customHeight="1">
      <c r="A1389" t="str">
        <f t="shared" ca="1" si="382"/>
        <v/>
      </c>
      <c r="B1389" s="52">
        <f t="shared" si="407"/>
        <v>369</v>
      </c>
      <c r="C1389" t="str">
        <f t="shared" ca="1" si="402"/>
        <v>Mayor/Elected Official/Jurisdiction</v>
      </c>
      <c r="D1389" t="str">
        <f t="shared" si="380"/>
        <v>B378</v>
      </c>
      <c r="E1389" t="str">
        <f t="shared" ca="1" si="403"/>
        <v/>
      </c>
      <c r="F1389" t="str">
        <f ca="1">CONCATENATE("Enter an "&amp; J1389 &amp;" for '", C1389, "' in cell ", D1389, ".", CHAR(10))</f>
        <v xml:space="preserve">Enter an Phone (#'s only) for 'Mayor/Elected Official/Jurisdiction' in cell B378.
</v>
      </c>
      <c r="G1389"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381"/>
        <v>Phone (#'s only)</v>
      </c>
      <c r="K1389" s="52">
        <v>9</v>
      </c>
    </row>
    <row r="1390" spans="1:11" ht="15" customHeight="1">
      <c r="A1390" t="str">
        <f t="shared" ca="1" si="382"/>
        <v/>
      </c>
      <c r="B1390">
        <f>ROW('Contact Information'!B381)</f>
        <v>381</v>
      </c>
      <c r="C1390" t="str">
        <f t="shared" ca="1" si="402"/>
        <v>Council Member</v>
      </c>
      <c r="D1390" t="str">
        <f t="shared" si="380"/>
        <v>B382</v>
      </c>
      <c r="E1390" t="str">
        <f t="shared" ca="1" si="403"/>
        <v/>
      </c>
      <c r="F1390" t="str">
        <f ca="1">CONCATENATE("Enter a "&amp; J1390 &amp;" for '", C1390, "' in cell ", D1390, ".", CHAR(10))</f>
        <v xml:space="preserve">Enter a Jurisdiction Name for 'Council Member' in cell B382.
</v>
      </c>
      <c r="G1390"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381"/>
        <v>Jurisdiction Name</v>
      </c>
      <c r="K1390" s="52">
        <v>1</v>
      </c>
    </row>
    <row r="1391" spans="1:11" ht="15" customHeight="1">
      <c r="A1391" t="str">
        <f t="shared" ca="1" si="382"/>
        <v/>
      </c>
      <c r="B1391" s="52">
        <f t="shared" ref="B1391:B1407" si="409">B1390</f>
        <v>381</v>
      </c>
      <c r="C1391" t="str">
        <f t="shared" ca="1" si="402"/>
        <v>Council Member</v>
      </c>
      <c r="D1391" t="str">
        <f t="shared" si="380"/>
        <v>B383</v>
      </c>
      <c r="E1391" t="str">
        <f t="shared" ca="1" si="403"/>
        <v/>
      </c>
      <c r="F1391" t="str">
        <f ca="1">CONCATENATE("Enter an "&amp; J1391 &amp;" for '", C1391, "' in cell ", D1391, ".", CHAR(10))</f>
        <v xml:space="preserve">Enter an Title of Elected Official for 'Council Member' in cell B383.
</v>
      </c>
      <c r="G1391"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381"/>
        <v>Title of Elected Official</v>
      </c>
      <c r="K1391" s="52">
        <v>2</v>
      </c>
    </row>
    <row r="1392" spans="1:11" ht="15" customHeight="1">
      <c r="A1392" t="str">
        <f t="shared" ca="1" si="382"/>
        <v/>
      </c>
      <c r="B1392" s="52">
        <f t="shared" si="409"/>
        <v>381</v>
      </c>
      <c r="C1392" t="str">
        <f t="shared" ca="1" si="402"/>
        <v>Council Member</v>
      </c>
      <c r="D1392" t="str">
        <f t="shared" si="380"/>
        <v>B384</v>
      </c>
      <c r="E1392" t="str">
        <f t="shared" ca="1" si="403"/>
        <v/>
      </c>
      <c r="F1392" t="str">
        <f t="shared" ref="F1392:F1397" ca="1" si="410">CONCATENATE("Enter a "&amp; J1392 &amp;" for '", C1392, "' in cell ", D1392, ".", CHAR(10))</f>
        <v xml:space="preserve">Enter a Address for 'Council Member' in cell B384.
</v>
      </c>
      <c r="G139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s="52" t="str">
        <f t="shared" ca="1" si="381"/>
        <v>Address</v>
      </c>
      <c r="K1392" s="52">
        <v>3</v>
      </c>
    </row>
    <row r="1393" spans="1:11" ht="15" customHeight="1">
      <c r="A1393" t="str">
        <f t="shared" ca="1" si="382"/>
        <v/>
      </c>
      <c r="B1393" s="52">
        <f t="shared" si="409"/>
        <v>381</v>
      </c>
      <c r="C1393" t="str">
        <f t="shared" ca="1" si="402"/>
        <v>Council Member</v>
      </c>
      <c r="D1393" t="str">
        <f t="shared" si="380"/>
        <v>B385</v>
      </c>
      <c r="E1393" t="str">
        <f t="shared" ca="1" si="403"/>
        <v/>
      </c>
      <c r="F1393" t="str">
        <f t="shared" ca="1" si="410"/>
        <v xml:space="preserve">Enter a City  for 'Council Member' in cell B385.
</v>
      </c>
      <c r="G1393"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s="52" t="str">
        <f t="shared" ca="1" si="381"/>
        <v xml:space="preserve">City </v>
      </c>
      <c r="K1393" s="52">
        <v>4</v>
      </c>
    </row>
    <row r="1394" spans="1:11" ht="15" customHeight="1">
      <c r="A1394" t="str">
        <f t="shared" ca="1" si="382"/>
        <v/>
      </c>
      <c r="B1394" s="52">
        <f t="shared" si="409"/>
        <v>381</v>
      </c>
      <c r="C1394" t="str">
        <f t="shared" ca="1" si="402"/>
        <v>Council Member</v>
      </c>
      <c r="D1394" t="str">
        <f t="shared" ref="D1394:D1457" si="411">ADDRESS(B1394+K1394, 2,4  )</f>
        <v>B386</v>
      </c>
      <c r="E1394" t="str">
        <f t="shared" ca="1" si="403"/>
        <v/>
      </c>
      <c r="F1394" t="str">
        <f t="shared" ca="1" si="410"/>
        <v xml:space="preserve">Enter a State for 'Council Member' in cell B386.
</v>
      </c>
      <c r="G1394"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s="52" t="str">
        <f t="shared" ref="J1394:J1457" ca="1" si="412">INDIRECT($F$1100 &amp; ADDRESS(B1394+K1394, 1,4))</f>
        <v>State</v>
      </c>
      <c r="K1394" s="52">
        <v>5</v>
      </c>
    </row>
    <row r="1395" spans="1:11" ht="15" customHeight="1">
      <c r="A1395" t="str">
        <f t="shared" ref="A1395:A1458" ca="1" si="413">IF(AND(H1395, NOT($E$1103), E1395=""),F1395, "")</f>
        <v/>
      </c>
      <c r="B1395" s="52">
        <f t="shared" si="409"/>
        <v>381</v>
      </c>
      <c r="C1395" t="str">
        <f t="shared" ca="1" si="402"/>
        <v>Council Member</v>
      </c>
      <c r="D1395" t="str">
        <f t="shared" si="411"/>
        <v>B387</v>
      </c>
      <c r="E1395" t="str">
        <f t="shared" ca="1" si="403"/>
        <v/>
      </c>
      <c r="F1395" t="str">
        <f t="shared" ca="1" si="410"/>
        <v xml:space="preserve">Enter a Zip (first five #'s only) for 'Council Member' in cell B387.
</v>
      </c>
      <c r="G1395"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s="52" t="str">
        <f t="shared" ca="1" si="412"/>
        <v>Zip (first five #'s only)</v>
      </c>
      <c r="K1395" s="52">
        <v>6</v>
      </c>
    </row>
    <row r="1396" spans="1:11" ht="15" customHeight="1">
      <c r="A1396" t="str">
        <f t="shared" ca="1" si="413"/>
        <v/>
      </c>
      <c r="B1396" s="52">
        <f t="shared" si="409"/>
        <v>381</v>
      </c>
      <c r="C1396" t="str">
        <f t="shared" ca="1" si="402"/>
        <v>Council Member</v>
      </c>
      <c r="D1396" t="str">
        <f t="shared" si="411"/>
        <v>B388</v>
      </c>
      <c r="E1396" t="str">
        <f t="shared" ca="1" si="403"/>
        <v/>
      </c>
      <c r="F1396" t="str">
        <f t="shared" ca="1" si="410"/>
        <v xml:space="preserve">Enter a Contact First Name for 'Council Member' in cell B388.
</v>
      </c>
      <c r="G1396"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s="52" t="str">
        <f t="shared" ca="1" si="412"/>
        <v>Contact First Name</v>
      </c>
      <c r="K1396" s="52">
        <v>7</v>
      </c>
    </row>
    <row r="1397" spans="1:11" ht="15" customHeight="1">
      <c r="A1397" t="str">
        <f t="shared" ca="1" si="413"/>
        <v/>
      </c>
      <c r="B1397" s="52">
        <f t="shared" si="409"/>
        <v>381</v>
      </c>
      <c r="C1397" t="str">
        <f t="shared" ca="1" si="402"/>
        <v>Council Member</v>
      </c>
      <c r="D1397" t="str">
        <f t="shared" si="411"/>
        <v>B389</v>
      </c>
      <c r="E1397" t="str">
        <f t="shared" ca="1" si="403"/>
        <v/>
      </c>
      <c r="F1397" t="str">
        <f t="shared" ca="1" si="410"/>
        <v xml:space="preserve">Enter a Contact Last Name for 'Council Member' in cell B389.
</v>
      </c>
      <c r="G1397"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s="52" t="str">
        <f t="shared" ca="1" si="412"/>
        <v>Contact Last Name</v>
      </c>
      <c r="K1397" s="52">
        <v>8</v>
      </c>
    </row>
    <row r="1398" spans="1:11" ht="15" customHeight="1">
      <c r="A1398" t="str">
        <f t="shared" ca="1" si="413"/>
        <v/>
      </c>
      <c r="B1398" s="52">
        <f t="shared" si="409"/>
        <v>381</v>
      </c>
      <c r="C1398" t="str">
        <f t="shared" ca="1" si="402"/>
        <v>Council Member</v>
      </c>
      <c r="D1398" t="str">
        <f t="shared" si="411"/>
        <v>B390</v>
      </c>
      <c r="E1398" t="str">
        <f t="shared" ca="1" si="403"/>
        <v/>
      </c>
      <c r="F1398" t="str">
        <f ca="1">CONCATENATE("Enter an "&amp; J1398 &amp;" for '", C1398, "' in cell ", D1398, ".", CHAR(10))</f>
        <v xml:space="preserve">Enter an Phone (#'s only) for 'Council Member' in cell B390.
</v>
      </c>
      <c r="G1398"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s="52" t="str">
        <f t="shared" ca="1" si="412"/>
        <v>Phone (#'s only)</v>
      </c>
      <c r="K1398" s="52">
        <v>9</v>
      </c>
    </row>
    <row r="1399" spans="1:11" ht="15" customHeight="1">
      <c r="A1399" t="str">
        <f t="shared" ref="A1399:A1407" ca="1" si="414">IF(AND(H1399, NOT($E$1103), E1399=""),F1399, "")</f>
        <v/>
      </c>
      <c r="B1399">
        <f>ROW('Contact Information'!B393)</f>
        <v>393</v>
      </c>
      <c r="C1399" t="str">
        <f t="shared" ref="C1399:C1407" ca="1" si="415">INDIRECT($F$1100 &amp; ADDRESS(B1399, 1,4  ))</f>
        <v>City Manager (if applicable)</v>
      </c>
      <c r="D1399" t="str">
        <f t="shared" ref="D1399:D1407" si="416">ADDRESS(B1399+K1399, 2,4  )</f>
        <v>B394</v>
      </c>
      <c r="E1399" t="str">
        <f t="shared" ref="E1399:E1407" ca="1" si="417">IF(ISBLANK( INDIRECT($F$1100 &amp; D1399)),"", INDIRECT($F$1100 &amp; D1399))</f>
        <v/>
      </c>
      <c r="F1399" t="str">
        <f t="shared" ref="F1399:F1407" ca="1" si="418">CONCATENATE("Enter an "&amp; J1399 &amp;" for '", C1399, "' in cell ", D1399, ".", CHAR(10))</f>
        <v xml:space="preserve">Enter an Jurisdiction Name for 'City Manager (if applicable)' in cell B394.
</v>
      </c>
      <c r="G1399" s="9" t="str">
        <f t="shared" ref="G1399:G1407" ca="1" si="419">OFFSET(G1399, -1, 0) &amp; A1399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t="str">
        <f t="shared" ref="J1399:J1407" ca="1" si="420">INDIRECT($F$1100 &amp; ADDRESS(B1399+K1399, 1,4))</f>
        <v>Jurisdiction Name</v>
      </c>
      <c r="K1399">
        <v>1</v>
      </c>
    </row>
    <row r="1400" spans="1:11" ht="15" customHeight="1">
      <c r="A1400" t="str">
        <f t="shared" ca="1" si="414"/>
        <v/>
      </c>
      <c r="B1400">
        <f t="shared" si="409"/>
        <v>393</v>
      </c>
      <c r="C1400" t="str">
        <f t="shared" ca="1" si="415"/>
        <v>City Manager (if applicable)</v>
      </c>
      <c r="D1400" t="str">
        <f t="shared" si="416"/>
        <v>B395</v>
      </c>
      <c r="E1400" t="str">
        <f t="shared" ca="1" si="417"/>
        <v/>
      </c>
      <c r="F1400" t="str">
        <f t="shared" ca="1" si="418"/>
        <v xml:space="preserve">Enter an Address for 'City Manager (if applicable)' in cell B395.
</v>
      </c>
      <c r="G1400"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ca="1" si="420"/>
        <v>Address</v>
      </c>
      <c r="K1400">
        <v>2</v>
      </c>
    </row>
    <row r="1401" spans="1:11" ht="15" customHeight="1">
      <c r="A1401" t="str">
        <f t="shared" ca="1" si="414"/>
        <v/>
      </c>
      <c r="B1401">
        <f t="shared" si="409"/>
        <v>393</v>
      </c>
      <c r="C1401" t="str">
        <f t="shared" ca="1" si="415"/>
        <v>City Manager (if applicable)</v>
      </c>
      <c r="D1401" t="str">
        <f t="shared" si="416"/>
        <v>B396</v>
      </c>
      <c r="E1401" t="str">
        <f t="shared" ca="1" si="417"/>
        <v/>
      </c>
      <c r="F1401" t="str">
        <f t="shared" ca="1" si="418"/>
        <v xml:space="preserve">Enter an City  for 'City Manager (if applicable)' in cell B396.
</v>
      </c>
      <c r="G1401"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t="str">
        <f t="shared" ca="1" si="420"/>
        <v xml:space="preserve">City </v>
      </c>
      <c r="K1401">
        <v>3</v>
      </c>
    </row>
    <row r="1402" spans="1:11" ht="15" customHeight="1">
      <c r="A1402" t="str">
        <f t="shared" ca="1" si="414"/>
        <v/>
      </c>
      <c r="B1402">
        <f t="shared" si="409"/>
        <v>393</v>
      </c>
      <c r="C1402" t="str">
        <f t="shared" ca="1" si="415"/>
        <v>City Manager (if applicable)</v>
      </c>
      <c r="D1402" t="str">
        <f t="shared" si="416"/>
        <v>B397</v>
      </c>
      <c r="E1402" t="str">
        <f t="shared" ca="1" si="417"/>
        <v/>
      </c>
      <c r="F1402" t="str">
        <f t="shared" ca="1" si="418"/>
        <v xml:space="preserve">Enter an State for 'City Manager (if applicable)' in cell B397.
</v>
      </c>
      <c r="G1402"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t="str">
        <f t="shared" ca="1" si="420"/>
        <v>State</v>
      </c>
      <c r="K1402">
        <v>4</v>
      </c>
    </row>
    <row r="1403" spans="1:11" ht="15" customHeight="1">
      <c r="A1403" t="str">
        <f t="shared" ca="1" si="414"/>
        <v/>
      </c>
      <c r="B1403">
        <f t="shared" si="409"/>
        <v>393</v>
      </c>
      <c r="C1403" t="str">
        <f t="shared" ca="1" si="415"/>
        <v>City Manager (if applicable)</v>
      </c>
      <c r="D1403" t="str">
        <f t="shared" si="416"/>
        <v>B398</v>
      </c>
      <c r="E1403" t="str">
        <f t="shared" ca="1" si="417"/>
        <v/>
      </c>
      <c r="F1403" t="str">
        <f t="shared" ca="1" si="418"/>
        <v xml:space="preserve">Enter an Zip (first five #'s only) for 'City Manager (if applicable)' in cell B398.
</v>
      </c>
      <c r="G1403"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t="str">
        <f t="shared" ca="1" si="420"/>
        <v>Zip (first five #'s only)</v>
      </c>
      <c r="K1403">
        <v>5</v>
      </c>
    </row>
    <row r="1404" spans="1:11" ht="15" customHeight="1">
      <c r="A1404" t="str">
        <f t="shared" ca="1" si="414"/>
        <v/>
      </c>
      <c r="B1404">
        <f t="shared" si="409"/>
        <v>393</v>
      </c>
      <c r="C1404" t="str">
        <f t="shared" ca="1" si="415"/>
        <v>City Manager (if applicable)</v>
      </c>
      <c r="D1404" t="str">
        <f t="shared" si="416"/>
        <v>B399</v>
      </c>
      <c r="E1404" t="str">
        <f t="shared" ca="1" si="417"/>
        <v/>
      </c>
      <c r="F1404" t="str">
        <f t="shared" ca="1" si="418"/>
        <v xml:space="preserve">Enter an Contact First Name for 'City Manager (if applicable)' in cell B399.
</v>
      </c>
      <c r="G1404"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t="str">
        <f t="shared" ca="1" si="420"/>
        <v>Contact First Name</v>
      </c>
      <c r="K1404">
        <v>6</v>
      </c>
    </row>
    <row r="1405" spans="1:11" ht="15" customHeight="1">
      <c r="A1405" t="str">
        <f t="shared" ca="1" si="414"/>
        <v/>
      </c>
      <c r="B1405">
        <f t="shared" si="409"/>
        <v>393</v>
      </c>
      <c r="C1405" t="str">
        <f t="shared" ca="1" si="415"/>
        <v>City Manager (if applicable)</v>
      </c>
      <c r="D1405" t="str">
        <f t="shared" si="416"/>
        <v>B400</v>
      </c>
      <c r="E1405" t="str">
        <f t="shared" ca="1" si="417"/>
        <v/>
      </c>
      <c r="F1405" t="str">
        <f t="shared" ca="1" si="418"/>
        <v xml:space="preserve">Enter an Contact Last Name for 'City Manager (if applicable)' in cell B400.
</v>
      </c>
      <c r="G1405"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t="str">
        <f t="shared" ca="1" si="420"/>
        <v>Contact Last Name</v>
      </c>
      <c r="K1405">
        <v>7</v>
      </c>
    </row>
    <row r="1406" spans="1:11" ht="15" customHeight="1">
      <c r="A1406" t="str">
        <f t="shared" ca="1" si="414"/>
        <v/>
      </c>
      <c r="B1406">
        <f t="shared" si="409"/>
        <v>393</v>
      </c>
      <c r="C1406" t="str">
        <f t="shared" ca="1" si="415"/>
        <v>City Manager (if applicable)</v>
      </c>
      <c r="D1406" t="str">
        <f t="shared" si="416"/>
        <v>B401</v>
      </c>
      <c r="E1406" t="str">
        <f t="shared" ca="1" si="417"/>
        <v/>
      </c>
      <c r="F1406" t="str">
        <f t="shared" ca="1" si="418"/>
        <v xml:space="preserve">Enter an Phone (#'s only) for 'City Manager (if applicable)' in cell B401.
</v>
      </c>
      <c r="G1406"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t="str">
        <f t="shared" ca="1" si="420"/>
        <v>Phone (#'s only)</v>
      </c>
      <c r="K1406">
        <v>8</v>
      </c>
    </row>
    <row r="1407" spans="1:11" ht="15" customHeight="1">
      <c r="A1407" t="str">
        <f t="shared" ca="1" si="414"/>
        <v/>
      </c>
      <c r="B1407">
        <f t="shared" si="409"/>
        <v>393</v>
      </c>
      <c r="C1407" t="str">
        <f t="shared" ca="1" si="415"/>
        <v>City Manager (if applicable)</v>
      </c>
      <c r="D1407" t="str">
        <f t="shared" si="416"/>
        <v>B402</v>
      </c>
      <c r="E1407" t="str">
        <f t="shared" ca="1" si="417"/>
        <v/>
      </c>
      <c r="F1407" t="str">
        <f t="shared" ca="1" si="418"/>
        <v xml:space="preserve">Enter an Email for 'City Manager (if applicable)' in cell B402.
</v>
      </c>
      <c r="G1407" s="9" t="str">
        <f t="shared" ca="1" si="41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t="str">
        <f t="shared" ca="1" si="420"/>
        <v>Email</v>
      </c>
      <c r="K1407">
        <v>9</v>
      </c>
    </row>
    <row r="1408" spans="1:11" ht="15" customHeight="1">
      <c r="A1408" t="str">
        <f t="shared" ca="1" si="413"/>
        <v/>
      </c>
      <c r="B1408">
        <f>ROW('Contact Information'!B404)</f>
        <v>404</v>
      </c>
      <c r="C1408" t="str">
        <f t="shared" ca="1" si="402"/>
        <v>City Planner</v>
      </c>
      <c r="D1408" t="str">
        <f t="shared" si="411"/>
        <v>B405</v>
      </c>
      <c r="E1408" t="str">
        <f t="shared" ref="E1408:E1409" ca="1" si="421">IF(ISBLANK( INDIRECT($F$1100 &amp; D1408)),"", INDIRECT($F$1100 &amp; D1408))</f>
        <v/>
      </c>
      <c r="F1408" t="str">
        <f ca="1">CONCATENATE("Enter a "&amp; J1408 &amp;" for '", C1408, "' in cell ", D1408, ".", CHAR(10))</f>
        <v xml:space="preserve">Enter a Jurisdiction Name for 'City Planner' in cell B405.
</v>
      </c>
      <c r="G1408" s="9" t="str">
        <f t="shared" ref="G1408:G1416" ca="1" si="422">OFFSET(G1408, -1, 0) &amp; A1408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s="52" t="str">
        <f t="shared" ca="1" si="412"/>
        <v>Jurisdiction Name</v>
      </c>
      <c r="K1408" s="52">
        <v>1</v>
      </c>
    </row>
    <row r="1409" spans="1:11" ht="15" customHeight="1">
      <c r="A1409" t="str">
        <f t="shared" ca="1" si="413"/>
        <v/>
      </c>
      <c r="B1409" s="52">
        <f t="shared" ref="B1409:B1461" si="423">B1408</f>
        <v>404</v>
      </c>
      <c r="C1409" t="str">
        <f t="shared" ref="C1409" ca="1" si="424">INDIRECT($F$1100 &amp; ADDRESS(B1409, 1,4  ))</f>
        <v>City Planner</v>
      </c>
      <c r="D1409" t="str">
        <f t="shared" si="411"/>
        <v>B406</v>
      </c>
      <c r="E1409" t="str">
        <f t="shared" ca="1" si="421"/>
        <v/>
      </c>
      <c r="F1409" t="str">
        <f ca="1">CONCATENATE("Enter an "&amp; J1409 &amp;" for '", C1409, "' in cell ", D1409, ".", CHAR(10))</f>
        <v xml:space="preserve">Enter an Address for 'City Planner' in cell B406.
</v>
      </c>
      <c r="G1409"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12"/>
        <v>Address</v>
      </c>
      <c r="K1409" s="52">
        <v>2</v>
      </c>
    </row>
    <row r="1410" spans="1:11" ht="15" customHeight="1">
      <c r="A1410" t="str">
        <f t="shared" ca="1" si="413"/>
        <v/>
      </c>
      <c r="B1410" s="52">
        <f t="shared" si="423"/>
        <v>404</v>
      </c>
      <c r="C1410" t="str">
        <f t="shared" ref="C1410:C1418" ca="1" si="425">INDIRECT($F$1100 &amp; ADDRESS(B1410, 1,4  ))</f>
        <v>City Planner</v>
      </c>
      <c r="D1410" t="str">
        <f t="shared" si="411"/>
        <v>B407</v>
      </c>
      <c r="E1410" t="str">
        <f t="shared" ref="E1410:E1418" ca="1" si="426">IF(ISBLANK( INDIRECT($F$1100 &amp; D1410)),"", INDIRECT($F$1100 &amp; D1410))</f>
        <v/>
      </c>
      <c r="F1410" t="str">
        <f t="shared" ref="F1410:F1415" ca="1" si="427">CONCATENATE("Enter a "&amp; J1410 &amp;" for '", C1410, "' in cell ", D1410, ".", CHAR(10))</f>
        <v xml:space="preserve">Enter a City  for 'City Planner' in cell B407.
</v>
      </c>
      <c r="G1410"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Calculations!$B$2</f>
        <v>0</v>
      </c>
      <c r="I1410" s="9"/>
      <c r="J1410" s="52" t="str">
        <f t="shared" ca="1" si="412"/>
        <v xml:space="preserve">City </v>
      </c>
      <c r="K1410" s="52">
        <v>3</v>
      </c>
    </row>
    <row r="1411" spans="1:11" ht="15" customHeight="1">
      <c r="A1411" t="str">
        <f t="shared" ca="1" si="413"/>
        <v/>
      </c>
      <c r="B1411" s="52">
        <f t="shared" si="423"/>
        <v>404</v>
      </c>
      <c r="C1411" t="str">
        <f t="shared" ca="1" si="425"/>
        <v>City Planner</v>
      </c>
      <c r="D1411" t="str">
        <f t="shared" si="411"/>
        <v>B408</v>
      </c>
      <c r="E1411" t="str">
        <f t="shared" ca="1" si="426"/>
        <v/>
      </c>
      <c r="F1411" t="str">
        <f t="shared" ca="1" si="427"/>
        <v xml:space="preserve">Enter a State for 'City Planner' in cell B408.
</v>
      </c>
      <c r="G1411"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Calculations!$B$2</f>
        <v>0</v>
      </c>
      <c r="I1411" s="9"/>
      <c r="J1411" s="52" t="str">
        <f t="shared" ca="1" si="412"/>
        <v>State</v>
      </c>
      <c r="K1411" s="52">
        <v>4</v>
      </c>
    </row>
    <row r="1412" spans="1:11" ht="15" customHeight="1">
      <c r="A1412" t="str">
        <f t="shared" ca="1" si="413"/>
        <v/>
      </c>
      <c r="B1412" s="52">
        <f t="shared" si="423"/>
        <v>404</v>
      </c>
      <c r="C1412" t="str">
        <f t="shared" ca="1" si="425"/>
        <v>City Planner</v>
      </c>
      <c r="D1412" t="str">
        <f t="shared" si="411"/>
        <v>B409</v>
      </c>
      <c r="E1412" t="str">
        <f t="shared" ca="1" si="426"/>
        <v/>
      </c>
      <c r="F1412" t="str">
        <f t="shared" ca="1" si="427"/>
        <v xml:space="preserve">Enter a Zip (first five #'s only) for 'City Planner' in cell B409.
</v>
      </c>
      <c r="G1412"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Calculations!$B$2</f>
        <v>0</v>
      </c>
      <c r="I1412" s="9"/>
      <c r="J1412" s="52" t="str">
        <f t="shared" ca="1" si="412"/>
        <v>Zip (first five #'s only)</v>
      </c>
      <c r="K1412" s="52">
        <v>5</v>
      </c>
    </row>
    <row r="1413" spans="1:11" ht="15" customHeight="1">
      <c r="A1413" t="str">
        <f t="shared" ca="1" si="413"/>
        <v/>
      </c>
      <c r="B1413" s="52">
        <f t="shared" si="423"/>
        <v>404</v>
      </c>
      <c r="C1413" t="str">
        <f t="shared" ca="1" si="425"/>
        <v>City Planner</v>
      </c>
      <c r="D1413" t="str">
        <f t="shared" si="411"/>
        <v>B410</v>
      </c>
      <c r="E1413" t="str">
        <f t="shared" ca="1" si="426"/>
        <v/>
      </c>
      <c r="F1413" t="str">
        <f t="shared" ca="1" si="427"/>
        <v xml:space="preserve">Enter a Contact First Name for 'City Planner' in cell B410.
</v>
      </c>
      <c r="G1413"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Calculations!$B$2</f>
        <v>0</v>
      </c>
      <c r="I1413" s="9"/>
      <c r="J1413" s="52" t="str">
        <f t="shared" ca="1" si="412"/>
        <v>Contact First Name</v>
      </c>
      <c r="K1413" s="52">
        <v>6</v>
      </c>
    </row>
    <row r="1414" spans="1:11" ht="15" customHeight="1">
      <c r="A1414" t="str">
        <f t="shared" ca="1" si="413"/>
        <v/>
      </c>
      <c r="B1414" s="52">
        <f t="shared" si="423"/>
        <v>404</v>
      </c>
      <c r="C1414" t="str">
        <f t="shared" ca="1" si="425"/>
        <v>City Planner</v>
      </c>
      <c r="D1414" t="str">
        <f t="shared" si="411"/>
        <v>B411</v>
      </c>
      <c r="E1414" t="str">
        <f t="shared" ca="1" si="426"/>
        <v/>
      </c>
      <c r="F1414" t="str">
        <f t="shared" ca="1" si="427"/>
        <v xml:space="preserve">Enter a Contact Last Name for 'City Planner' in cell B411.
</v>
      </c>
      <c r="G1414"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Calculations!$B$2</f>
        <v>0</v>
      </c>
      <c r="I1414" s="9"/>
      <c r="J1414" s="52" t="str">
        <f t="shared" ca="1" si="412"/>
        <v>Contact Last Name</v>
      </c>
      <c r="K1414" s="52">
        <v>7</v>
      </c>
    </row>
    <row r="1415" spans="1:11" ht="15" customHeight="1">
      <c r="A1415" t="str">
        <f t="shared" ca="1" si="413"/>
        <v/>
      </c>
      <c r="B1415" s="52">
        <f t="shared" si="423"/>
        <v>404</v>
      </c>
      <c r="C1415" t="str">
        <f t="shared" ca="1" si="425"/>
        <v>City Planner</v>
      </c>
      <c r="D1415" t="str">
        <f t="shared" si="411"/>
        <v>B412</v>
      </c>
      <c r="E1415" t="str">
        <f t="shared" ca="1" si="426"/>
        <v/>
      </c>
      <c r="F1415" t="str">
        <f t="shared" ca="1" si="427"/>
        <v xml:space="preserve">Enter a Phone (#'s only) for 'City Planner' in cell B412.
</v>
      </c>
      <c r="G1415"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Calculations!$B$2</f>
        <v>0</v>
      </c>
      <c r="I1415" s="9"/>
      <c r="J1415" s="52" t="str">
        <f t="shared" ca="1" si="412"/>
        <v>Phone (#'s only)</v>
      </c>
      <c r="K1415" s="52">
        <v>8</v>
      </c>
    </row>
    <row r="1416" spans="1:11" ht="15" customHeight="1">
      <c r="A1416" t="str">
        <f t="shared" ca="1" si="413"/>
        <v/>
      </c>
      <c r="B1416" s="52">
        <f t="shared" si="423"/>
        <v>404</v>
      </c>
      <c r="C1416" t="str">
        <f t="shared" ca="1" si="425"/>
        <v>City Planner</v>
      </c>
      <c r="D1416" t="str">
        <f t="shared" si="411"/>
        <v>B413</v>
      </c>
      <c r="E1416" t="str">
        <f t="shared" ca="1" si="426"/>
        <v/>
      </c>
      <c r="F1416" t="str">
        <f ca="1">CONCATENATE("Enter an "&amp; J1416 &amp;" for '", C1416, "' in cell ", D1416, ".", CHAR(10))</f>
        <v xml:space="preserve">Enter an Email for 'City Planner' in cell B413.
</v>
      </c>
      <c r="G1416" s="9" t="str">
        <f t="shared" ca="1" si="42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Calculations!$B$2</f>
        <v>0</v>
      </c>
      <c r="I1416" s="9"/>
      <c r="J1416" s="52" t="str">
        <f t="shared" ca="1" si="412"/>
        <v>Email</v>
      </c>
      <c r="K1416" s="52">
        <v>9</v>
      </c>
    </row>
    <row r="1417" spans="1:11" ht="15" customHeight="1">
      <c r="A1417" t="str">
        <f t="shared" ca="1" si="413"/>
        <v/>
      </c>
      <c r="B1417">
        <f>ROW('Contact Information'!B415)</f>
        <v>415</v>
      </c>
      <c r="C1417" t="str">
        <f t="shared" ca="1" si="425"/>
        <v>Local Housing Authortity</v>
      </c>
      <c r="D1417" t="str">
        <f t="shared" si="411"/>
        <v>B416</v>
      </c>
      <c r="E1417" t="str">
        <f t="shared" ca="1" si="426"/>
        <v/>
      </c>
      <c r="F1417" t="str">
        <f ca="1">CONCATENATE("Enter a "&amp; J1417 &amp;" for '", C1417, "' in cell ", D1417, ".", CHAR(10))</f>
        <v xml:space="preserve">Enter a Organization for 'Local Housing Authortity' in cell B416.
</v>
      </c>
      <c r="G1417" s="9" t="str">
        <f t="shared" ref="G1417:G1425" ca="1" si="428">OFFSET(G1417, -1, 0) &amp; A1417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TRUE</f>
        <v>1</v>
      </c>
      <c r="I1417" s="9"/>
      <c r="J1417" s="52" t="str">
        <f t="shared" ca="1" si="412"/>
        <v>Organization</v>
      </c>
      <c r="K1417" s="52">
        <v>1</v>
      </c>
    </row>
    <row r="1418" spans="1:11" ht="15" customHeight="1">
      <c r="A1418" t="str">
        <f t="shared" ca="1" si="413"/>
        <v/>
      </c>
      <c r="B1418" s="52">
        <f t="shared" si="423"/>
        <v>415</v>
      </c>
      <c r="C1418" t="str">
        <f t="shared" ca="1" si="425"/>
        <v>Local Housing Authortity</v>
      </c>
      <c r="D1418" t="str">
        <f t="shared" si="411"/>
        <v>B417</v>
      </c>
      <c r="E1418" t="str">
        <f t="shared" ca="1" si="426"/>
        <v/>
      </c>
      <c r="F1418" t="str">
        <f ca="1">CONCATENATE("Enter an "&amp; J1418 &amp;" for '", C1418, "' in cell ", D1418, ".", CHAR(10))</f>
        <v xml:space="preserve">Enter an Address for 'Local Housing Authortity' in cell B417.
</v>
      </c>
      <c r="G1418"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12"/>
        <v>Address</v>
      </c>
      <c r="K1418" s="52">
        <v>2</v>
      </c>
    </row>
    <row r="1419" spans="1:11" ht="15" customHeight="1">
      <c r="A1419" t="str">
        <f t="shared" ca="1" si="413"/>
        <v/>
      </c>
      <c r="B1419" s="52">
        <f t="shared" si="423"/>
        <v>415</v>
      </c>
      <c r="C1419" t="str">
        <f t="shared" ref="C1419:C1427" ca="1" si="429">INDIRECT($F$1100 &amp; ADDRESS(B1419, 1,4  ))</f>
        <v>Local Housing Authortity</v>
      </c>
      <c r="D1419" t="str">
        <f t="shared" si="411"/>
        <v>B418</v>
      </c>
      <c r="E1419" t="str">
        <f t="shared" ref="E1419:E1427" ca="1" si="430">IF(ISBLANK( INDIRECT($F$1100 &amp; D1419)),"", INDIRECT($F$1100 &amp; D1419))</f>
        <v/>
      </c>
      <c r="F1419" t="str">
        <f t="shared" ref="F1419:F1424" ca="1" si="431">CONCATENATE("Enter a "&amp; J1419 &amp;" for '", C1419, "' in cell ", D1419, ".", CHAR(10))</f>
        <v xml:space="preserve">Enter a City  for 'Local Housing Authortity' in cell B418.
</v>
      </c>
      <c r="G1419"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TRUE</f>
        <v>1</v>
      </c>
      <c r="I1419" s="9"/>
      <c r="J1419" s="52" t="str">
        <f t="shared" ca="1" si="412"/>
        <v xml:space="preserve">City </v>
      </c>
      <c r="K1419" s="52">
        <v>3</v>
      </c>
    </row>
    <row r="1420" spans="1:11" ht="15" customHeight="1">
      <c r="A1420" t="str">
        <f t="shared" ca="1" si="413"/>
        <v/>
      </c>
      <c r="B1420" s="52">
        <f t="shared" si="423"/>
        <v>415</v>
      </c>
      <c r="C1420" t="str">
        <f t="shared" ca="1" si="429"/>
        <v>Local Housing Authortity</v>
      </c>
      <c r="D1420" t="str">
        <f t="shared" si="411"/>
        <v>B419</v>
      </c>
      <c r="E1420" t="str">
        <f t="shared" ca="1" si="430"/>
        <v/>
      </c>
      <c r="F1420" t="str">
        <f t="shared" ca="1" si="431"/>
        <v xml:space="preserve">Enter a State for 'Local Housing Authortity' in cell B419.
</v>
      </c>
      <c r="G1420"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TRUE</f>
        <v>1</v>
      </c>
      <c r="I1420" s="9"/>
      <c r="J1420" s="52" t="str">
        <f t="shared" ca="1" si="412"/>
        <v>State</v>
      </c>
      <c r="K1420" s="52">
        <v>4</v>
      </c>
    </row>
    <row r="1421" spans="1:11" ht="15" customHeight="1">
      <c r="A1421" t="str">
        <f t="shared" ca="1" si="413"/>
        <v/>
      </c>
      <c r="B1421" s="52">
        <f t="shared" si="423"/>
        <v>415</v>
      </c>
      <c r="C1421" t="str">
        <f t="shared" ca="1" si="429"/>
        <v>Local Housing Authortity</v>
      </c>
      <c r="D1421" t="str">
        <f t="shared" si="411"/>
        <v>B420</v>
      </c>
      <c r="E1421" t="str">
        <f t="shared" ca="1" si="430"/>
        <v/>
      </c>
      <c r="F1421" t="str">
        <f t="shared" ca="1" si="431"/>
        <v xml:space="preserve">Enter a Zip (first five #'s only) for 'Local Housing Authortity' in cell B420.
</v>
      </c>
      <c r="G1421"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TRUE</f>
        <v>1</v>
      </c>
      <c r="I1421" s="9"/>
      <c r="J1421" s="52" t="str">
        <f t="shared" ca="1" si="412"/>
        <v>Zip (first five #'s only)</v>
      </c>
      <c r="K1421" s="52">
        <v>5</v>
      </c>
    </row>
    <row r="1422" spans="1:11" ht="15" customHeight="1">
      <c r="A1422" t="str">
        <f t="shared" ca="1" si="413"/>
        <v/>
      </c>
      <c r="B1422" s="52">
        <f t="shared" si="423"/>
        <v>415</v>
      </c>
      <c r="C1422" t="str">
        <f t="shared" ca="1" si="429"/>
        <v>Local Housing Authortity</v>
      </c>
      <c r="D1422" t="str">
        <f t="shared" si="411"/>
        <v>B421</v>
      </c>
      <c r="E1422" t="str">
        <f t="shared" ca="1" si="430"/>
        <v/>
      </c>
      <c r="F1422" t="str">
        <f t="shared" ca="1" si="431"/>
        <v xml:space="preserve">Enter a Executive Director Contact First Name for 'Local Housing Authortity' in cell B421.
</v>
      </c>
      <c r="G1422"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TRUE</f>
        <v>1</v>
      </c>
      <c r="I1422" s="9"/>
      <c r="J1422" s="52" t="str">
        <f t="shared" ca="1" si="412"/>
        <v>Executive Director Contact First Name</v>
      </c>
      <c r="K1422" s="52">
        <v>6</v>
      </c>
    </row>
    <row r="1423" spans="1:11" ht="15" customHeight="1">
      <c r="A1423" t="str">
        <f t="shared" ca="1" si="413"/>
        <v/>
      </c>
      <c r="B1423" s="52">
        <f t="shared" si="423"/>
        <v>415</v>
      </c>
      <c r="C1423" t="str">
        <f t="shared" ca="1" si="429"/>
        <v>Local Housing Authortity</v>
      </c>
      <c r="D1423" t="str">
        <f t="shared" si="411"/>
        <v>B422</v>
      </c>
      <c r="E1423" t="str">
        <f t="shared" ca="1" si="430"/>
        <v/>
      </c>
      <c r="F1423" t="str">
        <f t="shared" ca="1" si="431"/>
        <v xml:space="preserve">Enter a Executive Director Contact Last Name for 'Local Housing Authortity' in cell B422.
</v>
      </c>
      <c r="G1423"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TRUE</f>
        <v>1</v>
      </c>
      <c r="I1423" s="9"/>
      <c r="J1423" s="52" t="str">
        <f t="shared" ca="1" si="412"/>
        <v>Executive Director Contact Last Name</v>
      </c>
      <c r="K1423" s="52">
        <v>7</v>
      </c>
    </row>
    <row r="1424" spans="1:11" ht="15" customHeight="1">
      <c r="A1424" t="str">
        <f t="shared" ca="1" si="413"/>
        <v/>
      </c>
      <c r="B1424" s="52">
        <f t="shared" si="423"/>
        <v>415</v>
      </c>
      <c r="C1424" t="str">
        <f t="shared" ca="1" si="429"/>
        <v>Local Housing Authortity</v>
      </c>
      <c r="D1424" t="str">
        <f t="shared" si="411"/>
        <v>B423</v>
      </c>
      <c r="E1424" t="str">
        <f t="shared" ca="1" si="430"/>
        <v/>
      </c>
      <c r="F1424" t="str">
        <f t="shared" ca="1" si="431"/>
        <v xml:space="preserve">Enter a Phone (#'s only) for 'Local Housing Authortity' in cell B423.
</v>
      </c>
      <c r="G1424"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TRUE</f>
        <v>1</v>
      </c>
      <c r="I1424" s="9"/>
      <c r="J1424" s="52" t="str">
        <f t="shared" ca="1" si="412"/>
        <v>Phone (#'s only)</v>
      </c>
      <c r="K1424" s="52">
        <v>8</v>
      </c>
    </row>
    <row r="1425" spans="1:11" ht="15" customHeight="1">
      <c r="A1425" t="str">
        <f t="shared" ca="1" si="413"/>
        <v/>
      </c>
      <c r="B1425" s="52">
        <f t="shared" si="423"/>
        <v>415</v>
      </c>
      <c r="C1425" t="str">
        <f t="shared" ca="1" si="429"/>
        <v>Local Housing Authortity</v>
      </c>
      <c r="D1425" t="str">
        <f t="shared" si="411"/>
        <v>B424</v>
      </c>
      <c r="E1425" t="str">
        <f t="shared" ca="1" si="430"/>
        <v/>
      </c>
      <c r="F1425" t="str">
        <f ca="1">CONCATENATE("Enter an "&amp; J1425 &amp;" for '", C1425, "' in cell ", D1425, ".", CHAR(10))</f>
        <v xml:space="preserve">Enter an Email for 'Local Housing Authortity' in cell B424.
</v>
      </c>
      <c r="G1425" s="9" t="str">
        <f t="shared" ca="1" si="42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TRUE</f>
        <v>1</v>
      </c>
      <c r="I1425" s="9"/>
      <c r="J1425" s="52" t="str">
        <f t="shared" ca="1" si="412"/>
        <v>Email</v>
      </c>
      <c r="K1425" s="52">
        <v>9</v>
      </c>
    </row>
    <row r="1426" spans="1:11" ht="15" customHeight="1">
      <c r="A1426" t="str">
        <f t="shared" ca="1" si="413"/>
        <v/>
      </c>
      <c r="B1426">
        <f>ROW('Contact Information'!B427)</f>
        <v>427</v>
      </c>
      <c r="C1426" t="str">
        <f t="shared" ca="1" si="429"/>
        <v>Construction/Completion Guarantee</v>
      </c>
      <c r="D1426" t="str">
        <f t="shared" si="411"/>
        <v>B428</v>
      </c>
      <c r="E1426" t="str">
        <f t="shared" ca="1" si="430"/>
        <v/>
      </c>
      <c r="F1426" t="str">
        <f ca="1">CONCATENATE("Enter a "&amp; J1426 &amp;" for '", C1426, "' in cell ", D1426, ".", CHAR(10))</f>
        <v xml:space="preserve">Enter a Organization for 'Construction/Completion Guarantee' in cell B428.
</v>
      </c>
      <c r="G1426" s="9" t="str">
        <f t="shared" ref="G1426:G1434" ca="1" si="432">OFFSET(G1426, -1, 0) &amp; A1426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Calculations!$B$2</f>
        <v>0</v>
      </c>
      <c r="I1426" s="9"/>
      <c r="J1426" s="52" t="str">
        <f t="shared" ca="1" si="412"/>
        <v>Organization</v>
      </c>
      <c r="K1426" s="52">
        <v>1</v>
      </c>
    </row>
    <row r="1427" spans="1:11" ht="15" customHeight="1">
      <c r="A1427" t="str">
        <f t="shared" ca="1" si="413"/>
        <v/>
      </c>
      <c r="B1427" s="52">
        <f t="shared" si="423"/>
        <v>427</v>
      </c>
      <c r="C1427" t="str">
        <f t="shared" ca="1" si="429"/>
        <v>Construction/Completion Guarantee</v>
      </c>
      <c r="D1427" t="str">
        <f t="shared" si="411"/>
        <v>B429</v>
      </c>
      <c r="E1427" t="str">
        <f t="shared" ca="1" si="430"/>
        <v/>
      </c>
      <c r="F1427" t="str">
        <f ca="1">CONCATENATE("Enter an "&amp; J1427 &amp;" for '", C1427, "' in cell ", D1427, ".", CHAR(10))</f>
        <v xml:space="preserve">Enter an Address for 'Construction/Completion Guarantee' in cell B429.
</v>
      </c>
      <c r="G1427"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12"/>
        <v>Address</v>
      </c>
      <c r="K1427" s="52">
        <v>2</v>
      </c>
    </row>
    <row r="1428" spans="1:11" ht="15" customHeight="1">
      <c r="A1428" t="str">
        <f t="shared" ca="1" si="413"/>
        <v/>
      </c>
      <c r="B1428" s="52">
        <f t="shared" si="423"/>
        <v>427</v>
      </c>
      <c r="C1428" t="str">
        <f t="shared" ref="C1428:C1436" ca="1" si="433">INDIRECT($F$1100 &amp; ADDRESS(B1428, 1,4  ))</f>
        <v>Construction/Completion Guarantee</v>
      </c>
      <c r="D1428" t="str">
        <f t="shared" si="411"/>
        <v>B430</v>
      </c>
      <c r="E1428" t="str">
        <f t="shared" ref="E1428:E1436" ca="1" si="434">IF(ISBLANK( INDIRECT($F$1100 &amp; D1428)),"", INDIRECT($F$1100 &amp; D1428))</f>
        <v/>
      </c>
      <c r="F1428" t="str">
        <f t="shared" ref="F1428:F1433" ca="1" si="435">CONCATENATE("Enter a "&amp; J1428 &amp;" for '", C1428, "' in cell ", D1428, ".", CHAR(10))</f>
        <v xml:space="preserve">Enter a City  for 'Construction/Completion Guarantee' in cell B430.
</v>
      </c>
      <c r="G1428"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12"/>
        <v xml:space="preserve">City </v>
      </c>
      <c r="K1428" s="52">
        <v>3</v>
      </c>
    </row>
    <row r="1429" spans="1:11" ht="15" customHeight="1">
      <c r="A1429" t="str">
        <f t="shared" ca="1" si="413"/>
        <v/>
      </c>
      <c r="B1429" s="52">
        <f t="shared" si="423"/>
        <v>427</v>
      </c>
      <c r="C1429" t="str">
        <f t="shared" ca="1" si="433"/>
        <v>Construction/Completion Guarantee</v>
      </c>
      <c r="D1429" t="str">
        <f t="shared" si="411"/>
        <v>B431</v>
      </c>
      <c r="E1429" t="str">
        <f t="shared" ca="1" si="434"/>
        <v/>
      </c>
      <c r="F1429" t="str">
        <f t="shared" ca="1" si="435"/>
        <v xml:space="preserve">Enter a State for 'Construction/Completion Guarantee' in cell B431.
</v>
      </c>
      <c r="G1429"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12"/>
        <v>State</v>
      </c>
      <c r="K1429" s="52">
        <v>4</v>
      </c>
    </row>
    <row r="1430" spans="1:11" ht="15" customHeight="1">
      <c r="A1430" t="str">
        <f t="shared" ca="1" si="413"/>
        <v/>
      </c>
      <c r="B1430" s="52">
        <f t="shared" si="423"/>
        <v>427</v>
      </c>
      <c r="C1430" t="str">
        <f t="shared" ca="1" si="433"/>
        <v>Construction/Completion Guarantee</v>
      </c>
      <c r="D1430" t="str">
        <f t="shared" si="411"/>
        <v>B432</v>
      </c>
      <c r="E1430" t="str">
        <f t="shared" ca="1" si="434"/>
        <v/>
      </c>
      <c r="F1430" t="str">
        <f t="shared" ca="1" si="435"/>
        <v xml:space="preserve">Enter a Zip (first five #'s only) for 'Construction/Completion Guarantee' in cell B432.
</v>
      </c>
      <c r="G1430"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12"/>
        <v>Zip (first five #'s only)</v>
      </c>
      <c r="K1430" s="52">
        <v>5</v>
      </c>
    </row>
    <row r="1431" spans="1:11" ht="15" customHeight="1">
      <c r="A1431" t="str">
        <f t="shared" ca="1" si="413"/>
        <v/>
      </c>
      <c r="B1431" s="52">
        <f t="shared" si="423"/>
        <v>427</v>
      </c>
      <c r="C1431" t="str">
        <f t="shared" ca="1" si="433"/>
        <v>Construction/Completion Guarantee</v>
      </c>
      <c r="D1431" t="str">
        <f t="shared" si="411"/>
        <v>B433</v>
      </c>
      <c r="E1431" t="str">
        <f t="shared" ca="1" si="434"/>
        <v/>
      </c>
      <c r="F1431" t="str">
        <f t="shared" ca="1" si="435"/>
        <v xml:space="preserve">Enter a Contact First Name for 'Construction/Completion Guarantee' in cell B433.
</v>
      </c>
      <c r="G1431"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12"/>
        <v>Contact First Name</v>
      </c>
      <c r="K1431" s="52">
        <v>6</v>
      </c>
    </row>
    <row r="1432" spans="1:11" ht="15" customHeight="1">
      <c r="A1432" t="str">
        <f t="shared" ca="1" si="413"/>
        <v/>
      </c>
      <c r="B1432" s="52">
        <f t="shared" si="423"/>
        <v>427</v>
      </c>
      <c r="C1432" t="str">
        <f t="shared" ca="1" si="433"/>
        <v>Construction/Completion Guarantee</v>
      </c>
      <c r="D1432" t="str">
        <f t="shared" si="411"/>
        <v>B434</v>
      </c>
      <c r="E1432" t="str">
        <f t="shared" ca="1" si="434"/>
        <v/>
      </c>
      <c r="F1432" t="str">
        <f t="shared" ca="1" si="435"/>
        <v xml:space="preserve">Enter a Contact Last Name for 'Construction/Completion Guarantee' in cell B434.
</v>
      </c>
      <c r="G1432"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12"/>
        <v>Contact Last Name</v>
      </c>
      <c r="K1432" s="52">
        <v>7</v>
      </c>
    </row>
    <row r="1433" spans="1:11" ht="15" customHeight="1">
      <c r="A1433" t="str">
        <f t="shared" ca="1" si="413"/>
        <v/>
      </c>
      <c r="B1433" s="52">
        <f t="shared" si="423"/>
        <v>427</v>
      </c>
      <c r="C1433" t="str">
        <f t="shared" ca="1" si="433"/>
        <v>Construction/Completion Guarantee</v>
      </c>
      <c r="D1433" t="str">
        <f t="shared" si="411"/>
        <v>B435</v>
      </c>
      <c r="E1433" t="str">
        <f t="shared" ca="1" si="434"/>
        <v/>
      </c>
      <c r="F1433" t="str">
        <f t="shared" ca="1" si="435"/>
        <v xml:space="preserve">Enter a Phone (#'s only) for 'Construction/Completion Guarantee' in cell B435.
</v>
      </c>
      <c r="G1433"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12"/>
        <v>Phone (#'s only)</v>
      </c>
      <c r="K1433" s="52">
        <v>8</v>
      </c>
    </row>
    <row r="1434" spans="1:11" ht="15" customHeight="1">
      <c r="A1434" t="str">
        <f t="shared" ca="1" si="413"/>
        <v/>
      </c>
      <c r="B1434" s="52">
        <f t="shared" si="423"/>
        <v>427</v>
      </c>
      <c r="C1434" t="str">
        <f t="shared" ca="1" si="433"/>
        <v>Construction/Completion Guarantee</v>
      </c>
      <c r="D1434" t="str">
        <f t="shared" si="411"/>
        <v>B436</v>
      </c>
      <c r="E1434" t="str">
        <f t="shared" ca="1" si="434"/>
        <v/>
      </c>
      <c r="F1434" t="str">
        <f ca="1">CONCATENATE("Enter an "&amp; J1434 &amp;" for '", C1434, "' in cell ", D1434, ".", CHAR(10))</f>
        <v xml:space="preserve">Enter an Email for 'Construction/Completion Guarantee' in cell B436.
</v>
      </c>
      <c r="G1434" s="9" t="str">
        <f t="shared" ca="1" si="43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12"/>
        <v>Email</v>
      </c>
      <c r="K1434" s="52">
        <v>9</v>
      </c>
    </row>
    <row r="1435" spans="1:11" ht="15" customHeight="1">
      <c r="A1435" t="str">
        <f t="shared" ca="1" si="413"/>
        <v/>
      </c>
      <c r="B1435">
        <f>ROW('Contact Information'!B438)</f>
        <v>438</v>
      </c>
      <c r="C1435" t="str">
        <f t="shared" ca="1" si="433"/>
        <v>Lease Up Guarantee</v>
      </c>
      <c r="D1435" t="str">
        <f t="shared" si="411"/>
        <v>B439</v>
      </c>
      <c r="E1435" t="str">
        <f t="shared" ca="1" si="434"/>
        <v/>
      </c>
      <c r="F1435" t="str">
        <f ca="1">CONCATENATE("Enter a "&amp; J1435 &amp;" for '", C1435, "' in cell ", D1435, ".", CHAR(10))</f>
        <v xml:space="preserve">Enter a Organization for 'Lease Up Guarantee' in cell B439.
</v>
      </c>
      <c r="G1435" s="9" t="str">
        <f t="shared" ref="G1435:G1443" ca="1" si="436">OFFSET(G1435, -1, 0) &amp; A1435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12"/>
        <v>Organization</v>
      </c>
      <c r="K1435" s="52">
        <v>1</v>
      </c>
    </row>
    <row r="1436" spans="1:11" ht="15" customHeight="1">
      <c r="A1436" t="str">
        <f t="shared" ca="1" si="413"/>
        <v/>
      </c>
      <c r="B1436" s="52">
        <f t="shared" si="423"/>
        <v>438</v>
      </c>
      <c r="C1436" t="str">
        <f t="shared" ca="1" si="433"/>
        <v>Lease Up Guarantee</v>
      </c>
      <c r="D1436" t="str">
        <f t="shared" si="411"/>
        <v>B440</v>
      </c>
      <c r="E1436" t="str">
        <f t="shared" ca="1" si="434"/>
        <v/>
      </c>
      <c r="F1436" t="str">
        <f ca="1">CONCATENATE("Enter an "&amp; J1436 &amp;" for '", C1436, "' in cell ", D1436, ".", CHAR(10))</f>
        <v xml:space="preserve">Enter an Address for 'Lease Up Guarantee' in cell B440.
</v>
      </c>
      <c r="G1436"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12"/>
        <v>Address</v>
      </c>
      <c r="K1436" s="52">
        <v>2</v>
      </c>
    </row>
    <row r="1437" spans="1:11" ht="15" customHeight="1">
      <c r="A1437" t="str">
        <f t="shared" ca="1" si="413"/>
        <v/>
      </c>
      <c r="B1437" s="52">
        <f t="shared" si="423"/>
        <v>438</v>
      </c>
      <c r="C1437" t="str">
        <f t="shared" ref="C1437:C1445" ca="1" si="437">INDIRECT($F$1100 &amp; ADDRESS(B1437, 1,4  ))</f>
        <v>Lease Up Guarantee</v>
      </c>
      <c r="D1437" t="str">
        <f t="shared" si="411"/>
        <v>B441</v>
      </c>
      <c r="E1437" t="str">
        <f t="shared" ref="E1437:E1445" ca="1" si="438">IF(ISBLANK( INDIRECT($F$1100 &amp; D1437)),"", INDIRECT($F$1100 &amp; D1437))</f>
        <v/>
      </c>
      <c r="F1437" t="str">
        <f t="shared" ref="F1437:F1442" ca="1" si="439">CONCATENATE("Enter a "&amp; J1437 &amp;" for '", C1437, "' in cell ", D1437, ".", CHAR(10))</f>
        <v xml:space="preserve">Enter a City  for 'Lease Up Guarantee' in cell B441.
</v>
      </c>
      <c r="G1437"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12"/>
        <v xml:space="preserve">City </v>
      </c>
      <c r="K1437" s="52">
        <v>3</v>
      </c>
    </row>
    <row r="1438" spans="1:11" ht="15" customHeight="1">
      <c r="A1438" t="str">
        <f t="shared" ca="1" si="413"/>
        <v/>
      </c>
      <c r="B1438" s="52">
        <f t="shared" si="423"/>
        <v>438</v>
      </c>
      <c r="C1438" t="str">
        <f t="shared" ca="1" si="437"/>
        <v>Lease Up Guarantee</v>
      </c>
      <c r="D1438" t="str">
        <f t="shared" si="411"/>
        <v>B442</v>
      </c>
      <c r="E1438" t="str">
        <f t="shared" ca="1" si="438"/>
        <v/>
      </c>
      <c r="F1438" t="str">
        <f t="shared" ca="1" si="439"/>
        <v xml:space="preserve">Enter a State for 'Lease Up Guarantee' in cell B442.
</v>
      </c>
      <c r="G1438"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12"/>
        <v>State</v>
      </c>
      <c r="K1438" s="52">
        <v>4</v>
      </c>
    </row>
    <row r="1439" spans="1:11" ht="15" customHeight="1">
      <c r="A1439" t="str">
        <f t="shared" ca="1" si="413"/>
        <v/>
      </c>
      <c r="B1439" s="52">
        <f t="shared" si="423"/>
        <v>438</v>
      </c>
      <c r="C1439" t="str">
        <f t="shared" ca="1" si="437"/>
        <v>Lease Up Guarantee</v>
      </c>
      <c r="D1439" t="str">
        <f t="shared" si="411"/>
        <v>B443</v>
      </c>
      <c r="E1439" t="str">
        <f t="shared" ca="1" si="438"/>
        <v/>
      </c>
      <c r="F1439" t="str">
        <f t="shared" ca="1" si="439"/>
        <v xml:space="preserve">Enter a Zip (first five #'s only) for 'Lease Up Guarantee' in cell B443.
</v>
      </c>
      <c r="G1439"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12"/>
        <v>Zip (first five #'s only)</v>
      </c>
      <c r="K1439" s="52">
        <v>5</v>
      </c>
    </row>
    <row r="1440" spans="1:11" ht="15" customHeight="1">
      <c r="A1440" t="str">
        <f t="shared" ca="1" si="413"/>
        <v/>
      </c>
      <c r="B1440" s="52">
        <f t="shared" si="423"/>
        <v>438</v>
      </c>
      <c r="C1440" t="str">
        <f t="shared" ca="1" si="437"/>
        <v>Lease Up Guarantee</v>
      </c>
      <c r="D1440" t="str">
        <f t="shared" si="411"/>
        <v>B444</v>
      </c>
      <c r="E1440" t="str">
        <f t="shared" ca="1" si="438"/>
        <v/>
      </c>
      <c r="F1440" t="str">
        <f t="shared" ca="1" si="439"/>
        <v xml:space="preserve">Enter a Contact First Name for 'Lease Up Guarantee' in cell B444.
</v>
      </c>
      <c r="G1440"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12"/>
        <v>Contact First Name</v>
      </c>
      <c r="K1440" s="52">
        <v>6</v>
      </c>
    </row>
    <row r="1441" spans="1:11" ht="15" customHeight="1">
      <c r="A1441" t="str">
        <f t="shared" ca="1" si="413"/>
        <v/>
      </c>
      <c r="B1441" s="52">
        <f t="shared" si="423"/>
        <v>438</v>
      </c>
      <c r="C1441" t="str">
        <f t="shared" ca="1" si="437"/>
        <v>Lease Up Guarantee</v>
      </c>
      <c r="D1441" t="str">
        <f t="shared" si="411"/>
        <v>B445</v>
      </c>
      <c r="E1441" t="str">
        <f t="shared" ca="1" si="438"/>
        <v/>
      </c>
      <c r="F1441" t="str">
        <f t="shared" ca="1" si="439"/>
        <v xml:space="preserve">Enter a Contact Last Name for 'Lease Up Guarantee' in cell B445.
</v>
      </c>
      <c r="G1441"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12"/>
        <v>Contact Last Name</v>
      </c>
      <c r="K1441" s="52">
        <v>7</v>
      </c>
    </row>
    <row r="1442" spans="1:11" ht="15" customHeight="1">
      <c r="A1442" t="str">
        <f t="shared" ca="1" si="413"/>
        <v/>
      </c>
      <c r="B1442" s="52">
        <f t="shared" si="423"/>
        <v>438</v>
      </c>
      <c r="C1442" t="str">
        <f t="shared" ca="1" si="437"/>
        <v>Lease Up Guarantee</v>
      </c>
      <c r="D1442" t="str">
        <f t="shared" si="411"/>
        <v>B446</v>
      </c>
      <c r="E1442" t="str">
        <f t="shared" ca="1" si="438"/>
        <v/>
      </c>
      <c r="F1442" t="str">
        <f t="shared" ca="1" si="439"/>
        <v xml:space="preserve">Enter a Phone (#'s only) for 'Lease Up Guarantee' in cell B446.
</v>
      </c>
      <c r="G1442"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12"/>
        <v>Phone (#'s only)</v>
      </c>
      <c r="K1442" s="52">
        <v>8</v>
      </c>
    </row>
    <row r="1443" spans="1:11" ht="15" customHeight="1">
      <c r="A1443" t="str">
        <f t="shared" ca="1" si="413"/>
        <v/>
      </c>
      <c r="B1443" s="52">
        <f t="shared" si="423"/>
        <v>438</v>
      </c>
      <c r="C1443" t="str">
        <f t="shared" ca="1" si="437"/>
        <v>Lease Up Guarantee</v>
      </c>
      <c r="D1443" t="str">
        <f t="shared" si="411"/>
        <v>B447</v>
      </c>
      <c r="E1443" t="str">
        <f t="shared" ca="1" si="438"/>
        <v/>
      </c>
      <c r="F1443" t="str">
        <f ca="1">CONCATENATE("Enter an "&amp; J1443 &amp;" for '", C1443, "' in cell ", D1443, ".", CHAR(10))</f>
        <v xml:space="preserve">Enter an Email for 'Lease Up Guarantee' in cell B447.
</v>
      </c>
      <c r="G1443" s="9" t="str">
        <f t="shared" ca="1" si="43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12"/>
        <v>Email</v>
      </c>
      <c r="K1443" s="52">
        <v>9</v>
      </c>
    </row>
    <row r="1444" spans="1:11" ht="15" customHeight="1">
      <c r="A1444" t="str">
        <f t="shared" ca="1" si="413"/>
        <v/>
      </c>
      <c r="B1444">
        <f>ROW('Contact Information'!B449)</f>
        <v>449</v>
      </c>
      <c r="C1444" t="str">
        <f t="shared" ca="1" si="437"/>
        <v xml:space="preserve">Operating Deficit Guarantee </v>
      </c>
      <c r="D1444" t="str">
        <f t="shared" si="411"/>
        <v>B450</v>
      </c>
      <c r="E1444" t="str">
        <f t="shared" ca="1" si="438"/>
        <v/>
      </c>
      <c r="F1444" t="str">
        <f ca="1">CONCATENATE("Enter a "&amp; J1444 &amp;" for '", C1444, "' in cell ", D1444, ".", CHAR(10))</f>
        <v xml:space="preserve">Enter a Organization for 'Operating Deficit Guarantee ' in cell B450.
</v>
      </c>
      <c r="G1444" s="9" t="str">
        <f t="shared" ref="G1444:G1461" ca="1" si="440">OFFSET(G1444, -1, 0) &amp; A1444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12"/>
        <v>Organization</v>
      </c>
      <c r="K1444" s="52">
        <v>1</v>
      </c>
    </row>
    <row r="1445" spans="1:11" ht="15" customHeight="1">
      <c r="A1445" t="str">
        <f t="shared" ca="1" si="413"/>
        <v/>
      </c>
      <c r="B1445" s="52">
        <f t="shared" si="423"/>
        <v>449</v>
      </c>
      <c r="C1445" t="str">
        <f t="shared" ca="1" si="437"/>
        <v xml:space="preserve">Operating Deficit Guarantee </v>
      </c>
      <c r="D1445" t="str">
        <f t="shared" si="411"/>
        <v>B451</v>
      </c>
      <c r="E1445" t="str">
        <f t="shared" ca="1" si="438"/>
        <v/>
      </c>
      <c r="F1445" t="str">
        <f ca="1">CONCATENATE("Enter an "&amp; J1445 &amp;" for '", C1445, "' in cell ", D1445, ".", CHAR(10))</f>
        <v xml:space="preserve">Enter an Address for 'Operating Deficit Guarantee ' in cell B451.
</v>
      </c>
      <c r="G1445"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12"/>
        <v>Address</v>
      </c>
      <c r="K1445" s="52">
        <v>2</v>
      </c>
    </row>
    <row r="1446" spans="1:11" ht="15" customHeight="1">
      <c r="A1446" t="str">
        <f t="shared" ca="1" si="413"/>
        <v/>
      </c>
      <c r="B1446" s="52">
        <f t="shared" si="423"/>
        <v>449</v>
      </c>
      <c r="C1446" t="str">
        <f t="shared" ref="C1446:C1461" ca="1" si="441">INDIRECT($F$1100 &amp; ADDRESS(B1446, 1,4  ))</f>
        <v xml:space="preserve">Operating Deficit Guarantee </v>
      </c>
      <c r="D1446" t="str">
        <f t="shared" si="411"/>
        <v>B452</v>
      </c>
      <c r="E1446" t="str">
        <f t="shared" ref="E1446:E1461" ca="1" si="442">IF(ISBLANK( INDIRECT($F$1100 &amp; D1446)),"", INDIRECT($F$1100 &amp; D1446))</f>
        <v/>
      </c>
      <c r="F1446" t="str">
        <f t="shared" ref="F1446:F1451" ca="1" si="443">CONCATENATE("Enter a "&amp; J1446 &amp;" for '", C1446, "' in cell ", D1446, ".", CHAR(10))</f>
        <v xml:space="preserve">Enter a City  for 'Operating Deficit Guarantee ' in cell B452.
</v>
      </c>
      <c r="G1446"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12"/>
        <v xml:space="preserve">City </v>
      </c>
      <c r="K1446" s="52">
        <v>3</v>
      </c>
    </row>
    <row r="1447" spans="1:11" ht="15" customHeight="1">
      <c r="A1447" t="str">
        <f t="shared" ca="1" si="413"/>
        <v/>
      </c>
      <c r="B1447" s="52">
        <f t="shared" si="423"/>
        <v>449</v>
      </c>
      <c r="C1447" t="str">
        <f t="shared" ca="1" si="441"/>
        <v xml:space="preserve">Operating Deficit Guarantee </v>
      </c>
      <c r="D1447" t="str">
        <f t="shared" si="411"/>
        <v>B453</v>
      </c>
      <c r="E1447" t="str">
        <f t="shared" ca="1" si="442"/>
        <v/>
      </c>
      <c r="F1447" t="str">
        <f t="shared" ca="1" si="443"/>
        <v xml:space="preserve">Enter a State for 'Operating Deficit Guarantee ' in cell B453.
</v>
      </c>
      <c r="G1447"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12"/>
        <v>State</v>
      </c>
      <c r="K1447" s="52">
        <v>4</v>
      </c>
    </row>
    <row r="1448" spans="1:11" ht="15" customHeight="1">
      <c r="A1448" t="str">
        <f t="shared" ca="1" si="413"/>
        <v/>
      </c>
      <c r="B1448" s="52">
        <f t="shared" si="423"/>
        <v>449</v>
      </c>
      <c r="C1448" t="str">
        <f t="shared" ca="1" si="441"/>
        <v xml:space="preserve">Operating Deficit Guarantee </v>
      </c>
      <c r="D1448" t="str">
        <f t="shared" si="411"/>
        <v>B454</v>
      </c>
      <c r="E1448" t="str">
        <f t="shared" ca="1" si="442"/>
        <v/>
      </c>
      <c r="F1448" t="str">
        <f t="shared" ca="1" si="443"/>
        <v xml:space="preserve">Enter a Zip (first five #'s only) for 'Operating Deficit Guarantee ' in cell B454.
</v>
      </c>
      <c r="G1448"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12"/>
        <v>Zip (first five #'s only)</v>
      </c>
      <c r="K1448" s="52">
        <v>5</v>
      </c>
    </row>
    <row r="1449" spans="1:11" ht="15" customHeight="1">
      <c r="A1449" t="str">
        <f t="shared" ca="1" si="413"/>
        <v/>
      </c>
      <c r="B1449" s="52">
        <f t="shared" si="423"/>
        <v>449</v>
      </c>
      <c r="C1449" t="str">
        <f t="shared" ca="1" si="441"/>
        <v xml:space="preserve">Operating Deficit Guarantee </v>
      </c>
      <c r="D1449" t="str">
        <f t="shared" si="411"/>
        <v>B455</v>
      </c>
      <c r="E1449" t="str">
        <f t="shared" ca="1" si="442"/>
        <v/>
      </c>
      <c r="F1449" t="str">
        <f t="shared" ca="1" si="443"/>
        <v xml:space="preserve">Enter a Contact First Name for 'Operating Deficit Guarantee ' in cell B455.
</v>
      </c>
      <c r="G1449"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12"/>
        <v>Contact First Name</v>
      </c>
      <c r="K1449" s="52">
        <v>6</v>
      </c>
    </row>
    <row r="1450" spans="1:11" ht="15" customHeight="1">
      <c r="A1450" t="str">
        <f t="shared" ca="1" si="413"/>
        <v/>
      </c>
      <c r="B1450" s="52">
        <f t="shared" si="423"/>
        <v>449</v>
      </c>
      <c r="C1450" t="str">
        <f t="shared" ca="1" si="441"/>
        <v xml:space="preserve">Operating Deficit Guarantee </v>
      </c>
      <c r="D1450" t="str">
        <f t="shared" si="411"/>
        <v>B456</v>
      </c>
      <c r="E1450" t="str">
        <f t="shared" ca="1" si="442"/>
        <v/>
      </c>
      <c r="F1450" t="str">
        <f t="shared" ca="1" si="443"/>
        <v xml:space="preserve">Enter a Contact Last Name for 'Operating Deficit Guarantee ' in cell B456.
</v>
      </c>
      <c r="G1450"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12"/>
        <v>Contact Last Name</v>
      </c>
      <c r="K1450" s="52">
        <v>7</v>
      </c>
    </row>
    <row r="1451" spans="1:11" ht="15" customHeight="1">
      <c r="A1451" t="str">
        <f t="shared" ca="1" si="413"/>
        <v/>
      </c>
      <c r="B1451" s="52">
        <f t="shared" si="423"/>
        <v>449</v>
      </c>
      <c r="C1451" t="str">
        <f t="shared" ca="1" si="441"/>
        <v xml:space="preserve">Operating Deficit Guarantee </v>
      </c>
      <c r="D1451" t="str">
        <f t="shared" si="411"/>
        <v>B457</v>
      </c>
      <c r="E1451" t="str">
        <f t="shared" ca="1" si="442"/>
        <v/>
      </c>
      <c r="F1451" t="str">
        <f t="shared" ca="1" si="443"/>
        <v xml:space="preserve">Enter a Phone (#'s only) for 'Operating Deficit Guarantee ' in cell B457.
</v>
      </c>
      <c r="G1451"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ca="1" si="412"/>
        <v>Phone (#'s only)</v>
      </c>
      <c r="K1451" s="52">
        <v>8</v>
      </c>
    </row>
    <row r="1452" spans="1:11" ht="15" customHeight="1">
      <c r="A1452" t="str">
        <f t="shared" ca="1" si="413"/>
        <v/>
      </c>
      <c r="B1452" s="52">
        <f t="shared" si="423"/>
        <v>449</v>
      </c>
      <c r="C1452" t="str">
        <f t="shared" ca="1" si="441"/>
        <v xml:space="preserve">Operating Deficit Guarantee </v>
      </c>
      <c r="D1452" t="str">
        <f t="shared" si="411"/>
        <v>B458</v>
      </c>
      <c r="E1452" t="str">
        <f t="shared" ca="1" si="442"/>
        <v/>
      </c>
      <c r="F1452" t="str">
        <f ca="1">CONCATENATE("Enter an "&amp; J1452 &amp;" for '", C1452, "' in cell ", D1452, ".", CHAR(10))</f>
        <v xml:space="preserve">Enter an Email for 'Operating Deficit Guarantee ' in cell B458.
</v>
      </c>
      <c r="G1452"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12"/>
        <v>Email</v>
      </c>
      <c r="K1452" s="52">
        <v>9</v>
      </c>
    </row>
    <row r="1453" spans="1:11" ht="15" customHeight="1">
      <c r="A1453" t="str">
        <f t="shared" ca="1" si="413"/>
        <v/>
      </c>
      <c r="B1453">
        <f>ROW('Contact Information'!B460)</f>
        <v>460</v>
      </c>
      <c r="C1453" t="str">
        <f t="shared" ca="1" si="441"/>
        <v xml:space="preserve">Compliance Guarantee </v>
      </c>
      <c r="D1453" t="str">
        <f t="shared" si="411"/>
        <v>B461</v>
      </c>
      <c r="E1453" t="str">
        <f t="shared" ca="1" si="442"/>
        <v/>
      </c>
      <c r="F1453" t="str">
        <f ca="1">CONCATENATE("Enter a "&amp; J1453 &amp;" for '", C1453, "' in cell ", D1453, ".", CHAR(10))</f>
        <v xml:space="preserve">Enter a Organization for 'Compliance Guarantee ' in cell B461.
</v>
      </c>
      <c r="G1453"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12"/>
        <v>Organization</v>
      </c>
      <c r="K1453" s="52">
        <v>1</v>
      </c>
    </row>
    <row r="1454" spans="1:11" ht="15" customHeight="1">
      <c r="A1454" t="str">
        <f t="shared" ca="1" si="413"/>
        <v/>
      </c>
      <c r="B1454" s="52">
        <f t="shared" si="423"/>
        <v>460</v>
      </c>
      <c r="C1454" t="str">
        <f t="shared" ca="1" si="441"/>
        <v xml:space="preserve">Compliance Guarantee </v>
      </c>
      <c r="D1454" t="str">
        <f t="shared" si="411"/>
        <v>B462</v>
      </c>
      <c r="E1454" t="str">
        <f t="shared" ca="1" si="442"/>
        <v/>
      </c>
      <c r="F1454" t="str">
        <f ca="1">CONCATENATE("Enter an "&amp; J1454 &amp;" for '", C1454, "' in cell ", D1454, ".", CHAR(10))</f>
        <v xml:space="preserve">Enter an Address for 'Compliance Guarantee ' in cell B462.
</v>
      </c>
      <c r="G1454"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12"/>
        <v>Address</v>
      </c>
      <c r="K1454" s="52">
        <v>2</v>
      </c>
    </row>
    <row r="1455" spans="1:11" ht="15" customHeight="1">
      <c r="A1455" t="str">
        <f t="shared" ca="1" si="413"/>
        <v/>
      </c>
      <c r="B1455" s="52">
        <f t="shared" si="423"/>
        <v>460</v>
      </c>
      <c r="C1455" t="str">
        <f t="shared" ca="1" si="441"/>
        <v xml:space="preserve">Compliance Guarantee </v>
      </c>
      <c r="D1455" t="str">
        <f t="shared" si="411"/>
        <v>B463</v>
      </c>
      <c r="E1455" t="str">
        <f t="shared" ca="1" si="442"/>
        <v/>
      </c>
      <c r="F1455" t="str">
        <f t="shared" ref="F1455:F1460" ca="1" si="444">CONCATENATE("Enter a "&amp; J1455 &amp;" for '", C1455, "' in cell ", D1455, ".", CHAR(10))</f>
        <v xml:space="preserve">Enter a City  for 'Compliance Guarantee ' in cell B463.
</v>
      </c>
      <c r="G1455"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5" t="b">
        <f>Calculations!$B$2</f>
        <v>0</v>
      </c>
      <c r="I1455" s="9"/>
      <c r="J1455" s="52" t="str">
        <f t="shared" ca="1" si="412"/>
        <v xml:space="preserve">City </v>
      </c>
      <c r="K1455" s="52">
        <v>3</v>
      </c>
    </row>
    <row r="1456" spans="1:11" ht="15" customHeight="1">
      <c r="A1456" t="str">
        <f t="shared" ca="1" si="413"/>
        <v/>
      </c>
      <c r="B1456" s="52">
        <f t="shared" si="423"/>
        <v>460</v>
      </c>
      <c r="C1456" t="str">
        <f t="shared" ca="1" si="441"/>
        <v xml:space="preserve">Compliance Guarantee </v>
      </c>
      <c r="D1456" t="str">
        <f t="shared" si="411"/>
        <v>B464</v>
      </c>
      <c r="E1456" t="str">
        <f t="shared" ca="1" si="442"/>
        <v/>
      </c>
      <c r="F1456" t="str">
        <f t="shared" ca="1" si="444"/>
        <v xml:space="preserve">Enter a State for 'Compliance Guarantee ' in cell B464.
</v>
      </c>
      <c r="G1456"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6" t="b">
        <f>Calculations!$B$2</f>
        <v>0</v>
      </c>
      <c r="I1456" s="9"/>
      <c r="J1456" s="52" t="str">
        <f t="shared" ca="1" si="412"/>
        <v>State</v>
      </c>
      <c r="K1456" s="52">
        <v>4</v>
      </c>
    </row>
    <row r="1457" spans="1:12" ht="15" customHeight="1">
      <c r="A1457" t="str">
        <f t="shared" ca="1" si="413"/>
        <v/>
      </c>
      <c r="B1457" s="52">
        <f t="shared" si="423"/>
        <v>460</v>
      </c>
      <c r="C1457" t="str">
        <f t="shared" ca="1" si="441"/>
        <v xml:space="preserve">Compliance Guarantee </v>
      </c>
      <c r="D1457" t="str">
        <f t="shared" si="411"/>
        <v>B465</v>
      </c>
      <c r="E1457" t="str">
        <f t="shared" ca="1" si="442"/>
        <v/>
      </c>
      <c r="F1457" t="str">
        <f t="shared" ca="1" si="444"/>
        <v xml:space="preserve">Enter a Zip (first five #'s only) for 'Compliance Guarantee ' in cell B465.
</v>
      </c>
      <c r="G1457"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7" t="b">
        <f>Calculations!$B$2</f>
        <v>0</v>
      </c>
      <c r="I1457" s="9"/>
      <c r="J1457" s="52" t="str">
        <f t="shared" ca="1" si="412"/>
        <v>Zip (first five #'s only)</v>
      </c>
      <c r="K1457" s="52">
        <v>5</v>
      </c>
    </row>
    <row r="1458" spans="1:12" ht="15" customHeight="1">
      <c r="A1458" t="str">
        <f t="shared" ca="1" si="413"/>
        <v/>
      </c>
      <c r="B1458" s="52">
        <f t="shared" si="423"/>
        <v>460</v>
      </c>
      <c r="C1458" t="str">
        <f t="shared" ca="1" si="441"/>
        <v xml:space="preserve">Compliance Guarantee </v>
      </c>
      <c r="D1458" t="str">
        <f t="shared" ref="D1458:D1466" si="445">ADDRESS(B1458+K1458, 2,4  )</f>
        <v>B466</v>
      </c>
      <c r="E1458" t="str">
        <f t="shared" ca="1" si="442"/>
        <v/>
      </c>
      <c r="F1458" t="str">
        <f t="shared" ca="1" si="444"/>
        <v xml:space="preserve">Enter a Contact First Name for 'Compliance Guarantee ' in cell B466.
</v>
      </c>
      <c r="G1458"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8" t="b">
        <f>Calculations!$B$2</f>
        <v>0</v>
      </c>
      <c r="I1458" s="9"/>
      <c r="J1458" s="52" t="str">
        <f t="shared" ref="J1458:J1461" ca="1" si="446">INDIRECT($F$1100 &amp; ADDRESS(B1458+K1458, 1,4))</f>
        <v>Contact First Name</v>
      </c>
      <c r="K1458" s="52">
        <v>6</v>
      </c>
    </row>
    <row r="1459" spans="1:12" ht="15" customHeight="1">
      <c r="A1459" t="str">
        <f t="shared" ref="A1459:A1461" ca="1" si="447">IF(AND(H1459, NOT($E$1103), E1459=""),F1459, "")</f>
        <v/>
      </c>
      <c r="B1459" s="52">
        <f t="shared" si="423"/>
        <v>460</v>
      </c>
      <c r="C1459" t="str">
        <f t="shared" ca="1" si="441"/>
        <v xml:space="preserve">Compliance Guarantee </v>
      </c>
      <c r="D1459" t="str">
        <f t="shared" si="445"/>
        <v>B467</v>
      </c>
      <c r="E1459" t="str">
        <f t="shared" ca="1" si="442"/>
        <v/>
      </c>
      <c r="F1459" t="str">
        <f t="shared" ca="1" si="444"/>
        <v xml:space="preserve">Enter a Contact Last Name for 'Compliance Guarantee ' in cell B467.
</v>
      </c>
      <c r="G1459"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9" t="b">
        <f>Calculations!$B$2</f>
        <v>0</v>
      </c>
      <c r="I1459" s="9"/>
      <c r="J1459" s="52" t="str">
        <f t="shared" ca="1" si="446"/>
        <v>Contact Last Name</v>
      </c>
      <c r="K1459" s="52">
        <v>7</v>
      </c>
    </row>
    <row r="1460" spans="1:12" ht="15" customHeight="1">
      <c r="A1460" t="str">
        <f t="shared" ca="1" si="447"/>
        <v/>
      </c>
      <c r="B1460" s="52">
        <f t="shared" si="423"/>
        <v>460</v>
      </c>
      <c r="C1460" t="str">
        <f t="shared" ca="1" si="441"/>
        <v xml:space="preserve">Compliance Guarantee </v>
      </c>
      <c r="D1460" t="str">
        <f t="shared" si="445"/>
        <v>B468</v>
      </c>
      <c r="E1460" t="str">
        <f t="shared" ca="1" si="442"/>
        <v/>
      </c>
      <c r="F1460" t="str">
        <f t="shared" ca="1" si="444"/>
        <v xml:space="preserve">Enter a Phone (#'s only) for 'Compliance Guarantee ' in cell B468.
</v>
      </c>
      <c r="G1460"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0" t="b">
        <f>Calculations!$B$2</f>
        <v>0</v>
      </c>
      <c r="I1460" s="9"/>
      <c r="J1460" s="52" t="str">
        <f t="shared" ca="1" si="446"/>
        <v>Phone (#'s only)</v>
      </c>
      <c r="K1460" s="52">
        <v>8</v>
      </c>
    </row>
    <row r="1461" spans="1:12" ht="15" customHeight="1">
      <c r="A1461" t="str">
        <f t="shared" ca="1" si="447"/>
        <v/>
      </c>
      <c r="B1461" s="52">
        <f t="shared" si="423"/>
        <v>460</v>
      </c>
      <c r="C1461" t="str">
        <f t="shared" ca="1" si="441"/>
        <v xml:space="preserve">Compliance Guarantee </v>
      </c>
      <c r="D1461" t="str">
        <f t="shared" si="445"/>
        <v>B469</v>
      </c>
      <c r="E1461" t="str">
        <f t="shared" ca="1" si="442"/>
        <v/>
      </c>
      <c r="F1461" t="str">
        <f ca="1">CONCATENATE("Enter an "&amp; J1461 &amp;" for '", C1461, "' in cell ", D1461, ".", CHAR(10))</f>
        <v xml:space="preserve">Enter an Email for 'Compliance Guarantee ' in cell B469.
</v>
      </c>
      <c r="G1461" s="9" t="str">
        <f t="shared" ca="1" si="44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1" t="b">
        <f>Calculations!$B$2</f>
        <v>0</v>
      </c>
      <c r="I1461" s="9"/>
      <c r="J1461" s="52" t="str">
        <f t="shared" ca="1" si="446"/>
        <v>Email</v>
      </c>
      <c r="K1461" s="52">
        <v>9</v>
      </c>
    </row>
    <row r="1462" spans="1:12" ht="15" customHeight="1">
      <c r="A1462" t="str">
        <f t="shared" ref="A1462:A1463" ca="1" si="448">IF(E1462="",F1462, "")</f>
        <v xml:space="preserve">Enter a value for 'Entity Type' in cell B24.
</v>
      </c>
      <c r="B1462">
        <v>24</v>
      </c>
      <c r="C1462" t="str">
        <f t="shared" ref="C1462:C1466" ca="1" si="449">INDIRECT($F$1100 &amp; ADDRESS(B1462, 1,4  ))</f>
        <v>Entity Type</v>
      </c>
      <c r="D1462" t="str">
        <f t="shared" si="445"/>
        <v>B24</v>
      </c>
      <c r="E1462" t="str">
        <f t="shared" ref="E1462:E1464" ca="1" si="450">IF(ISBLANK( INDIRECT($F$1100 &amp; D1462)),"", INDIRECT($F$1100 &amp; D1462))</f>
        <v/>
      </c>
      <c r="F1462" t="str">
        <f t="shared" ref="F1462:F1464" ca="1" si="451">CONCATENATE("Enter a value for '", C1462, "' in cell ", D1462, ".", CHAR(10))</f>
        <v xml:space="preserve">Enter a value for 'Entity Type' in cell B24.
</v>
      </c>
      <c r="G146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v>
      </c>
      <c r="H1462" s="9"/>
      <c r="I1462" s="9"/>
    </row>
    <row r="1463" spans="1:12" ht="15" customHeight="1">
      <c r="A1463" t="str">
        <f t="shared" ca="1" si="448"/>
        <v xml:space="preserve">Enter a value for 'Has the applicant, or other principals of the development's ownership entity, previously received tax credits in Colorado? ' in cell B25.
</v>
      </c>
      <c r="B1463">
        <v>25</v>
      </c>
      <c r="C1463" t="str">
        <f t="shared" ca="1" si="449"/>
        <v xml:space="preserve">Has the applicant, or other principals of the development's ownership entity, previously received tax credits in Colorado? </v>
      </c>
      <c r="D1463" t="str">
        <f t="shared" si="445"/>
        <v>B25</v>
      </c>
      <c r="E1463" t="str">
        <f t="shared" ca="1" si="450"/>
        <v/>
      </c>
      <c r="F1463" t="str">
        <f t="shared" ca="1" si="451"/>
        <v xml:space="preserve">Enter a value for 'Has the applicant, or other principals of the development's ownership entity, previously received tax credits in Colorado? ' in cell B25.
</v>
      </c>
      <c r="G1463"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3" s="9"/>
      <c r="I1463" s="9"/>
    </row>
    <row r="1464" spans="1:12" ht="15" customHeight="1">
      <c r="A1464" s="52" t="str">
        <f ca="1">IF(AND(E1463="Yes", E1464=""),F1464, "")</f>
        <v/>
      </c>
      <c r="B1464">
        <v>26</v>
      </c>
      <c r="C1464" t="str">
        <f t="shared" ca="1" si="449"/>
        <v>If "Yes", indicate development name and year.</v>
      </c>
      <c r="D1464" t="str">
        <f t="shared" si="445"/>
        <v>B26</v>
      </c>
      <c r="E1464" t="str">
        <f t="shared" ca="1" si="450"/>
        <v/>
      </c>
      <c r="F1464" t="str">
        <f t="shared" ca="1" si="451"/>
        <v xml:space="preserve">Enter a value for 'If "Yes", indicate development name and year.' in cell B26.
</v>
      </c>
      <c r="G1464"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4" s="9"/>
      <c r="I1464" s="9"/>
    </row>
    <row r="1465" spans="1:12" ht="15" customHeight="1">
      <c r="A1465" t="str">
        <f t="shared" ref="A1465:A1466" ca="1" si="452">IF(E1465="",F1465, "")</f>
        <v xml:space="preserve">Enter a value for 'Has the applicant, or other principals of the development's ownership entity, previously received tax credits in other states?' in cell B27.
</v>
      </c>
      <c r="B1465">
        <v>27</v>
      </c>
      <c r="C1465" t="str">
        <f t="shared" ca="1" si="449"/>
        <v>Has the applicant, or other principals of the development's ownership entity, previously received tax credits in other states?</v>
      </c>
      <c r="D1465" t="str">
        <f t="shared" si="445"/>
        <v>B27</v>
      </c>
      <c r="E1465" t="str">
        <f t="shared" ref="E1465:E1466" ca="1" si="453">IF(ISBLANK( INDIRECT($F$1100 &amp; D1465)),"", INDIRECT($F$1100 &amp; D1465))</f>
        <v/>
      </c>
      <c r="F1465" t="str">
        <f t="shared" ref="F1465:F1466" ca="1" si="454">CONCATENATE("Enter a value for '", C1465, "' in cell ", D1465, ".", CHAR(10))</f>
        <v xml:space="preserve">Enter a value for 'Has the applicant, or other principals of the development's ownership entity, previously received tax credits in other states?' in cell B27.
</v>
      </c>
      <c r="G1465" s="9" t="str">
        <f t="shared" ref="G1465:G1466" ca="1" si="455">OFFSET(G1465, -1, 0) &amp; A1465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v>
      </c>
      <c r="H1465" s="9"/>
      <c r="I1465" s="9"/>
    </row>
    <row r="1466" spans="1:12" ht="15" customHeight="1">
      <c r="A1466" t="str">
        <f t="shared" ca="1" si="452"/>
        <v xml:space="preserve">Enter a value for 'If "Yes", indicate year(s).' in cell B28.
</v>
      </c>
      <c r="B1466">
        <v>28</v>
      </c>
      <c r="C1466" t="str">
        <f t="shared" ca="1" si="449"/>
        <v>If "Yes", indicate year(s).</v>
      </c>
      <c r="D1466" t="str">
        <f t="shared" si="445"/>
        <v>B28</v>
      </c>
      <c r="E1466" t="str">
        <f t="shared" ca="1" si="453"/>
        <v/>
      </c>
      <c r="F1466" t="str">
        <f t="shared" ca="1" si="454"/>
        <v xml:space="preserve">Enter a value for 'If "Yes", indicate year(s).' in cell B28.
</v>
      </c>
      <c r="G1466" s="9" t="str">
        <f t="shared" ca="1" si="45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6" s="9"/>
      <c r="I1466" s="9"/>
    </row>
    <row r="1467" spans="1:12" ht="15" customHeight="1">
      <c r="A1467" s="52" t="str">
        <f ca="1">IF(AND(H1467, E1467&lt;2), F1467, "")</f>
        <v/>
      </c>
      <c r="B1467">
        <v>31</v>
      </c>
      <c r="C1467" s="52"/>
      <c r="D1467" t="str">
        <f t="shared" ref="D1467:D1477" si="456">ADDRESS(B1467, 1,4  )</f>
        <v>A31</v>
      </c>
      <c r="E1467" s="52">
        <f ca="1">J1467+K1467</f>
        <v>2</v>
      </c>
      <c r="F1467" t="str">
        <f>CONCATENATE("Enter all the values for the limited partners using the credits in row ", B1467, ".", CHAR(10))</f>
        <v xml:space="preserve">Enter all the values for the limited partners using the credits in row 31.
</v>
      </c>
      <c r="G1467"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7" s="9" t="b">
        <f>'Contact Information'!B29 = "Yes"</f>
        <v>0</v>
      </c>
      <c r="I1467" s="9"/>
      <c r="J1467" s="52">
        <f ca="1">SUMPRODUCT(--ISTEXT(INDIRECT(L1467)))</f>
        <v>2</v>
      </c>
      <c r="K1467" s="52">
        <f ca="1">SUMPRODUCT(--ISNUMBER(INDIRECT(L1467)))</f>
        <v>0</v>
      </c>
      <c r="L1467" s="52" t="str">
        <f>$F$1100&amp; ADDRESS(B1467,1,4) &amp; ":" &amp; ADDRESS(B1467,2,4)</f>
        <v>'Contact Information'!A31:B31</v>
      </c>
    </row>
    <row r="1468" spans="1:12" ht="15" customHeight="1">
      <c r="A1468" s="52" t="str">
        <f t="shared" ref="A1468:A1470" ca="1" si="457">IF(AND(E1468&gt;0, E1468&lt;2), F1468, "")</f>
        <v/>
      </c>
      <c r="B1468">
        <v>32</v>
      </c>
      <c r="C1468" s="52"/>
      <c r="D1468" t="str">
        <f t="shared" si="456"/>
        <v>A32</v>
      </c>
      <c r="E1468" s="52">
        <f ca="1">J1468+K1468</f>
        <v>0</v>
      </c>
      <c r="F1468" t="str">
        <f t="shared" ref="F1468:F1470" si="458">CONCATENATE("Enter all the values for the limited partners using the credits in row ", B1468, ".", CHAR(10))</f>
        <v xml:space="preserve">Enter all the values for the limited partners using the credits in row 32.
</v>
      </c>
      <c r="G1468"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8" s="9" t="b">
        <f>'Contact Information'!B29 = "Yes"</f>
        <v>0</v>
      </c>
      <c r="I1468" s="9"/>
      <c r="J1468" s="52">
        <f ca="1">SUMPRODUCT(--ISTEXT(INDIRECT(L1468)))</f>
        <v>0</v>
      </c>
      <c r="K1468" s="52">
        <f ca="1">SUMPRODUCT(--ISNUMBER(INDIRECT(L1468)))</f>
        <v>0</v>
      </c>
      <c r="L1468" s="52" t="str">
        <f>$F$1100&amp; ADDRESS(B1468,1,4) &amp; ":" &amp; ADDRESS(B1468,2,4)</f>
        <v>'Contact Information'!A32:B32</v>
      </c>
    </row>
    <row r="1469" spans="1:12" ht="15" customHeight="1">
      <c r="A1469" s="52" t="str">
        <f t="shared" ca="1" si="457"/>
        <v/>
      </c>
      <c r="B1469">
        <v>33</v>
      </c>
      <c r="C1469" s="52"/>
      <c r="D1469" t="str">
        <f t="shared" si="456"/>
        <v>A33</v>
      </c>
      <c r="E1469" s="52">
        <f ca="1">J1469+K1469</f>
        <v>0</v>
      </c>
      <c r="F1469" t="str">
        <f t="shared" si="458"/>
        <v xml:space="preserve">Enter all the values for the limited partners using the credits in row 33.
</v>
      </c>
      <c r="G1469"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9" s="9" t="b">
        <f>'Contact Information'!B29 = "Yes"</f>
        <v>0</v>
      </c>
      <c r="I1469" s="9"/>
      <c r="J1469" s="52">
        <f ca="1">SUMPRODUCT(--ISTEXT(INDIRECT(L1469)))</f>
        <v>0</v>
      </c>
      <c r="K1469" s="52">
        <f ca="1">SUMPRODUCT(--ISNUMBER(INDIRECT(L1469)))</f>
        <v>0</v>
      </c>
      <c r="L1469" s="52" t="str">
        <f>$F$1100&amp; ADDRESS(B1469,1,4) &amp; ":" &amp; ADDRESS(B1469,2,4)</f>
        <v>'Contact Information'!A33:B33</v>
      </c>
    </row>
    <row r="1470" spans="1:12" ht="15" customHeight="1">
      <c r="A1470" s="52" t="str">
        <f t="shared" ca="1" si="457"/>
        <v/>
      </c>
      <c r="B1470">
        <v>35</v>
      </c>
      <c r="C1470" s="52"/>
      <c r="D1470" t="str">
        <f t="shared" si="456"/>
        <v>A35</v>
      </c>
      <c r="E1470" s="52">
        <f ca="1">J1470+K1470</f>
        <v>0</v>
      </c>
      <c r="F1470" t="str">
        <f t="shared" si="458"/>
        <v xml:space="preserve">Enter all the values for the limited partners using the credits in row 35.
</v>
      </c>
      <c r="G1470"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70" s="9" t="b">
        <f>'Contact Information'!B29 = "Yes"</f>
        <v>0</v>
      </c>
      <c r="I1470" s="9"/>
      <c r="J1470" s="52">
        <f ca="1">SUMPRODUCT(--ISTEXT(INDIRECT(L1470)))</f>
        <v>0</v>
      </c>
      <c r="K1470" s="52">
        <f ca="1">SUMPRODUCT(--ISNUMBER(INDIRECT(L1470)))</f>
        <v>0</v>
      </c>
      <c r="L1470" s="52" t="str">
        <f>$F$1100&amp; ADDRESS(B1470,1,4) &amp; ":" &amp; ADDRESS(B1470,2,4)</f>
        <v>'Contact Information'!A35:B35</v>
      </c>
    </row>
    <row r="1471" spans="1:12" ht="15" customHeight="1">
      <c r="A1471" t="str">
        <f t="shared" ref="A1471" ca="1" si="459">IF(E1471="",F1471, "")</f>
        <v xml:space="preserve">Enter a value for '0' in cell B36.
</v>
      </c>
      <c r="B1471">
        <v>36</v>
      </c>
      <c r="C1471">
        <f ca="1">INDIRECT($F$1100 &amp; ADDRESS(B1471, 1,4  ))</f>
        <v>0</v>
      </c>
      <c r="D1471" t="str">
        <f>ADDRESS(B1471+K1471, 2,4  )</f>
        <v>B36</v>
      </c>
      <c r="E1471" t="str">
        <f t="shared" ref="E1471" ca="1" si="460">IF(ISBLANK( INDIRECT($F$1100 &amp; D1471)),"", INDIRECT($F$1100 &amp; D1471))</f>
        <v/>
      </c>
      <c r="F1471" t="str">
        <f t="shared" ref="F1471" ca="1" si="461">CONCATENATE("Enter a value for '", C1471, "' in cell ", D1471, ".", CHAR(10))</f>
        <v xml:space="preserve">Enter a value for '0' in cell B36.
</v>
      </c>
      <c r="G1471"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v>
      </c>
      <c r="H1471" s="9"/>
      <c r="I1471" s="9"/>
    </row>
    <row r="1472" spans="1:12" ht="15" customHeight="1">
      <c r="A1472" s="52" t="str">
        <f ca="1">IF(E1472&lt;3, F1472, "")</f>
        <v xml:space="preserve">Enter all the values for the limited partners of the ownership entity in row 40.
</v>
      </c>
      <c r="B1472">
        <v>40</v>
      </c>
      <c r="C1472" s="52"/>
      <c r="D1472" t="str">
        <f t="shared" si="456"/>
        <v>A40</v>
      </c>
      <c r="E1472" s="52">
        <f ca="1">J1472+K1472</f>
        <v>0</v>
      </c>
      <c r="F1472" t="str">
        <f>CONCATENATE("Enter all the values for the limited partners of the ownership entity in row ", B1472, ".", CHAR(10))</f>
        <v xml:space="preserve">Enter all the values for the limited partners of the ownership entity in row 40.
</v>
      </c>
      <c r="G147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2" s="9"/>
      <c r="I1472" s="9"/>
      <c r="J1472" s="52">
        <f ca="1">SUMPRODUCT(--ISTEXT(INDIRECT(L1472)))</f>
        <v>0</v>
      </c>
      <c r="K1472" s="52">
        <f ca="1">SUMPRODUCT(--ISNUMBER(INDIRECT(L1472)))</f>
        <v>0</v>
      </c>
      <c r="L1472" s="52" t="str">
        <f t="shared" ref="L1472:L1473" si="462">$F$1100&amp; ADDRESS(B1472,1,4) &amp; ":" &amp; ADDRESS(B1472,3,4)</f>
        <v>'Contact Information'!A40:C40</v>
      </c>
    </row>
    <row r="1473" spans="1:12" ht="15" customHeight="1">
      <c r="A1473" s="52" t="str">
        <f ca="1">IF(AND(E1473&gt;0, E1473&lt;3), F1473, "")</f>
        <v/>
      </c>
      <c r="B1473">
        <v>41</v>
      </c>
      <c r="C1473" s="52"/>
      <c r="D1473" t="str">
        <f t="shared" si="456"/>
        <v>A41</v>
      </c>
      <c r="E1473" s="52">
        <f ca="1">J1473+K1473</f>
        <v>0</v>
      </c>
      <c r="F1473" t="str">
        <f t="shared" ref="F1473:F1474" si="463">CONCATENATE("Enter all the values for the limited partners of the ownership entity in row ", B1473, ".", CHAR(10))</f>
        <v xml:space="preserve">Enter all the values for the limited partners of the ownership entity in row 41.
</v>
      </c>
      <c r="G1473"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3" s="9"/>
      <c r="I1473" s="9"/>
      <c r="J1473" s="52">
        <f ca="1">SUMPRODUCT(--ISTEXT(INDIRECT(L1473)))</f>
        <v>0</v>
      </c>
      <c r="K1473" s="52">
        <f ca="1">SUMPRODUCT(--ISNUMBER(INDIRECT(L1473)))</f>
        <v>0</v>
      </c>
      <c r="L1473" s="52" t="str">
        <f t="shared" si="462"/>
        <v>'Contact Information'!A41:C41</v>
      </c>
    </row>
    <row r="1474" spans="1:12" ht="15" customHeight="1">
      <c r="A1474" s="52" t="str">
        <f ca="1">IF(AND(E1474&gt;0, E1474&lt;3), F1474, "")</f>
        <v/>
      </c>
      <c r="B1474">
        <v>42</v>
      </c>
      <c r="C1474" s="52"/>
      <c r="D1474" t="str">
        <f t="shared" si="456"/>
        <v>A42</v>
      </c>
      <c r="E1474" s="52">
        <f ca="1">J1474+K1474</f>
        <v>0</v>
      </c>
      <c r="F1474" t="str">
        <f t="shared" si="463"/>
        <v xml:space="preserve">Enter all the values for the limited partners of the ownership entity in row 42.
</v>
      </c>
      <c r="G1474"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4" s="9"/>
      <c r="I1474" s="9"/>
      <c r="J1474" s="52">
        <f ca="1">SUMPRODUCT(--ISTEXT(INDIRECT(L1474)))</f>
        <v>0</v>
      </c>
      <c r="K1474" s="52">
        <f ca="1">SUMPRODUCT(--ISNUMBER(INDIRECT(L1474)))</f>
        <v>0</v>
      </c>
      <c r="L1474" s="52" t="str">
        <f>$F$1100&amp; ADDRESS(B1474,1,4) &amp; ":" &amp; ADDRESS(B1474,3,4)</f>
        <v>'Contact Information'!A42:C42</v>
      </c>
    </row>
    <row r="1475" spans="1:12" ht="15" customHeight="1">
      <c r="A1475" s="52" t="str">
        <f ca="1">IF(E1475&lt;3, F1475, "")</f>
        <v xml:space="preserve">Enter all the values for the general partners of the ownership entity in row 45.
</v>
      </c>
      <c r="B1475">
        <v>45</v>
      </c>
      <c r="C1475" s="52"/>
      <c r="D1475" t="str">
        <f t="shared" ref="D1475:D1476" si="464">ADDRESS(B1475, 1,4  )</f>
        <v>A45</v>
      </c>
      <c r="E1475" s="52">
        <f t="shared" ref="E1475:E1476" ca="1" si="465">J1475+K1475</f>
        <v>0</v>
      </c>
      <c r="F1475" t="str">
        <f t="shared" ref="F1475:F1476" si="466">CONCATENATE("Enter all the values for the general partners of the ownership entity in row ", B1475, ".", CHAR(10))</f>
        <v xml:space="preserve">Enter all the values for the general partners of the ownership entity in row 45.
</v>
      </c>
      <c r="G1475" s="9" t="str">
        <f t="shared" ref="G1475:G1476" ca="1" si="467">OFFSET(G1475, -1, 0) &amp; A1475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5" s="9"/>
      <c r="I1475" s="9"/>
      <c r="J1475" s="52">
        <f t="shared" ref="J1475:J1476" ca="1" si="468">SUMPRODUCT(--ISTEXT(INDIRECT(L1475)))</f>
        <v>0</v>
      </c>
      <c r="K1475" s="52">
        <f t="shared" ref="K1475:K1478" ca="1" si="469">SUMPRODUCT(--ISNUMBER(INDIRECT(L1475)))</f>
        <v>0</v>
      </c>
      <c r="L1475" s="52" t="str">
        <f t="shared" ref="L1475:L1478" si="470">$F$1100&amp; ADDRESS(B1475,1,4) &amp; ":" &amp; ADDRESS(B1475,3,4)</f>
        <v>'Contact Information'!A45:C45</v>
      </c>
    </row>
    <row r="1476" spans="1:12" ht="15" customHeight="1">
      <c r="A1476" s="52" t="str">
        <f ca="1">IF(AND(E1476&gt;0, E1476&lt;3), F1476, "")</f>
        <v/>
      </c>
      <c r="B1476">
        <v>46</v>
      </c>
      <c r="C1476" s="52"/>
      <c r="D1476" t="str">
        <f t="shared" si="464"/>
        <v>A46</v>
      </c>
      <c r="E1476" s="52">
        <f t="shared" ca="1" si="465"/>
        <v>0</v>
      </c>
      <c r="F1476" t="str">
        <f t="shared" si="466"/>
        <v xml:space="preserve">Enter all the values for the general partners of the ownership entity in row 46.
</v>
      </c>
      <c r="G1476" s="9" t="str">
        <f t="shared" ca="1" si="46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6" s="9"/>
      <c r="I1476" s="9"/>
      <c r="J1476" s="52">
        <f t="shared" ca="1" si="468"/>
        <v>0</v>
      </c>
      <c r="K1476" s="52">
        <f t="shared" ca="1" si="469"/>
        <v>0</v>
      </c>
      <c r="L1476" s="52" t="str">
        <f t="shared" si="470"/>
        <v>'Contact Information'!A46:C46</v>
      </c>
    </row>
    <row r="1477" spans="1:12" ht="15" customHeight="1">
      <c r="A1477" s="52" t="str">
        <f ca="1">IF(AND(E1477&gt;0, E1477&lt;3), F1477, "")</f>
        <v/>
      </c>
      <c r="B1477">
        <v>47</v>
      </c>
      <c r="C1477" s="52"/>
      <c r="D1477" t="str">
        <f t="shared" si="456"/>
        <v>A47</v>
      </c>
      <c r="E1477" s="52">
        <f ca="1">J1477+K1477</f>
        <v>0</v>
      </c>
      <c r="F1477" t="str">
        <f>CONCATENATE("Enter all the values for the general partners of the ownership entity in row ", B1477, ".", CHAR(10))</f>
        <v xml:space="preserve">Enter all the values for the general partners of the ownership entity in row 47.
</v>
      </c>
      <c r="G1477"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7" s="9"/>
      <c r="I1477" s="9"/>
      <c r="J1477" s="52">
        <f ca="1">SUMPRODUCT(--ISTEXT(INDIRECT(L1477)))</f>
        <v>0</v>
      </c>
      <c r="K1477" s="52">
        <f t="shared" ca="1" si="469"/>
        <v>0</v>
      </c>
      <c r="L1477" s="52" t="str">
        <f t="shared" si="470"/>
        <v>'Contact Information'!A47:C47</v>
      </c>
    </row>
    <row r="1478" spans="1:12" ht="15" customHeight="1">
      <c r="A1478" s="52" t="str">
        <f ca="1">IF(AND(E1478&gt;0, E1478&lt;3), F1478, "")</f>
        <v/>
      </c>
      <c r="B1478">
        <v>48</v>
      </c>
      <c r="C1478" s="52"/>
      <c r="D1478" t="str">
        <f t="shared" ref="D1478" si="471">ADDRESS(B1478, 1,4  )</f>
        <v>A48</v>
      </c>
      <c r="E1478" s="52">
        <f ca="1">J1478+K1478</f>
        <v>0</v>
      </c>
      <c r="F1478" t="str">
        <f>CONCATENATE("Enter all the values for the general partners of the ownership entity in row ", B1478, ".", CHAR(10))</f>
        <v xml:space="preserve">Enter all the values for the general partners of the ownership entity in row 48.
</v>
      </c>
      <c r="G1478" s="9" t="str">
        <f t="shared" ref="G1478" ca="1" si="472">OFFSET(G1478, -1, 0) &amp; A1478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8" s="9"/>
      <c r="I1478" s="9"/>
      <c r="J1478" s="52">
        <f ca="1">SUMPRODUCT(--ISTEXT(INDIRECT(L1478)))</f>
        <v>0</v>
      </c>
      <c r="K1478" s="52">
        <f t="shared" ca="1" si="469"/>
        <v>0</v>
      </c>
      <c r="L1478" s="52" t="str">
        <f t="shared" si="470"/>
        <v>'Contact Information'!A48:C48</v>
      </c>
    </row>
    <row r="1479" spans="1:12" ht="15" customHeight="1">
      <c r="A1479" t="str">
        <f ca="1">IF(E1479="",F1479, "")</f>
        <v xml:space="preserve">Enter a value for 'Contact First Name' in cell B109.
</v>
      </c>
      <c r="B1479">
        <v>109</v>
      </c>
      <c r="C1479" s="52" t="str">
        <f ca="1">INDIRECT($F$1100 &amp; ADDRESS(B1479, 1,4  ))</f>
        <v>Contact First Name</v>
      </c>
      <c r="D1479" t="str">
        <f t="shared" ref="D1479:D1494" si="473">ADDRESS(B1479+K1479, 2,4  )</f>
        <v>B109</v>
      </c>
      <c r="E1479" t="str">
        <f t="shared" ref="E1479:E1490" ca="1" si="474">IF(ISBLANK( INDIRECT($F$1100 &amp; D1479)),"", INDIRECT($F$1100 &amp; D1479))</f>
        <v/>
      </c>
      <c r="F1479" t="str">
        <f t="shared" ref="F1479:F1490" ca="1" si="475">CONCATENATE("Enter a value for '", C1479, "' in cell ", D1479, ".", CHAR(10))</f>
        <v xml:space="preserve">Enter a value for 'Contact First Name' in cell B109.
</v>
      </c>
      <c r="G1479"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v>
      </c>
      <c r="H1479" s="9"/>
      <c r="I1479" s="9"/>
    </row>
    <row r="1480" spans="1:12" ht="15" customHeight="1">
      <c r="A1480" t="str">
        <f ca="1">IF(E1480="",F1480, "")</f>
        <v xml:space="preserve">Enter a value for 'Contact Last Name' in cell B110.
</v>
      </c>
      <c r="B1480">
        <v>110</v>
      </c>
      <c r="C1480" s="52" t="str">
        <f t="shared" ref="C1480:C1494" ca="1" si="476">INDIRECT($F$1100 &amp; ADDRESS(B1480, 1,4  ))</f>
        <v>Contact Last Name</v>
      </c>
      <c r="D1480" t="str">
        <f t="shared" si="473"/>
        <v>B110</v>
      </c>
      <c r="E1480" t="str">
        <f t="shared" ca="1" si="474"/>
        <v/>
      </c>
      <c r="F1480" t="str">
        <f t="shared" ca="1" si="475"/>
        <v xml:space="preserve">Enter a value for 'Contact Last Name' in cell B110.
</v>
      </c>
      <c r="G1480"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v>
      </c>
      <c r="H1480" s="9"/>
      <c r="I1480" s="9"/>
    </row>
    <row r="1481" spans="1:12" ht="15" customHeight="1">
      <c r="A1481" s="52" t="str">
        <f ca="1">IF(AND(E1480="Yes", E1481=""),F1481, "")</f>
        <v/>
      </c>
      <c r="B1481">
        <v>111</v>
      </c>
      <c r="C1481" s="52" t="str">
        <f t="shared" ca="1" si="476"/>
        <v>Phone (#'s only)</v>
      </c>
      <c r="D1481" t="str">
        <f t="shared" si="473"/>
        <v>B111</v>
      </c>
      <c r="E1481" t="str">
        <f t="shared" ca="1" si="474"/>
        <v/>
      </c>
      <c r="F1481" t="str">
        <f t="shared" ca="1" si="475"/>
        <v xml:space="preserve">Enter a value for 'Phone (#'s only)' in cell B111.
</v>
      </c>
      <c r="G1481"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v>
      </c>
      <c r="H1481" s="9"/>
      <c r="I1481" s="9"/>
    </row>
    <row r="1482" spans="1:12" ht="15" customHeight="1">
      <c r="A1482" t="str">
        <f ca="1">IF(E1482="",F1482, "")</f>
        <v xml:space="preserve">Enter a value for 'Email' in cell B112.
</v>
      </c>
      <c r="B1482">
        <v>112</v>
      </c>
      <c r="C1482" s="52" t="str">
        <f t="shared" ca="1" si="476"/>
        <v>Email</v>
      </c>
      <c r="D1482" t="str">
        <f t="shared" si="473"/>
        <v>B112</v>
      </c>
      <c r="E1482" t="str">
        <f t="shared" ca="1" si="474"/>
        <v/>
      </c>
      <c r="F1482" t="str">
        <f t="shared" ca="1" si="475"/>
        <v xml:space="preserve">Enter a value for 'Email' in cell B112.
</v>
      </c>
      <c r="G1482" s="9" t="str">
        <f t="shared" ca="1" si="40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v>
      </c>
      <c r="H1482" s="9"/>
      <c r="I1482" s="9"/>
    </row>
    <row r="1483" spans="1:12" ht="15" customHeight="1">
      <c r="A1483" t="str">
        <f t="shared" ref="A1483:A1484" ca="1" si="477">IF(E1483="",F1483, "")</f>
        <v xml:space="preserve">Enter a value for 'Legal Status' in cell B113.
</v>
      </c>
      <c r="B1483">
        <v>113</v>
      </c>
      <c r="C1483" s="52" t="str">
        <f t="shared" ca="1" si="476"/>
        <v>Legal Status</v>
      </c>
      <c r="D1483" t="str">
        <f t="shared" si="473"/>
        <v>B113</v>
      </c>
      <c r="E1483" t="str">
        <f t="shared" ref="E1483:E1484" ca="1" si="478">IF(ISBLANK( INDIRECT($F$1100 &amp; D1483)),"", INDIRECT($F$1100 &amp; D1483))</f>
        <v/>
      </c>
      <c r="F1483" t="str">
        <f t="shared" ref="F1483:F1484" ca="1" si="479">CONCATENATE("Enter a value for '", C1483, "' in cell ", D1483, ".", CHAR(10))</f>
        <v xml:space="preserve">Enter a value for 'Legal Status' in cell B113.
</v>
      </c>
      <c r="G1483" s="9" t="str">
        <f t="shared" ref="G1483:G1484" ca="1" si="480">OFFSET(G1483, -1, 0) &amp; A1483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v>
      </c>
      <c r="H1483" s="9"/>
      <c r="I1483" s="9"/>
    </row>
    <row r="1484" spans="1:12" ht="15" customHeight="1">
      <c r="A1484" t="str">
        <f t="shared" ca="1" si="477"/>
        <v xml:space="preserve">Enter a value for 'Tax ID Number' in cell B114.
</v>
      </c>
      <c r="B1484">
        <v>114</v>
      </c>
      <c r="C1484" s="52" t="str">
        <f t="shared" ca="1" si="476"/>
        <v>Tax ID Number</v>
      </c>
      <c r="D1484" t="str">
        <f t="shared" si="473"/>
        <v>B114</v>
      </c>
      <c r="E1484" t="str">
        <f t="shared" ca="1" si="478"/>
        <v/>
      </c>
      <c r="F1484" t="str">
        <f t="shared" ca="1" si="479"/>
        <v xml:space="preserve">Enter a value for 'Tax ID Number' in cell B114.
</v>
      </c>
      <c r="G1484" s="9" t="str">
        <f t="shared" ca="1" si="48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84" s="9"/>
      <c r="I1484" s="9"/>
    </row>
    <row r="1485" spans="1:12" ht="15" customHeight="1">
      <c r="A1485" s="52" t="str">
        <f ca="1">IF(AND($E$1484="Yes",E1485=""),F1485,"")</f>
        <v/>
      </c>
      <c r="B1485">
        <v>115</v>
      </c>
      <c r="C1485" s="52" t="str">
        <f t="shared" ca="1" si="476"/>
        <v>Additional Participating Non-Profit or PHA Questions</v>
      </c>
      <c r="D1485" t="str">
        <f t="shared" si="473"/>
        <v>B115</v>
      </c>
      <c r="E1485" t="str">
        <f t="shared" ca="1" si="474"/>
        <v/>
      </c>
      <c r="F1485" t="str">
        <f t="shared" ca="1" si="475"/>
        <v xml:space="preserve">Enter a value for 'Additional Participating Non-Profit or PHA Questions' in cell B115.
</v>
      </c>
      <c r="G1485" s="9" t="str">
        <f t="shared" ref="G1485:G1499" ca="1" si="481">OFFSET(G1485, -1, 0) &amp; A1485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85" s="9"/>
      <c r="I1485" s="9"/>
    </row>
    <row r="1486" spans="1:12" ht="15" customHeight="1">
      <c r="A1486" s="52" t="str">
        <f t="shared" ref="A1486:A1487" ca="1" si="482">IF(AND($E$1484="Yes",E1486=""),F1486,"")</f>
        <v/>
      </c>
      <c r="B1486">
        <v>116</v>
      </c>
      <c r="C1486" s="52" t="str">
        <f t="shared" ca="1" si="476"/>
        <v>Does the applicant intend to request an allocation of tax credits from the nonprofit set-aside portion of the state credit ceiling under Section 42(h)(5)? Select "Yes" if claiming points under Applicant Characteristics of the Scoring criteria. Only applicable for 9% Competitive Tax Credit</v>
      </c>
      <c r="D1486" t="str">
        <f t="shared" si="473"/>
        <v>B116</v>
      </c>
      <c r="E1486" t="str">
        <f t="shared" ca="1" si="474"/>
        <v/>
      </c>
      <c r="F1486" t="str">
        <f t="shared" ca="1" si="475"/>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B116.
</v>
      </c>
      <c r="G1486"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86" s="9"/>
      <c r="I1486" s="9"/>
    </row>
    <row r="1487" spans="1:12" ht="15" customHeight="1">
      <c r="A1487" s="52" t="str">
        <f t="shared" ca="1" si="482"/>
        <v/>
      </c>
      <c r="B1487">
        <v>117</v>
      </c>
      <c r="C1487" s="52" t="str">
        <f t="shared" ca="1" si="476"/>
        <v>Is the nonprofit or PHA assured of owning an interest in the development throughout the compliance period?</v>
      </c>
      <c r="D1487" t="str">
        <f t="shared" si="473"/>
        <v>B117</v>
      </c>
      <c r="G1487"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v>
      </c>
      <c r="H1487" s="9"/>
      <c r="I1487" s="9"/>
    </row>
    <row r="1488" spans="1:12" ht="15" customHeight="1">
      <c r="A1488" t="str">
        <f t="shared" ref="A1488" ca="1" si="483">IF(E1488="",F1488, "")</f>
        <v xml:space="preserve">Enter a value for 'Describe in detail the nonprofit or PHA ownership interest' in cell B118.
</v>
      </c>
      <c r="B1488">
        <v>118</v>
      </c>
      <c r="C1488" s="52" t="str">
        <f t="shared" ca="1" si="476"/>
        <v>Describe in detail the nonprofit or PHA ownership interest</v>
      </c>
      <c r="D1488" t="str">
        <f t="shared" si="473"/>
        <v>B118</v>
      </c>
      <c r="E1488" t="str">
        <f t="shared" ref="E1488" ca="1" si="484">IF(ISBLANK( INDIRECT($F$1100 &amp; D1488)),"", INDIRECT($F$1100 &amp; D1488))</f>
        <v/>
      </c>
      <c r="F1488" t="str">
        <f t="shared" ref="F1488" ca="1" si="485">CONCATENATE("Enter a value for '", C1488, "' in cell ", D1488, ".", CHAR(10))</f>
        <v xml:space="preserve">Enter a value for 'Describe in detail the nonprofit or PHA ownership interest' in cell B118.
</v>
      </c>
      <c r="G1488"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v>
      </c>
      <c r="H1488" s="9"/>
      <c r="I1488" s="9"/>
    </row>
    <row r="1489" spans="1:9" ht="15" customHeight="1">
      <c r="A1489" s="52" t="str">
        <f ca="1">IF(AND(E1488="Yes", E1489=""),F1489, "")</f>
        <v/>
      </c>
      <c r="B1489">
        <v>119</v>
      </c>
      <c r="C1489" s="52" t="str">
        <f t="shared" ca="1" si="476"/>
        <v>Describe the nonprofit or PHA material participation in the development</v>
      </c>
      <c r="D1489" t="str">
        <f t="shared" si="473"/>
        <v>B119</v>
      </c>
      <c r="E1489" t="str">
        <f t="shared" ca="1" si="474"/>
        <v/>
      </c>
      <c r="F1489" t="str">
        <f t="shared" ca="1" si="475"/>
        <v xml:space="preserve">Enter a value for 'Describe the nonprofit or PHA material participation in the development' in cell B119.
</v>
      </c>
      <c r="G1489"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v>
      </c>
      <c r="H1489" s="9"/>
      <c r="I1489" s="9"/>
    </row>
    <row r="1490" spans="1:9" ht="15" customHeight="1">
      <c r="A1490" t="str">
        <f t="shared" ref="A1490" ca="1" si="486">IF(E1490="",F1490, "")</f>
        <v xml:space="preserve">Enter a value for 'Describe the nonprofit or PHA material participation in the operation of the development throughout the extended use period' in cell B120.
</v>
      </c>
      <c r="B1490">
        <v>120</v>
      </c>
      <c r="C1490" s="52" t="str">
        <f t="shared" ca="1" si="476"/>
        <v>Describe the nonprofit or PHA material participation in the operation of the development throughout the extended use period</v>
      </c>
      <c r="D1490" t="str">
        <f t="shared" si="473"/>
        <v>B120</v>
      </c>
      <c r="E1490" t="str">
        <f t="shared" ca="1" si="474"/>
        <v/>
      </c>
      <c r="F1490" t="str">
        <f t="shared" ca="1" si="475"/>
        <v xml:space="preserve">Enter a value for 'Describe the nonprofit or PHA material participation in the operation of the development throughout the extended use period' in cell B120.
</v>
      </c>
      <c r="G1490" s="9" t="str">
        <f t="shared" ref="G1490:G1491" ca="1" si="487">OFFSET(G1490, -1, 0) &amp; A1490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v>
      </c>
      <c r="H1490" s="9"/>
      <c r="I1490" s="9"/>
    </row>
    <row r="1491" spans="1:9" ht="15" customHeight="1">
      <c r="A1491" s="52" t="str">
        <f ca="1">IF(AND(E1490="Yes", E1491=""),F1491, "")</f>
        <v/>
      </c>
      <c r="B1491">
        <v>121</v>
      </c>
      <c r="C1491" s="52" t="str">
        <f t="shared" ca="1" si="476"/>
        <v>Will the nonprofit or PHA receive any part of the development or management fees paid in connection with the development?</v>
      </c>
      <c r="D1491" t="str">
        <f t="shared" si="473"/>
        <v>B121</v>
      </c>
      <c r="E1491" t="str">
        <f t="shared" ref="E1491:E1494" ca="1" si="488">IF(ISBLANK( INDIRECT($F$1100 &amp; D1491)),"", INDIRECT($F$1100 &amp; D1491))</f>
        <v/>
      </c>
      <c r="F1491" t="str">
        <f t="shared" ref="F1491:F1494" ca="1" si="489">CONCATENATE("Enter a value for '", C1491, "' in cell ", D1491, ".", CHAR(10))</f>
        <v xml:space="preserve">Enter a value for 'Will the nonprofit or PHA receive any part of the development or management fees paid in connection with the development?' in cell B121.
</v>
      </c>
      <c r="G1491" s="9" t="str">
        <f t="shared" ca="1" si="48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v>
      </c>
      <c r="H1491" s="9"/>
      <c r="I1491" s="9"/>
    </row>
    <row r="1492" spans="1:9" ht="15" customHeight="1">
      <c r="A1492" t="str">
        <f t="shared" ref="A1492:A1494" ca="1" si="490">IF(E1492="",F1492, "")</f>
        <v xml:space="preserve">Enter a value for 'If "Yes", explain; if "No" skip to row 131' in cell B122.
</v>
      </c>
      <c r="B1492">
        <v>122</v>
      </c>
      <c r="C1492" s="52" t="str">
        <f t="shared" ca="1" si="476"/>
        <v>If "Yes", explain; if "No" skip to row 131</v>
      </c>
      <c r="D1492" t="str">
        <f t="shared" si="473"/>
        <v>B122</v>
      </c>
      <c r="E1492" t="str">
        <f t="shared" ca="1" si="488"/>
        <v/>
      </c>
      <c r="F1492" t="str">
        <f t="shared" ca="1" si="489"/>
        <v xml:space="preserve">Enter a value for 'If "Yes", explain; if "No" skip to row 131' in cell B122.
</v>
      </c>
      <c r="G1492" s="9" t="str">
        <f t="shared" ref="G1492:G1494" ca="1" si="491">OFFSET(G1492, -1, 0) &amp; A1492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v>
      </c>
      <c r="H1492" s="9"/>
      <c r="I1492" s="9"/>
    </row>
    <row r="1493" spans="1:9" ht="15" customHeight="1">
      <c r="A1493" t="str">
        <f t="shared" ca="1" si="490"/>
        <v xml:space="preserve">Enter a value for 'How many full-time staff members does the nonprofit or PHA have?' in cell B123.
</v>
      </c>
      <c r="B1493">
        <v>123</v>
      </c>
      <c r="C1493" s="52" t="str">
        <f t="shared" ca="1" si="476"/>
        <v>How many full-time staff members does the nonprofit or PHA have?</v>
      </c>
      <c r="D1493" t="str">
        <f t="shared" si="473"/>
        <v>B123</v>
      </c>
      <c r="E1493" t="str">
        <f t="shared" ca="1" si="488"/>
        <v/>
      </c>
      <c r="F1493" t="str">
        <f t="shared" ca="1" si="489"/>
        <v xml:space="preserve">Enter a value for 'How many full-time staff members does the nonprofit or PHA have?' in cell B123.
</v>
      </c>
      <c r="G1493" s="9" t="str">
        <f t="shared" ca="1" si="49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v>
      </c>
      <c r="H1493" s="9"/>
      <c r="I1493" s="9"/>
    </row>
    <row r="1494" spans="1:9" ht="15" customHeight="1">
      <c r="A1494" t="str">
        <f t="shared" ca="1" si="490"/>
        <v xml:space="preserve">Enter a value for 'Describe the type and extent of their activities' in cell B124.
</v>
      </c>
      <c r="B1494">
        <v>124</v>
      </c>
      <c r="C1494" s="52" t="str">
        <f t="shared" ca="1" si="476"/>
        <v>Describe the type and extent of their activities</v>
      </c>
      <c r="D1494" t="str">
        <f t="shared" si="473"/>
        <v>B124</v>
      </c>
      <c r="E1494" t="str">
        <f t="shared" ca="1" si="488"/>
        <v/>
      </c>
      <c r="F1494" t="str">
        <f t="shared" ca="1" si="489"/>
        <v xml:space="preserve">Enter a value for 'Describe the type and extent of their activities' in cell B124.
</v>
      </c>
      <c r="G1494" s="9" t="str">
        <f t="shared" ca="1" si="49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4" s="9"/>
      <c r="I1494" s="9"/>
    </row>
    <row r="1495" spans="1:9" ht="15" customHeight="1">
      <c r="G1495"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5" s="9"/>
      <c r="I1495" s="9"/>
    </row>
    <row r="1496" spans="1:9" ht="15" customHeight="1">
      <c r="G1496"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6" s="9"/>
      <c r="I1496" s="9"/>
    </row>
    <row r="1497" spans="1:9" ht="15" customHeight="1">
      <c r="G1497"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7" s="9"/>
      <c r="I1497" s="9"/>
    </row>
    <row r="1498" spans="1:9" ht="15" customHeight="1">
      <c r="G1498"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8" s="9"/>
      <c r="I1498" s="9"/>
    </row>
    <row r="1499" spans="1:9" ht="15" customHeight="1">
      <c r="G1499" s="9" t="str">
        <f t="shared" ca="1" si="48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499" s="9"/>
      <c r="I1499" s="9"/>
    </row>
    <row r="1500" spans="1:9" ht="15" customHeight="1">
      <c r="A1500" s="55" t="s">
        <v>3886</v>
      </c>
      <c r="B1500" s="53"/>
      <c r="C1500" s="53"/>
      <c r="D1500" s="53"/>
      <c r="E1500" s="53"/>
      <c r="F1500" s="53"/>
      <c r="G1500" s="56" t="str">
        <f ca="1">OFFSET(G1500,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'Contact First Name' in cell B109.
Enter a value for 'Contact Last Name' in cell B110.
Enter a value for 'Email' in cell B112.
Enter a value for 'Legal Status' in cell B113.
Enter a value for 'Tax ID Number' in cell B114.
Enter a value for 'Describe in detail the nonprofit or PHA ownership interest' in cell B118.
Enter a value for 'Describe the nonprofit or PHA material participation in the operation of the development throughout the extended use period' in cell B120.
Enter a value for 'If "Yes", explain; if "No" skip to row 131' in cell B122.
Enter a value for 'How many full-time staff members does the nonprofit or PHA have?' in cell B123.
Enter a value for 'Describe the type and extent of their activities' in cell B124.
</v>
      </c>
      <c r="H1500" s="56"/>
      <c r="I1500" s="56"/>
    </row>
    <row r="1501" spans="1:9" ht="15" customHeight="1"/>
    <row r="1502" spans="1:9" ht="15" customHeight="1"/>
    <row r="1503" spans="1:9" ht="15" customHeight="1">
      <c r="A1503" s="22" t="s">
        <v>109</v>
      </c>
      <c r="F1503" s="49" t="s">
        <v>3887</v>
      </c>
    </row>
    <row r="1504" spans="1:9" ht="15" customHeight="1">
      <c r="A1504" s="53" t="s">
        <v>3831</v>
      </c>
      <c r="B1504" s="53" t="s">
        <v>3832</v>
      </c>
      <c r="C1504" s="53" t="s">
        <v>3833</v>
      </c>
      <c r="D1504" s="53" t="s">
        <v>3834</v>
      </c>
      <c r="E1504" s="53" t="s">
        <v>3835</v>
      </c>
      <c r="F1504" s="53" t="s">
        <v>3836</v>
      </c>
      <c r="G1504" s="54" t="s">
        <v>3837</v>
      </c>
    </row>
    <row r="1505" spans="1:7" ht="15" customHeight="1">
      <c r="A1505" t="str">
        <f ca="1">IF(E1505="",F1505, "")</f>
        <v xml:space="preserve">Enter a value for 'Level of Drawings Completed' in cell B3.
</v>
      </c>
      <c r="B1505">
        <f>ROW('Cost Summary'!C3)</f>
        <v>3</v>
      </c>
      <c r="C1505" t="str">
        <f ca="1">INDIRECT($F$1503 &amp; ADDRESS(B1505, 1,4  ))</f>
        <v>Level of Drawings Completed</v>
      </c>
      <c r="D1505" t="str">
        <f>ADDRESS(B1505, 2,4  )</f>
        <v>B3</v>
      </c>
      <c r="E1505" t="str">
        <f ca="1">IF(ISBLANK( INDIRECT($F$1503 &amp; D1505)),"", INDIRECT($F$1503 &amp; D1505))</f>
        <v/>
      </c>
      <c r="F1505" t="str">
        <f ca="1">CONCATENATE("Enter a value for '", C1505, "' in cell ", D1505, ".", CHAR(10))</f>
        <v xml:space="preserve">Enter a value for 'Level of Drawings Completed' in cell B3.
</v>
      </c>
      <c r="G1505" s="9" t="str">
        <f ca="1">A1505</f>
        <v xml:space="preserve">Enter a value for 'Level of Drawings Completed' in cell B3.
</v>
      </c>
    </row>
    <row r="1506" spans="1:7" ht="15" customHeight="1">
      <c r="A1506" t="str">
        <f ca="1">IF(E1506="",F1506, "")</f>
        <v xml:space="preserve">Enter a value for 'Prevailing Wages' in cell C5.
</v>
      </c>
      <c r="B1506">
        <f>ROW('Cost Summary'!A5)</f>
        <v>5</v>
      </c>
      <c r="C1506" t="str">
        <f ca="1">INDIRECT($F$1503 &amp; ADDRESS(B1506, 1,4  ))</f>
        <v>Prevailing Wages</v>
      </c>
      <c r="D1506" t="str">
        <f>ADDRESS(B1506, 3,4  )</f>
        <v>C5</v>
      </c>
      <c r="E1506" t="str">
        <f ca="1">IF(ISBLANK( INDIRECT($F$1503 &amp; D1506)),"", INDIRECT($F$1503 &amp; D1506))</f>
        <v/>
      </c>
      <c r="F1506" t="str">
        <f ca="1">CONCATENATE("Enter a value for '", C1506, "' in cell ", D1506, ".", CHAR(10))</f>
        <v xml:space="preserve">Enter a value for 'Prevailing Wages' in cell C5.
</v>
      </c>
      <c r="G1506" s="9" t="str">
        <f ca="1">A1506</f>
        <v xml:space="preserve">Enter a value for 'Prevailing Wages' in cell C5.
</v>
      </c>
    </row>
    <row r="1507" spans="1:7" ht="15" customHeight="1">
      <c r="A1507" s="52" t="str">
        <f>IF(E1507=0, F1507, "")</f>
        <v xml:space="preserve">The total of the cost in column C must be greater than zero.
</v>
      </c>
      <c r="B1507" s="52">
        <f>ROW('Cost Summary'!C8)</f>
        <v>8</v>
      </c>
      <c r="C1507" s="52"/>
      <c r="D1507" s="52" t="str">
        <f>SUBSTITUTE(ADDRESS(B1507, COLUMN('Cost Summary'!C8),4), B1507, "")</f>
        <v>C</v>
      </c>
      <c r="E1507" s="52">
        <f>Calculations!B641</f>
        <v>0</v>
      </c>
      <c r="F1507" s="52" t="str">
        <f>CONCATENATE("The total of the cost in column ", D1507, " must be greater than zero.", CHAR(10))</f>
        <v xml:space="preserve">The total of the cost in column C must be greater than zero.
</v>
      </c>
      <c r="G1507" s="9" t="str">
        <f t="shared" ref="G1507:G1538" ca="1" si="492">OFFSET(G1507, -1, 0) &amp; A1507</f>
        <v xml:space="preserve">Enter a value for 'Prevailing Wages' in cell C5.
The total of the cost in column C must be greater than zero.
</v>
      </c>
    </row>
    <row r="1508" spans="1:7" ht="15" customHeight="1">
      <c r="A1508" t="str">
        <f t="shared" ref="A1508:A1533" ca="1" si="493">IF(E1508="",F1508, "")</f>
        <v/>
      </c>
      <c r="B1508">
        <f>ROW('Cost Summary'!A8)</f>
        <v>8</v>
      </c>
      <c r="C1508" s="52" t="str">
        <f t="shared" ref="C1508:C1533" ca="1" si="494">INDIRECT($F$1503 &amp; ADDRESS(B1508, 2,4  ))</f>
        <v>General Requirements</v>
      </c>
      <c r="D1508" t="str">
        <f t="shared" ref="D1508:D1533" si="495">ADDRESS(B1508, 3,4  )</f>
        <v>C8</v>
      </c>
      <c r="E1508">
        <f t="shared" ref="E1508:E1533" ca="1" si="496">IF(ISBLANK( INDIRECT($F$1503 &amp; D1508)),"", INDIRECT($F$1503 &amp; D1508))</f>
        <v>0</v>
      </c>
      <c r="F1508" t="str">
        <f t="shared" ref="F1508:F1533" ca="1" si="497">CONCATENATE("Enter a value for '", C1508, "' in cell ", D1508, ".", CHAR(10))</f>
        <v xml:space="preserve">Enter a value for 'General Requirements' in cell C8.
</v>
      </c>
      <c r="G1508" s="9" t="str">
        <f t="shared" ca="1" si="492"/>
        <v xml:space="preserve">Enter a value for 'Prevailing Wages' in cell C5.
The total of the cost in column C must be greater than zero.
</v>
      </c>
    </row>
    <row r="1509" spans="1:7" ht="15" customHeight="1">
      <c r="A1509" t="str">
        <f t="shared" ca="1" si="493"/>
        <v/>
      </c>
      <c r="B1509">
        <f>ROW('Cost Summary'!A9)</f>
        <v>9</v>
      </c>
      <c r="C1509" s="52" t="str">
        <f t="shared" ca="1" si="494"/>
        <v>Existing Conditions</v>
      </c>
      <c r="D1509" t="str">
        <f t="shared" si="495"/>
        <v>C9</v>
      </c>
      <c r="E1509">
        <f t="shared" ca="1" si="496"/>
        <v>0</v>
      </c>
      <c r="F1509" t="str">
        <f t="shared" ca="1" si="497"/>
        <v xml:space="preserve">Enter a value for 'Existing Conditions' in cell C9.
</v>
      </c>
      <c r="G1509" s="9" t="str">
        <f t="shared" ca="1" si="492"/>
        <v xml:space="preserve">Enter a value for 'Prevailing Wages' in cell C5.
The total of the cost in column C must be greater than zero.
</v>
      </c>
    </row>
    <row r="1510" spans="1:7" ht="15" customHeight="1">
      <c r="A1510" t="str">
        <f t="shared" ca="1" si="493"/>
        <v/>
      </c>
      <c r="B1510">
        <f>ROW('Cost Summary'!A10)</f>
        <v>10</v>
      </c>
      <c r="C1510" s="52" t="str">
        <f t="shared" ca="1" si="494"/>
        <v>Concrete</v>
      </c>
      <c r="D1510" t="str">
        <f t="shared" si="495"/>
        <v>C10</v>
      </c>
      <c r="E1510">
        <f t="shared" ca="1" si="496"/>
        <v>0</v>
      </c>
      <c r="F1510" t="str">
        <f t="shared" ca="1" si="497"/>
        <v xml:space="preserve">Enter a value for 'Concrete' in cell C10.
</v>
      </c>
      <c r="G1510" s="9" t="str">
        <f t="shared" ca="1" si="492"/>
        <v xml:space="preserve">Enter a value for 'Prevailing Wages' in cell C5.
The total of the cost in column C must be greater than zero.
</v>
      </c>
    </row>
    <row r="1511" spans="1:7" ht="15" customHeight="1">
      <c r="A1511" t="str">
        <f t="shared" ca="1" si="493"/>
        <v/>
      </c>
      <c r="B1511">
        <f>ROW('Cost Summary'!A11)</f>
        <v>11</v>
      </c>
      <c r="C1511" s="52" t="str">
        <f t="shared" ca="1" si="494"/>
        <v>Masonry</v>
      </c>
      <c r="D1511" t="str">
        <f t="shared" si="495"/>
        <v>C11</v>
      </c>
      <c r="E1511">
        <f t="shared" ca="1" si="496"/>
        <v>0</v>
      </c>
      <c r="F1511" t="str">
        <f t="shared" ca="1" si="497"/>
        <v xml:space="preserve">Enter a value for 'Masonry' in cell C11.
</v>
      </c>
      <c r="G1511" s="9" t="str">
        <f t="shared" ca="1" si="492"/>
        <v xml:space="preserve">Enter a value for 'Prevailing Wages' in cell C5.
The total of the cost in column C must be greater than zero.
</v>
      </c>
    </row>
    <row r="1512" spans="1:7" ht="15" customHeight="1">
      <c r="A1512" t="str">
        <f t="shared" ca="1" si="493"/>
        <v/>
      </c>
      <c r="B1512">
        <f>ROW('Cost Summary'!A12)</f>
        <v>12</v>
      </c>
      <c r="C1512" s="52" t="str">
        <f t="shared" ca="1" si="494"/>
        <v>Metals</v>
      </c>
      <c r="D1512" t="str">
        <f t="shared" si="495"/>
        <v>C12</v>
      </c>
      <c r="E1512">
        <f t="shared" ca="1" si="496"/>
        <v>0</v>
      </c>
      <c r="F1512" t="str">
        <f t="shared" ca="1" si="497"/>
        <v xml:space="preserve">Enter a value for 'Metals' in cell C12.
</v>
      </c>
      <c r="G1512" s="9" t="str">
        <f t="shared" ca="1" si="492"/>
        <v xml:space="preserve">Enter a value for 'Prevailing Wages' in cell C5.
The total of the cost in column C must be greater than zero.
</v>
      </c>
    </row>
    <row r="1513" spans="1:7" ht="15" customHeight="1">
      <c r="A1513" t="str">
        <f t="shared" ca="1" si="493"/>
        <v/>
      </c>
      <c r="B1513">
        <f>ROW('Cost Summary'!A13)</f>
        <v>13</v>
      </c>
      <c r="C1513" s="52" t="str">
        <f t="shared" ca="1" si="494"/>
        <v>Wood, Plastics &amp; Composites</v>
      </c>
      <c r="D1513" t="str">
        <f t="shared" si="495"/>
        <v>C13</v>
      </c>
      <c r="E1513">
        <f t="shared" ca="1" si="496"/>
        <v>0</v>
      </c>
      <c r="F1513" t="str">
        <f t="shared" ca="1" si="497"/>
        <v xml:space="preserve">Enter a value for 'Wood, Plastics &amp; Composites' in cell C13.
</v>
      </c>
      <c r="G1513" s="9" t="str">
        <f t="shared" ca="1" si="492"/>
        <v xml:space="preserve">Enter a value for 'Prevailing Wages' in cell C5.
The total of the cost in column C must be greater than zero.
</v>
      </c>
    </row>
    <row r="1514" spans="1:7" ht="15" customHeight="1">
      <c r="A1514" t="str">
        <f t="shared" ca="1" si="493"/>
        <v/>
      </c>
      <c r="B1514">
        <f>ROW('Cost Summary'!A14)</f>
        <v>14</v>
      </c>
      <c r="C1514" s="52" t="str">
        <f t="shared" ca="1" si="494"/>
        <v>Thermal and Moisture Protection</v>
      </c>
      <c r="D1514" t="str">
        <f t="shared" si="495"/>
        <v>C14</v>
      </c>
      <c r="E1514">
        <f t="shared" ca="1" si="496"/>
        <v>0</v>
      </c>
      <c r="F1514" t="str">
        <f t="shared" ca="1" si="497"/>
        <v xml:space="preserve">Enter a value for 'Thermal and Moisture Protection' in cell C14.
</v>
      </c>
      <c r="G1514" s="9" t="str">
        <f t="shared" ca="1" si="492"/>
        <v xml:space="preserve">Enter a value for 'Prevailing Wages' in cell C5.
The total of the cost in column C must be greater than zero.
</v>
      </c>
    </row>
    <row r="1515" spans="1:7" ht="15" customHeight="1">
      <c r="A1515" t="str">
        <f t="shared" ca="1" si="493"/>
        <v/>
      </c>
      <c r="B1515">
        <f>ROW('Cost Summary'!A15)</f>
        <v>15</v>
      </c>
      <c r="C1515" s="52" t="str">
        <f t="shared" ca="1" si="494"/>
        <v>Openings</v>
      </c>
      <c r="D1515" t="str">
        <f t="shared" si="495"/>
        <v>C15</v>
      </c>
      <c r="E1515">
        <f t="shared" ca="1" si="496"/>
        <v>0</v>
      </c>
      <c r="F1515" t="str">
        <f t="shared" ca="1" si="497"/>
        <v xml:space="preserve">Enter a value for 'Openings' in cell C15.
</v>
      </c>
      <c r="G1515" s="9" t="str">
        <f t="shared" ca="1" si="492"/>
        <v xml:space="preserve">Enter a value for 'Prevailing Wages' in cell C5.
The total of the cost in column C must be greater than zero.
</v>
      </c>
    </row>
    <row r="1516" spans="1:7" ht="15" customHeight="1">
      <c r="A1516" t="str">
        <f t="shared" ca="1" si="493"/>
        <v/>
      </c>
      <c r="B1516">
        <f>ROW('Cost Summary'!A16)</f>
        <v>16</v>
      </c>
      <c r="C1516" s="52" t="str">
        <f t="shared" ca="1" si="494"/>
        <v>Finishes</v>
      </c>
      <c r="D1516" t="str">
        <f t="shared" si="495"/>
        <v>C16</v>
      </c>
      <c r="E1516">
        <f t="shared" ca="1" si="496"/>
        <v>0</v>
      </c>
      <c r="F1516" t="str">
        <f t="shared" ca="1" si="497"/>
        <v xml:space="preserve">Enter a value for 'Finishes' in cell C16.
</v>
      </c>
      <c r="G1516" s="9" t="str">
        <f t="shared" ca="1" si="492"/>
        <v xml:space="preserve">Enter a value for 'Prevailing Wages' in cell C5.
The total of the cost in column C must be greater than zero.
</v>
      </c>
    </row>
    <row r="1517" spans="1:7" ht="15" customHeight="1">
      <c r="A1517" t="str">
        <f t="shared" ca="1" si="493"/>
        <v/>
      </c>
      <c r="B1517">
        <f>ROW('Cost Summary'!A17)</f>
        <v>17</v>
      </c>
      <c r="C1517" s="52" t="str">
        <f t="shared" ca="1" si="494"/>
        <v>Specialties</v>
      </c>
      <c r="D1517" t="str">
        <f t="shared" si="495"/>
        <v>C17</v>
      </c>
      <c r="E1517">
        <f t="shared" ca="1" si="496"/>
        <v>0</v>
      </c>
      <c r="F1517" t="str">
        <f t="shared" ca="1" si="497"/>
        <v xml:space="preserve">Enter a value for 'Specialties' in cell C17.
</v>
      </c>
      <c r="G1517" s="9" t="str">
        <f t="shared" ca="1" si="492"/>
        <v xml:space="preserve">Enter a value for 'Prevailing Wages' in cell C5.
The total of the cost in column C must be greater than zero.
</v>
      </c>
    </row>
    <row r="1518" spans="1:7" ht="15" customHeight="1">
      <c r="A1518" t="str">
        <f t="shared" ca="1" si="493"/>
        <v/>
      </c>
      <c r="B1518">
        <f>ROW('Cost Summary'!A18)</f>
        <v>18</v>
      </c>
      <c r="C1518" s="52" t="str">
        <f t="shared" ca="1" si="494"/>
        <v>Equipment</v>
      </c>
      <c r="D1518" t="str">
        <f t="shared" si="495"/>
        <v>C18</v>
      </c>
      <c r="E1518">
        <f t="shared" ca="1" si="496"/>
        <v>0</v>
      </c>
      <c r="F1518" t="str">
        <f t="shared" ca="1" si="497"/>
        <v xml:space="preserve">Enter a value for 'Equipment' in cell C18.
</v>
      </c>
      <c r="G1518" s="9" t="str">
        <f t="shared" ca="1" si="492"/>
        <v xml:space="preserve">Enter a value for 'Prevailing Wages' in cell C5.
The total of the cost in column C must be greater than zero.
</v>
      </c>
    </row>
    <row r="1519" spans="1:7" ht="15" customHeight="1">
      <c r="A1519" t="str">
        <f t="shared" ca="1" si="493"/>
        <v/>
      </c>
      <c r="B1519">
        <f>ROW('Cost Summary'!A19)</f>
        <v>19</v>
      </c>
      <c r="C1519" s="52" t="str">
        <f t="shared" ca="1" si="494"/>
        <v>Furnishings</v>
      </c>
      <c r="D1519" t="str">
        <f t="shared" si="495"/>
        <v>C19</v>
      </c>
      <c r="E1519">
        <f t="shared" ca="1" si="496"/>
        <v>0</v>
      </c>
      <c r="F1519" t="str">
        <f t="shared" ca="1" si="497"/>
        <v xml:space="preserve">Enter a value for 'Furnishings' in cell C19.
</v>
      </c>
      <c r="G1519" s="9" t="str">
        <f t="shared" ca="1" si="492"/>
        <v xml:space="preserve">Enter a value for 'Prevailing Wages' in cell C5.
The total of the cost in column C must be greater than zero.
</v>
      </c>
    </row>
    <row r="1520" spans="1:7" ht="15" customHeight="1">
      <c r="A1520" t="str">
        <f t="shared" ca="1" si="493"/>
        <v/>
      </c>
      <c r="B1520">
        <f>ROW('Cost Summary'!A20)</f>
        <v>20</v>
      </c>
      <c r="C1520" s="52" t="str">
        <f t="shared" ca="1" si="494"/>
        <v>Special Construction</v>
      </c>
      <c r="D1520" t="str">
        <f t="shared" si="495"/>
        <v>C20</v>
      </c>
      <c r="E1520">
        <f t="shared" ca="1" si="496"/>
        <v>0</v>
      </c>
      <c r="F1520" t="str">
        <f t="shared" ca="1" si="497"/>
        <v xml:space="preserve">Enter a value for 'Special Construction' in cell C20.
</v>
      </c>
      <c r="G1520" s="9" t="str">
        <f t="shared" ca="1" si="492"/>
        <v xml:space="preserve">Enter a value for 'Prevailing Wages' in cell C5.
The total of the cost in column C must be greater than zero.
</v>
      </c>
    </row>
    <row r="1521" spans="1:7" ht="15" customHeight="1">
      <c r="A1521" t="str">
        <f t="shared" ca="1" si="493"/>
        <v/>
      </c>
      <c r="B1521">
        <f>ROW('Cost Summary'!A21)</f>
        <v>21</v>
      </c>
      <c r="C1521" s="52" t="str">
        <f t="shared" ca="1" si="494"/>
        <v>Conveying Equipment</v>
      </c>
      <c r="D1521" t="str">
        <f t="shared" si="495"/>
        <v>C21</v>
      </c>
      <c r="E1521">
        <f t="shared" ca="1" si="496"/>
        <v>0</v>
      </c>
      <c r="F1521" t="str">
        <f t="shared" ca="1" si="497"/>
        <v xml:space="preserve">Enter a value for 'Conveying Equipment' in cell C21.
</v>
      </c>
      <c r="G1521" s="9" t="str">
        <f t="shared" ca="1" si="492"/>
        <v xml:space="preserve">Enter a value for 'Prevailing Wages' in cell C5.
The total of the cost in column C must be greater than zero.
</v>
      </c>
    </row>
    <row r="1522" spans="1:7" ht="15" customHeight="1">
      <c r="A1522" t="str">
        <f t="shared" ca="1" si="493"/>
        <v/>
      </c>
      <c r="B1522">
        <f>ROW('Cost Summary'!A22)</f>
        <v>22</v>
      </c>
      <c r="C1522" s="52" t="str">
        <f t="shared" ca="1" si="494"/>
        <v>Fire Suppression</v>
      </c>
      <c r="D1522" t="str">
        <f t="shared" si="495"/>
        <v>C22</v>
      </c>
      <c r="E1522">
        <f t="shared" ca="1" si="496"/>
        <v>0</v>
      </c>
      <c r="F1522" t="str">
        <f t="shared" ca="1" si="497"/>
        <v xml:space="preserve">Enter a value for 'Fire Suppression' in cell C22.
</v>
      </c>
      <c r="G1522" s="9" t="str">
        <f t="shared" ca="1" si="492"/>
        <v xml:space="preserve">Enter a value for 'Prevailing Wages' in cell C5.
The total of the cost in column C must be greater than zero.
</v>
      </c>
    </row>
    <row r="1523" spans="1:7" ht="15" customHeight="1">
      <c r="A1523" t="str">
        <f t="shared" ca="1" si="493"/>
        <v/>
      </c>
      <c r="B1523">
        <f>ROW('Cost Summary'!A23)</f>
        <v>23</v>
      </c>
      <c r="C1523" s="52" t="str">
        <f t="shared" ca="1" si="494"/>
        <v>Plumbing</v>
      </c>
      <c r="D1523" t="str">
        <f t="shared" si="495"/>
        <v>C23</v>
      </c>
      <c r="E1523">
        <f t="shared" ca="1" si="496"/>
        <v>0</v>
      </c>
      <c r="F1523" t="str">
        <f t="shared" ca="1" si="497"/>
        <v xml:space="preserve">Enter a value for 'Plumbing' in cell C23.
</v>
      </c>
      <c r="G1523" s="9" t="str">
        <f t="shared" ca="1" si="492"/>
        <v xml:space="preserve">Enter a value for 'Prevailing Wages' in cell C5.
The total of the cost in column C must be greater than zero.
</v>
      </c>
    </row>
    <row r="1524" spans="1:7" ht="15" customHeight="1">
      <c r="A1524" t="str">
        <f t="shared" ca="1" si="493"/>
        <v/>
      </c>
      <c r="B1524">
        <f>ROW('Cost Summary'!A24)</f>
        <v>24</v>
      </c>
      <c r="C1524" s="52" t="str">
        <f t="shared" ca="1" si="494"/>
        <v>Heating Ventilation Air Conditioning</v>
      </c>
      <c r="D1524" t="str">
        <f t="shared" si="495"/>
        <v>C24</v>
      </c>
      <c r="E1524">
        <f t="shared" ca="1" si="496"/>
        <v>0</v>
      </c>
      <c r="F1524" t="str">
        <f t="shared" ca="1" si="497"/>
        <v xml:space="preserve">Enter a value for 'Heating Ventilation Air Conditioning' in cell C24.
</v>
      </c>
      <c r="G1524" s="9" t="str">
        <f t="shared" ca="1" si="492"/>
        <v xml:space="preserve">Enter a value for 'Prevailing Wages' in cell C5.
The total of the cost in column C must be greater than zero.
</v>
      </c>
    </row>
    <row r="1525" spans="1:7" ht="15" customHeight="1">
      <c r="A1525" t="str">
        <f t="shared" ca="1" si="493"/>
        <v/>
      </c>
      <c r="B1525">
        <f>ROW('Cost Summary'!A25)</f>
        <v>25</v>
      </c>
      <c r="C1525" s="52" t="str">
        <f t="shared" ca="1" si="494"/>
        <v>Integrated Automation</v>
      </c>
      <c r="D1525" t="str">
        <f t="shared" si="495"/>
        <v>C25</v>
      </c>
      <c r="E1525">
        <f t="shared" ca="1" si="496"/>
        <v>0</v>
      </c>
      <c r="F1525" t="str">
        <f t="shared" ca="1" si="497"/>
        <v xml:space="preserve">Enter a value for 'Integrated Automation' in cell C25.
</v>
      </c>
      <c r="G1525" s="9" t="str">
        <f t="shared" ca="1" si="492"/>
        <v xml:space="preserve">Enter a value for 'Prevailing Wages' in cell C5.
The total of the cost in column C must be greater than zero.
</v>
      </c>
    </row>
    <row r="1526" spans="1:7" ht="15" customHeight="1">
      <c r="A1526" t="str">
        <f t="shared" ca="1" si="493"/>
        <v/>
      </c>
      <c r="B1526">
        <f>ROW('Cost Summary'!A26)</f>
        <v>26</v>
      </c>
      <c r="C1526" s="52" t="str">
        <f t="shared" ca="1" si="494"/>
        <v>Electrical</v>
      </c>
      <c r="D1526" t="str">
        <f t="shared" si="495"/>
        <v>C26</v>
      </c>
      <c r="E1526">
        <f t="shared" ca="1" si="496"/>
        <v>0</v>
      </c>
      <c r="F1526" t="str">
        <f t="shared" ca="1" si="497"/>
        <v xml:space="preserve">Enter a value for 'Electrical' in cell C26.
</v>
      </c>
      <c r="G1526" s="9" t="str">
        <f t="shared" ca="1" si="492"/>
        <v xml:space="preserve">Enter a value for 'Prevailing Wages' in cell C5.
The total of the cost in column C must be greater than zero.
</v>
      </c>
    </row>
    <row r="1527" spans="1:7" ht="15" customHeight="1">
      <c r="A1527" t="str">
        <f t="shared" ca="1" si="493"/>
        <v/>
      </c>
      <c r="B1527">
        <f>ROW('Cost Summary'!A27)</f>
        <v>27</v>
      </c>
      <c r="C1527" s="52" t="str">
        <f t="shared" ca="1" si="494"/>
        <v>Communications</v>
      </c>
      <c r="D1527" t="str">
        <f t="shared" si="495"/>
        <v>C27</v>
      </c>
      <c r="E1527">
        <f t="shared" ca="1" si="496"/>
        <v>0</v>
      </c>
      <c r="F1527" t="str">
        <f t="shared" ca="1" si="497"/>
        <v xml:space="preserve">Enter a value for 'Communications' in cell C27.
</v>
      </c>
      <c r="G1527" s="9" t="str">
        <f t="shared" ca="1" si="492"/>
        <v xml:space="preserve">Enter a value for 'Prevailing Wages' in cell C5.
The total of the cost in column C must be greater than zero.
</v>
      </c>
    </row>
    <row r="1528" spans="1:7" ht="15" customHeight="1">
      <c r="A1528" t="str">
        <f t="shared" ca="1" si="493"/>
        <v/>
      </c>
      <c r="B1528">
        <f>ROW('Cost Summary'!A28)</f>
        <v>28</v>
      </c>
      <c r="C1528" s="52" t="str">
        <f t="shared" ca="1" si="494"/>
        <v>Electronic Safety &amp; Security</v>
      </c>
      <c r="D1528" t="str">
        <f t="shared" si="495"/>
        <v>C28</v>
      </c>
      <c r="E1528">
        <f t="shared" ca="1" si="496"/>
        <v>0</v>
      </c>
      <c r="F1528" t="str">
        <f t="shared" ca="1" si="497"/>
        <v xml:space="preserve">Enter a value for 'Electronic Safety &amp; Security' in cell C28.
</v>
      </c>
      <c r="G1528" s="9" t="str">
        <f t="shared" ca="1" si="492"/>
        <v xml:space="preserve">Enter a value for 'Prevailing Wages' in cell C5.
The total of the cost in column C must be greater than zero.
</v>
      </c>
    </row>
    <row r="1529" spans="1:7" ht="15" customHeight="1">
      <c r="A1529" t="str">
        <f t="shared" ca="1" si="493"/>
        <v/>
      </c>
      <c r="B1529">
        <f>ROW('Cost Summary'!A29)</f>
        <v>29</v>
      </c>
      <c r="C1529" s="52" t="str">
        <f t="shared" ca="1" si="494"/>
        <v>Earthwork</v>
      </c>
      <c r="D1529" t="str">
        <f t="shared" si="495"/>
        <v>C29</v>
      </c>
      <c r="E1529">
        <f t="shared" ca="1" si="496"/>
        <v>0</v>
      </c>
      <c r="F1529" t="str">
        <f t="shared" ca="1" si="497"/>
        <v xml:space="preserve">Enter a value for 'Earthwork' in cell C29.
</v>
      </c>
      <c r="G1529" s="9" t="str">
        <f t="shared" ca="1" si="492"/>
        <v xml:space="preserve">Enter a value for 'Prevailing Wages' in cell C5.
The total of the cost in column C must be greater than zero.
</v>
      </c>
    </row>
    <row r="1530" spans="1:7" ht="15" customHeight="1">
      <c r="A1530" t="str">
        <f t="shared" ca="1" si="493"/>
        <v/>
      </c>
      <c r="B1530">
        <f>ROW('Cost Summary'!A30)</f>
        <v>30</v>
      </c>
      <c r="C1530" s="52" t="str">
        <f t="shared" ca="1" si="494"/>
        <v>Exterior Improvements</v>
      </c>
      <c r="D1530" t="str">
        <f t="shared" si="495"/>
        <v>C30</v>
      </c>
      <c r="E1530">
        <f t="shared" ca="1" si="496"/>
        <v>0</v>
      </c>
      <c r="F1530" t="str">
        <f t="shared" ca="1" si="497"/>
        <v xml:space="preserve">Enter a value for 'Exterior Improvements' in cell C30.
</v>
      </c>
      <c r="G1530" s="9" t="str">
        <f t="shared" ca="1" si="492"/>
        <v xml:space="preserve">Enter a value for 'Prevailing Wages' in cell C5.
The total of the cost in column C must be greater than zero.
</v>
      </c>
    </row>
    <row r="1531" spans="1:7" ht="15" customHeight="1">
      <c r="A1531" t="str">
        <f t="shared" ca="1" si="493"/>
        <v/>
      </c>
      <c r="B1531">
        <f>ROW('Cost Summary'!A31)</f>
        <v>31</v>
      </c>
      <c r="C1531" s="52" t="str">
        <f t="shared" ca="1" si="494"/>
        <v>Utilities</v>
      </c>
      <c r="D1531" t="str">
        <f t="shared" si="495"/>
        <v>C31</v>
      </c>
      <c r="E1531">
        <f t="shared" ca="1" si="496"/>
        <v>0</v>
      </c>
      <c r="F1531" t="str">
        <f t="shared" ca="1" si="497"/>
        <v xml:space="preserve">Enter a value for 'Utilities' in cell C31.
</v>
      </c>
      <c r="G1531" s="9" t="str">
        <f t="shared" ca="1" si="492"/>
        <v xml:space="preserve">Enter a value for 'Prevailing Wages' in cell C5.
The total of the cost in column C must be greater than zero.
</v>
      </c>
    </row>
    <row r="1532" spans="1:7" ht="15" customHeight="1">
      <c r="A1532" t="str">
        <f t="shared" ca="1" si="493"/>
        <v/>
      </c>
      <c r="B1532">
        <f>ROW('Cost Summary'!A32)</f>
        <v>32</v>
      </c>
      <c r="C1532" s="52" t="str">
        <f t="shared" ca="1" si="494"/>
        <v>Transportation</v>
      </c>
      <c r="D1532" t="str">
        <f t="shared" si="495"/>
        <v>C32</v>
      </c>
      <c r="E1532">
        <f t="shared" ca="1" si="496"/>
        <v>0</v>
      </c>
      <c r="F1532" t="str">
        <f t="shared" ca="1" si="497"/>
        <v xml:space="preserve">Enter a value for 'Transportation' in cell C32.
</v>
      </c>
      <c r="G1532" s="9" t="str">
        <f t="shared" ca="1" si="492"/>
        <v xml:space="preserve">Enter a value for 'Prevailing Wages' in cell C5.
The total of the cost in column C must be greater than zero.
</v>
      </c>
    </row>
    <row r="1533" spans="1:7" ht="15" customHeight="1">
      <c r="A1533" t="str">
        <f t="shared" ca="1" si="493"/>
        <v/>
      </c>
      <c r="B1533">
        <f>ROW('Cost Summary'!A34)</f>
        <v>34</v>
      </c>
      <c r="C1533" s="52" t="str">
        <f t="shared" ca="1" si="494"/>
        <v>[Other - describe]</v>
      </c>
      <c r="D1533" t="str">
        <f t="shared" si="495"/>
        <v>C34</v>
      </c>
      <c r="E1533">
        <f t="shared" ca="1" si="496"/>
        <v>0</v>
      </c>
      <c r="F1533" t="str">
        <f t="shared" ca="1" si="497"/>
        <v xml:space="preserve">Enter a value for '[Other - describe]' in cell C34.
</v>
      </c>
      <c r="G1533" s="9" t="str">
        <f t="shared" ca="1" si="492"/>
        <v xml:space="preserve">Enter a value for 'Prevailing Wages' in cell C5.
The total of the cost in column C must be greater than zero.
</v>
      </c>
    </row>
    <row r="1534" spans="1:7" ht="15" customHeight="1">
      <c r="A1534" t="str">
        <f ca="1">IF(AND(E1534, E1533 &gt; 0), F1534, "")</f>
        <v/>
      </c>
      <c r="C1534" t="str">
        <f ca="1">INDIRECT($F$1503 &amp; ADDRESS(B1533, 2,4  ))</f>
        <v>[Other - describe]</v>
      </c>
      <c r="D1534" t="str">
        <f>ADDRESS(B1533, 2,4  )</f>
        <v>B34</v>
      </c>
      <c r="E1534" t="b">
        <f ca="1">INDIRECT($F$1503 &amp; D1534)="[Other - describe]"</f>
        <v>1</v>
      </c>
      <c r="F1534" t="str">
        <f ca="1">CONCATENATE("Please specify value for '", C1534, "' in cell ", D1534, ".", CHAR(10))</f>
        <v xml:space="preserve">Please specify value for '[Other - describe]' in cell B34.
</v>
      </c>
      <c r="G1534" s="9" t="str">
        <f t="shared" ca="1" si="492"/>
        <v xml:space="preserve">Enter a value for 'Prevailing Wages' in cell C5.
The total of the cost in column C must be greater than zero.
</v>
      </c>
    </row>
    <row r="1535" spans="1:7" ht="15" customHeight="1">
      <c r="A1535" t="str">
        <f ca="1">IF(E1535="",F1535, "")</f>
        <v/>
      </c>
      <c r="B1535">
        <f>ROW('Cost Summary'!A35)</f>
        <v>35</v>
      </c>
      <c r="C1535" s="52" t="str">
        <f ca="1">INDIRECT($F$1503 &amp; ADDRESS(B1535, 2,4  ))</f>
        <v>[Other - describe]</v>
      </c>
      <c r="D1535" t="str">
        <f>ADDRESS(B1535, 3,4  )</f>
        <v>C35</v>
      </c>
      <c r="E1535">
        <f ca="1">IF(ISBLANK( INDIRECT($F$1503 &amp; D1535)),"", INDIRECT($F$1503 &amp; D1535))</f>
        <v>0</v>
      </c>
      <c r="F1535" t="str">
        <f ca="1">CONCATENATE("Enter a value for '", C1535, "' in cell ", D1535, ".", CHAR(10))</f>
        <v xml:space="preserve">Enter a value for '[Other - describe]' in cell C35.
</v>
      </c>
      <c r="G1535" s="9" t="str">
        <f t="shared" ca="1" si="492"/>
        <v xml:space="preserve">Enter a value for 'Prevailing Wages' in cell C5.
The total of the cost in column C must be greater than zero.
</v>
      </c>
    </row>
    <row r="1536" spans="1:7" ht="15" customHeight="1">
      <c r="A1536" t="str">
        <f ca="1">IF(AND(E1536, E1535 &gt; 0), F1536, "")</f>
        <v/>
      </c>
      <c r="C1536" t="str">
        <f ca="1">INDIRECT($F$1503 &amp; ADDRESS(B1535, 2,4  ))</f>
        <v>[Other - describe]</v>
      </c>
      <c r="D1536" t="str">
        <f>ADDRESS(B1535, 2,4  )</f>
        <v>B35</v>
      </c>
      <c r="E1536" t="b">
        <f ca="1">INDIRECT($F$1503 &amp; D1536)="[Other - describe]"</f>
        <v>1</v>
      </c>
      <c r="F1536" t="str">
        <f ca="1">CONCATENATE("Please specify value for '", C1536, "' in cell ", D1536, ".", CHAR(10))</f>
        <v xml:space="preserve">Please specify value for '[Other - describe]' in cell B35.
</v>
      </c>
      <c r="G1536" s="9" t="str">
        <f t="shared" ca="1" si="492"/>
        <v xml:space="preserve">Enter a value for 'Prevailing Wages' in cell C5.
The total of the cost in column C must be greater than zero.
</v>
      </c>
    </row>
    <row r="1537" spans="1:7" ht="15" customHeight="1">
      <c r="A1537" t="str">
        <f ca="1">IF(E1537="",F1537, "")</f>
        <v/>
      </c>
      <c r="B1537">
        <f>ROW('Cost Summary'!A38)</f>
        <v>38</v>
      </c>
      <c r="C1537" s="52" t="str">
        <f ca="1">INDIRECT($F$1503 &amp; ADDRESS(B1537, 2,4  ))</f>
        <v>Procurement Pre-construction, Design-Build</v>
      </c>
      <c r="D1537" t="str">
        <f>ADDRESS(B1537, 3,4  )</f>
        <v>C38</v>
      </c>
      <c r="E1537">
        <f ca="1">IF(ISBLANK( INDIRECT($F$1503 &amp; D1537)),"", INDIRECT($F$1503 &amp; D1537))</f>
        <v>0</v>
      </c>
      <c r="F1537" t="str">
        <f ca="1">CONCATENATE("Enter a value for '", C1537, "' in cell ", D1537, ".", CHAR(10))</f>
        <v xml:space="preserve">Enter a value for 'Procurement Pre-construction, Design-Build' in cell C38.
</v>
      </c>
      <c r="G1537" s="9" t="str">
        <f t="shared" ca="1" si="492"/>
        <v xml:space="preserve">Enter a value for 'Prevailing Wages' in cell C5.
The total of the cost in column C must be greater than zero.
</v>
      </c>
    </row>
    <row r="1538" spans="1:7" ht="15" customHeight="1">
      <c r="A1538" t="str">
        <f ca="1">IF(E1538="",F1538, "")</f>
        <v/>
      </c>
      <c r="B1538">
        <f>ROW('Cost Summary'!A39)</f>
        <v>39</v>
      </c>
      <c r="C1538" s="52" t="str">
        <f ca="1">INDIRECT($F$1503 &amp; ADDRESS(B1538, 2,4  ))</f>
        <v>[Other - describe]</v>
      </c>
      <c r="D1538" t="str">
        <f>ADDRESS(B1538, 3,4  )</f>
        <v>C39</v>
      </c>
      <c r="E1538">
        <f ca="1">IF(ISBLANK( INDIRECT($F$1503 &amp; D1538)),"", INDIRECT($F$1503 &amp; D1538))</f>
        <v>0</v>
      </c>
      <c r="F1538" t="str">
        <f ca="1">CONCATENATE("Enter a value for '", C1538, "' in cell ", D1538, ".", CHAR(10))</f>
        <v xml:space="preserve">Enter a value for '[Other - describe]' in cell C39.
</v>
      </c>
      <c r="G1538" s="9" t="str">
        <f t="shared" ca="1" si="492"/>
        <v xml:space="preserve">Enter a value for 'Prevailing Wages' in cell C5.
The total of the cost in column C must be greater than zero.
</v>
      </c>
    </row>
    <row r="1539" spans="1:7" ht="15" customHeight="1">
      <c r="A1539" t="str">
        <f ca="1">IF(AND(E1539, E1538 &gt; 0), F1539, "")</f>
        <v/>
      </c>
      <c r="C1539" t="str">
        <f ca="1">INDIRECT($F$1503 &amp; ADDRESS(B1538, 2,4  ))</f>
        <v>[Other - describe]</v>
      </c>
      <c r="D1539" t="str">
        <f>ADDRESS(B1538, 2,4  )</f>
        <v>B39</v>
      </c>
      <c r="E1539" t="b">
        <f ca="1">INDIRECT($F$1503 &amp; D1539)="[Other - describe]"</f>
        <v>1</v>
      </c>
      <c r="F1539" t="str">
        <f ca="1">CONCATENATE("Please specify value for '", C1539, "' in cell ", D1539, ".", CHAR(10))</f>
        <v xml:space="preserve">Please specify value for '[Other - describe]' in cell B39.
</v>
      </c>
      <c r="G1539" s="9" t="str">
        <f t="shared" ref="G1539:G1560" ca="1" si="498">OFFSET(G1539, -1, 0) &amp; A1539</f>
        <v xml:space="preserve">Enter a value for 'Prevailing Wages' in cell C5.
The total of the cost in column C must be greater than zero.
</v>
      </c>
    </row>
    <row r="1540" spans="1:7" ht="15" customHeight="1">
      <c r="A1540" t="str">
        <f ca="1">IF(E1540="",F1540, "")</f>
        <v/>
      </c>
      <c r="B1540">
        <f>ROW('Cost Summary'!A40)</f>
        <v>40</v>
      </c>
      <c r="C1540" s="52" t="str">
        <f ca="1">INDIRECT($F$1503 &amp; ADDRESS(B1540, 2,4  ))</f>
        <v>[Other - describe]</v>
      </c>
      <c r="D1540" t="str">
        <f>ADDRESS(B1540, 3,4  )</f>
        <v>C40</v>
      </c>
      <c r="E1540">
        <f ca="1">IF(ISBLANK( INDIRECT($F$1503 &amp; D1540)),"", INDIRECT($F$1503 &amp; D1540))</f>
        <v>0</v>
      </c>
      <c r="F1540" t="str">
        <f ca="1">CONCATENATE("Enter a value for '", C1540, "' in cell ", D1540, ".", CHAR(10))</f>
        <v xml:space="preserve">Enter a value for '[Other - describe]' in cell C40.
</v>
      </c>
      <c r="G1540" s="9" t="str">
        <f t="shared" ca="1" si="498"/>
        <v xml:space="preserve">Enter a value for 'Prevailing Wages' in cell C5.
The total of the cost in column C must be greater than zero.
</v>
      </c>
    </row>
    <row r="1541" spans="1:7" ht="15" customHeight="1">
      <c r="A1541" t="str">
        <f ca="1">IF(AND(E1541, E1540 &gt; 0), F1541, "")</f>
        <v/>
      </c>
      <c r="C1541" t="str">
        <f ca="1">INDIRECT($F$1503 &amp; ADDRESS(B1540, 2,4  ))</f>
        <v>[Other - describe]</v>
      </c>
      <c r="D1541" t="str">
        <f>ADDRESS(B1540, 2,4  )</f>
        <v>B40</v>
      </c>
      <c r="E1541" t="b">
        <f ca="1">INDIRECT($F$1503 &amp; D1541)="[Other - describe]"</f>
        <v>1</v>
      </c>
      <c r="F1541" t="str">
        <f ca="1">CONCATENATE("Please specify value for '", C1541, "' in cell ", D1541, ".", CHAR(10))</f>
        <v xml:space="preserve">Please specify value for '[Other - describe]' in cell B40.
</v>
      </c>
      <c r="G1541" s="9" t="str">
        <f t="shared" ca="1" si="498"/>
        <v xml:space="preserve">Enter a value for 'Prevailing Wages' in cell C5.
The total of the cost in column C must be greater than zero.
</v>
      </c>
    </row>
    <row r="1542" spans="1:7" ht="15" customHeight="1">
      <c r="A1542" t="str">
        <f ca="1">IF(E1542="",F1542, "")</f>
        <v/>
      </c>
      <c r="B1542">
        <f>ROW('Cost Summary'!A41)</f>
        <v>41</v>
      </c>
      <c r="C1542" s="52" t="str">
        <f ca="1">INDIRECT($F$1503 &amp; ADDRESS(B1542, 2,4  ))</f>
        <v>[Other - describe]</v>
      </c>
      <c r="D1542" t="str">
        <f>ADDRESS(B1542, 3,4  )</f>
        <v>C41</v>
      </c>
      <c r="E1542">
        <f ca="1">IF(ISBLANK( INDIRECT($F$1503 &amp; D1542)),"", INDIRECT($F$1503 &amp; D1542))</f>
        <v>0</v>
      </c>
      <c r="F1542" t="str">
        <f ca="1">CONCATENATE("Enter a value for '", C1542, "' in cell ", D1542, ".", CHAR(10))</f>
        <v xml:space="preserve">Enter a value for '[Other - describe]' in cell C41.
</v>
      </c>
      <c r="G1542" s="9" t="str">
        <f t="shared" ca="1" si="498"/>
        <v xml:space="preserve">Enter a value for 'Prevailing Wages' in cell C5.
The total of the cost in column C must be greater than zero.
</v>
      </c>
    </row>
    <row r="1543" spans="1:7" ht="15" customHeight="1">
      <c r="A1543" t="str">
        <f ca="1">IF(AND(E1543, E1542 &gt; 0), F1543, "")</f>
        <v/>
      </c>
      <c r="C1543" t="str">
        <f ca="1">INDIRECT($F$1503 &amp; ADDRESS(B1542, 2,4  ))</f>
        <v>[Other - describe]</v>
      </c>
      <c r="D1543" t="str">
        <f>ADDRESS(B1542, 2,4  )</f>
        <v>B41</v>
      </c>
      <c r="E1543" t="b">
        <f ca="1">INDIRECT($F$1503 &amp; D1543)="[Other - describe]"</f>
        <v>1</v>
      </c>
      <c r="F1543" t="str">
        <f ca="1">CONCATENATE("Please specify value for '", C1543, "' in cell ", D1543, ".", CHAR(10))</f>
        <v xml:space="preserve">Please specify value for '[Other - describe]' in cell B41.
</v>
      </c>
      <c r="G1543" s="9" t="str">
        <f t="shared" ca="1" si="498"/>
        <v xml:space="preserve">Enter a value for 'Prevailing Wages' in cell C5.
The total of the cost in column C must be greater than zero.
</v>
      </c>
    </row>
    <row r="1544" spans="1:7" ht="15" customHeight="1">
      <c r="A1544" t="str">
        <f ca="1">IF(E1544="",F1544, "")</f>
        <v/>
      </c>
      <c r="B1544">
        <f>ROW('Cost Summary'!A44)</f>
        <v>44</v>
      </c>
      <c r="C1544" s="52" t="str">
        <f ca="1">INDIRECT($F$1503 &amp; ADDRESS(B1544, 2,4  ))</f>
        <v>Payment &amp; Performance Bond</v>
      </c>
      <c r="D1544" t="str">
        <f>ADDRESS(B1544, 3,4  )</f>
        <v>C44</v>
      </c>
      <c r="E1544">
        <f ca="1">IF(ISBLANK( INDIRECT($F$1503 &amp; D1544)),"", INDIRECT($F$1503 &amp; D1544))</f>
        <v>0</v>
      </c>
      <c r="F1544" t="str">
        <f ca="1">CONCATENATE("Enter a value for '", C1544, "' in cell ", D1544, ".", CHAR(10))</f>
        <v xml:space="preserve">Enter a value for 'Payment &amp; Performance Bond' in cell C44.
</v>
      </c>
      <c r="G1544" s="9" t="str">
        <f t="shared" ca="1" si="498"/>
        <v xml:space="preserve">Enter a value for 'Prevailing Wages' in cell C5.
The total of the cost in column C must be greater than zero.
</v>
      </c>
    </row>
    <row r="1545" spans="1:7" ht="15" customHeight="1">
      <c r="A1545" t="str">
        <f ca="1">IF(E1545="",F1545, "")</f>
        <v/>
      </c>
      <c r="B1545">
        <f>ROW('Cost Summary'!A45)</f>
        <v>45</v>
      </c>
      <c r="C1545" s="52" t="str">
        <f ca="1">INDIRECT($F$1503 &amp; ADDRESS(B1545, 2,4  ))</f>
        <v>Builders Risk</v>
      </c>
      <c r="D1545" t="str">
        <f>ADDRESS(B1545, 3,4  )</f>
        <v>C45</v>
      </c>
      <c r="E1545">
        <f ca="1">IF(ISBLANK( INDIRECT($F$1503 &amp; D1545)),"", INDIRECT($F$1503 &amp; D1545))</f>
        <v>0</v>
      </c>
      <c r="F1545" t="str">
        <f ca="1">CONCATENATE("Enter a value for '", C1545, "' in cell ", D1545, ".", CHAR(10))</f>
        <v xml:space="preserve">Enter a value for 'Builders Risk' in cell C45.
</v>
      </c>
      <c r="G1545" s="9" t="str">
        <f t="shared" ca="1" si="498"/>
        <v xml:space="preserve">Enter a value for 'Prevailing Wages' in cell C5.
The total of the cost in column C must be greater than zero.
</v>
      </c>
    </row>
    <row r="1546" spans="1:7" ht="15" customHeight="1">
      <c r="A1546" t="str">
        <f ca="1">IF(E1546="",F1546, "")</f>
        <v/>
      </c>
      <c r="B1546">
        <f>ROW('Cost Summary'!A46)</f>
        <v>46</v>
      </c>
      <c r="C1546" s="52" t="str">
        <f ca="1">INDIRECT($F$1503 &amp; ADDRESS(B1546, 2,4  ))</f>
        <v>General Liability</v>
      </c>
      <c r="D1546" t="str">
        <f>ADDRESS(B1546, 3,4  )</f>
        <v>C46</v>
      </c>
      <c r="E1546">
        <f ca="1">IF(ISBLANK( INDIRECT($F$1503 &amp; D1546)),"", INDIRECT($F$1503 &amp; D1546))</f>
        <v>0</v>
      </c>
      <c r="F1546" t="str">
        <f ca="1">CONCATENATE("Enter a value for '", C1546, "' in cell ", D1546, ".", CHAR(10))</f>
        <v xml:space="preserve">Enter a value for 'General Liability' in cell C46.
</v>
      </c>
      <c r="G1546" s="9" t="str">
        <f t="shared" ca="1" si="498"/>
        <v xml:space="preserve">Enter a value for 'Prevailing Wages' in cell C5.
The total of the cost in column C must be greater than zero.
</v>
      </c>
    </row>
    <row r="1547" spans="1:7" ht="15" customHeight="1">
      <c r="A1547" t="str">
        <f ca="1">IF(E1547="",F1547, "")</f>
        <v/>
      </c>
      <c r="B1547">
        <f>ROW('Cost Summary'!A47)</f>
        <v>47</v>
      </c>
      <c r="C1547" s="52" t="str">
        <f ca="1">INDIRECT($F$1503 &amp; ADDRESS(B1547, 2,4  ))</f>
        <v>Wrap Insurance Program</v>
      </c>
      <c r="D1547" t="str">
        <f>ADDRESS(B1547, 3,4  )</f>
        <v>C47</v>
      </c>
      <c r="E1547">
        <f ca="1">IF(ISBLANK( INDIRECT($F$1503 &amp; D1547)),"", INDIRECT($F$1503 &amp; D1547))</f>
        <v>0</v>
      </c>
      <c r="F1547" t="str">
        <f ca="1">CONCATENATE("Enter a value for '", C1547, "' in cell ", D1547, ".", CHAR(10))</f>
        <v xml:space="preserve">Enter a value for 'Wrap Insurance Program' in cell C47.
</v>
      </c>
      <c r="G1547" s="9" t="str">
        <f t="shared" ca="1" si="498"/>
        <v xml:space="preserve">Enter a value for 'Prevailing Wages' in cell C5.
The total of the cost in column C must be greater than zero.
</v>
      </c>
    </row>
    <row r="1548" spans="1:7" ht="15" customHeight="1">
      <c r="A1548" t="str">
        <f ca="1">IF(E1548="",F1548, "")</f>
        <v/>
      </c>
      <c r="B1548">
        <f>ROW('Cost Summary'!A48)</f>
        <v>48</v>
      </c>
      <c r="C1548" s="52" t="str">
        <f ca="1">INDIRECT($F$1503 &amp; ADDRESS(B1548, 2,4  ))</f>
        <v>[Other - describe]</v>
      </c>
      <c r="D1548" t="str">
        <f>ADDRESS(B1548, 3,4  )</f>
        <v>C48</v>
      </c>
      <c r="E1548">
        <f ca="1">IF(ISBLANK( INDIRECT($F$1503 &amp; D1548)),"", INDIRECT($F$1503 &amp; D1548))</f>
        <v>0</v>
      </c>
      <c r="F1548" t="str">
        <f ca="1">CONCATENATE("Enter a value for '", C1548, "' in cell ", D1548, ".", CHAR(10))</f>
        <v xml:space="preserve">Enter a value for '[Other - describe]' in cell C48.
</v>
      </c>
      <c r="G1548" s="9" t="str">
        <f t="shared" ca="1" si="498"/>
        <v xml:space="preserve">Enter a value for 'Prevailing Wages' in cell C5.
The total of the cost in column C must be greater than zero.
</v>
      </c>
    </row>
    <row r="1549" spans="1:7" ht="15" customHeight="1">
      <c r="A1549" t="str">
        <f ca="1">IF(AND(E1549, E1548 &gt; 0), F1549, "")</f>
        <v/>
      </c>
      <c r="C1549" t="str">
        <f ca="1">INDIRECT($F$1503 &amp; ADDRESS(B1548, 2,4  ))</f>
        <v>[Other - describe]</v>
      </c>
      <c r="D1549" t="str">
        <f>ADDRESS(B1548, 2,4  )</f>
        <v>B48</v>
      </c>
      <c r="E1549" t="b">
        <f ca="1">INDIRECT($F$1503 &amp; D1549)="[Other - describe]"</f>
        <v>1</v>
      </c>
      <c r="F1549" t="str">
        <f ca="1">CONCATENATE("Please specify value for '", C1549, "' in cell ", D1549, ".", CHAR(10))</f>
        <v xml:space="preserve">Please specify value for '[Other - describe]' in cell B48.
</v>
      </c>
      <c r="G1549" s="9" t="str">
        <f t="shared" ca="1" si="498"/>
        <v xml:space="preserve">Enter a value for 'Prevailing Wages' in cell C5.
The total of the cost in column C must be greater than zero.
</v>
      </c>
    </row>
    <row r="1550" spans="1:7" ht="15" customHeight="1">
      <c r="A1550" t="str">
        <f t="shared" ref="A1550:A1555" ca="1" si="499">IF(E1550="",F1550, "")</f>
        <v/>
      </c>
      <c r="B1550">
        <f>ROW('Cost Summary'!A51)</f>
        <v>51</v>
      </c>
      <c r="C1550" s="52" t="str">
        <f t="shared" ref="C1550:C1555" ca="1" si="500">INDIRECT($F$1503 &amp; ADDRESS(B1550, 2,4  ))</f>
        <v>Contingency (Contractor's)</v>
      </c>
      <c r="D1550" t="str">
        <f t="shared" ref="D1550:D1555" si="501">ADDRESS(B1550, 3,4  )</f>
        <v>C51</v>
      </c>
      <c r="E1550">
        <f t="shared" ref="E1550:E1555" ca="1" si="502">IF(ISBLANK( INDIRECT($F$1503 &amp; D1550)),"", INDIRECT($F$1503 &amp; D1550))</f>
        <v>0</v>
      </c>
      <c r="F1550" t="str">
        <f t="shared" ref="F1550:F1555" ca="1" si="503">CONCATENATE("Enter a value for '", C1550, "' in cell ", D1550, ".", CHAR(10))</f>
        <v xml:space="preserve">Enter a value for 'Contingency (Contractor's)' in cell C51.
</v>
      </c>
      <c r="G1550" s="9" t="str">
        <f t="shared" ca="1" si="498"/>
        <v xml:space="preserve">Enter a value for 'Prevailing Wages' in cell C5.
The total of the cost in column C must be greater than zero.
</v>
      </c>
    </row>
    <row r="1551" spans="1:7" ht="15" customHeight="1">
      <c r="A1551" t="str">
        <f t="shared" ca="1" si="499"/>
        <v/>
      </c>
      <c r="B1551">
        <f>ROW('Cost Summary'!A52)</f>
        <v>52</v>
      </c>
      <c r="C1551" s="52" t="str">
        <f t="shared" ca="1" si="500"/>
        <v>Contractor Overhead</v>
      </c>
      <c r="D1551" t="str">
        <f t="shared" si="501"/>
        <v>C52</v>
      </c>
      <c r="E1551">
        <f t="shared" ca="1" si="502"/>
        <v>0</v>
      </c>
      <c r="F1551" t="str">
        <f t="shared" ca="1" si="503"/>
        <v xml:space="preserve">Enter a value for 'Contractor Overhead' in cell C52.
</v>
      </c>
      <c r="G1551" s="9" t="str">
        <f t="shared" ca="1" si="498"/>
        <v xml:space="preserve">Enter a value for 'Prevailing Wages' in cell C5.
The total of the cost in column C must be greater than zero.
</v>
      </c>
    </row>
    <row r="1552" spans="1:7" ht="15" customHeight="1">
      <c r="A1552" t="str">
        <f t="shared" ca="1" si="499"/>
        <v/>
      </c>
      <c r="B1552">
        <f>ROW('Cost Summary'!A53)</f>
        <v>53</v>
      </c>
      <c r="C1552" s="52" t="str">
        <f t="shared" ca="1" si="500"/>
        <v>Contractor Profit</v>
      </c>
      <c r="D1552" t="str">
        <f t="shared" si="501"/>
        <v>C53</v>
      </c>
      <c r="E1552">
        <f t="shared" ca="1" si="502"/>
        <v>0</v>
      </c>
      <c r="F1552" t="str">
        <f t="shared" ca="1" si="503"/>
        <v xml:space="preserve">Enter a value for 'Contractor Profit' in cell C53.
</v>
      </c>
      <c r="G1552" s="9" t="str">
        <f t="shared" ca="1" si="498"/>
        <v xml:space="preserve">Enter a value for 'Prevailing Wages' in cell C5.
The total of the cost in column C must be greater than zero.
</v>
      </c>
    </row>
    <row r="1553" spans="1:15" ht="15" customHeight="1">
      <c r="A1553" t="str">
        <f t="shared" ca="1" si="499"/>
        <v/>
      </c>
      <c r="B1553">
        <f>ROW('Cost Summary'!A54)</f>
        <v>54</v>
      </c>
      <c r="C1553" s="52" t="str">
        <f t="shared" ca="1" si="500"/>
        <v>Cost progression/ escalation</v>
      </c>
      <c r="D1553" t="str">
        <f t="shared" si="501"/>
        <v>C54</v>
      </c>
      <c r="E1553">
        <f t="shared" ca="1" si="502"/>
        <v>0</v>
      </c>
      <c r="F1553" t="str">
        <f t="shared" ca="1" si="503"/>
        <v xml:space="preserve">Enter a value for 'Cost progression/ escalation' in cell C54.
</v>
      </c>
      <c r="G1553" s="9" t="str">
        <f t="shared" ca="1" si="498"/>
        <v xml:space="preserve">Enter a value for 'Prevailing Wages' in cell C5.
The total of the cost in column C must be greater than zero.
</v>
      </c>
    </row>
    <row r="1554" spans="1:15" ht="15" customHeight="1">
      <c r="A1554" t="str">
        <f t="shared" ca="1" si="499"/>
        <v/>
      </c>
      <c r="B1554">
        <f>ROW('Cost Summary'!A55)</f>
        <v>55</v>
      </c>
      <c r="C1554" s="52" t="str">
        <f t="shared" ca="1" si="500"/>
        <v>Permits</v>
      </c>
      <c r="D1554" t="str">
        <f t="shared" si="501"/>
        <v>C55</v>
      </c>
      <c r="E1554">
        <f t="shared" ca="1" si="502"/>
        <v>0</v>
      </c>
      <c r="F1554" t="str">
        <f t="shared" ca="1" si="503"/>
        <v xml:space="preserve">Enter a value for 'Permits' in cell C55.
</v>
      </c>
      <c r="G1554" s="9" t="str">
        <f t="shared" ca="1" si="498"/>
        <v xml:space="preserve">Enter a value for 'Prevailing Wages' in cell C5.
The total of the cost in column C must be greater than zero.
</v>
      </c>
    </row>
    <row r="1555" spans="1:15" ht="15" customHeight="1">
      <c r="A1555" t="str">
        <f t="shared" ca="1" si="499"/>
        <v/>
      </c>
      <c r="B1555">
        <f>ROW('Cost Summary'!A56)</f>
        <v>56</v>
      </c>
      <c r="C1555" s="52" t="str">
        <f t="shared" ca="1" si="500"/>
        <v>Sales, Use Taxes, etc.</v>
      </c>
      <c r="D1555" t="str">
        <f t="shared" si="501"/>
        <v>C56</v>
      </c>
      <c r="E1555">
        <f t="shared" ca="1" si="502"/>
        <v>0</v>
      </c>
      <c r="F1555" t="str">
        <f t="shared" ca="1" si="503"/>
        <v xml:space="preserve">Enter a value for 'Sales, Use Taxes, etc.' in cell C56.
</v>
      </c>
      <c r="G1555" s="9" t="str">
        <f t="shared" ca="1" si="498"/>
        <v xml:space="preserve">Enter a value for 'Prevailing Wages' in cell C5.
The total of the cost in column C must be greater than zero.
</v>
      </c>
    </row>
    <row r="1556" spans="1:15" ht="15" customHeight="1">
      <c r="G1556" s="9" t="str">
        <f t="shared" ca="1" si="498"/>
        <v xml:space="preserve">Enter a value for 'Prevailing Wages' in cell C5.
The total of the cost in column C must be greater than zero.
</v>
      </c>
      <c r="O1556" s="67"/>
    </row>
    <row r="1557" spans="1:15" ht="15" customHeight="1">
      <c r="G1557" s="9" t="str">
        <f t="shared" ca="1" si="498"/>
        <v xml:space="preserve">Enter a value for 'Prevailing Wages' in cell C5.
The total of the cost in column C must be greater than zero.
</v>
      </c>
    </row>
    <row r="1558" spans="1:15" ht="15" customHeight="1">
      <c r="G1558" s="9" t="str">
        <f t="shared" ca="1" si="498"/>
        <v xml:space="preserve">Enter a value for 'Prevailing Wages' in cell C5.
The total of the cost in column C must be greater than zero.
</v>
      </c>
    </row>
    <row r="1559" spans="1:15" ht="15" customHeight="1">
      <c r="G1559" s="9" t="str">
        <f t="shared" ca="1" si="498"/>
        <v xml:space="preserve">Enter a value for 'Prevailing Wages' in cell C5.
The total of the cost in column C must be greater than zero.
</v>
      </c>
    </row>
    <row r="1560" spans="1:15" ht="15" customHeight="1">
      <c r="G1560" s="9" t="str">
        <f t="shared" ca="1" si="498"/>
        <v xml:space="preserve">Enter a value for 'Prevailing Wages' in cell C5.
The total of the cost in column C must be greater than zero.
</v>
      </c>
    </row>
    <row r="1561" spans="1:15" ht="15" customHeight="1">
      <c r="A1561" s="55" t="s">
        <v>3888</v>
      </c>
      <c r="B1561" s="53"/>
      <c r="C1561" s="53"/>
      <c r="D1561" s="53"/>
      <c r="E1561" s="53"/>
      <c r="F1561" s="53"/>
      <c r="G1561" s="56" t="str">
        <f ca="1">OFFSET(G1561, -1, 0)</f>
        <v xml:space="preserve">Enter a value for 'Prevailing Wages' in cell C5.
The total of the cost in column C must be greater than zero.
</v>
      </c>
    </row>
    <row r="1562" spans="1:15" ht="15" customHeight="1"/>
    <row r="1563" spans="1:15" ht="15" customHeight="1"/>
    <row r="1564" spans="1:15" ht="15" customHeight="1">
      <c r="A1564" s="22" t="s">
        <v>110</v>
      </c>
      <c r="F1564" s="49" t="s">
        <v>3889</v>
      </c>
    </row>
    <row r="1565" spans="1:15" ht="15" customHeight="1">
      <c r="A1565" s="53" t="s">
        <v>3831</v>
      </c>
      <c r="B1565" s="53" t="s">
        <v>3832</v>
      </c>
      <c r="C1565" s="53" t="s">
        <v>3833</v>
      </c>
      <c r="D1565" s="53" t="s">
        <v>3834</v>
      </c>
      <c r="E1565" s="53" t="s">
        <v>3835</v>
      </c>
      <c r="F1565" s="53" t="s">
        <v>3836</v>
      </c>
      <c r="G1565" s="54" t="s">
        <v>3837</v>
      </c>
    </row>
    <row r="1566" spans="1:15" ht="15" customHeight="1">
      <c r="A1566" t="str">
        <f>""</f>
        <v/>
      </c>
      <c r="G1566" s="9" t="str">
        <f>A1566</f>
        <v/>
      </c>
    </row>
    <row r="1567" spans="1:15" ht="15" customHeight="1">
      <c r="A1567" t="str">
        <f ca="1">A54</f>
        <v xml:space="preserve">Enter a value for 'Number of Floors in the Tallest Building' in cell B58.
</v>
      </c>
      <c r="B1567" t="str">
        <f>CONCATENATE("COPY RULE FROM ADDRESS ", ADDRESS(ROW(A54),COLUMN(A54),4))</f>
        <v>COPY RULE FROM ADDRESS A54</v>
      </c>
      <c r="G1567" s="9" t="str">
        <f t="shared" ref="G1567:G1630" ca="1" si="504">OFFSET(G1567, -1, 0) &amp; A1567</f>
        <v xml:space="preserve">Enter a value for 'Number of Floors in the Tallest Building' in cell B58.
</v>
      </c>
    </row>
    <row r="1568" spans="1:15" ht="15" customHeight="1">
      <c r="A1568" t="str">
        <f>IF(AND(Calculations!$B$4, E1568),  F1568, "")</f>
        <v/>
      </c>
      <c r="E1568" t="b">
        <f>IF(ISERROR(Calculations!F755), FALSE, Calculations!C755&lt;&gt;Calculations!F755)</f>
        <v>0</v>
      </c>
      <c r="F1568"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8" s="9" t="str">
        <f t="shared" ca="1" si="504"/>
        <v xml:space="preserve">Enter a value for 'Number of Floors in the Tallest Building' in cell B58.
</v>
      </c>
    </row>
    <row r="1569" spans="1:11" ht="15" customHeight="1">
      <c r="A1569" t="str">
        <f>IF(AND(Calculations!$B$4, E1569),  F1569, "")</f>
        <v/>
      </c>
      <c r="E1569" t="b">
        <f>IF(ISERROR(Calculations!F756), FALSE, Calculations!C756&lt;&gt;Calculations!F756)</f>
        <v>0</v>
      </c>
      <c r="F1569"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69" s="9" t="str">
        <f t="shared" ca="1" si="504"/>
        <v xml:space="preserve">Enter a value for 'Number of Floors in the Tallest Building' in cell B58.
</v>
      </c>
    </row>
    <row r="1570" spans="1:11" ht="15" customHeight="1">
      <c r="A1570" t="str">
        <f>IF(AND(Calculations!$B$4, E1570),  F1570, "")</f>
        <v/>
      </c>
      <c r="E1570" t="b">
        <f>IF(ISERROR(Calculations!F757), FALSE, Calculations!C757&lt;&gt;Calculations!F757)</f>
        <v>0</v>
      </c>
      <c r="F1570"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70" s="9" t="str">
        <f t="shared" ca="1" si="504"/>
        <v xml:space="preserve">Enter a value for 'Number of Floors in the Tallest Building' in cell B58.
</v>
      </c>
    </row>
    <row r="1571" spans="1:11" ht="15" customHeight="1">
      <c r="A1571" t="str">
        <f>IF(AND(Calculations!$B$4, E1571),  F1571, "")</f>
        <v/>
      </c>
      <c r="E1571" t="b">
        <f>IF(ISERROR(Calculations!F758), FALSE, Calculations!C758&lt;&gt;Calculations!F758)</f>
        <v>0</v>
      </c>
      <c r="F1571" t="str">
        <f>CONCATENATE("The sum of the Acquisition Eligible Basis for the buildings does not match the value calculated for the project.", CHAR(10))</f>
        <v xml:space="preserve">The sum of the Acquisition Eligible Basis for the buildings does not match the value calculated for the project.
</v>
      </c>
      <c r="G1571" s="9" t="str">
        <f t="shared" ca="1" si="504"/>
        <v xml:space="preserve">Enter a value for 'Number of Floors in the Tallest Building' in cell B58.
</v>
      </c>
    </row>
    <row r="1572" spans="1:11" ht="15" customHeight="1">
      <c r="A1572" t="str">
        <f>IF(AND(Calculations!$B$4, E1572),  F1572, "")</f>
        <v/>
      </c>
      <c r="E1572" t="b">
        <f>IF(ISERROR(Calculations!F759), FALSE, Calculations!C759&lt;&gt;Calculations!F759)</f>
        <v>0</v>
      </c>
      <c r="F1572"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72" s="9" t="str">
        <f t="shared" ca="1" si="504"/>
        <v xml:space="preserve">Enter a value for 'Number of Floors in the Tallest Building' in cell B58.
</v>
      </c>
    </row>
    <row r="1573" spans="1:11" ht="15" customHeight="1">
      <c r="A1573" t="str">
        <f>IF(AND(Calculations!$B$4, E1573),  F1573, "")</f>
        <v/>
      </c>
      <c r="E1573" t="b">
        <f>IF(ISERROR(Calculations!F760), FALSE, Calculations!C760&lt;&gt;Calculations!F760)</f>
        <v>0</v>
      </c>
      <c r="F1573" t="str">
        <f>CONCATENATE("The sum of the Acquisition Annual Credit for the buildings does not match the value calculated for the project.", CHAR(10))</f>
        <v xml:space="preserve">The sum of the Acquisition Annual Credit for the buildings does not match the value calculated for the project.
</v>
      </c>
      <c r="G1573" s="9" t="str">
        <f t="shared" ca="1" si="504"/>
        <v xml:space="preserve">Enter a value for 'Number of Floors in the Tallest Building' in cell B58.
</v>
      </c>
    </row>
    <row r="1574" spans="1:11" s="322" customFormat="1" ht="15" customHeight="1">
      <c r="A1574" s="322" t="str">
        <f>IF(AND(Calculations!$B$4,E1574),F1574, "")</f>
        <v/>
      </c>
      <c r="B1574" s="322">
        <f>ROW('Final Building Profile'!D4)</f>
        <v>4</v>
      </c>
      <c r="C1574" s="322" t="str">
        <f>SUBSTITUTE(ADDRESS(ROW('Unit Mix &amp; Rents'!$D$17), COLUMN('Unit Mix &amp; Rents'!$D$17),4), ROW('Unit Mix &amp; Rents'!$D$17), "")</f>
        <v>D</v>
      </c>
      <c r="D1574" s="322" t="str">
        <f>SUBSTITUTE(ADDRESS(B1574, COLUMN('Final Building Profile'!$D$4),4), B1574, "")</f>
        <v>D</v>
      </c>
      <c r="E1574" s="322" t="b">
        <f t="shared" ref="E1574:E1581" si="505">I1574&lt;&gt;K1574</f>
        <v>0</v>
      </c>
      <c r="F1574" s="322" t="str">
        <f>CONCATENATE("The sum of the Total New Construction/Rehab total units on the final building profile in column ", D1574, " does not match the total units from unit mix and rents column ", C1574, ".", CHAR(10))</f>
        <v xml:space="preserve">The sum of the Total New Construction/Rehab total units on the final building profile in column D does not match the total units from unit mix and rents column D.
</v>
      </c>
      <c r="G1574" s="340" t="str">
        <f t="shared" ca="1" si="504"/>
        <v xml:space="preserve">Enter a value for 'Number of Floors in the Tallest Building' in cell B58.
</v>
      </c>
      <c r="H1574" s="322" t="s">
        <v>3890</v>
      </c>
      <c r="I1574" s="322">
        <f>Calculations!$B$753</f>
        <v>0</v>
      </c>
      <c r="J1574" s="322" t="s">
        <v>3891</v>
      </c>
      <c r="K1574" s="322">
        <f>Calculations!$H$44</f>
        <v>0</v>
      </c>
    </row>
    <row r="1575" spans="1:11" ht="15" customHeight="1">
      <c r="A1575" t="str">
        <f>IF(AND(Calculations!$B$4,E1575),F1575, "")</f>
        <v/>
      </c>
      <c r="B1575">
        <f>ROW('Final Building Profile'!E4)</f>
        <v>4</v>
      </c>
      <c r="C1575" t="str">
        <f>SUBSTITUTE(ADDRESS(ROW('Unit Mix &amp; Rents'!$D$17), COLUMN('Unit Mix &amp; Rents'!$D$17),4), ROW('Unit Mix &amp; Rents'!$D$17), "")</f>
        <v>D</v>
      </c>
      <c r="D1575" t="str">
        <f>SUBSTITUTE(ADDRESS(B1575, COLUMN('Final Building Profile'!$E$4),4), B1575, "")</f>
        <v>E</v>
      </c>
      <c r="E1575" s="52" t="b">
        <f t="shared" si="505"/>
        <v>0</v>
      </c>
      <c r="F1575" t="str">
        <f>CONCATENATE("The sum of the employee units on the final building profile in column ", D1575, " does not match the employee units from unit mix and rents column ", C1575, ".", CHAR(10))</f>
        <v xml:space="preserve">The sum of the employee units on the final building profile in column E does not match the employee units from unit mix and rents column D.
</v>
      </c>
      <c r="G1575" s="9" t="str">
        <f t="shared" ca="1" si="504"/>
        <v xml:space="preserve">Enter a value for 'Number of Floors in the Tallest Building' in cell B58.
</v>
      </c>
      <c r="H1575" t="s">
        <v>3890</v>
      </c>
      <c r="I1575">
        <f>Calculations!$C$753</f>
        <v>0</v>
      </c>
      <c r="J1575" t="s">
        <v>3891</v>
      </c>
      <c r="K1575">
        <f>Calculations!$H$42</f>
        <v>0</v>
      </c>
    </row>
    <row r="1576" spans="1:11" ht="15" customHeight="1">
      <c r="A1576" t="str">
        <f>IF(AND(Calculations!$B$4,E1576),F1576, "")</f>
        <v/>
      </c>
      <c r="B1576">
        <f>ROW('Final Building Profile'!F4)</f>
        <v>4</v>
      </c>
      <c r="C1576" t="str">
        <f>SUBSTITUTE(ADDRESS(ROW('Unit Mix &amp; Rents'!$D$17), COLUMN('Unit Mix &amp; Rents'!$D$17),4), ROW('Unit Mix &amp; Rents'!$D$17), "")</f>
        <v>D</v>
      </c>
      <c r="D1576" t="str">
        <f>SUBSTITUTE(ADDRESS(B1576, COLUMN('Final Building Profile'!$F$4),4), B1576, "")</f>
        <v>F</v>
      </c>
      <c r="E1576" s="52" t="b">
        <f t="shared" si="505"/>
        <v>0</v>
      </c>
      <c r="F1576" t="str">
        <f>CONCATENATE("The sum of the low income units on the final building profile in column ", D1576, " does not match the low income units from unit mix and rents column ", C1576, ".", CHAR(10))</f>
        <v xml:space="preserve">The sum of the low income units on the final building profile in column F does not match the low income units from unit mix and rents column D.
</v>
      </c>
      <c r="G1576" s="9" t="str">
        <f t="shared" ca="1" si="504"/>
        <v xml:space="preserve">Enter a value for 'Number of Floors in the Tallest Building' in cell B58.
</v>
      </c>
      <c r="H1576" t="s">
        <v>3890</v>
      </c>
      <c r="I1576" s="92">
        <f>Calculations!$D$753</f>
        <v>0</v>
      </c>
      <c r="J1576" t="s">
        <v>3891</v>
      </c>
      <c r="K1576">
        <f>Calculations!$H$40</f>
        <v>0</v>
      </c>
    </row>
    <row r="1577" spans="1:11" ht="15" customHeight="1">
      <c r="A1577" t="str">
        <f>IF(AND(Calculations!$B$4,E1577),F1577, "")</f>
        <v/>
      </c>
      <c r="B1577">
        <f>ROW('Final Building Profile'!G4)</f>
        <v>4</v>
      </c>
      <c r="C1577" t="str">
        <f>SUBSTITUTE(ADDRESS(ROW('Unit Mix &amp; Rents'!$C$17), COLUMN('Unit Mix &amp; Rents'!$C$17),4), ROW('Unit Mix &amp; Rents'!$C$17), "")</f>
        <v>C</v>
      </c>
      <c r="D1577" t="str">
        <f>SUBSTITUTE(ADDRESS(B1577, COLUMN('Final Building Profile'!$G$4),4), B1577, "")</f>
        <v>G</v>
      </c>
      <c r="E1577" s="52" t="b">
        <f t="shared" si="505"/>
        <v>0</v>
      </c>
      <c r="F1577" t="str">
        <f>CONCATENATE("The sum of the residential square footage on the final building profile in column ", D1577, " does not match the total square footage from unit mix and rents column ", C1577, " times column ",  CHAR(CODE(C1577) +1), ".", CHAR(10))</f>
        <v xml:space="preserve">The sum of the residential square footage on the final building profile in column G does not match the total square footage from unit mix and rents column C times column D.
</v>
      </c>
      <c r="G1577" s="9" t="str">
        <f t="shared" ca="1" si="504"/>
        <v xml:space="preserve">Enter a value for 'Number of Floors in the Tallest Building' in cell B58.
</v>
      </c>
      <c r="H1577" t="s">
        <v>3890</v>
      </c>
      <c r="I1577" s="92">
        <f>Calculations!$E$753</f>
        <v>0</v>
      </c>
      <c r="J1577" t="s">
        <v>3891</v>
      </c>
      <c r="K1577">
        <f>Calculations!$H$59</f>
        <v>0</v>
      </c>
    </row>
    <row r="1578" spans="1:11" ht="15" customHeight="1">
      <c r="A1578" t="str">
        <f>IF(AND(Calculations!$B$4,E1578),F1578, "")</f>
        <v/>
      </c>
      <c r="B1578">
        <f>ROW('Final Building Profile'!H4)</f>
        <v>4</v>
      </c>
      <c r="C1578" t="str">
        <f>SUBSTITUTE(ADDRESS(ROW('Unit Mix &amp; Rents'!$C$17), COLUMN('Unit Mix &amp; Rents'!$C$17),4), ROW('Unit Mix &amp; Rents'!$C$17), "")</f>
        <v>C</v>
      </c>
      <c r="D1578" t="str">
        <f>SUBSTITUTE(ADDRESS(B1578, COLUMN('Final Building Profile'!$H$4),4), B1578, "")</f>
        <v>H</v>
      </c>
      <c r="E1578" s="52" t="b">
        <f t="shared" si="505"/>
        <v>0</v>
      </c>
      <c r="F1578" t="str">
        <f>CONCATENATE("The sum of the employee square footage on the final building profile in column ", D1578, " does not match the employee square footage from unit mix and rents column ", C1578, " times column ",  CHAR(CODE(C1578) +1), ".", CHAR(10))</f>
        <v xml:space="preserve">The sum of the employee square footage on the final building profile in column H does not match the employee square footage from unit mix and rents column C times column D.
</v>
      </c>
      <c r="G1578" s="9" t="str">
        <f t="shared" ca="1" si="504"/>
        <v xml:space="preserve">Enter a value for 'Number of Floors in the Tallest Building' in cell B58.
</v>
      </c>
      <c r="H1578" t="s">
        <v>3890</v>
      </c>
      <c r="I1578" s="92">
        <f>Calculations!$F$753</f>
        <v>0</v>
      </c>
      <c r="J1578" t="s">
        <v>3891</v>
      </c>
      <c r="K1578">
        <f>Calculations!$H$57</f>
        <v>0</v>
      </c>
    </row>
    <row r="1579" spans="1:11" ht="15" customHeight="1">
      <c r="A1579" t="str">
        <f>IF(AND(Calculations!$B$4,E1579),F1579, "")</f>
        <v/>
      </c>
      <c r="B1579">
        <f>ROW('Final Building Profile'!I4)</f>
        <v>4</v>
      </c>
      <c r="C1579" t="str">
        <f>SUBSTITUTE(ADDRESS(ROW('Unit Mix &amp; Rents'!$C$17), COLUMN('Unit Mix &amp; Rents'!$C$17),4), ROW('Unit Mix &amp; Rents'!$C$17), "")</f>
        <v>C</v>
      </c>
      <c r="D1579" t="str">
        <f>SUBSTITUTE(ADDRESS(B1579, COLUMN('Final Building Profile'!$I$4),4), B1579, "")</f>
        <v>I</v>
      </c>
      <c r="E1579" s="52" t="b">
        <f t="shared" si="505"/>
        <v>0</v>
      </c>
      <c r="F1579" t="str">
        <f>CONCATENATE("The sum of the low income square footage on the final building profile in column ", D1579, " does not match the low income square footage from unit mix and rents column ", C1579, " times column ",  CHAR(CODE(C1579) +1), ".", CHAR(10))</f>
        <v xml:space="preserve">The sum of the low income square footage on the final building profile in column I does not match the low income square footage from unit mix and rents column C times column D.
</v>
      </c>
      <c r="G1579" s="9" t="str">
        <f t="shared" ca="1" si="504"/>
        <v xml:space="preserve">Enter a value for 'Number of Floors in the Tallest Building' in cell B58.
</v>
      </c>
      <c r="H1579" t="s">
        <v>3890</v>
      </c>
      <c r="I1579" s="92">
        <f>Calculations!$G$753</f>
        <v>0</v>
      </c>
      <c r="J1579" t="s">
        <v>3891</v>
      </c>
      <c r="K1579">
        <f>Calculations!$H$55</f>
        <v>0</v>
      </c>
    </row>
    <row r="1580" spans="1:11" ht="15" customHeight="1">
      <c r="A1580" t="str">
        <f>IF(AND(Calculations!$B$4,E1580),F1580, "")</f>
        <v/>
      </c>
      <c r="B1580">
        <f>ROW('Final Building Profile'!L4)</f>
        <v>4</v>
      </c>
      <c r="D1580" t="str">
        <f>SUBSTITUTE(ADDRESS(B1580, COLUMN('Final Building Profile'!$L$4),4), B1580, "")</f>
        <v>L</v>
      </c>
      <c r="E1580" s="52" t="b">
        <f t="shared" si="505"/>
        <v>0</v>
      </c>
      <c r="F1580" t="str">
        <f>CONCATENATE("The sum of the new construction/rehab eligible basis on the final building profile in column ", D1580, " does not match the total new construction/rehab eligible basis of  ", DOLLAR(K1580, 0), ".", CHAR(10))</f>
        <v xml:space="preserve">The sum of the new construction/rehab eligible basis on the final building profile in column L does not match the total new construction/rehab eligible basis of  $0.
</v>
      </c>
      <c r="G1580" s="9" t="str">
        <f t="shared" ca="1" si="504"/>
        <v xml:space="preserve">Enter a value for 'Number of Floors in the Tallest Building' in cell B58.
</v>
      </c>
      <c r="H1580" t="s">
        <v>3890</v>
      </c>
      <c r="I1580" s="92">
        <f>Calculations!$K$753+Calculations!$M$753</f>
        <v>0</v>
      </c>
      <c r="J1580" t="s">
        <v>3892</v>
      </c>
      <c r="K1580">
        <f>_xlfn.IFNA(Calculations!$B$453, 0)</f>
        <v>0</v>
      </c>
    </row>
    <row r="1581" spans="1:11" ht="15" customHeight="1">
      <c r="A1581" t="str">
        <f>IF(AND(Calculations!$B$4,E1581),F1581, "")</f>
        <v/>
      </c>
      <c r="B1581">
        <f>ROW('Final Building Profile'!M4)</f>
        <v>4</v>
      </c>
      <c r="D1581" t="str">
        <f>SUBSTITUTE(ADDRESS(B1581, COLUMN('Final Building Profile'!$M$4),4), B1581, "")</f>
        <v>M</v>
      </c>
      <c r="E1581" s="52" t="b">
        <f t="shared" si="505"/>
        <v>0</v>
      </c>
      <c r="F1581" t="str">
        <f>CONCATENATE("The sum of the eligible basis for acquisition on the final building profile in column ", D1581, " does not match the total eligible basis for acquisition of  ", DOLLAR(K1581, 0), ".", CHAR(10))</f>
        <v xml:space="preserve">The sum of the eligible basis for acquisition on the final building profile in column M does not match the total eligible basis for acquisition of  $0.
</v>
      </c>
      <c r="G1581" s="9" t="str">
        <f t="shared" ca="1" si="504"/>
        <v xml:space="preserve">Enter a value for 'Number of Floors in the Tallest Building' in cell B58.
</v>
      </c>
      <c r="H1581" t="s">
        <v>3890</v>
      </c>
      <c r="I1581" s="92">
        <f>Calculations!$S$753</f>
        <v>0</v>
      </c>
      <c r="J1581" t="s">
        <v>3892</v>
      </c>
      <c r="K1581">
        <f>_xlfn.IFNA(Calculations!$B$462, 0)</f>
        <v>0</v>
      </c>
    </row>
    <row r="1582" spans="1:11" ht="15" customHeight="1">
      <c r="A1582" t="str">
        <f ca="1">IF(AND(Calculations!$B$4,E1582=0),F1582, "")</f>
        <v/>
      </c>
      <c r="B1582">
        <f>ROW('Final Building Profile'!C4)</f>
        <v>4</v>
      </c>
      <c r="C1582">
        <f t="shared" ref="C1582:C1645" ca="1" si="506">INDIRECT($F$1564 &amp; ADDRESS(B1582, 1,4  ))</f>
        <v>1</v>
      </c>
      <c r="D1582" t="str">
        <f>ADDRESS(B1582, 3,4  )</f>
        <v>C4</v>
      </c>
      <c r="E1582" s="52">
        <f ca="1">H1582+I1582</f>
        <v>0</v>
      </c>
      <c r="F1582" t="str">
        <f ca="1">CONCATENATE("Information for building ", C1582, " required for a final application in row ", B1582, ".", CHAR(10))</f>
        <v xml:space="preserve">Information for building 1 required for a final application in row 4.
</v>
      </c>
      <c r="G1582" s="9" t="str">
        <f t="shared" ca="1" si="504"/>
        <v xml:space="preserve">Enter a value for 'Number of Floors in the Tallest Building' in cell B58.
</v>
      </c>
      <c r="H1582" s="52">
        <f ca="1">SUMPRODUCT(--ISTEXT(INDIRECT(J1582)))</f>
        <v>0</v>
      </c>
      <c r="I1582" s="52">
        <f ca="1">SUMPRODUCT(--ISNUMBER(INDIRECT(J1582)))</f>
        <v>0</v>
      </c>
      <c r="J1582" s="52" t="str">
        <f>$F$1564&amp; ADDRESS(B1582,3,4) &amp; ":" &amp; ADDRESS(B1582,15,4)</f>
        <v>'Final Building Profile'!C4:O4</v>
      </c>
    </row>
    <row r="1583" spans="1:11" ht="15" customHeight="1">
      <c r="A1583" t="str">
        <f t="shared" ref="A1583:A1592" ca="1" si="507">IF(AND(OFFSET(A1583, -I1583 + 2, 4) &gt;  0, E1583=""), F1583, "")</f>
        <v/>
      </c>
      <c r="B1583">
        <f t="shared" ref="B1583:B1597" si="508">B1582</f>
        <v>4</v>
      </c>
      <c r="C1583">
        <f t="shared" ca="1" si="506"/>
        <v>1</v>
      </c>
      <c r="D1583" t="str">
        <f t="shared" ref="D1583:D1597" si="509">ADDRESS(B1583, I1583,4  )</f>
        <v>C4</v>
      </c>
      <c r="E1583" t="str">
        <f t="shared" ref="E1583:E1597" ca="1" si="510">IF(ISBLANK( INDIRECT($F$1564 &amp; D1583)),"", INDIRECT($F$1564 &amp; D1583))</f>
        <v/>
      </c>
      <c r="F1583" t="str">
        <f t="shared" ref="F1583:F1597" ca="1" si="511">CONCATENATE("Enter a '"&amp; H1583 &amp;"' for  building ", C1583, " in cell ", D1583, ".", CHAR(10))</f>
        <v xml:space="preserve">Enter a 'Building Street Address Only 
(DO NOT ENTER CITY, STATE, OR ZIP)' for  building 1 in cell C4.
</v>
      </c>
      <c r="G1583" s="9" t="str">
        <f t="shared" ca="1" si="504"/>
        <v xml:space="preserve">Enter a value for 'Number of Floors in the Tallest Building' in cell B58.
</v>
      </c>
      <c r="H1583" s="52" t="str">
        <f t="shared" ref="H1583:H1597" ca="1" si="512">OFFSET(INDIRECT($F$1564 &amp; D1583), -B1583 + 3, 0)</f>
        <v>Building Street Address Only 
(DO NOT ENTER CITY, STATE, OR ZIP)</v>
      </c>
      <c r="I1583" s="52">
        <v>3</v>
      </c>
    </row>
    <row r="1584" spans="1:11" ht="15" customHeight="1">
      <c r="A1584" t="str">
        <f t="shared" ca="1" si="507"/>
        <v/>
      </c>
      <c r="B1584">
        <f t="shared" si="508"/>
        <v>4</v>
      </c>
      <c r="C1584">
        <f t="shared" ca="1" si="506"/>
        <v>1</v>
      </c>
      <c r="D1584" t="str">
        <f t="shared" si="509"/>
        <v>D4</v>
      </c>
      <c r="E1584" t="str">
        <f t="shared" ca="1" si="510"/>
        <v/>
      </c>
      <c r="F1584" t="str">
        <f t="shared" ca="1" si="511"/>
        <v xml:space="preserve">Enter a 'Total Units in Building*' for  building 1 in cell D4.
</v>
      </c>
      <c r="G1584" s="9" t="str">
        <f t="shared" ca="1" si="504"/>
        <v xml:space="preserve">Enter a value for 'Number of Floors in the Tallest Building' in cell B58.
</v>
      </c>
      <c r="H1584" s="52" t="str">
        <f t="shared" ca="1" si="512"/>
        <v>Total Units in Building*</v>
      </c>
      <c r="I1584" s="52">
        <v>4</v>
      </c>
    </row>
    <row r="1585" spans="1:10" ht="15" customHeight="1">
      <c r="A1585" t="str">
        <f t="shared" ca="1" si="507"/>
        <v/>
      </c>
      <c r="B1585">
        <f t="shared" si="508"/>
        <v>4</v>
      </c>
      <c r="C1585">
        <f t="shared" ca="1" si="506"/>
        <v>1</v>
      </c>
      <c r="D1585" t="str">
        <f t="shared" si="509"/>
        <v>E4</v>
      </c>
      <c r="E1585" t="str">
        <f t="shared" ca="1" si="510"/>
        <v/>
      </c>
      <c r="F1585" t="str">
        <f t="shared" ca="1" si="511"/>
        <v xml:space="preserve">Enter a 'Employee Units' for  building 1 in cell E4.
</v>
      </c>
      <c r="G1585" s="9" t="str">
        <f t="shared" ca="1" si="504"/>
        <v xml:space="preserve">Enter a value for 'Number of Floors in the Tallest Building' in cell B58.
</v>
      </c>
      <c r="H1585" s="52" t="str">
        <f t="shared" ca="1" si="512"/>
        <v>Employee Units</v>
      </c>
      <c r="I1585" s="52">
        <v>5</v>
      </c>
    </row>
    <row r="1586" spans="1:10" ht="15" customHeight="1">
      <c r="A1586" t="str">
        <f t="shared" ca="1" si="507"/>
        <v/>
      </c>
      <c r="B1586">
        <f t="shared" si="508"/>
        <v>4</v>
      </c>
      <c r="C1586">
        <f t="shared" ca="1" si="506"/>
        <v>1</v>
      </c>
      <c r="D1586" t="str">
        <f t="shared" si="509"/>
        <v>F4</v>
      </c>
      <c r="E1586" t="str">
        <f t="shared" ca="1" si="510"/>
        <v/>
      </c>
      <c r="F1586" t="str">
        <f t="shared" ca="1" si="511"/>
        <v xml:space="preserve">Enter a 'Low-Income Units' for  building 1 in cell F4.
</v>
      </c>
      <c r="G1586" s="9" t="str">
        <f t="shared" ca="1" si="504"/>
        <v xml:space="preserve">Enter a value for 'Number of Floors in the Tallest Building' in cell B58.
</v>
      </c>
      <c r="H1586" s="52" t="str">
        <f t="shared" ca="1" si="512"/>
        <v>Low-Income Units</v>
      </c>
      <c r="I1586" s="52">
        <v>6</v>
      </c>
    </row>
    <row r="1587" spans="1:10" ht="15" customHeight="1">
      <c r="A1587" t="str">
        <f t="shared" ca="1" si="507"/>
        <v/>
      </c>
      <c r="B1587">
        <f t="shared" si="508"/>
        <v>4</v>
      </c>
      <c r="C1587">
        <f t="shared" ca="1" si="506"/>
        <v>1</v>
      </c>
      <c r="D1587" t="str">
        <f t="shared" si="509"/>
        <v>G4</v>
      </c>
      <c r="E1587" t="str">
        <f t="shared" ca="1" si="510"/>
        <v/>
      </c>
      <c r="F1587" t="str">
        <f t="shared" ca="1" si="511"/>
        <v xml:space="preserve">Enter a 'Residential Square Footage**' for  building 1 in cell G4.
</v>
      </c>
      <c r="G1587" s="9" t="str">
        <f t="shared" ca="1" si="504"/>
        <v xml:space="preserve">Enter a value for 'Number of Floors in the Tallest Building' in cell B58.
</v>
      </c>
      <c r="H1587" s="52" t="str">
        <f t="shared" ca="1" si="512"/>
        <v>Residential Square Footage**</v>
      </c>
      <c r="I1587" s="52">
        <v>7</v>
      </c>
    </row>
    <row r="1588" spans="1:10" ht="15" customHeight="1">
      <c r="A1588" t="str">
        <f t="shared" ca="1" si="507"/>
        <v/>
      </c>
      <c r="B1588">
        <f t="shared" si="508"/>
        <v>4</v>
      </c>
      <c r="C1588">
        <f t="shared" ca="1" si="506"/>
        <v>1</v>
      </c>
      <c r="D1588" t="str">
        <f t="shared" si="509"/>
        <v>H4</v>
      </c>
      <c r="E1588" t="str">
        <f t="shared" ca="1" si="510"/>
        <v/>
      </c>
      <c r="F1588" t="str">
        <f t="shared" ca="1" si="511"/>
        <v xml:space="preserve">Enter a 'Square Footage of Employee Units' for  building 1 in cell H4.
</v>
      </c>
      <c r="G1588" s="9" t="str">
        <f t="shared" ca="1" si="504"/>
        <v xml:space="preserve">Enter a value for 'Number of Floors in the Tallest Building' in cell B58.
</v>
      </c>
      <c r="H1588" s="52" t="str">
        <f t="shared" ca="1" si="512"/>
        <v>Square Footage of Employee Units</v>
      </c>
      <c r="I1588" s="52">
        <v>8</v>
      </c>
    </row>
    <row r="1589" spans="1:10" ht="15" customHeight="1">
      <c r="A1589" t="str">
        <f t="shared" ca="1" si="507"/>
        <v/>
      </c>
      <c r="B1589">
        <f t="shared" si="508"/>
        <v>4</v>
      </c>
      <c r="C1589">
        <f t="shared" ca="1" si="506"/>
        <v>1</v>
      </c>
      <c r="D1589" t="str">
        <f t="shared" si="509"/>
        <v>I4</v>
      </c>
      <c r="E1589" t="str">
        <f t="shared" ca="1" si="510"/>
        <v/>
      </c>
      <c r="F1589" t="str">
        <f t="shared" ca="1" si="511"/>
        <v xml:space="preserve">Enter a 'Square Footage of Low-Income Units' for  building 1 in cell I4.
</v>
      </c>
      <c r="G1589" s="9" t="str">
        <f t="shared" ca="1" si="504"/>
        <v xml:space="preserve">Enter a value for 'Number of Floors in the Tallest Building' in cell B58.
</v>
      </c>
      <c r="H1589" s="52" t="str">
        <f t="shared" ca="1" si="512"/>
        <v>Square Footage of Low-Income Units</v>
      </c>
      <c r="I1589" s="52">
        <v>9</v>
      </c>
    </row>
    <row r="1590" spans="1:10" ht="15" customHeight="1">
      <c r="A1590" t="str">
        <f t="shared" ca="1" si="507"/>
        <v/>
      </c>
      <c r="B1590">
        <f t="shared" si="508"/>
        <v>4</v>
      </c>
      <c r="C1590">
        <f t="shared" ca="1" si="506"/>
        <v>1</v>
      </c>
      <c r="D1590" t="str">
        <f t="shared" si="509"/>
        <v>J4</v>
      </c>
      <c r="E1590" t="str">
        <f t="shared" ca="1" si="510"/>
        <v/>
      </c>
      <c r="F1590" t="str">
        <f t="shared" ca="1" si="511"/>
        <v xml:space="preserve">Enter a 'Placed-In-Service Date' for  building 1 in cell J4.
</v>
      </c>
      <c r="G1590" s="9" t="str">
        <f t="shared" ca="1" si="504"/>
        <v xml:space="preserve">Enter a value for 'Number of Floors in the Tallest Building' in cell B58.
</v>
      </c>
      <c r="H1590" s="52" t="str">
        <f t="shared" ca="1" si="512"/>
        <v>Placed-In-Service Date</v>
      </c>
      <c r="I1590" s="52">
        <v>10</v>
      </c>
    </row>
    <row r="1591" spans="1:10" ht="15" customHeight="1">
      <c r="A1591" t="str">
        <f t="shared" ca="1" si="507"/>
        <v/>
      </c>
      <c r="B1591">
        <f t="shared" si="508"/>
        <v>4</v>
      </c>
      <c r="C1591">
        <f t="shared" ca="1" si="506"/>
        <v>1</v>
      </c>
      <c r="D1591" t="str">
        <f t="shared" si="509"/>
        <v>K4</v>
      </c>
      <c r="E1591" t="str">
        <f t="shared" ca="1" si="510"/>
        <v/>
      </c>
      <c r="F1591" t="str">
        <f t="shared" ca="1" si="511"/>
        <v xml:space="preserve">Enter a 'New Construction/ Rehab APR' for  building 1 in cell K4.
</v>
      </c>
      <c r="G1591" s="9" t="str">
        <f t="shared" ca="1" si="504"/>
        <v xml:space="preserve">Enter a value for 'Number of Floors in the Tallest Building' in cell B58.
</v>
      </c>
      <c r="H1591" s="52" t="str">
        <f t="shared" ca="1" si="512"/>
        <v>New Construction/ Rehab APR</v>
      </c>
      <c r="I1591" s="52">
        <v>11</v>
      </c>
    </row>
    <row r="1592" spans="1:10" ht="15" customHeight="1">
      <c r="A1592" t="str">
        <f t="shared" ca="1" si="507"/>
        <v/>
      </c>
      <c r="B1592">
        <f t="shared" si="508"/>
        <v>4</v>
      </c>
      <c r="C1592">
        <f t="shared" ca="1" si="506"/>
        <v>1</v>
      </c>
      <c r="D1592" t="str">
        <f t="shared" si="509"/>
        <v>L4</v>
      </c>
      <c r="E1592" t="str">
        <f t="shared" ca="1" si="510"/>
        <v/>
      </c>
      <c r="F1592" t="str">
        <f t="shared" ca="1" si="511"/>
        <v xml:space="preserve">Enter a 'New Construction Eligible Basis' for  building 1 in cell L4.
</v>
      </c>
      <c r="G1592" s="9" t="str">
        <f t="shared" ca="1" si="504"/>
        <v xml:space="preserve">Enter a value for 'Number of Floors in the Tallest Building' in cell B58.
</v>
      </c>
      <c r="H1592" s="52" t="str">
        <f t="shared" ca="1" si="512"/>
        <v>New Construction Eligible Basis</v>
      </c>
      <c r="I1592" s="52">
        <v>12</v>
      </c>
    </row>
    <row r="1593" spans="1:10" ht="15" customHeight="1">
      <c r="A1593" t="str">
        <f ca="1">IF(AND(OFFSET(A1593, -I1593 + 2, 4) &gt;  0, E1593="", Calculations!$B$7), F1593, "")</f>
        <v/>
      </c>
      <c r="B1593">
        <f t="shared" si="508"/>
        <v>4</v>
      </c>
      <c r="C1593">
        <f t="shared" ca="1" si="506"/>
        <v>1</v>
      </c>
      <c r="D1593" t="str">
        <f t="shared" si="509"/>
        <v>M4</v>
      </c>
      <c r="E1593" t="str">
        <f t="shared" ca="1" si="510"/>
        <v/>
      </c>
      <c r="F1593" t="str">
        <f t="shared" ca="1" si="511"/>
        <v xml:space="preserve">Enter a 'Eligible Basis for Rehab' for  building 1 in cell M4.
</v>
      </c>
      <c r="G1593" s="9" t="str">
        <f t="shared" ca="1" si="504"/>
        <v xml:space="preserve">Enter a value for 'Number of Floors in the Tallest Building' in cell B58.
</v>
      </c>
      <c r="H1593" s="52" t="str">
        <f t="shared" ca="1" si="512"/>
        <v>Eligible Basis for Rehab</v>
      </c>
      <c r="I1593" s="52">
        <v>13</v>
      </c>
    </row>
    <row r="1594" spans="1:10" ht="15" customHeight="1">
      <c r="A1594" t="str">
        <f ca="1">IF(AND(OFFSET(A1594, -I1594 + 2, 4) &gt;  0, E1594="", Calculations!$B$7), F1594, "")</f>
        <v/>
      </c>
      <c r="B1594">
        <f t="shared" si="508"/>
        <v>4</v>
      </c>
      <c r="C1594">
        <f t="shared" ca="1" si="506"/>
        <v>1</v>
      </c>
      <c r="D1594" t="str">
        <f t="shared" si="509"/>
        <v>N4</v>
      </c>
      <c r="E1594" t="str">
        <f t="shared" ca="1" si="510"/>
        <v/>
      </c>
      <c r="F1594" t="str">
        <f t="shared" ca="1" si="511"/>
        <v xml:space="preserve">Enter a 'Cost of Acquiring the Building***' for  building 1 in cell N4.
</v>
      </c>
      <c r="G1594" s="9" t="str">
        <f t="shared" ca="1" si="504"/>
        <v xml:space="preserve">Enter a value for 'Number of Floors in the Tallest Building' in cell B58.
</v>
      </c>
      <c r="H1594" s="52" t="str">
        <f t="shared" ca="1" si="512"/>
        <v>Cost of Acquiring the Building***</v>
      </c>
      <c r="I1594" s="52">
        <v>14</v>
      </c>
    </row>
    <row r="1595" spans="1:10" ht="15" customHeight="1">
      <c r="A1595" t="str">
        <f ca="1">IF(AND(OFFSET(A1595, -I1595 + 2, 4) &gt;  0, E1595="", Calculations!$B$7), F1595, "")</f>
        <v/>
      </c>
      <c r="B1595">
        <f t="shared" si="508"/>
        <v>4</v>
      </c>
      <c r="C1595">
        <f t="shared" ca="1" si="506"/>
        <v>1</v>
      </c>
      <c r="D1595" t="str">
        <f t="shared" si="509"/>
        <v>O4</v>
      </c>
      <c r="E1595" t="str">
        <f t="shared" ca="1" si="510"/>
        <v/>
      </c>
      <c r="F1595" t="str">
        <f t="shared" ca="1" si="511"/>
        <v xml:space="preserve">Enter a 'Higher of Land Purchase Price or Land Appraised Value****' for  building 1 in cell O4.
</v>
      </c>
      <c r="G1595" s="9" t="str">
        <f t="shared" ca="1" si="504"/>
        <v xml:space="preserve">Enter a value for 'Number of Floors in the Tallest Building' in cell B58.
</v>
      </c>
      <c r="H1595" s="52" t="str">
        <f t="shared" ca="1" si="512"/>
        <v>Higher of Land Purchase Price or Land Appraised Value****</v>
      </c>
      <c r="I1595" s="52">
        <v>15</v>
      </c>
    </row>
    <row r="1596" spans="1:10" ht="15" customHeight="1">
      <c r="A1596" t="str">
        <f ca="1">IF(AND(OFFSET(A1596, -I1596 + 2, 4) &gt;  0, E1596="", Calculations!$B$7), F1596, "")</f>
        <v/>
      </c>
      <c r="B1596">
        <f t="shared" si="508"/>
        <v>4</v>
      </c>
      <c r="C1596">
        <f t="shared" ca="1" si="506"/>
        <v>1</v>
      </c>
      <c r="D1596" t="str">
        <f t="shared" si="509"/>
        <v>P4</v>
      </c>
      <c r="E1596" t="str">
        <f t="shared" ca="1" si="510"/>
        <v/>
      </c>
      <c r="F1596" t="str">
        <f t="shared" ca="1" si="511"/>
        <v xml:space="preserve">Enter a 'Acquisition Placed-in-Service Date' for  building 1 in cell P4.
</v>
      </c>
      <c r="G1596" s="9" t="str">
        <f t="shared" ca="1" si="504"/>
        <v xml:space="preserve">Enter a value for 'Number of Floors in the Tallest Building' in cell B58.
</v>
      </c>
      <c r="H1596" s="52" t="str">
        <f t="shared" ca="1" si="512"/>
        <v>Acquisition Placed-in-Service Date</v>
      </c>
      <c r="I1596" s="52">
        <v>16</v>
      </c>
    </row>
    <row r="1597" spans="1:10" ht="15" customHeight="1">
      <c r="A1597" t="str">
        <f ca="1">IF(AND(OFFSET(A1597, -I1597 + 2, 4) &gt;  0, E1597="", Calculations!$B$7), F1597, "")</f>
        <v/>
      </c>
      <c r="B1597">
        <f t="shared" si="508"/>
        <v>4</v>
      </c>
      <c r="C1597">
        <f t="shared" ca="1" si="506"/>
        <v>1</v>
      </c>
      <c r="D1597" t="str">
        <f t="shared" si="509"/>
        <v>Q4</v>
      </c>
      <c r="E1597" t="str">
        <f t="shared" ca="1" si="510"/>
        <v/>
      </c>
      <c r="F1597" t="str">
        <f t="shared" ca="1" si="511"/>
        <v xml:space="preserve">Enter a 'Acquisition APR' for  building 1 in cell Q4.
</v>
      </c>
      <c r="G1597" s="9" t="str">
        <f t="shared" ca="1" si="504"/>
        <v xml:space="preserve">Enter a value for 'Number of Floors in the Tallest Building' in cell B58.
</v>
      </c>
      <c r="H1597" s="52" t="str">
        <f t="shared" ca="1" si="512"/>
        <v>Acquisition APR</v>
      </c>
      <c r="I1597" s="52">
        <v>17</v>
      </c>
    </row>
    <row r="1598" spans="1:10" ht="15" customHeight="1">
      <c r="A1598" t="str">
        <f ca="1">IF(AND(Calculations!$B$4,Calculations!$B$28&gt;=C1598, E1598 &lt;&gt; 13),F1598,"")</f>
        <v/>
      </c>
      <c r="B1598">
        <f>ROW('Final Building Profile'!C5)</f>
        <v>5</v>
      </c>
      <c r="C1598">
        <f t="shared" ca="1" si="506"/>
        <v>2</v>
      </c>
      <c r="D1598" t="str">
        <f>ADDRESS(B1598, 3,4  )</f>
        <v>C5</v>
      </c>
      <c r="E1598" s="52">
        <f ca="1">H1598+I1598</f>
        <v>0</v>
      </c>
      <c r="F1598" t="str">
        <f ca="1">CONCATENATE("Based upon the number of buildings specified, information for  building ", C1598, " required for a final application in row ", B1598, ".", CHAR(10))</f>
        <v xml:space="preserve">Based upon the number of buildings specified, information for  building 2 required for a final application in row 5.
</v>
      </c>
      <c r="G1598" s="9" t="str">
        <f t="shared" ca="1" si="504"/>
        <v xml:space="preserve">Enter a value for 'Number of Floors in the Tallest Building' in cell B58.
</v>
      </c>
      <c r="H1598" s="52">
        <f ca="1">SUMPRODUCT(--ISTEXT(INDIRECT(J1598)))</f>
        <v>0</v>
      </c>
      <c r="I1598" s="52">
        <f ca="1">SUMPRODUCT(--ISNUMBER(INDIRECT(J1598)))</f>
        <v>0</v>
      </c>
      <c r="J1598" s="52" t="str">
        <f>$F$1564&amp; ADDRESS(B1598,3,4) &amp; ":" &amp; ADDRESS(B1598,15,4)</f>
        <v>'Final Building Profile'!C5:O5</v>
      </c>
    </row>
    <row r="1599" spans="1:10" ht="15" customHeight="1">
      <c r="A1599" t="str">
        <f t="shared" ref="A1599:A1608" ca="1" si="513">IF(AND(OFFSET(A1599, -I1599 + 2, 4) &gt;  0, E1599=""), F1599, "")</f>
        <v/>
      </c>
      <c r="B1599">
        <f t="shared" ref="B1599:B1613" si="514">B1598</f>
        <v>5</v>
      </c>
      <c r="C1599">
        <f t="shared" ca="1" si="506"/>
        <v>2</v>
      </c>
      <c r="D1599" t="str">
        <f t="shared" ref="D1599:D1613" si="515">ADDRESS(B1599, I1599,4  )</f>
        <v>C5</v>
      </c>
      <c r="E1599" t="str">
        <f t="shared" ref="E1599:E1613" ca="1" si="516">IF(ISBLANK( INDIRECT($F$1564 &amp; D1599)),"", INDIRECT($F$1564 &amp; D1599))</f>
        <v/>
      </c>
      <c r="F1599" t="str">
        <f t="shared" ref="F1599:F1613" ca="1" si="517">CONCATENATE("Enter a '"&amp; H1599 &amp;"' for  building ", C1599, " in cell ", D1599, ".", CHAR(10))</f>
        <v xml:space="preserve">Enter a 'Building Street Address Only 
(DO NOT ENTER CITY, STATE, OR ZIP)' for  building 2 in cell C5.
</v>
      </c>
      <c r="G1599" s="9" t="str">
        <f t="shared" ca="1" si="504"/>
        <v xml:space="preserve">Enter a value for 'Number of Floors in the Tallest Building' in cell B58.
</v>
      </c>
      <c r="H1599" s="52" t="str">
        <f t="shared" ref="H1599:H1613" ca="1" si="518">OFFSET(INDIRECT($F$1564 &amp; D1599), -B1599 + 3, 0)</f>
        <v>Building Street Address Only 
(DO NOT ENTER CITY, STATE, OR ZIP)</v>
      </c>
      <c r="I1599" s="52">
        <v>3</v>
      </c>
    </row>
    <row r="1600" spans="1:10" ht="15" customHeight="1">
      <c r="A1600" t="str">
        <f t="shared" ca="1" si="513"/>
        <v/>
      </c>
      <c r="B1600">
        <f t="shared" si="514"/>
        <v>5</v>
      </c>
      <c r="C1600">
        <f t="shared" ca="1" si="506"/>
        <v>2</v>
      </c>
      <c r="D1600" t="str">
        <f t="shared" si="515"/>
        <v>D5</v>
      </c>
      <c r="E1600" t="str">
        <f t="shared" ca="1" si="516"/>
        <v/>
      </c>
      <c r="F1600" t="str">
        <f t="shared" ca="1" si="517"/>
        <v xml:space="preserve">Enter a 'Total Units in Building*' for  building 2 in cell D5.
</v>
      </c>
      <c r="G1600" s="9" t="str">
        <f t="shared" ca="1" si="504"/>
        <v xml:space="preserve">Enter a value for 'Number of Floors in the Tallest Building' in cell B58.
</v>
      </c>
      <c r="H1600" s="52" t="str">
        <f t="shared" ca="1" si="518"/>
        <v>Total Units in Building*</v>
      </c>
      <c r="I1600" s="52">
        <v>4</v>
      </c>
    </row>
    <row r="1601" spans="1:10" ht="15" customHeight="1">
      <c r="A1601" t="str">
        <f t="shared" ca="1" si="513"/>
        <v/>
      </c>
      <c r="B1601">
        <f t="shared" si="514"/>
        <v>5</v>
      </c>
      <c r="C1601">
        <f t="shared" ca="1" si="506"/>
        <v>2</v>
      </c>
      <c r="D1601" t="str">
        <f t="shared" si="515"/>
        <v>E5</v>
      </c>
      <c r="E1601" t="str">
        <f t="shared" ca="1" si="516"/>
        <v/>
      </c>
      <c r="F1601" t="str">
        <f t="shared" ca="1" si="517"/>
        <v xml:space="preserve">Enter a 'Employee Units' for  building 2 in cell E5.
</v>
      </c>
      <c r="G1601" s="9" t="str">
        <f t="shared" ca="1" si="504"/>
        <v xml:space="preserve">Enter a value for 'Number of Floors in the Tallest Building' in cell B58.
</v>
      </c>
      <c r="H1601" s="52" t="str">
        <f t="shared" ca="1" si="518"/>
        <v>Employee Units</v>
      </c>
      <c r="I1601" s="52">
        <v>5</v>
      </c>
    </row>
    <row r="1602" spans="1:10" ht="15" customHeight="1">
      <c r="A1602" t="str">
        <f t="shared" ca="1" si="513"/>
        <v/>
      </c>
      <c r="B1602">
        <f t="shared" si="514"/>
        <v>5</v>
      </c>
      <c r="C1602">
        <f t="shared" ca="1" si="506"/>
        <v>2</v>
      </c>
      <c r="D1602" t="str">
        <f t="shared" si="515"/>
        <v>F5</v>
      </c>
      <c r="E1602" t="str">
        <f t="shared" ca="1" si="516"/>
        <v/>
      </c>
      <c r="F1602" t="str">
        <f t="shared" ca="1" si="517"/>
        <v xml:space="preserve">Enter a 'Low-Income Units' for  building 2 in cell F5.
</v>
      </c>
      <c r="G1602" s="9" t="str">
        <f t="shared" ca="1" si="504"/>
        <v xml:space="preserve">Enter a value for 'Number of Floors in the Tallest Building' in cell B58.
</v>
      </c>
      <c r="H1602" s="52" t="str">
        <f t="shared" ca="1" si="518"/>
        <v>Low-Income Units</v>
      </c>
      <c r="I1602" s="52">
        <v>6</v>
      </c>
    </row>
    <row r="1603" spans="1:10" ht="15" customHeight="1">
      <c r="A1603" t="str">
        <f t="shared" ca="1" si="513"/>
        <v/>
      </c>
      <c r="B1603">
        <f t="shared" si="514"/>
        <v>5</v>
      </c>
      <c r="C1603">
        <f t="shared" ca="1" si="506"/>
        <v>2</v>
      </c>
      <c r="D1603" t="str">
        <f t="shared" si="515"/>
        <v>G5</v>
      </c>
      <c r="E1603" t="str">
        <f t="shared" ca="1" si="516"/>
        <v/>
      </c>
      <c r="F1603" t="str">
        <f t="shared" ca="1" si="517"/>
        <v xml:space="preserve">Enter a 'Residential Square Footage**' for  building 2 in cell G5.
</v>
      </c>
      <c r="G1603" s="9" t="str">
        <f t="shared" ca="1" si="504"/>
        <v xml:space="preserve">Enter a value for 'Number of Floors in the Tallest Building' in cell B58.
</v>
      </c>
      <c r="H1603" s="52" t="str">
        <f t="shared" ca="1" si="518"/>
        <v>Residential Square Footage**</v>
      </c>
      <c r="I1603" s="52">
        <v>7</v>
      </c>
    </row>
    <row r="1604" spans="1:10" ht="15" customHeight="1">
      <c r="A1604" t="str">
        <f t="shared" ca="1" si="513"/>
        <v/>
      </c>
      <c r="B1604">
        <f t="shared" si="514"/>
        <v>5</v>
      </c>
      <c r="C1604">
        <f t="shared" ca="1" si="506"/>
        <v>2</v>
      </c>
      <c r="D1604" t="str">
        <f t="shared" si="515"/>
        <v>H5</v>
      </c>
      <c r="E1604" t="str">
        <f t="shared" ca="1" si="516"/>
        <v/>
      </c>
      <c r="F1604" t="str">
        <f t="shared" ca="1" si="517"/>
        <v xml:space="preserve">Enter a 'Square Footage of Employee Units' for  building 2 in cell H5.
</v>
      </c>
      <c r="G1604" s="9" t="str">
        <f t="shared" ca="1" si="504"/>
        <v xml:space="preserve">Enter a value for 'Number of Floors in the Tallest Building' in cell B58.
</v>
      </c>
      <c r="H1604" s="52" t="str">
        <f t="shared" ca="1" si="518"/>
        <v>Square Footage of Employee Units</v>
      </c>
      <c r="I1604" s="52">
        <v>8</v>
      </c>
    </row>
    <row r="1605" spans="1:10" ht="15" customHeight="1">
      <c r="A1605" t="str">
        <f t="shared" ca="1" si="513"/>
        <v/>
      </c>
      <c r="B1605">
        <f t="shared" si="514"/>
        <v>5</v>
      </c>
      <c r="C1605">
        <f t="shared" ca="1" si="506"/>
        <v>2</v>
      </c>
      <c r="D1605" t="str">
        <f t="shared" si="515"/>
        <v>I5</v>
      </c>
      <c r="E1605" t="str">
        <f t="shared" ca="1" si="516"/>
        <v/>
      </c>
      <c r="F1605" t="str">
        <f t="shared" ca="1" si="517"/>
        <v xml:space="preserve">Enter a 'Square Footage of Low-Income Units' for  building 2 in cell I5.
</v>
      </c>
      <c r="G1605" s="9" t="str">
        <f t="shared" ca="1" si="504"/>
        <v xml:space="preserve">Enter a value for 'Number of Floors in the Tallest Building' in cell B58.
</v>
      </c>
      <c r="H1605" s="52" t="str">
        <f t="shared" ca="1" si="518"/>
        <v>Square Footage of Low-Income Units</v>
      </c>
      <c r="I1605" s="52">
        <v>9</v>
      </c>
    </row>
    <row r="1606" spans="1:10" ht="15" customHeight="1">
      <c r="A1606" t="str">
        <f t="shared" ca="1" si="513"/>
        <v/>
      </c>
      <c r="B1606">
        <f t="shared" si="514"/>
        <v>5</v>
      </c>
      <c r="C1606">
        <f t="shared" ca="1" si="506"/>
        <v>2</v>
      </c>
      <c r="D1606" t="str">
        <f t="shared" si="515"/>
        <v>J5</v>
      </c>
      <c r="E1606" t="str">
        <f t="shared" ca="1" si="516"/>
        <v/>
      </c>
      <c r="F1606" t="str">
        <f t="shared" ca="1" si="517"/>
        <v xml:space="preserve">Enter a 'Placed-In-Service Date' for  building 2 in cell J5.
</v>
      </c>
      <c r="G1606" s="9" t="str">
        <f t="shared" ca="1" si="504"/>
        <v xml:space="preserve">Enter a value for 'Number of Floors in the Tallest Building' in cell B58.
</v>
      </c>
      <c r="H1606" s="52" t="str">
        <f t="shared" ca="1" si="518"/>
        <v>Placed-In-Service Date</v>
      </c>
      <c r="I1606" s="52">
        <v>10</v>
      </c>
    </row>
    <row r="1607" spans="1:10" ht="15" customHeight="1">
      <c r="A1607" t="str">
        <f t="shared" ca="1" si="513"/>
        <v/>
      </c>
      <c r="B1607">
        <f t="shared" si="514"/>
        <v>5</v>
      </c>
      <c r="C1607">
        <f t="shared" ca="1" si="506"/>
        <v>2</v>
      </c>
      <c r="D1607" t="str">
        <f t="shared" si="515"/>
        <v>K5</v>
      </c>
      <c r="E1607" t="str">
        <f t="shared" ca="1" si="516"/>
        <v/>
      </c>
      <c r="F1607" t="str">
        <f t="shared" ca="1" si="517"/>
        <v xml:space="preserve">Enter a 'New Construction/ Rehab APR' for  building 2 in cell K5.
</v>
      </c>
      <c r="G1607" s="9" t="str">
        <f t="shared" ca="1" si="504"/>
        <v xml:space="preserve">Enter a value for 'Number of Floors in the Tallest Building' in cell B58.
</v>
      </c>
      <c r="H1607" s="52" t="str">
        <f t="shared" ca="1" si="518"/>
        <v>New Construction/ Rehab APR</v>
      </c>
      <c r="I1607" s="52">
        <v>11</v>
      </c>
    </row>
    <row r="1608" spans="1:10" ht="15" customHeight="1">
      <c r="A1608" t="str">
        <f t="shared" ca="1" si="513"/>
        <v/>
      </c>
      <c r="B1608">
        <f t="shared" si="514"/>
        <v>5</v>
      </c>
      <c r="C1608">
        <f t="shared" ca="1" si="506"/>
        <v>2</v>
      </c>
      <c r="D1608" t="str">
        <f t="shared" si="515"/>
        <v>L5</v>
      </c>
      <c r="E1608" t="str">
        <f t="shared" ca="1" si="516"/>
        <v/>
      </c>
      <c r="F1608" t="str">
        <f t="shared" ca="1" si="517"/>
        <v xml:space="preserve">Enter a 'New Construction Eligible Basis' for  building 2 in cell L5.
</v>
      </c>
      <c r="G1608" s="9" t="str">
        <f t="shared" ca="1" si="504"/>
        <v xml:space="preserve">Enter a value for 'Number of Floors in the Tallest Building' in cell B58.
</v>
      </c>
      <c r="H1608" s="52" t="str">
        <f t="shared" ca="1" si="518"/>
        <v>New Construction Eligible Basis</v>
      </c>
      <c r="I1608" s="52">
        <v>12</v>
      </c>
    </row>
    <row r="1609" spans="1:10" ht="15" customHeight="1">
      <c r="A1609" t="str">
        <f ca="1">IF(AND(OFFSET(A1609, -I1609 + 2, 4) &gt;  0, E1609="", Calculations!$B$7), F1609, "")</f>
        <v/>
      </c>
      <c r="B1609">
        <f t="shared" si="514"/>
        <v>5</v>
      </c>
      <c r="C1609">
        <f t="shared" ca="1" si="506"/>
        <v>2</v>
      </c>
      <c r="D1609" t="str">
        <f t="shared" si="515"/>
        <v>M5</v>
      </c>
      <c r="E1609" t="str">
        <f t="shared" ca="1" si="516"/>
        <v/>
      </c>
      <c r="F1609" t="str">
        <f t="shared" ca="1" si="517"/>
        <v xml:space="preserve">Enter a 'Eligible Basis for Rehab' for  building 2 in cell M5.
</v>
      </c>
      <c r="G1609" s="9" t="str">
        <f t="shared" ca="1" si="504"/>
        <v xml:space="preserve">Enter a value for 'Number of Floors in the Tallest Building' in cell B58.
</v>
      </c>
      <c r="H1609" s="52" t="str">
        <f t="shared" ca="1" si="518"/>
        <v>Eligible Basis for Rehab</v>
      </c>
      <c r="I1609" s="52">
        <v>13</v>
      </c>
    </row>
    <row r="1610" spans="1:10" ht="15" customHeight="1">
      <c r="A1610" t="str">
        <f ca="1">IF(AND(OFFSET(A1610, -I1610 + 2, 4) &gt;  0, E1610="", Calculations!$B$7), F1610, "")</f>
        <v/>
      </c>
      <c r="B1610">
        <f t="shared" si="514"/>
        <v>5</v>
      </c>
      <c r="C1610">
        <f t="shared" ca="1" si="506"/>
        <v>2</v>
      </c>
      <c r="D1610" t="str">
        <f t="shared" si="515"/>
        <v>N5</v>
      </c>
      <c r="E1610" t="str">
        <f t="shared" ca="1" si="516"/>
        <v/>
      </c>
      <c r="F1610" t="str">
        <f t="shared" ca="1" si="517"/>
        <v xml:space="preserve">Enter a 'Cost of Acquiring the Building***' for  building 2 in cell N5.
</v>
      </c>
      <c r="G1610" s="9" t="str">
        <f t="shared" ca="1" si="504"/>
        <v xml:space="preserve">Enter a value for 'Number of Floors in the Tallest Building' in cell B58.
</v>
      </c>
      <c r="H1610" s="52" t="str">
        <f t="shared" ca="1" si="518"/>
        <v>Cost of Acquiring the Building***</v>
      </c>
      <c r="I1610" s="52">
        <v>14</v>
      </c>
    </row>
    <row r="1611" spans="1:10" ht="15" customHeight="1">
      <c r="A1611" t="str">
        <f ca="1">IF(AND(OFFSET(A1611, -I1611 + 2, 4) &gt;  0, E1611="", Calculations!$B$7), F1611, "")</f>
        <v/>
      </c>
      <c r="B1611">
        <f t="shared" si="514"/>
        <v>5</v>
      </c>
      <c r="C1611">
        <f t="shared" ca="1" si="506"/>
        <v>2</v>
      </c>
      <c r="D1611" t="str">
        <f t="shared" si="515"/>
        <v>O5</v>
      </c>
      <c r="E1611" t="str">
        <f t="shared" ca="1" si="516"/>
        <v/>
      </c>
      <c r="F1611" t="str">
        <f t="shared" ca="1" si="517"/>
        <v xml:space="preserve">Enter a 'Higher of Land Purchase Price or Land Appraised Value****' for  building 2 in cell O5.
</v>
      </c>
      <c r="G1611" s="9" t="str">
        <f t="shared" ca="1" si="504"/>
        <v xml:space="preserve">Enter a value for 'Number of Floors in the Tallest Building' in cell B58.
</v>
      </c>
      <c r="H1611" s="52" t="str">
        <f t="shared" ca="1" si="518"/>
        <v>Higher of Land Purchase Price or Land Appraised Value****</v>
      </c>
      <c r="I1611" s="52">
        <v>15</v>
      </c>
    </row>
    <row r="1612" spans="1:10" ht="15" customHeight="1">
      <c r="A1612" t="str">
        <f ca="1">IF(AND(OFFSET(A1612, -I1612 + 2, 4) &gt;  0, E1612="", Calculations!$B$7), F1612, "")</f>
        <v/>
      </c>
      <c r="B1612">
        <f t="shared" si="514"/>
        <v>5</v>
      </c>
      <c r="C1612">
        <f t="shared" ca="1" si="506"/>
        <v>2</v>
      </c>
      <c r="D1612" t="str">
        <f t="shared" si="515"/>
        <v>P5</v>
      </c>
      <c r="E1612" t="str">
        <f t="shared" ca="1" si="516"/>
        <v/>
      </c>
      <c r="F1612" t="str">
        <f t="shared" ca="1" si="517"/>
        <v xml:space="preserve">Enter a 'Acquisition Placed-in-Service Date' for  building 2 in cell P5.
</v>
      </c>
      <c r="G1612" s="9" t="str">
        <f t="shared" ca="1" si="504"/>
        <v xml:space="preserve">Enter a value for 'Number of Floors in the Tallest Building' in cell B58.
</v>
      </c>
      <c r="H1612" s="52" t="str">
        <f t="shared" ca="1" si="518"/>
        <v>Acquisition Placed-in-Service Date</v>
      </c>
      <c r="I1612" s="52">
        <v>16</v>
      </c>
    </row>
    <row r="1613" spans="1:10" ht="15" customHeight="1">
      <c r="A1613" t="str">
        <f ca="1">IF(AND(OFFSET(A1613, -I1613 + 2, 4) &gt;  0, E1613="", Calculations!$B$7), F1613, "")</f>
        <v/>
      </c>
      <c r="B1613">
        <f t="shared" si="514"/>
        <v>5</v>
      </c>
      <c r="C1613">
        <f t="shared" ca="1" si="506"/>
        <v>2</v>
      </c>
      <c r="D1613" t="str">
        <f t="shared" si="515"/>
        <v>Q5</v>
      </c>
      <c r="E1613" t="str">
        <f t="shared" ca="1" si="516"/>
        <v/>
      </c>
      <c r="F1613" t="str">
        <f t="shared" ca="1" si="517"/>
        <v xml:space="preserve">Enter a 'Acquisition APR' for  building 2 in cell Q5.
</v>
      </c>
      <c r="G1613" s="9" t="str">
        <f t="shared" ca="1" si="504"/>
        <v xml:space="preserve">Enter a value for 'Number of Floors in the Tallest Building' in cell B58.
</v>
      </c>
      <c r="H1613" s="52" t="str">
        <f t="shared" ca="1" si="518"/>
        <v>Acquisition APR</v>
      </c>
      <c r="I1613" s="52">
        <v>17</v>
      </c>
    </row>
    <row r="1614" spans="1:10" ht="15" customHeight="1">
      <c r="A1614" t="str">
        <f ca="1">IF(AND(Calculations!$B$4,Calculations!$B$28&gt;=C1614, E1614 &lt;&gt; 13),F1614,"")</f>
        <v/>
      </c>
      <c r="B1614">
        <f>ROW('Final Building Profile'!C6)</f>
        <v>6</v>
      </c>
      <c r="C1614">
        <f t="shared" ca="1" si="506"/>
        <v>3</v>
      </c>
      <c r="D1614" t="str">
        <f>ADDRESS(B1614, 3,4  )</f>
        <v>C6</v>
      </c>
      <c r="E1614" s="52">
        <f ca="1">H1614+I1614</f>
        <v>0</v>
      </c>
      <c r="F1614" t="str">
        <f ca="1">CONCATENATE("Based upon the number of buildings specified, information for  building ", C1614, " required for a final application in row ", B1614, ".", CHAR(10))</f>
        <v xml:space="preserve">Based upon the number of buildings specified, information for  building 3 required for a final application in row 6.
</v>
      </c>
      <c r="G1614" s="9" t="str">
        <f t="shared" ca="1" si="504"/>
        <v xml:space="preserve">Enter a value for 'Number of Floors in the Tallest Building' in cell B58.
</v>
      </c>
      <c r="H1614" s="52">
        <f ca="1">SUMPRODUCT(--ISTEXT(INDIRECT(J1614)))</f>
        <v>0</v>
      </c>
      <c r="I1614" s="52">
        <f ca="1">SUMPRODUCT(--ISNUMBER(INDIRECT(J1614)))</f>
        <v>0</v>
      </c>
      <c r="J1614" s="52" t="str">
        <f>$F$1564&amp; ADDRESS(B1614,3,4) &amp; ":" &amp; ADDRESS(B1614,15,4)</f>
        <v>'Final Building Profile'!C6:O6</v>
      </c>
    </row>
    <row r="1615" spans="1:10" ht="15" customHeight="1">
      <c r="A1615" t="str">
        <f t="shared" ref="A1615:A1624" ca="1" si="519">IF(AND(OFFSET(A1615, -I1615 + 2, 4) &gt;  0, E1615=""), F1615, "")</f>
        <v/>
      </c>
      <c r="B1615">
        <f t="shared" ref="B1615:B1629" si="520">B1614</f>
        <v>6</v>
      </c>
      <c r="C1615">
        <f t="shared" ca="1" si="506"/>
        <v>3</v>
      </c>
      <c r="D1615" t="str">
        <f t="shared" ref="D1615:D1629" si="521">ADDRESS(B1615, I1615,4  )</f>
        <v>C6</v>
      </c>
      <c r="E1615" t="str">
        <f t="shared" ref="E1615:E1629" ca="1" si="522">IF(ISBLANK( INDIRECT($F$1564 &amp; D1615)),"", INDIRECT($F$1564 &amp; D1615))</f>
        <v/>
      </c>
      <c r="F1615" t="str">
        <f t="shared" ref="F1615:F1629" ca="1" si="523">CONCATENATE("Enter a '"&amp; H1615 &amp;"' for  building ", C1615, " in cell ", D1615, ".", CHAR(10))</f>
        <v xml:space="preserve">Enter a 'Building Street Address Only 
(DO NOT ENTER CITY, STATE, OR ZIP)' for  building 3 in cell C6.
</v>
      </c>
      <c r="G1615" s="9" t="str">
        <f t="shared" ca="1" si="504"/>
        <v xml:space="preserve">Enter a value for 'Number of Floors in the Tallest Building' in cell B58.
</v>
      </c>
      <c r="H1615" s="52" t="str">
        <f t="shared" ref="H1615:H1629" ca="1" si="524">OFFSET(INDIRECT($F$1564 &amp; D1615), -B1615 + 3, 0)</f>
        <v>Building Street Address Only 
(DO NOT ENTER CITY, STATE, OR ZIP)</v>
      </c>
      <c r="I1615" s="52">
        <v>3</v>
      </c>
    </row>
    <row r="1616" spans="1:10" ht="15" customHeight="1">
      <c r="A1616" t="str">
        <f t="shared" ca="1" si="519"/>
        <v/>
      </c>
      <c r="B1616">
        <f t="shared" si="520"/>
        <v>6</v>
      </c>
      <c r="C1616">
        <f t="shared" ca="1" si="506"/>
        <v>3</v>
      </c>
      <c r="D1616" t="str">
        <f t="shared" si="521"/>
        <v>D6</v>
      </c>
      <c r="E1616" t="str">
        <f t="shared" ca="1" si="522"/>
        <v/>
      </c>
      <c r="F1616" t="str">
        <f t="shared" ca="1" si="523"/>
        <v xml:space="preserve">Enter a 'Total Units in Building*' for  building 3 in cell D6.
</v>
      </c>
      <c r="G1616" s="9" t="str">
        <f t="shared" ca="1" si="504"/>
        <v xml:space="preserve">Enter a value for 'Number of Floors in the Tallest Building' in cell B58.
</v>
      </c>
      <c r="H1616" s="52" t="str">
        <f t="shared" ca="1" si="524"/>
        <v>Total Units in Building*</v>
      </c>
      <c r="I1616" s="52">
        <v>4</v>
      </c>
    </row>
    <row r="1617" spans="1:10" ht="15" customHeight="1">
      <c r="A1617" t="str">
        <f t="shared" ca="1" si="519"/>
        <v/>
      </c>
      <c r="B1617">
        <f t="shared" si="520"/>
        <v>6</v>
      </c>
      <c r="C1617">
        <f t="shared" ca="1" si="506"/>
        <v>3</v>
      </c>
      <c r="D1617" t="str">
        <f t="shared" si="521"/>
        <v>E6</v>
      </c>
      <c r="E1617" t="str">
        <f t="shared" ca="1" si="522"/>
        <v/>
      </c>
      <c r="F1617" t="str">
        <f t="shared" ca="1" si="523"/>
        <v xml:space="preserve">Enter a 'Employee Units' for  building 3 in cell E6.
</v>
      </c>
      <c r="G1617" s="9" t="str">
        <f t="shared" ca="1" si="504"/>
        <v xml:space="preserve">Enter a value for 'Number of Floors in the Tallest Building' in cell B58.
</v>
      </c>
      <c r="H1617" s="52" t="str">
        <f t="shared" ca="1" si="524"/>
        <v>Employee Units</v>
      </c>
      <c r="I1617" s="52">
        <v>5</v>
      </c>
    </row>
    <row r="1618" spans="1:10" ht="15" customHeight="1">
      <c r="A1618" t="str">
        <f t="shared" ca="1" si="519"/>
        <v/>
      </c>
      <c r="B1618">
        <f t="shared" si="520"/>
        <v>6</v>
      </c>
      <c r="C1618">
        <f t="shared" ca="1" si="506"/>
        <v>3</v>
      </c>
      <c r="D1618" t="str">
        <f t="shared" si="521"/>
        <v>F6</v>
      </c>
      <c r="E1618" t="str">
        <f t="shared" ca="1" si="522"/>
        <v/>
      </c>
      <c r="F1618" t="str">
        <f t="shared" ca="1" si="523"/>
        <v xml:space="preserve">Enter a 'Low-Income Units' for  building 3 in cell F6.
</v>
      </c>
      <c r="G1618" s="9" t="str">
        <f t="shared" ca="1" si="504"/>
        <v xml:space="preserve">Enter a value for 'Number of Floors in the Tallest Building' in cell B58.
</v>
      </c>
      <c r="H1618" s="52" t="str">
        <f t="shared" ca="1" si="524"/>
        <v>Low-Income Units</v>
      </c>
      <c r="I1618" s="52">
        <v>6</v>
      </c>
    </row>
    <row r="1619" spans="1:10" ht="15" customHeight="1">
      <c r="A1619" t="str">
        <f t="shared" ca="1" si="519"/>
        <v/>
      </c>
      <c r="B1619">
        <f t="shared" si="520"/>
        <v>6</v>
      </c>
      <c r="C1619">
        <f t="shared" ca="1" si="506"/>
        <v>3</v>
      </c>
      <c r="D1619" t="str">
        <f t="shared" si="521"/>
        <v>G6</v>
      </c>
      <c r="E1619" t="str">
        <f t="shared" ca="1" si="522"/>
        <v/>
      </c>
      <c r="F1619" t="str">
        <f t="shared" ca="1" si="523"/>
        <v xml:space="preserve">Enter a 'Residential Square Footage**' for  building 3 in cell G6.
</v>
      </c>
      <c r="G1619" s="9" t="str">
        <f t="shared" ca="1" si="504"/>
        <v xml:space="preserve">Enter a value for 'Number of Floors in the Tallest Building' in cell B58.
</v>
      </c>
      <c r="H1619" s="52" t="str">
        <f t="shared" ca="1" si="524"/>
        <v>Residential Square Footage**</v>
      </c>
      <c r="I1619" s="52">
        <v>7</v>
      </c>
    </row>
    <row r="1620" spans="1:10" ht="15" customHeight="1">
      <c r="A1620" t="str">
        <f t="shared" ca="1" si="519"/>
        <v/>
      </c>
      <c r="B1620">
        <f t="shared" si="520"/>
        <v>6</v>
      </c>
      <c r="C1620">
        <f t="shared" ca="1" si="506"/>
        <v>3</v>
      </c>
      <c r="D1620" t="str">
        <f t="shared" si="521"/>
        <v>H6</v>
      </c>
      <c r="E1620" t="str">
        <f t="shared" ca="1" si="522"/>
        <v/>
      </c>
      <c r="F1620" t="str">
        <f t="shared" ca="1" si="523"/>
        <v xml:space="preserve">Enter a 'Square Footage of Employee Units' for  building 3 in cell H6.
</v>
      </c>
      <c r="G1620" s="9" t="str">
        <f t="shared" ca="1" si="504"/>
        <v xml:space="preserve">Enter a value for 'Number of Floors in the Tallest Building' in cell B58.
</v>
      </c>
      <c r="H1620" s="52" t="str">
        <f t="shared" ca="1" si="524"/>
        <v>Square Footage of Employee Units</v>
      </c>
      <c r="I1620" s="52">
        <v>8</v>
      </c>
    </row>
    <row r="1621" spans="1:10" ht="15" customHeight="1">
      <c r="A1621" t="str">
        <f t="shared" ca="1" si="519"/>
        <v/>
      </c>
      <c r="B1621">
        <f t="shared" si="520"/>
        <v>6</v>
      </c>
      <c r="C1621">
        <f t="shared" ca="1" si="506"/>
        <v>3</v>
      </c>
      <c r="D1621" t="str">
        <f t="shared" si="521"/>
        <v>I6</v>
      </c>
      <c r="E1621" t="str">
        <f t="shared" ca="1" si="522"/>
        <v/>
      </c>
      <c r="F1621" t="str">
        <f t="shared" ca="1" si="523"/>
        <v xml:space="preserve">Enter a 'Square Footage of Low-Income Units' for  building 3 in cell I6.
</v>
      </c>
      <c r="G1621" s="9" t="str">
        <f t="shared" ca="1" si="504"/>
        <v xml:space="preserve">Enter a value for 'Number of Floors in the Tallest Building' in cell B58.
</v>
      </c>
      <c r="H1621" s="52" t="str">
        <f t="shared" ca="1" si="524"/>
        <v>Square Footage of Low-Income Units</v>
      </c>
      <c r="I1621" s="52">
        <v>9</v>
      </c>
    </row>
    <row r="1622" spans="1:10" ht="15" customHeight="1">
      <c r="A1622" t="str">
        <f t="shared" ca="1" si="519"/>
        <v/>
      </c>
      <c r="B1622">
        <f t="shared" si="520"/>
        <v>6</v>
      </c>
      <c r="C1622">
        <f t="shared" ca="1" si="506"/>
        <v>3</v>
      </c>
      <c r="D1622" t="str">
        <f t="shared" si="521"/>
        <v>J6</v>
      </c>
      <c r="E1622" t="str">
        <f t="shared" ca="1" si="522"/>
        <v/>
      </c>
      <c r="F1622" t="str">
        <f t="shared" ca="1" si="523"/>
        <v xml:space="preserve">Enter a 'Placed-In-Service Date' for  building 3 in cell J6.
</v>
      </c>
      <c r="G1622" s="9" t="str">
        <f t="shared" ca="1" si="504"/>
        <v xml:space="preserve">Enter a value for 'Number of Floors in the Tallest Building' in cell B58.
</v>
      </c>
      <c r="H1622" s="52" t="str">
        <f t="shared" ca="1" si="524"/>
        <v>Placed-In-Service Date</v>
      </c>
      <c r="I1622" s="52">
        <v>10</v>
      </c>
    </row>
    <row r="1623" spans="1:10" ht="15" customHeight="1">
      <c r="A1623" t="str">
        <f t="shared" ca="1" si="519"/>
        <v/>
      </c>
      <c r="B1623">
        <f t="shared" si="520"/>
        <v>6</v>
      </c>
      <c r="C1623">
        <f t="shared" ca="1" si="506"/>
        <v>3</v>
      </c>
      <c r="D1623" t="str">
        <f t="shared" si="521"/>
        <v>K6</v>
      </c>
      <c r="E1623" t="str">
        <f t="shared" ca="1" si="522"/>
        <v/>
      </c>
      <c r="F1623" t="str">
        <f t="shared" ca="1" si="523"/>
        <v xml:space="preserve">Enter a 'New Construction/ Rehab APR' for  building 3 in cell K6.
</v>
      </c>
      <c r="G1623" s="9" t="str">
        <f t="shared" ca="1" si="504"/>
        <v xml:space="preserve">Enter a value for 'Number of Floors in the Tallest Building' in cell B58.
</v>
      </c>
      <c r="H1623" s="52" t="str">
        <f t="shared" ca="1" si="524"/>
        <v>New Construction/ Rehab APR</v>
      </c>
      <c r="I1623" s="52">
        <v>11</v>
      </c>
    </row>
    <row r="1624" spans="1:10" ht="15" customHeight="1">
      <c r="A1624" t="str">
        <f t="shared" ca="1" si="519"/>
        <v/>
      </c>
      <c r="B1624">
        <f t="shared" si="520"/>
        <v>6</v>
      </c>
      <c r="C1624">
        <f t="shared" ca="1" si="506"/>
        <v>3</v>
      </c>
      <c r="D1624" t="str">
        <f t="shared" si="521"/>
        <v>L6</v>
      </c>
      <c r="E1624" t="str">
        <f t="shared" ca="1" si="522"/>
        <v/>
      </c>
      <c r="F1624" t="str">
        <f t="shared" ca="1" si="523"/>
        <v xml:space="preserve">Enter a 'New Construction Eligible Basis' for  building 3 in cell L6.
</v>
      </c>
      <c r="G1624" s="9" t="str">
        <f t="shared" ca="1" si="504"/>
        <v xml:space="preserve">Enter a value for 'Number of Floors in the Tallest Building' in cell B58.
</v>
      </c>
      <c r="H1624" s="52" t="str">
        <f t="shared" ca="1" si="524"/>
        <v>New Construction Eligible Basis</v>
      </c>
      <c r="I1624" s="52">
        <v>12</v>
      </c>
    </row>
    <row r="1625" spans="1:10" ht="15" customHeight="1">
      <c r="A1625" t="str">
        <f ca="1">IF(AND(OFFSET(A1625, -I1625 + 2, 4) &gt;  0, E1625="", Calculations!$B$7), F1625, "")</f>
        <v/>
      </c>
      <c r="B1625">
        <f t="shared" si="520"/>
        <v>6</v>
      </c>
      <c r="C1625">
        <f t="shared" ca="1" si="506"/>
        <v>3</v>
      </c>
      <c r="D1625" t="str">
        <f t="shared" si="521"/>
        <v>M6</v>
      </c>
      <c r="E1625" t="str">
        <f t="shared" ca="1" si="522"/>
        <v/>
      </c>
      <c r="F1625" t="str">
        <f t="shared" ca="1" si="523"/>
        <v xml:space="preserve">Enter a 'Eligible Basis for Rehab' for  building 3 in cell M6.
</v>
      </c>
      <c r="G1625" s="9" t="str">
        <f t="shared" ca="1" si="504"/>
        <v xml:space="preserve">Enter a value for 'Number of Floors in the Tallest Building' in cell B58.
</v>
      </c>
      <c r="H1625" s="52" t="str">
        <f t="shared" ca="1" si="524"/>
        <v>Eligible Basis for Rehab</v>
      </c>
      <c r="I1625" s="52">
        <v>13</v>
      </c>
    </row>
    <row r="1626" spans="1:10" ht="15" customHeight="1">
      <c r="A1626" t="str">
        <f ca="1">IF(AND(OFFSET(A1626, -I1626 + 2, 4) &gt;  0, E1626="", Calculations!$B$7), F1626, "")</f>
        <v/>
      </c>
      <c r="B1626">
        <f t="shared" si="520"/>
        <v>6</v>
      </c>
      <c r="C1626">
        <f t="shared" ca="1" si="506"/>
        <v>3</v>
      </c>
      <c r="D1626" t="str">
        <f t="shared" si="521"/>
        <v>N6</v>
      </c>
      <c r="E1626" t="str">
        <f t="shared" ca="1" si="522"/>
        <v/>
      </c>
      <c r="F1626" t="str">
        <f t="shared" ca="1" si="523"/>
        <v xml:space="preserve">Enter a 'Cost of Acquiring the Building***' for  building 3 in cell N6.
</v>
      </c>
      <c r="G1626" s="9" t="str">
        <f t="shared" ca="1" si="504"/>
        <v xml:space="preserve">Enter a value for 'Number of Floors in the Tallest Building' in cell B58.
</v>
      </c>
      <c r="H1626" s="52" t="str">
        <f t="shared" ca="1" si="524"/>
        <v>Cost of Acquiring the Building***</v>
      </c>
      <c r="I1626" s="52">
        <v>14</v>
      </c>
    </row>
    <row r="1627" spans="1:10" ht="15" customHeight="1">
      <c r="A1627" t="str">
        <f ca="1">IF(AND(OFFSET(A1627, -I1627 + 2, 4) &gt;  0, E1627="", Calculations!$B$7), F1627, "")</f>
        <v/>
      </c>
      <c r="B1627">
        <f t="shared" si="520"/>
        <v>6</v>
      </c>
      <c r="C1627">
        <f t="shared" ca="1" si="506"/>
        <v>3</v>
      </c>
      <c r="D1627" t="str">
        <f t="shared" si="521"/>
        <v>O6</v>
      </c>
      <c r="E1627" t="str">
        <f t="shared" ca="1" si="522"/>
        <v/>
      </c>
      <c r="F1627" t="str">
        <f t="shared" ca="1" si="523"/>
        <v xml:space="preserve">Enter a 'Higher of Land Purchase Price or Land Appraised Value****' for  building 3 in cell O6.
</v>
      </c>
      <c r="G1627" s="9" t="str">
        <f t="shared" ca="1" si="504"/>
        <v xml:space="preserve">Enter a value for 'Number of Floors in the Tallest Building' in cell B58.
</v>
      </c>
      <c r="H1627" s="52" t="str">
        <f t="shared" ca="1" si="524"/>
        <v>Higher of Land Purchase Price or Land Appraised Value****</v>
      </c>
      <c r="I1627" s="52">
        <v>15</v>
      </c>
    </row>
    <row r="1628" spans="1:10" ht="15" customHeight="1">
      <c r="A1628" t="str">
        <f ca="1">IF(AND(OFFSET(A1628, -I1628 + 2, 4) &gt;  0, E1628="", Calculations!$B$7), F1628, "")</f>
        <v/>
      </c>
      <c r="B1628">
        <f t="shared" si="520"/>
        <v>6</v>
      </c>
      <c r="C1628">
        <f t="shared" ca="1" si="506"/>
        <v>3</v>
      </c>
      <c r="D1628" t="str">
        <f t="shared" si="521"/>
        <v>P6</v>
      </c>
      <c r="E1628" t="str">
        <f t="shared" ca="1" si="522"/>
        <v/>
      </c>
      <c r="F1628" t="str">
        <f t="shared" ca="1" si="523"/>
        <v xml:space="preserve">Enter a 'Acquisition Placed-in-Service Date' for  building 3 in cell P6.
</v>
      </c>
      <c r="G1628" s="9" t="str">
        <f t="shared" ca="1" si="504"/>
        <v xml:space="preserve">Enter a value for 'Number of Floors in the Tallest Building' in cell B58.
</v>
      </c>
      <c r="H1628" s="52" t="str">
        <f t="shared" ca="1" si="524"/>
        <v>Acquisition Placed-in-Service Date</v>
      </c>
      <c r="I1628" s="52">
        <v>16</v>
      </c>
    </row>
    <row r="1629" spans="1:10" ht="15" customHeight="1">
      <c r="A1629" t="str">
        <f ca="1">IF(AND(OFFSET(A1629, -I1629 + 2, 4) &gt;  0, E1629="", Calculations!$B$7), F1629, "")</f>
        <v/>
      </c>
      <c r="B1629">
        <f t="shared" si="520"/>
        <v>6</v>
      </c>
      <c r="C1629">
        <f t="shared" ca="1" si="506"/>
        <v>3</v>
      </c>
      <c r="D1629" t="str">
        <f t="shared" si="521"/>
        <v>Q6</v>
      </c>
      <c r="E1629" t="str">
        <f t="shared" ca="1" si="522"/>
        <v/>
      </c>
      <c r="F1629" t="str">
        <f t="shared" ca="1" si="523"/>
        <v xml:space="preserve">Enter a 'Acquisition APR' for  building 3 in cell Q6.
</v>
      </c>
      <c r="G1629" s="9" t="str">
        <f t="shared" ca="1" si="504"/>
        <v xml:space="preserve">Enter a value for 'Number of Floors in the Tallest Building' in cell B58.
</v>
      </c>
      <c r="H1629" s="52" t="str">
        <f t="shared" ca="1" si="524"/>
        <v>Acquisition APR</v>
      </c>
      <c r="I1629" s="52">
        <v>17</v>
      </c>
    </row>
    <row r="1630" spans="1:10" ht="15" customHeight="1">
      <c r="A1630" t="str">
        <f ca="1">IF(AND(Calculations!$B$4,Calculations!$B$28&gt;=C1630, E1630 &lt;&gt; 13),F1630,"")</f>
        <v/>
      </c>
      <c r="B1630">
        <f>ROW('Final Building Profile'!C7)</f>
        <v>7</v>
      </c>
      <c r="C1630">
        <f t="shared" ca="1" si="506"/>
        <v>4</v>
      </c>
      <c r="D1630" t="str">
        <f>ADDRESS(B1630, 3,4  )</f>
        <v>C7</v>
      </c>
      <c r="E1630" s="52">
        <f ca="1">H1630+I1630</f>
        <v>0</v>
      </c>
      <c r="F1630" t="str">
        <f ca="1">CONCATENATE("Based upon the number of buildings specified, information for  building ", C1630, " required for a final application in row ", B1630, ".", CHAR(10))</f>
        <v xml:space="preserve">Based upon the number of buildings specified, information for  building 4 required for a final application in row 7.
</v>
      </c>
      <c r="G1630" s="9" t="str">
        <f t="shared" ca="1" si="504"/>
        <v xml:space="preserve">Enter a value for 'Number of Floors in the Tallest Building' in cell B58.
</v>
      </c>
      <c r="H1630" s="52">
        <f ca="1">SUMPRODUCT(--ISTEXT(INDIRECT(J1630)))</f>
        <v>0</v>
      </c>
      <c r="I1630" s="52">
        <f ca="1">SUMPRODUCT(--ISNUMBER(INDIRECT(J1630)))</f>
        <v>0</v>
      </c>
      <c r="J1630" s="52" t="str">
        <f>$F$1564&amp; ADDRESS(B1630,3,4) &amp; ":" &amp; ADDRESS(B1630,15,4)</f>
        <v>'Final Building Profile'!C7:O7</v>
      </c>
    </row>
    <row r="1631" spans="1:10" ht="15" customHeight="1">
      <c r="A1631" t="str">
        <f t="shared" ref="A1631:A1640" ca="1" si="525">IF(AND(OFFSET(A1631, -I1631 + 2, 4) &gt;  0, E1631=""), F1631, "")</f>
        <v/>
      </c>
      <c r="B1631">
        <f t="shared" ref="B1631:B1645" si="526">B1630</f>
        <v>7</v>
      </c>
      <c r="C1631">
        <f t="shared" ca="1" si="506"/>
        <v>4</v>
      </c>
      <c r="D1631" t="str">
        <f t="shared" ref="D1631:D1645" si="527">ADDRESS(B1631, I1631,4  )</f>
        <v>C7</v>
      </c>
      <c r="E1631" t="str">
        <f t="shared" ref="E1631:E1645" ca="1" si="528">IF(ISBLANK( INDIRECT($F$1564 &amp; D1631)),"", INDIRECT($F$1564 &amp; D1631))</f>
        <v/>
      </c>
      <c r="F1631" t="str">
        <f t="shared" ref="F1631:F1645" ca="1" si="529">CONCATENATE("Enter a '"&amp; H1631 &amp;"' for  building ", C1631, " in cell ", D1631, ".", CHAR(10))</f>
        <v xml:space="preserve">Enter a 'Building Street Address Only 
(DO NOT ENTER CITY, STATE, OR ZIP)' for  building 4 in cell C7.
</v>
      </c>
      <c r="G1631" s="9" t="str">
        <f t="shared" ref="G1631:G1694" ca="1" si="530">OFFSET(G1631, -1, 0) &amp; A1631</f>
        <v xml:space="preserve">Enter a value for 'Number of Floors in the Tallest Building' in cell B58.
</v>
      </c>
      <c r="H1631" s="52" t="str">
        <f t="shared" ref="H1631:H1645" ca="1" si="531">OFFSET(INDIRECT($F$1564 &amp; D1631), -B1631 + 3, 0)</f>
        <v>Building Street Address Only 
(DO NOT ENTER CITY, STATE, OR ZIP)</v>
      </c>
      <c r="I1631" s="52">
        <v>3</v>
      </c>
    </row>
    <row r="1632" spans="1:10" ht="15" customHeight="1">
      <c r="A1632" t="str">
        <f t="shared" ca="1" si="525"/>
        <v/>
      </c>
      <c r="B1632">
        <f t="shared" si="526"/>
        <v>7</v>
      </c>
      <c r="C1632">
        <f t="shared" ca="1" si="506"/>
        <v>4</v>
      </c>
      <c r="D1632" t="str">
        <f t="shared" si="527"/>
        <v>D7</v>
      </c>
      <c r="E1632" t="str">
        <f t="shared" ca="1" si="528"/>
        <v/>
      </c>
      <c r="F1632" t="str">
        <f t="shared" ca="1" si="529"/>
        <v xml:space="preserve">Enter a 'Total Units in Building*' for  building 4 in cell D7.
</v>
      </c>
      <c r="G1632" s="9" t="str">
        <f t="shared" ca="1" si="530"/>
        <v xml:space="preserve">Enter a value for 'Number of Floors in the Tallest Building' in cell B58.
</v>
      </c>
      <c r="H1632" s="52" t="str">
        <f t="shared" ca="1" si="531"/>
        <v>Total Units in Building*</v>
      </c>
      <c r="I1632" s="52">
        <v>4</v>
      </c>
    </row>
    <row r="1633" spans="1:10" ht="15" customHeight="1">
      <c r="A1633" t="str">
        <f t="shared" ca="1" si="525"/>
        <v/>
      </c>
      <c r="B1633">
        <f t="shared" si="526"/>
        <v>7</v>
      </c>
      <c r="C1633">
        <f t="shared" ca="1" si="506"/>
        <v>4</v>
      </c>
      <c r="D1633" t="str">
        <f t="shared" si="527"/>
        <v>E7</v>
      </c>
      <c r="E1633" t="str">
        <f t="shared" ca="1" si="528"/>
        <v/>
      </c>
      <c r="F1633" t="str">
        <f t="shared" ca="1" si="529"/>
        <v xml:space="preserve">Enter a 'Employee Units' for  building 4 in cell E7.
</v>
      </c>
      <c r="G1633" s="9" t="str">
        <f t="shared" ca="1" si="530"/>
        <v xml:space="preserve">Enter a value for 'Number of Floors in the Tallest Building' in cell B58.
</v>
      </c>
      <c r="H1633" s="52" t="str">
        <f t="shared" ca="1" si="531"/>
        <v>Employee Units</v>
      </c>
      <c r="I1633" s="52">
        <v>5</v>
      </c>
    </row>
    <row r="1634" spans="1:10" ht="15" customHeight="1">
      <c r="A1634" t="str">
        <f t="shared" ca="1" si="525"/>
        <v/>
      </c>
      <c r="B1634">
        <f t="shared" si="526"/>
        <v>7</v>
      </c>
      <c r="C1634">
        <f t="shared" ca="1" si="506"/>
        <v>4</v>
      </c>
      <c r="D1634" t="str">
        <f t="shared" si="527"/>
        <v>F7</v>
      </c>
      <c r="E1634" t="str">
        <f t="shared" ca="1" si="528"/>
        <v/>
      </c>
      <c r="F1634" t="str">
        <f t="shared" ca="1" si="529"/>
        <v xml:space="preserve">Enter a 'Low-Income Units' for  building 4 in cell F7.
</v>
      </c>
      <c r="G1634" s="9" t="str">
        <f t="shared" ca="1" si="530"/>
        <v xml:space="preserve">Enter a value for 'Number of Floors in the Tallest Building' in cell B58.
</v>
      </c>
      <c r="H1634" s="52" t="str">
        <f t="shared" ca="1" si="531"/>
        <v>Low-Income Units</v>
      </c>
      <c r="I1634" s="52">
        <v>6</v>
      </c>
    </row>
    <row r="1635" spans="1:10" ht="15" customHeight="1">
      <c r="A1635" t="str">
        <f t="shared" ca="1" si="525"/>
        <v/>
      </c>
      <c r="B1635">
        <f t="shared" si="526"/>
        <v>7</v>
      </c>
      <c r="C1635">
        <f t="shared" ca="1" si="506"/>
        <v>4</v>
      </c>
      <c r="D1635" t="str">
        <f t="shared" si="527"/>
        <v>G7</v>
      </c>
      <c r="E1635" t="str">
        <f t="shared" ca="1" si="528"/>
        <v/>
      </c>
      <c r="F1635" t="str">
        <f t="shared" ca="1" si="529"/>
        <v xml:space="preserve">Enter a 'Residential Square Footage**' for  building 4 in cell G7.
</v>
      </c>
      <c r="G1635" s="9" t="str">
        <f t="shared" ca="1" si="530"/>
        <v xml:space="preserve">Enter a value for 'Number of Floors in the Tallest Building' in cell B58.
</v>
      </c>
      <c r="H1635" s="52" t="str">
        <f t="shared" ca="1" si="531"/>
        <v>Residential Square Footage**</v>
      </c>
      <c r="I1635" s="52">
        <v>7</v>
      </c>
    </row>
    <row r="1636" spans="1:10" ht="15" customHeight="1">
      <c r="A1636" t="str">
        <f t="shared" ca="1" si="525"/>
        <v/>
      </c>
      <c r="B1636">
        <f t="shared" si="526"/>
        <v>7</v>
      </c>
      <c r="C1636">
        <f t="shared" ca="1" si="506"/>
        <v>4</v>
      </c>
      <c r="D1636" t="str">
        <f t="shared" si="527"/>
        <v>H7</v>
      </c>
      <c r="E1636" t="str">
        <f t="shared" ca="1" si="528"/>
        <v/>
      </c>
      <c r="F1636" t="str">
        <f t="shared" ca="1" si="529"/>
        <v xml:space="preserve">Enter a 'Square Footage of Employee Units' for  building 4 in cell H7.
</v>
      </c>
      <c r="G1636" s="9" t="str">
        <f t="shared" ca="1" si="530"/>
        <v xml:space="preserve">Enter a value for 'Number of Floors in the Tallest Building' in cell B58.
</v>
      </c>
      <c r="H1636" s="52" t="str">
        <f t="shared" ca="1" si="531"/>
        <v>Square Footage of Employee Units</v>
      </c>
      <c r="I1636" s="52">
        <v>8</v>
      </c>
    </row>
    <row r="1637" spans="1:10" ht="15" customHeight="1">
      <c r="A1637" t="str">
        <f t="shared" ca="1" si="525"/>
        <v/>
      </c>
      <c r="B1637">
        <f t="shared" si="526"/>
        <v>7</v>
      </c>
      <c r="C1637">
        <f t="shared" ca="1" si="506"/>
        <v>4</v>
      </c>
      <c r="D1637" t="str">
        <f t="shared" si="527"/>
        <v>I7</v>
      </c>
      <c r="E1637" t="str">
        <f t="shared" ca="1" si="528"/>
        <v/>
      </c>
      <c r="F1637" t="str">
        <f t="shared" ca="1" si="529"/>
        <v xml:space="preserve">Enter a 'Square Footage of Low-Income Units' for  building 4 in cell I7.
</v>
      </c>
      <c r="G1637" s="9" t="str">
        <f t="shared" ca="1" si="530"/>
        <v xml:space="preserve">Enter a value for 'Number of Floors in the Tallest Building' in cell B58.
</v>
      </c>
      <c r="H1637" s="52" t="str">
        <f t="shared" ca="1" si="531"/>
        <v>Square Footage of Low-Income Units</v>
      </c>
      <c r="I1637" s="52">
        <v>9</v>
      </c>
    </row>
    <row r="1638" spans="1:10" ht="15" customHeight="1">
      <c r="A1638" t="str">
        <f t="shared" ca="1" si="525"/>
        <v/>
      </c>
      <c r="B1638">
        <f t="shared" si="526"/>
        <v>7</v>
      </c>
      <c r="C1638">
        <f t="shared" ca="1" si="506"/>
        <v>4</v>
      </c>
      <c r="D1638" t="str">
        <f t="shared" si="527"/>
        <v>J7</v>
      </c>
      <c r="E1638" t="str">
        <f t="shared" ca="1" si="528"/>
        <v/>
      </c>
      <c r="F1638" t="str">
        <f t="shared" ca="1" si="529"/>
        <v xml:space="preserve">Enter a 'Placed-In-Service Date' for  building 4 in cell J7.
</v>
      </c>
      <c r="G1638" s="9" t="str">
        <f t="shared" ca="1" si="530"/>
        <v xml:space="preserve">Enter a value for 'Number of Floors in the Tallest Building' in cell B58.
</v>
      </c>
      <c r="H1638" s="52" t="str">
        <f t="shared" ca="1" si="531"/>
        <v>Placed-In-Service Date</v>
      </c>
      <c r="I1638" s="52">
        <v>10</v>
      </c>
    </row>
    <row r="1639" spans="1:10" ht="15" customHeight="1">
      <c r="A1639" t="str">
        <f t="shared" ca="1" si="525"/>
        <v/>
      </c>
      <c r="B1639">
        <f t="shared" si="526"/>
        <v>7</v>
      </c>
      <c r="C1639">
        <f t="shared" ca="1" si="506"/>
        <v>4</v>
      </c>
      <c r="D1639" t="str">
        <f t="shared" si="527"/>
        <v>K7</v>
      </c>
      <c r="E1639" t="str">
        <f t="shared" ca="1" si="528"/>
        <v/>
      </c>
      <c r="F1639" t="str">
        <f t="shared" ca="1" si="529"/>
        <v xml:space="preserve">Enter a 'New Construction/ Rehab APR' for  building 4 in cell K7.
</v>
      </c>
      <c r="G1639" s="9" t="str">
        <f t="shared" ca="1" si="530"/>
        <v xml:space="preserve">Enter a value for 'Number of Floors in the Tallest Building' in cell B58.
</v>
      </c>
      <c r="H1639" s="52" t="str">
        <f t="shared" ca="1" si="531"/>
        <v>New Construction/ Rehab APR</v>
      </c>
      <c r="I1639" s="52">
        <v>11</v>
      </c>
    </row>
    <row r="1640" spans="1:10" ht="15" customHeight="1">
      <c r="A1640" t="str">
        <f t="shared" ca="1" si="525"/>
        <v/>
      </c>
      <c r="B1640">
        <f t="shared" si="526"/>
        <v>7</v>
      </c>
      <c r="C1640">
        <f t="shared" ca="1" si="506"/>
        <v>4</v>
      </c>
      <c r="D1640" t="str">
        <f t="shared" si="527"/>
        <v>L7</v>
      </c>
      <c r="E1640" t="str">
        <f t="shared" ca="1" si="528"/>
        <v/>
      </c>
      <c r="F1640" t="str">
        <f t="shared" ca="1" si="529"/>
        <v xml:space="preserve">Enter a 'New Construction Eligible Basis' for  building 4 in cell L7.
</v>
      </c>
      <c r="G1640" s="9" t="str">
        <f t="shared" ca="1" si="530"/>
        <v xml:space="preserve">Enter a value for 'Number of Floors in the Tallest Building' in cell B58.
</v>
      </c>
      <c r="H1640" s="52" t="str">
        <f t="shared" ca="1" si="531"/>
        <v>New Construction Eligible Basis</v>
      </c>
      <c r="I1640" s="52">
        <v>12</v>
      </c>
    </row>
    <row r="1641" spans="1:10" ht="15" customHeight="1">
      <c r="A1641" t="str">
        <f ca="1">IF(AND(OFFSET(A1641, -I1641 + 2, 4) &gt;  0, E1641="", Calculations!$B$7), F1641, "")</f>
        <v/>
      </c>
      <c r="B1641">
        <f t="shared" si="526"/>
        <v>7</v>
      </c>
      <c r="C1641">
        <f t="shared" ca="1" si="506"/>
        <v>4</v>
      </c>
      <c r="D1641" t="str">
        <f t="shared" si="527"/>
        <v>M7</v>
      </c>
      <c r="E1641" t="str">
        <f t="shared" ca="1" si="528"/>
        <v/>
      </c>
      <c r="F1641" t="str">
        <f t="shared" ca="1" si="529"/>
        <v xml:space="preserve">Enter a 'Eligible Basis for Rehab' for  building 4 in cell M7.
</v>
      </c>
      <c r="G1641" s="9" t="str">
        <f t="shared" ca="1" si="530"/>
        <v xml:space="preserve">Enter a value for 'Number of Floors in the Tallest Building' in cell B58.
</v>
      </c>
      <c r="H1641" s="52" t="str">
        <f t="shared" ca="1" si="531"/>
        <v>Eligible Basis for Rehab</v>
      </c>
      <c r="I1641" s="52">
        <v>13</v>
      </c>
    </row>
    <row r="1642" spans="1:10" ht="15" customHeight="1">
      <c r="A1642" t="str">
        <f ca="1">IF(AND(OFFSET(A1642, -I1642 + 2, 4) &gt;  0, E1642="", Calculations!$B$7), F1642, "")</f>
        <v/>
      </c>
      <c r="B1642">
        <f t="shared" si="526"/>
        <v>7</v>
      </c>
      <c r="C1642">
        <f t="shared" ca="1" si="506"/>
        <v>4</v>
      </c>
      <c r="D1642" t="str">
        <f t="shared" si="527"/>
        <v>N7</v>
      </c>
      <c r="E1642" t="str">
        <f t="shared" ca="1" si="528"/>
        <v/>
      </c>
      <c r="F1642" t="str">
        <f t="shared" ca="1" si="529"/>
        <v xml:space="preserve">Enter a 'Cost of Acquiring the Building***' for  building 4 in cell N7.
</v>
      </c>
      <c r="G1642" s="9" t="str">
        <f t="shared" ca="1" si="530"/>
        <v xml:space="preserve">Enter a value for 'Number of Floors in the Tallest Building' in cell B58.
</v>
      </c>
      <c r="H1642" s="52" t="str">
        <f t="shared" ca="1" si="531"/>
        <v>Cost of Acquiring the Building***</v>
      </c>
      <c r="I1642" s="52">
        <v>14</v>
      </c>
    </row>
    <row r="1643" spans="1:10" ht="15" customHeight="1">
      <c r="A1643" t="str">
        <f ca="1">IF(AND(OFFSET(A1643, -I1643 + 2, 4) &gt;  0, E1643="", Calculations!$B$7), F1643, "")</f>
        <v/>
      </c>
      <c r="B1643">
        <f t="shared" si="526"/>
        <v>7</v>
      </c>
      <c r="C1643">
        <f t="shared" ca="1" si="506"/>
        <v>4</v>
      </c>
      <c r="D1643" t="str">
        <f t="shared" si="527"/>
        <v>O7</v>
      </c>
      <c r="E1643" t="str">
        <f t="shared" ca="1" si="528"/>
        <v/>
      </c>
      <c r="F1643" t="str">
        <f t="shared" ca="1" si="529"/>
        <v xml:space="preserve">Enter a 'Higher of Land Purchase Price or Land Appraised Value****' for  building 4 in cell O7.
</v>
      </c>
      <c r="G1643" s="9" t="str">
        <f t="shared" ca="1" si="530"/>
        <v xml:space="preserve">Enter a value for 'Number of Floors in the Tallest Building' in cell B58.
</v>
      </c>
      <c r="H1643" s="52" t="str">
        <f t="shared" ca="1" si="531"/>
        <v>Higher of Land Purchase Price or Land Appraised Value****</v>
      </c>
      <c r="I1643" s="52">
        <v>15</v>
      </c>
    </row>
    <row r="1644" spans="1:10" ht="15" customHeight="1">
      <c r="A1644" t="str">
        <f ca="1">IF(AND(OFFSET(A1644, -I1644 + 2, 4) &gt;  0, E1644="", Calculations!$B$7), F1644, "")</f>
        <v/>
      </c>
      <c r="B1644">
        <f t="shared" si="526"/>
        <v>7</v>
      </c>
      <c r="C1644">
        <f t="shared" ca="1" si="506"/>
        <v>4</v>
      </c>
      <c r="D1644" t="str">
        <f t="shared" si="527"/>
        <v>P7</v>
      </c>
      <c r="E1644" t="str">
        <f t="shared" ca="1" si="528"/>
        <v/>
      </c>
      <c r="F1644" t="str">
        <f t="shared" ca="1" si="529"/>
        <v xml:space="preserve">Enter a 'Acquisition Placed-in-Service Date' for  building 4 in cell P7.
</v>
      </c>
      <c r="G1644" s="9" t="str">
        <f t="shared" ca="1" si="530"/>
        <v xml:space="preserve">Enter a value for 'Number of Floors in the Tallest Building' in cell B58.
</v>
      </c>
      <c r="H1644" s="52" t="str">
        <f t="shared" ca="1" si="531"/>
        <v>Acquisition Placed-in-Service Date</v>
      </c>
      <c r="I1644" s="52">
        <v>16</v>
      </c>
    </row>
    <row r="1645" spans="1:10" ht="15" customHeight="1">
      <c r="A1645" t="str">
        <f ca="1">IF(AND(OFFSET(A1645, -I1645 + 2, 4) &gt;  0, E1645="", Calculations!$B$7), F1645, "")</f>
        <v/>
      </c>
      <c r="B1645">
        <f t="shared" si="526"/>
        <v>7</v>
      </c>
      <c r="C1645">
        <f t="shared" ca="1" si="506"/>
        <v>4</v>
      </c>
      <c r="D1645" t="str">
        <f t="shared" si="527"/>
        <v>Q7</v>
      </c>
      <c r="E1645" t="str">
        <f t="shared" ca="1" si="528"/>
        <v/>
      </c>
      <c r="F1645" t="str">
        <f t="shared" ca="1" si="529"/>
        <v xml:space="preserve">Enter a 'Acquisition APR' for  building 4 in cell Q7.
</v>
      </c>
      <c r="G1645" s="9" t="str">
        <f t="shared" ca="1" si="530"/>
        <v xml:space="preserve">Enter a value for 'Number of Floors in the Tallest Building' in cell B58.
</v>
      </c>
      <c r="H1645" s="52" t="str">
        <f t="shared" ca="1" si="531"/>
        <v>Acquisition APR</v>
      </c>
      <c r="I1645" s="52">
        <v>17</v>
      </c>
    </row>
    <row r="1646" spans="1:10" ht="15" customHeight="1">
      <c r="A1646" t="str">
        <f ca="1">IF(AND(Calculations!$B$4,Calculations!$B$28&gt;=C1646, E1646 &lt;&gt; 13),F1646,"")</f>
        <v/>
      </c>
      <c r="B1646">
        <f>ROW('Final Building Profile'!C8)</f>
        <v>8</v>
      </c>
      <c r="C1646">
        <f t="shared" ref="C1646:C1709" ca="1" si="532">INDIRECT($F$1564 &amp; ADDRESS(B1646, 1,4  ))</f>
        <v>5</v>
      </c>
      <c r="D1646" t="str">
        <f>ADDRESS(B1646, 3,4  )</f>
        <v>C8</v>
      </c>
      <c r="E1646" s="52">
        <f ca="1">H1646+I1646</f>
        <v>0</v>
      </c>
      <c r="F1646" t="str">
        <f ca="1">CONCATENATE("Based upon the number of buildings specified, information for  building ", C1646, " required for a final application in row ", B1646, ".", CHAR(10))</f>
        <v xml:space="preserve">Based upon the number of buildings specified, information for  building 5 required for a final application in row 8.
</v>
      </c>
      <c r="G1646" s="9" t="str">
        <f t="shared" ca="1" si="530"/>
        <v xml:space="preserve">Enter a value for 'Number of Floors in the Tallest Building' in cell B58.
</v>
      </c>
      <c r="H1646" s="52">
        <f ca="1">SUMPRODUCT(--ISTEXT(INDIRECT(J1646)))</f>
        <v>0</v>
      </c>
      <c r="I1646" s="52">
        <f ca="1">SUMPRODUCT(--ISNUMBER(INDIRECT(J1646)))</f>
        <v>0</v>
      </c>
      <c r="J1646" s="52" t="str">
        <f>$F$1564&amp; ADDRESS(B1646,3,4) &amp; ":" &amp; ADDRESS(B1646,15,4)</f>
        <v>'Final Building Profile'!C8:O8</v>
      </c>
    </row>
    <row r="1647" spans="1:10" ht="15" customHeight="1">
      <c r="A1647" t="str">
        <f t="shared" ref="A1647:A1656" ca="1" si="533">IF(AND(OFFSET(A1647, -I1647 + 2, 4) &gt;  0, E1647=""), F1647, "")</f>
        <v/>
      </c>
      <c r="B1647">
        <f t="shared" ref="B1647:B1661" si="534">B1646</f>
        <v>8</v>
      </c>
      <c r="C1647">
        <f t="shared" ca="1" si="532"/>
        <v>5</v>
      </c>
      <c r="D1647" t="str">
        <f t="shared" ref="D1647:D1661" si="535">ADDRESS(B1647, I1647,4  )</f>
        <v>C8</v>
      </c>
      <c r="E1647" t="str">
        <f t="shared" ref="E1647:E1661" ca="1" si="536">IF(ISBLANK( INDIRECT($F$1564 &amp; D1647)),"", INDIRECT($F$1564 &amp; D1647))</f>
        <v/>
      </c>
      <c r="F1647" t="str">
        <f t="shared" ref="F1647:F1661" ca="1" si="537">CONCATENATE("Enter a '"&amp; H1647 &amp;"' for  building ", C1647, " in cell ", D1647, ".", CHAR(10))</f>
        <v xml:space="preserve">Enter a 'Building Street Address Only 
(DO NOT ENTER CITY, STATE, OR ZIP)' for  building 5 in cell C8.
</v>
      </c>
      <c r="G1647" s="9" t="str">
        <f t="shared" ca="1" si="530"/>
        <v xml:space="preserve">Enter a value for 'Number of Floors in the Tallest Building' in cell B58.
</v>
      </c>
      <c r="H1647" s="52" t="str">
        <f t="shared" ref="H1647:H1661" ca="1" si="538">OFFSET(INDIRECT($F$1564 &amp; D1647), -B1647 + 3, 0)</f>
        <v>Building Street Address Only 
(DO NOT ENTER CITY, STATE, OR ZIP)</v>
      </c>
      <c r="I1647" s="52">
        <v>3</v>
      </c>
    </row>
    <row r="1648" spans="1:10" ht="15" customHeight="1">
      <c r="A1648" t="str">
        <f t="shared" ca="1" si="533"/>
        <v/>
      </c>
      <c r="B1648">
        <f t="shared" si="534"/>
        <v>8</v>
      </c>
      <c r="C1648">
        <f t="shared" ca="1" si="532"/>
        <v>5</v>
      </c>
      <c r="D1648" t="str">
        <f t="shared" si="535"/>
        <v>D8</v>
      </c>
      <c r="E1648" t="str">
        <f t="shared" ca="1" si="536"/>
        <v/>
      </c>
      <c r="F1648" t="str">
        <f t="shared" ca="1" si="537"/>
        <v xml:space="preserve">Enter a 'Total Units in Building*' for  building 5 in cell D8.
</v>
      </c>
      <c r="G1648" s="9" t="str">
        <f t="shared" ca="1" si="530"/>
        <v xml:space="preserve">Enter a value for 'Number of Floors in the Tallest Building' in cell B58.
</v>
      </c>
      <c r="H1648" s="52" t="str">
        <f t="shared" ca="1" si="538"/>
        <v>Total Units in Building*</v>
      </c>
      <c r="I1648" s="52">
        <v>4</v>
      </c>
    </row>
    <row r="1649" spans="1:10" ht="15" customHeight="1">
      <c r="A1649" t="str">
        <f t="shared" ca="1" si="533"/>
        <v/>
      </c>
      <c r="B1649">
        <f t="shared" si="534"/>
        <v>8</v>
      </c>
      <c r="C1649">
        <f t="shared" ca="1" si="532"/>
        <v>5</v>
      </c>
      <c r="D1649" t="str">
        <f t="shared" si="535"/>
        <v>E8</v>
      </c>
      <c r="E1649" t="str">
        <f t="shared" ca="1" si="536"/>
        <v/>
      </c>
      <c r="F1649" t="str">
        <f t="shared" ca="1" si="537"/>
        <v xml:space="preserve">Enter a 'Employee Units' for  building 5 in cell E8.
</v>
      </c>
      <c r="G1649" s="9" t="str">
        <f t="shared" ca="1" si="530"/>
        <v xml:space="preserve">Enter a value for 'Number of Floors in the Tallest Building' in cell B58.
</v>
      </c>
      <c r="H1649" s="52" t="str">
        <f t="shared" ca="1" si="538"/>
        <v>Employee Units</v>
      </c>
      <c r="I1649" s="52">
        <v>5</v>
      </c>
    </row>
    <row r="1650" spans="1:10" ht="15" customHeight="1">
      <c r="A1650" t="str">
        <f t="shared" ca="1" si="533"/>
        <v/>
      </c>
      <c r="B1650">
        <f t="shared" si="534"/>
        <v>8</v>
      </c>
      <c r="C1650">
        <f t="shared" ca="1" si="532"/>
        <v>5</v>
      </c>
      <c r="D1650" t="str">
        <f t="shared" si="535"/>
        <v>F8</v>
      </c>
      <c r="E1650" t="str">
        <f t="shared" ca="1" si="536"/>
        <v/>
      </c>
      <c r="F1650" t="str">
        <f t="shared" ca="1" si="537"/>
        <v xml:space="preserve">Enter a 'Low-Income Units' for  building 5 in cell F8.
</v>
      </c>
      <c r="G1650" s="9" t="str">
        <f t="shared" ca="1" si="530"/>
        <v xml:space="preserve">Enter a value for 'Number of Floors in the Tallest Building' in cell B58.
</v>
      </c>
      <c r="H1650" s="52" t="str">
        <f t="shared" ca="1" si="538"/>
        <v>Low-Income Units</v>
      </c>
      <c r="I1650" s="52">
        <v>6</v>
      </c>
    </row>
    <row r="1651" spans="1:10" ht="15" customHeight="1">
      <c r="A1651" t="str">
        <f t="shared" ca="1" si="533"/>
        <v/>
      </c>
      <c r="B1651">
        <f t="shared" si="534"/>
        <v>8</v>
      </c>
      <c r="C1651">
        <f t="shared" ca="1" si="532"/>
        <v>5</v>
      </c>
      <c r="D1651" t="str">
        <f t="shared" si="535"/>
        <v>G8</v>
      </c>
      <c r="E1651" t="str">
        <f t="shared" ca="1" si="536"/>
        <v/>
      </c>
      <c r="F1651" t="str">
        <f t="shared" ca="1" si="537"/>
        <v xml:space="preserve">Enter a 'Residential Square Footage**' for  building 5 in cell G8.
</v>
      </c>
      <c r="G1651" s="9" t="str">
        <f t="shared" ca="1" si="530"/>
        <v xml:space="preserve">Enter a value for 'Number of Floors in the Tallest Building' in cell B58.
</v>
      </c>
      <c r="H1651" s="52" t="str">
        <f t="shared" ca="1" si="538"/>
        <v>Residential Square Footage**</v>
      </c>
      <c r="I1651" s="52">
        <v>7</v>
      </c>
    </row>
    <row r="1652" spans="1:10" ht="15" customHeight="1">
      <c r="A1652" t="str">
        <f t="shared" ca="1" si="533"/>
        <v/>
      </c>
      <c r="B1652">
        <f t="shared" si="534"/>
        <v>8</v>
      </c>
      <c r="C1652">
        <f t="shared" ca="1" si="532"/>
        <v>5</v>
      </c>
      <c r="D1652" t="str">
        <f t="shared" si="535"/>
        <v>H8</v>
      </c>
      <c r="E1652" t="str">
        <f t="shared" ca="1" si="536"/>
        <v/>
      </c>
      <c r="F1652" t="str">
        <f t="shared" ca="1" si="537"/>
        <v xml:space="preserve">Enter a 'Square Footage of Employee Units' for  building 5 in cell H8.
</v>
      </c>
      <c r="G1652" s="9" t="str">
        <f t="shared" ca="1" si="530"/>
        <v xml:space="preserve">Enter a value for 'Number of Floors in the Tallest Building' in cell B58.
</v>
      </c>
      <c r="H1652" s="52" t="str">
        <f t="shared" ca="1" si="538"/>
        <v>Square Footage of Employee Units</v>
      </c>
      <c r="I1652" s="52">
        <v>8</v>
      </c>
    </row>
    <row r="1653" spans="1:10" ht="15" customHeight="1">
      <c r="A1653" t="str">
        <f t="shared" ca="1" si="533"/>
        <v/>
      </c>
      <c r="B1653">
        <f t="shared" si="534"/>
        <v>8</v>
      </c>
      <c r="C1653">
        <f t="shared" ca="1" si="532"/>
        <v>5</v>
      </c>
      <c r="D1653" t="str">
        <f t="shared" si="535"/>
        <v>I8</v>
      </c>
      <c r="E1653" t="str">
        <f t="shared" ca="1" si="536"/>
        <v/>
      </c>
      <c r="F1653" t="str">
        <f t="shared" ca="1" si="537"/>
        <v xml:space="preserve">Enter a 'Square Footage of Low-Income Units' for  building 5 in cell I8.
</v>
      </c>
      <c r="G1653" s="9" t="str">
        <f t="shared" ca="1" si="530"/>
        <v xml:space="preserve">Enter a value for 'Number of Floors in the Tallest Building' in cell B58.
</v>
      </c>
      <c r="H1653" s="52" t="str">
        <f t="shared" ca="1" si="538"/>
        <v>Square Footage of Low-Income Units</v>
      </c>
      <c r="I1653" s="52">
        <v>9</v>
      </c>
    </row>
    <row r="1654" spans="1:10" ht="15" customHeight="1">
      <c r="A1654" t="str">
        <f t="shared" ca="1" si="533"/>
        <v/>
      </c>
      <c r="B1654">
        <f t="shared" si="534"/>
        <v>8</v>
      </c>
      <c r="C1654">
        <f t="shared" ca="1" si="532"/>
        <v>5</v>
      </c>
      <c r="D1654" t="str">
        <f t="shared" si="535"/>
        <v>J8</v>
      </c>
      <c r="E1654" t="str">
        <f t="shared" ca="1" si="536"/>
        <v/>
      </c>
      <c r="F1654" t="str">
        <f t="shared" ca="1" si="537"/>
        <v xml:space="preserve">Enter a 'Placed-In-Service Date' for  building 5 in cell J8.
</v>
      </c>
      <c r="G1654" s="9" t="str">
        <f t="shared" ca="1" si="530"/>
        <v xml:space="preserve">Enter a value for 'Number of Floors in the Tallest Building' in cell B58.
</v>
      </c>
      <c r="H1654" s="52" t="str">
        <f t="shared" ca="1" si="538"/>
        <v>Placed-In-Service Date</v>
      </c>
      <c r="I1654" s="52">
        <v>10</v>
      </c>
    </row>
    <row r="1655" spans="1:10" ht="15" customHeight="1">
      <c r="A1655" t="str">
        <f t="shared" ca="1" si="533"/>
        <v/>
      </c>
      <c r="B1655">
        <f t="shared" si="534"/>
        <v>8</v>
      </c>
      <c r="C1655">
        <f t="shared" ca="1" si="532"/>
        <v>5</v>
      </c>
      <c r="D1655" t="str">
        <f t="shared" si="535"/>
        <v>K8</v>
      </c>
      <c r="E1655" t="str">
        <f t="shared" ca="1" si="536"/>
        <v/>
      </c>
      <c r="F1655" t="str">
        <f t="shared" ca="1" si="537"/>
        <v xml:space="preserve">Enter a 'New Construction/ Rehab APR' for  building 5 in cell K8.
</v>
      </c>
      <c r="G1655" s="9" t="str">
        <f t="shared" ca="1" si="530"/>
        <v xml:space="preserve">Enter a value for 'Number of Floors in the Tallest Building' in cell B58.
</v>
      </c>
      <c r="H1655" s="52" t="str">
        <f t="shared" ca="1" si="538"/>
        <v>New Construction/ Rehab APR</v>
      </c>
      <c r="I1655" s="52">
        <v>11</v>
      </c>
    </row>
    <row r="1656" spans="1:10" ht="15" customHeight="1">
      <c r="A1656" t="str">
        <f t="shared" ca="1" si="533"/>
        <v/>
      </c>
      <c r="B1656">
        <f t="shared" si="534"/>
        <v>8</v>
      </c>
      <c r="C1656">
        <f t="shared" ca="1" si="532"/>
        <v>5</v>
      </c>
      <c r="D1656" t="str">
        <f t="shared" si="535"/>
        <v>L8</v>
      </c>
      <c r="E1656" t="str">
        <f t="shared" ca="1" si="536"/>
        <v/>
      </c>
      <c r="F1656" t="str">
        <f t="shared" ca="1" si="537"/>
        <v xml:space="preserve">Enter a 'New Construction Eligible Basis' for  building 5 in cell L8.
</v>
      </c>
      <c r="G1656" s="9" t="str">
        <f t="shared" ca="1" si="530"/>
        <v xml:space="preserve">Enter a value for 'Number of Floors in the Tallest Building' in cell B58.
</v>
      </c>
      <c r="H1656" s="52" t="str">
        <f t="shared" ca="1" si="538"/>
        <v>New Construction Eligible Basis</v>
      </c>
      <c r="I1656" s="52">
        <v>12</v>
      </c>
    </row>
    <row r="1657" spans="1:10" ht="15" customHeight="1">
      <c r="A1657" t="str">
        <f ca="1">IF(AND(OFFSET(A1657, -I1657 + 2, 4) &gt;  0, E1657="", Calculations!$B$7), F1657, "")</f>
        <v/>
      </c>
      <c r="B1657">
        <f t="shared" si="534"/>
        <v>8</v>
      </c>
      <c r="C1657">
        <f t="shared" ca="1" si="532"/>
        <v>5</v>
      </c>
      <c r="D1657" t="str">
        <f t="shared" si="535"/>
        <v>M8</v>
      </c>
      <c r="E1657" t="str">
        <f t="shared" ca="1" si="536"/>
        <v/>
      </c>
      <c r="F1657" t="str">
        <f t="shared" ca="1" si="537"/>
        <v xml:space="preserve">Enter a 'Eligible Basis for Rehab' for  building 5 in cell M8.
</v>
      </c>
      <c r="G1657" s="9" t="str">
        <f t="shared" ca="1" si="530"/>
        <v xml:space="preserve">Enter a value for 'Number of Floors in the Tallest Building' in cell B58.
</v>
      </c>
      <c r="H1657" s="52" t="str">
        <f t="shared" ca="1" si="538"/>
        <v>Eligible Basis for Rehab</v>
      </c>
      <c r="I1657" s="52">
        <v>13</v>
      </c>
    </row>
    <row r="1658" spans="1:10" ht="15" customHeight="1">
      <c r="A1658" t="str">
        <f ca="1">IF(AND(OFFSET(A1658, -I1658 + 2, 4) &gt;  0, E1658="", Calculations!$B$7), F1658, "")</f>
        <v/>
      </c>
      <c r="B1658">
        <f t="shared" si="534"/>
        <v>8</v>
      </c>
      <c r="C1658">
        <f t="shared" ca="1" si="532"/>
        <v>5</v>
      </c>
      <c r="D1658" t="str">
        <f t="shared" si="535"/>
        <v>N8</v>
      </c>
      <c r="E1658" t="str">
        <f t="shared" ca="1" si="536"/>
        <v/>
      </c>
      <c r="F1658" t="str">
        <f t="shared" ca="1" si="537"/>
        <v xml:space="preserve">Enter a 'Cost of Acquiring the Building***' for  building 5 in cell N8.
</v>
      </c>
      <c r="G1658" s="9" t="str">
        <f t="shared" ca="1" si="530"/>
        <v xml:space="preserve">Enter a value for 'Number of Floors in the Tallest Building' in cell B58.
</v>
      </c>
      <c r="H1658" s="52" t="str">
        <f t="shared" ca="1" si="538"/>
        <v>Cost of Acquiring the Building***</v>
      </c>
      <c r="I1658" s="52">
        <v>14</v>
      </c>
    </row>
    <row r="1659" spans="1:10" ht="15" customHeight="1">
      <c r="A1659" t="str">
        <f ca="1">IF(AND(OFFSET(A1659, -I1659 + 2, 4) &gt;  0, E1659="", Calculations!$B$7), F1659, "")</f>
        <v/>
      </c>
      <c r="B1659">
        <f t="shared" si="534"/>
        <v>8</v>
      </c>
      <c r="C1659">
        <f t="shared" ca="1" si="532"/>
        <v>5</v>
      </c>
      <c r="D1659" t="str">
        <f t="shared" si="535"/>
        <v>O8</v>
      </c>
      <c r="E1659" t="str">
        <f t="shared" ca="1" si="536"/>
        <v/>
      </c>
      <c r="F1659" t="str">
        <f t="shared" ca="1" si="537"/>
        <v xml:space="preserve">Enter a 'Higher of Land Purchase Price or Land Appraised Value****' for  building 5 in cell O8.
</v>
      </c>
      <c r="G1659" s="9" t="str">
        <f t="shared" ca="1" si="530"/>
        <v xml:space="preserve">Enter a value for 'Number of Floors in the Tallest Building' in cell B58.
</v>
      </c>
      <c r="H1659" s="52" t="str">
        <f t="shared" ca="1" si="538"/>
        <v>Higher of Land Purchase Price or Land Appraised Value****</v>
      </c>
      <c r="I1659" s="52">
        <v>15</v>
      </c>
    </row>
    <row r="1660" spans="1:10" ht="15" customHeight="1">
      <c r="A1660" t="str">
        <f ca="1">IF(AND(OFFSET(A1660, -I1660 + 2, 4) &gt;  0, E1660="", Calculations!$B$7), F1660, "")</f>
        <v/>
      </c>
      <c r="B1660">
        <f t="shared" si="534"/>
        <v>8</v>
      </c>
      <c r="C1660">
        <f t="shared" ca="1" si="532"/>
        <v>5</v>
      </c>
      <c r="D1660" t="str">
        <f t="shared" si="535"/>
        <v>P8</v>
      </c>
      <c r="E1660" t="str">
        <f t="shared" ca="1" si="536"/>
        <v/>
      </c>
      <c r="F1660" t="str">
        <f t="shared" ca="1" si="537"/>
        <v xml:space="preserve">Enter a 'Acquisition Placed-in-Service Date' for  building 5 in cell P8.
</v>
      </c>
      <c r="G1660" s="9" t="str">
        <f t="shared" ca="1" si="530"/>
        <v xml:space="preserve">Enter a value for 'Number of Floors in the Tallest Building' in cell B58.
</v>
      </c>
      <c r="H1660" s="52" t="str">
        <f t="shared" ca="1" si="538"/>
        <v>Acquisition Placed-in-Service Date</v>
      </c>
      <c r="I1660" s="52">
        <v>16</v>
      </c>
    </row>
    <row r="1661" spans="1:10" ht="15" customHeight="1">
      <c r="A1661" t="str">
        <f ca="1">IF(AND(OFFSET(A1661, -I1661 + 2, 4) &gt;  0, E1661="", Calculations!$B$7), F1661, "")</f>
        <v/>
      </c>
      <c r="B1661">
        <f t="shared" si="534"/>
        <v>8</v>
      </c>
      <c r="C1661">
        <f t="shared" ca="1" si="532"/>
        <v>5</v>
      </c>
      <c r="D1661" t="str">
        <f t="shared" si="535"/>
        <v>Q8</v>
      </c>
      <c r="E1661" t="str">
        <f t="shared" ca="1" si="536"/>
        <v/>
      </c>
      <c r="F1661" t="str">
        <f t="shared" ca="1" si="537"/>
        <v xml:space="preserve">Enter a 'Acquisition APR' for  building 5 in cell Q8.
</v>
      </c>
      <c r="G1661" s="9" t="str">
        <f t="shared" ca="1" si="530"/>
        <v xml:space="preserve">Enter a value for 'Number of Floors in the Tallest Building' in cell B58.
</v>
      </c>
      <c r="H1661" s="52" t="str">
        <f t="shared" ca="1" si="538"/>
        <v>Acquisition APR</v>
      </c>
      <c r="I1661" s="52">
        <v>17</v>
      </c>
    </row>
    <row r="1662" spans="1:10" ht="15" customHeight="1">
      <c r="A1662" t="str">
        <f ca="1">IF(AND(Calculations!$B$4,Calculations!$B$28&gt;=C1662, E1662 &lt;&gt; 13),F1662,"")</f>
        <v/>
      </c>
      <c r="B1662">
        <f>ROW('Final Building Profile'!C9)</f>
        <v>9</v>
      </c>
      <c r="C1662">
        <f t="shared" ca="1" si="532"/>
        <v>6</v>
      </c>
      <c r="D1662" t="str">
        <f>ADDRESS(B1662, 3,4  )</f>
        <v>C9</v>
      </c>
      <c r="E1662" s="52">
        <f ca="1">H1662+I1662</f>
        <v>0</v>
      </c>
      <c r="F1662" t="str">
        <f ca="1">CONCATENATE("Based upon the number of buildings specified, information for  building ", C1662, " required for a final application in row ", B1662, ".", CHAR(10))</f>
        <v xml:space="preserve">Based upon the number of buildings specified, information for  building 6 required for a final application in row 9.
</v>
      </c>
      <c r="G1662" s="9" t="str">
        <f t="shared" ca="1" si="530"/>
        <v xml:space="preserve">Enter a value for 'Number of Floors in the Tallest Building' in cell B58.
</v>
      </c>
      <c r="H1662" s="52">
        <f ca="1">SUMPRODUCT(--ISTEXT(INDIRECT(J1662)))</f>
        <v>0</v>
      </c>
      <c r="I1662" s="52">
        <f ca="1">SUMPRODUCT(--ISNUMBER(INDIRECT(J1662)))</f>
        <v>0</v>
      </c>
      <c r="J1662" s="52" t="str">
        <f>$F$1564&amp; ADDRESS(B1662,3,4) &amp; ":" &amp; ADDRESS(B1662,15,4)</f>
        <v>'Final Building Profile'!C9:O9</v>
      </c>
    </row>
    <row r="1663" spans="1:10" ht="15" customHeight="1">
      <c r="A1663" t="str">
        <f t="shared" ref="A1663:A1672" ca="1" si="539">IF(AND(OFFSET(A1663, -I1663 + 2, 4) &gt;  0, E1663=""), F1663, "")</f>
        <v/>
      </c>
      <c r="B1663">
        <f t="shared" ref="B1663:B1677" si="540">B1662</f>
        <v>9</v>
      </c>
      <c r="C1663">
        <f t="shared" ca="1" si="532"/>
        <v>6</v>
      </c>
      <c r="D1663" t="str">
        <f t="shared" ref="D1663:D1677" si="541">ADDRESS(B1663, I1663,4  )</f>
        <v>C9</v>
      </c>
      <c r="E1663" t="str">
        <f t="shared" ref="E1663:E1677" ca="1" si="542">IF(ISBLANK( INDIRECT($F$1564 &amp; D1663)),"", INDIRECT($F$1564 &amp; D1663))</f>
        <v/>
      </c>
      <c r="F1663" t="str">
        <f t="shared" ref="F1663:F1677" ca="1" si="543">CONCATENATE("Enter a '"&amp; H1663 &amp;"' for  building ", C1663, " in cell ", D1663, ".", CHAR(10))</f>
        <v xml:space="preserve">Enter a 'Building Street Address Only 
(DO NOT ENTER CITY, STATE, OR ZIP)' for  building 6 in cell C9.
</v>
      </c>
      <c r="G1663" s="9" t="str">
        <f t="shared" ca="1" si="530"/>
        <v xml:space="preserve">Enter a value for 'Number of Floors in the Tallest Building' in cell B58.
</v>
      </c>
      <c r="H1663" s="52" t="str">
        <f t="shared" ref="H1663:H1677" ca="1" si="544">OFFSET(INDIRECT($F$1564 &amp; D1663), -B1663 + 3, 0)</f>
        <v>Building Street Address Only 
(DO NOT ENTER CITY, STATE, OR ZIP)</v>
      </c>
      <c r="I1663" s="52">
        <v>3</v>
      </c>
    </row>
    <row r="1664" spans="1:10" ht="15" customHeight="1">
      <c r="A1664" t="str">
        <f t="shared" ca="1" si="539"/>
        <v/>
      </c>
      <c r="B1664">
        <f t="shared" si="540"/>
        <v>9</v>
      </c>
      <c r="C1664">
        <f t="shared" ca="1" si="532"/>
        <v>6</v>
      </c>
      <c r="D1664" t="str">
        <f t="shared" si="541"/>
        <v>D9</v>
      </c>
      <c r="E1664" t="str">
        <f t="shared" ca="1" si="542"/>
        <v/>
      </c>
      <c r="F1664" t="str">
        <f t="shared" ca="1" si="543"/>
        <v xml:space="preserve">Enter a 'Total Units in Building*' for  building 6 in cell D9.
</v>
      </c>
      <c r="G1664" s="9" t="str">
        <f t="shared" ca="1" si="530"/>
        <v xml:space="preserve">Enter a value for 'Number of Floors in the Tallest Building' in cell B58.
</v>
      </c>
      <c r="H1664" s="52" t="str">
        <f t="shared" ca="1" si="544"/>
        <v>Total Units in Building*</v>
      </c>
      <c r="I1664" s="52">
        <v>4</v>
      </c>
    </row>
    <row r="1665" spans="1:10" ht="15" customHeight="1">
      <c r="A1665" t="str">
        <f t="shared" ca="1" si="539"/>
        <v/>
      </c>
      <c r="B1665">
        <f t="shared" si="540"/>
        <v>9</v>
      </c>
      <c r="C1665">
        <f t="shared" ca="1" si="532"/>
        <v>6</v>
      </c>
      <c r="D1665" t="str">
        <f t="shared" si="541"/>
        <v>E9</v>
      </c>
      <c r="E1665" t="str">
        <f t="shared" ca="1" si="542"/>
        <v/>
      </c>
      <c r="F1665" t="str">
        <f t="shared" ca="1" si="543"/>
        <v xml:space="preserve">Enter a 'Employee Units' for  building 6 in cell E9.
</v>
      </c>
      <c r="G1665" s="9" t="str">
        <f t="shared" ca="1" si="530"/>
        <v xml:space="preserve">Enter a value for 'Number of Floors in the Tallest Building' in cell B58.
</v>
      </c>
      <c r="H1665" s="52" t="str">
        <f t="shared" ca="1" si="544"/>
        <v>Employee Units</v>
      </c>
      <c r="I1665" s="52">
        <v>5</v>
      </c>
    </row>
    <row r="1666" spans="1:10" ht="15" customHeight="1">
      <c r="A1666" t="str">
        <f t="shared" ca="1" si="539"/>
        <v/>
      </c>
      <c r="B1666">
        <f t="shared" si="540"/>
        <v>9</v>
      </c>
      <c r="C1666">
        <f t="shared" ca="1" si="532"/>
        <v>6</v>
      </c>
      <c r="D1666" t="str">
        <f t="shared" si="541"/>
        <v>F9</v>
      </c>
      <c r="E1666" t="str">
        <f t="shared" ca="1" si="542"/>
        <v/>
      </c>
      <c r="F1666" t="str">
        <f t="shared" ca="1" si="543"/>
        <v xml:space="preserve">Enter a 'Low-Income Units' for  building 6 in cell F9.
</v>
      </c>
      <c r="G1666" s="9" t="str">
        <f t="shared" ca="1" si="530"/>
        <v xml:space="preserve">Enter a value for 'Number of Floors in the Tallest Building' in cell B58.
</v>
      </c>
      <c r="H1666" s="52" t="str">
        <f t="shared" ca="1" si="544"/>
        <v>Low-Income Units</v>
      </c>
      <c r="I1666" s="52">
        <v>6</v>
      </c>
    </row>
    <row r="1667" spans="1:10" ht="15" customHeight="1">
      <c r="A1667" t="str">
        <f t="shared" ca="1" si="539"/>
        <v/>
      </c>
      <c r="B1667">
        <f t="shared" si="540"/>
        <v>9</v>
      </c>
      <c r="C1667">
        <f t="shared" ca="1" si="532"/>
        <v>6</v>
      </c>
      <c r="D1667" t="str">
        <f t="shared" si="541"/>
        <v>G9</v>
      </c>
      <c r="E1667" t="str">
        <f t="shared" ca="1" si="542"/>
        <v/>
      </c>
      <c r="F1667" t="str">
        <f t="shared" ca="1" si="543"/>
        <v xml:space="preserve">Enter a 'Residential Square Footage**' for  building 6 in cell G9.
</v>
      </c>
      <c r="G1667" s="9" t="str">
        <f t="shared" ca="1" si="530"/>
        <v xml:space="preserve">Enter a value for 'Number of Floors in the Tallest Building' in cell B58.
</v>
      </c>
      <c r="H1667" s="52" t="str">
        <f t="shared" ca="1" si="544"/>
        <v>Residential Square Footage**</v>
      </c>
      <c r="I1667" s="52">
        <v>7</v>
      </c>
    </row>
    <row r="1668" spans="1:10" ht="15" customHeight="1">
      <c r="A1668" t="str">
        <f t="shared" ca="1" si="539"/>
        <v/>
      </c>
      <c r="B1668">
        <f t="shared" si="540"/>
        <v>9</v>
      </c>
      <c r="C1668">
        <f t="shared" ca="1" si="532"/>
        <v>6</v>
      </c>
      <c r="D1668" t="str">
        <f t="shared" si="541"/>
        <v>H9</v>
      </c>
      <c r="E1668" t="str">
        <f t="shared" ca="1" si="542"/>
        <v/>
      </c>
      <c r="F1668" t="str">
        <f t="shared" ca="1" si="543"/>
        <v xml:space="preserve">Enter a 'Square Footage of Employee Units' for  building 6 in cell H9.
</v>
      </c>
      <c r="G1668" s="9" t="str">
        <f t="shared" ca="1" si="530"/>
        <v xml:space="preserve">Enter a value for 'Number of Floors in the Tallest Building' in cell B58.
</v>
      </c>
      <c r="H1668" s="52" t="str">
        <f t="shared" ca="1" si="544"/>
        <v>Square Footage of Employee Units</v>
      </c>
      <c r="I1668" s="52">
        <v>8</v>
      </c>
    </row>
    <row r="1669" spans="1:10" ht="15" customHeight="1">
      <c r="A1669" t="str">
        <f t="shared" ca="1" si="539"/>
        <v/>
      </c>
      <c r="B1669">
        <f t="shared" si="540"/>
        <v>9</v>
      </c>
      <c r="C1669">
        <f t="shared" ca="1" si="532"/>
        <v>6</v>
      </c>
      <c r="D1669" t="str">
        <f t="shared" si="541"/>
        <v>I9</v>
      </c>
      <c r="E1669" t="str">
        <f t="shared" ca="1" si="542"/>
        <v/>
      </c>
      <c r="F1669" t="str">
        <f t="shared" ca="1" si="543"/>
        <v xml:space="preserve">Enter a 'Square Footage of Low-Income Units' for  building 6 in cell I9.
</v>
      </c>
      <c r="G1669" s="9" t="str">
        <f t="shared" ca="1" si="530"/>
        <v xml:space="preserve">Enter a value for 'Number of Floors in the Tallest Building' in cell B58.
</v>
      </c>
      <c r="H1669" s="52" t="str">
        <f t="shared" ca="1" si="544"/>
        <v>Square Footage of Low-Income Units</v>
      </c>
      <c r="I1669" s="52">
        <v>9</v>
      </c>
    </row>
    <row r="1670" spans="1:10" ht="15" customHeight="1">
      <c r="A1670" t="str">
        <f t="shared" ca="1" si="539"/>
        <v/>
      </c>
      <c r="B1670">
        <f t="shared" si="540"/>
        <v>9</v>
      </c>
      <c r="C1670">
        <f t="shared" ca="1" si="532"/>
        <v>6</v>
      </c>
      <c r="D1670" t="str">
        <f t="shared" si="541"/>
        <v>J9</v>
      </c>
      <c r="E1670" t="str">
        <f t="shared" ca="1" si="542"/>
        <v/>
      </c>
      <c r="F1670" t="str">
        <f t="shared" ca="1" si="543"/>
        <v xml:space="preserve">Enter a 'Placed-In-Service Date' for  building 6 in cell J9.
</v>
      </c>
      <c r="G1670" s="9" t="str">
        <f t="shared" ca="1" si="530"/>
        <v xml:space="preserve">Enter a value for 'Number of Floors in the Tallest Building' in cell B58.
</v>
      </c>
      <c r="H1670" s="52" t="str">
        <f t="shared" ca="1" si="544"/>
        <v>Placed-In-Service Date</v>
      </c>
      <c r="I1670" s="52">
        <v>10</v>
      </c>
    </row>
    <row r="1671" spans="1:10" ht="15" customHeight="1">
      <c r="A1671" t="str">
        <f t="shared" ca="1" si="539"/>
        <v/>
      </c>
      <c r="B1671">
        <f t="shared" si="540"/>
        <v>9</v>
      </c>
      <c r="C1671">
        <f t="shared" ca="1" si="532"/>
        <v>6</v>
      </c>
      <c r="D1671" t="str">
        <f t="shared" si="541"/>
        <v>K9</v>
      </c>
      <c r="E1671" t="str">
        <f t="shared" ca="1" si="542"/>
        <v/>
      </c>
      <c r="F1671" t="str">
        <f t="shared" ca="1" si="543"/>
        <v xml:space="preserve">Enter a 'New Construction/ Rehab APR' for  building 6 in cell K9.
</v>
      </c>
      <c r="G1671" s="9" t="str">
        <f t="shared" ca="1" si="530"/>
        <v xml:space="preserve">Enter a value for 'Number of Floors in the Tallest Building' in cell B58.
</v>
      </c>
      <c r="H1671" s="52" t="str">
        <f t="shared" ca="1" si="544"/>
        <v>New Construction/ Rehab APR</v>
      </c>
      <c r="I1671" s="52">
        <v>11</v>
      </c>
    </row>
    <row r="1672" spans="1:10" ht="15" customHeight="1">
      <c r="A1672" t="str">
        <f t="shared" ca="1" si="539"/>
        <v/>
      </c>
      <c r="B1672">
        <f t="shared" si="540"/>
        <v>9</v>
      </c>
      <c r="C1672">
        <f t="shared" ca="1" si="532"/>
        <v>6</v>
      </c>
      <c r="D1672" t="str">
        <f t="shared" si="541"/>
        <v>L9</v>
      </c>
      <c r="E1672" t="str">
        <f t="shared" ca="1" si="542"/>
        <v/>
      </c>
      <c r="F1672" t="str">
        <f t="shared" ca="1" si="543"/>
        <v xml:space="preserve">Enter a 'New Construction Eligible Basis' for  building 6 in cell L9.
</v>
      </c>
      <c r="G1672" s="9" t="str">
        <f t="shared" ca="1" si="530"/>
        <v xml:space="preserve">Enter a value for 'Number of Floors in the Tallest Building' in cell B58.
</v>
      </c>
      <c r="H1672" s="52" t="str">
        <f t="shared" ca="1" si="544"/>
        <v>New Construction Eligible Basis</v>
      </c>
      <c r="I1672" s="52">
        <v>12</v>
      </c>
    </row>
    <row r="1673" spans="1:10" ht="15" customHeight="1">
      <c r="A1673" t="str">
        <f ca="1">IF(AND(OFFSET(A1673, -I1673 + 2, 4) &gt;  0, E1673="", Calculations!$B$7), F1673, "")</f>
        <v/>
      </c>
      <c r="B1673">
        <f t="shared" si="540"/>
        <v>9</v>
      </c>
      <c r="C1673">
        <f t="shared" ca="1" si="532"/>
        <v>6</v>
      </c>
      <c r="D1673" t="str">
        <f t="shared" si="541"/>
        <v>M9</v>
      </c>
      <c r="E1673" t="str">
        <f t="shared" ca="1" si="542"/>
        <v/>
      </c>
      <c r="F1673" t="str">
        <f t="shared" ca="1" si="543"/>
        <v xml:space="preserve">Enter a 'Eligible Basis for Rehab' for  building 6 in cell M9.
</v>
      </c>
      <c r="G1673" s="9" t="str">
        <f t="shared" ca="1" si="530"/>
        <v xml:space="preserve">Enter a value for 'Number of Floors in the Tallest Building' in cell B58.
</v>
      </c>
      <c r="H1673" s="52" t="str">
        <f t="shared" ca="1" si="544"/>
        <v>Eligible Basis for Rehab</v>
      </c>
      <c r="I1673" s="52">
        <v>13</v>
      </c>
    </row>
    <row r="1674" spans="1:10" ht="15" customHeight="1">
      <c r="A1674" t="str">
        <f ca="1">IF(AND(OFFSET(A1674, -I1674 + 2, 4) &gt;  0, E1674="", Calculations!$B$7), F1674, "")</f>
        <v/>
      </c>
      <c r="B1674">
        <f t="shared" si="540"/>
        <v>9</v>
      </c>
      <c r="C1674">
        <f t="shared" ca="1" si="532"/>
        <v>6</v>
      </c>
      <c r="D1674" t="str">
        <f t="shared" si="541"/>
        <v>N9</v>
      </c>
      <c r="E1674" t="str">
        <f t="shared" ca="1" si="542"/>
        <v/>
      </c>
      <c r="F1674" t="str">
        <f t="shared" ca="1" si="543"/>
        <v xml:space="preserve">Enter a 'Cost of Acquiring the Building***' for  building 6 in cell N9.
</v>
      </c>
      <c r="G1674" s="9" t="str">
        <f t="shared" ca="1" si="530"/>
        <v xml:space="preserve">Enter a value for 'Number of Floors in the Tallest Building' in cell B58.
</v>
      </c>
      <c r="H1674" s="52" t="str">
        <f t="shared" ca="1" si="544"/>
        <v>Cost of Acquiring the Building***</v>
      </c>
      <c r="I1674" s="52">
        <v>14</v>
      </c>
    </row>
    <row r="1675" spans="1:10" ht="15" customHeight="1">
      <c r="A1675" t="str">
        <f ca="1">IF(AND(OFFSET(A1675, -I1675 + 2, 4) &gt;  0, E1675="", Calculations!$B$7), F1675, "")</f>
        <v/>
      </c>
      <c r="B1675">
        <f t="shared" si="540"/>
        <v>9</v>
      </c>
      <c r="C1675">
        <f t="shared" ca="1" si="532"/>
        <v>6</v>
      </c>
      <c r="D1675" t="str">
        <f t="shared" si="541"/>
        <v>O9</v>
      </c>
      <c r="E1675" t="str">
        <f t="shared" ca="1" si="542"/>
        <v/>
      </c>
      <c r="F1675" t="str">
        <f t="shared" ca="1" si="543"/>
        <v xml:space="preserve">Enter a 'Higher of Land Purchase Price or Land Appraised Value****' for  building 6 in cell O9.
</v>
      </c>
      <c r="G1675" s="9" t="str">
        <f t="shared" ca="1" si="530"/>
        <v xml:space="preserve">Enter a value for 'Number of Floors in the Tallest Building' in cell B58.
</v>
      </c>
      <c r="H1675" s="52" t="str">
        <f t="shared" ca="1" si="544"/>
        <v>Higher of Land Purchase Price or Land Appraised Value****</v>
      </c>
      <c r="I1675" s="52">
        <v>15</v>
      </c>
    </row>
    <row r="1676" spans="1:10" ht="15" customHeight="1">
      <c r="A1676" t="str">
        <f ca="1">IF(AND(OFFSET(A1676, -I1676 + 2, 4) &gt;  0, E1676="", Calculations!$B$7), F1676, "")</f>
        <v/>
      </c>
      <c r="B1676">
        <f t="shared" si="540"/>
        <v>9</v>
      </c>
      <c r="C1676">
        <f t="shared" ca="1" si="532"/>
        <v>6</v>
      </c>
      <c r="D1676" t="str">
        <f t="shared" si="541"/>
        <v>P9</v>
      </c>
      <c r="E1676" t="str">
        <f t="shared" ca="1" si="542"/>
        <v/>
      </c>
      <c r="F1676" t="str">
        <f t="shared" ca="1" si="543"/>
        <v xml:space="preserve">Enter a 'Acquisition Placed-in-Service Date' for  building 6 in cell P9.
</v>
      </c>
      <c r="G1676" s="9" t="str">
        <f t="shared" ca="1" si="530"/>
        <v xml:space="preserve">Enter a value for 'Number of Floors in the Tallest Building' in cell B58.
</v>
      </c>
      <c r="H1676" s="52" t="str">
        <f t="shared" ca="1" si="544"/>
        <v>Acquisition Placed-in-Service Date</v>
      </c>
      <c r="I1676" s="52">
        <v>16</v>
      </c>
    </row>
    <row r="1677" spans="1:10" ht="15" customHeight="1">
      <c r="A1677" t="str">
        <f ca="1">IF(AND(OFFSET(A1677, -I1677 + 2, 4) &gt;  0, E1677="", Calculations!$B$7), F1677, "")</f>
        <v/>
      </c>
      <c r="B1677">
        <f t="shared" si="540"/>
        <v>9</v>
      </c>
      <c r="C1677">
        <f t="shared" ca="1" si="532"/>
        <v>6</v>
      </c>
      <c r="D1677" t="str">
        <f t="shared" si="541"/>
        <v>Q9</v>
      </c>
      <c r="E1677" t="str">
        <f t="shared" ca="1" si="542"/>
        <v/>
      </c>
      <c r="F1677" t="str">
        <f t="shared" ca="1" si="543"/>
        <v xml:space="preserve">Enter a 'Acquisition APR' for  building 6 in cell Q9.
</v>
      </c>
      <c r="G1677" s="9" t="str">
        <f t="shared" ca="1" si="530"/>
        <v xml:space="preserve">Enter a value for 'Number of Floors in the Tallest Building' in cell B58.
</v>
      </c>
      <c r="H1677" s="52" t="str">
        <f t="shared" ca="1" si="544"/>
        <v>Acquisition APR</v>
      </c>
      <c r="I1677" s="52">
        <v>17</v>
      </c>
    </row>
    <row r="1678" spans="1:10" ht="15" customHeight="1">
      <c r="A1678" t="str">
        <f ca="1">IF(AND(Calculations!$B$4,Calculations!$B$28&gt;=C1678, E1678 &lt;&gt; 13),F1678,"")</f>
        <v/>
      </c>
      <c r="B1678">
        <f>ROW('Final Building Profile'!C10)</f>
        <v>10</v>
      </c>
      <c r="C1678">
        <f t="shared" ca="1" si="532"/>
        <v>7</v>
      </c>
      <c r="D1678" t="str">
        <f>ADDRESS(B1678, 3,4  )</f>
        <v>C10</v>
      </c>
      <c r="E1678" s="52">
        <f ca="1">H1678+I1678</f>
        <v>0</v>
      </c>
      <c r="F1678" t="str">
        <f ca="1">CONCATENATE("Based upon the number of buildings specified, information for  building ", C1678, " required for a final application in row ", B1678, ".", CHAR(10))</f>
        <v xml:space="preserve">Based upon the number of buildings specified, information for  building 7 required for a final application in row 10.
</v>
      </c>
      <c r="G1678" s="9" t="str">
        <f t="shared" ca="1" si="530"/>
        <v xml:space="preserve">Enter a value for 'Number of Floors in the Tallest Building' in cell B58.
</v>
      </c>
      <c r="H1678" s="52">
        <f ca="1">SUMPRODUCT(--ISTEXT(INDIRECT(J1678)))</f>
        <v>0</v>
      </c>
      <c r="I1678" s="52">
        <f ca="1">SUMPRODUCT(--ISNUMBER(INDIRECT(J1678)))</f>
        <v>0</v>
      </c>
      <c r="J1678" s="52" t="str">
        <f>$F$1564&amp; ADDRESS(B1678,3,4) &amp; ":" &amp; ADDRESS(B1678,15,4)</f>
        <v>'Final Building Profile'!C10:O10</v>
      </c>
    </row>
    <row r="1679" spans="1:10" ht="15" customHeight="1">
      <c r="A1679" t="str">
        <f t="shared" ref="A1679:A1688" ca="1" si="545">IF(AND(OFFSET(A1679, -I1679 + 2, 4) &gt;  0, E1679=""), F1679, "")</f>
        <v/>
      </c>
      <c r="B1679">
        <f t="shared" ref="B1679:B1693" si="546">B1678</f>
        <v>10</v>
      </c>
      <c r="C1679">
        <f t="shared" ca="1" si="532"/>
        <v>7</v>
      </c>
      <c r="D1679" t="str">
        <f t="shared" ref="D1679:D1693" si="547">ADDRESS(B1679, I1679,4  )</f>
        <v>C10</v>
      </c>
      <c r="E1679" t="str">
        <f t="shared" ref="E1679:E1693" ca="1" si="548">IF(ISBLANK( INDIRECT($F$1564 &amp; D1679)),"", INDIRECT($F$1564 &amp; D1679))</f>
        <v/>
      </c>
      <c r="F1679" t="str">
        <f t="shared" ref="F1679:F1693" ca="1" si="549">CONCATENATE("Enter a '"&amp; H1679 &amp;"' for  building ", C1679, " in cell ", D1679, ".", CHAR(10))</f>
        <v xml:space="preserve">Enter a 'Building Street Address Only 
(DO NOT ENTER CITY, STATE, OR ZIP)' for  building 7 in cell C10.
</v>
      </c>
      <c r="G1679" s="9" t="str">
        <f t="shared" ca="1" si="530"/>
        <v xml:space="preserve">Enter a value for 'Number of Floors in the Tallest Building' in cell B58.
</v>
      </c>
      <c r="H1679" s="52" t="str">
        <f t="shared" ref="H1679:H1693" ca="1" si="550">OFFSET(INDIRECT($F$1564 &amp; D1679), -B1679 + 3, 0)</f>
        <v>Building Street Address Only 
(DO NOT ENTER CITY, STATE, OR ZIP)</v>
      </c>
      <c r="I1679" s="52">
        <v>3</v>
      </c>
    </row>
    <row r="1680" spans="1:10" ht="15" customHeight="1">
      <c r="A1680" t="str">
        <f t="shared" ca="1" si="545"/>
        <v/>
      </c>
      <c r="B1680">
        <f t="shared" si="546"/>
        <v>10</v>
      </c>
      <c r="C1680">
        <f t="shared" ca="1" si="532"/>
        <v>7</v>
      </c>
      <c r="D1680" t="str">
        <f t="shared" si="547"/>
        <v>D10</v>
      </c>
      <c r="E1680" t="str">
        <f t="shared" ca="1" si="548"/>
        <v/>
      </c>
      <c r="F1680" t="str">
        <f t="shared" ca="1" si="549"/>
        <v xml:space="preserve">Enter a 'Total Units in Building*' for  building 7 in cell D10.
</v>
      </c>
      <c r="G1680" s="9" t="str">
        <f t="shared" ca="1" si="530"/>
        <v xml:space="preserve">Enter a value for 'Number of Floors in the Tallest Building' in cell B58.
</v>
      </c>
      <c r="H1680" s="52" t="str">
        <f t="shared" ca="1" si="550"/>
        <v>Total Units in Building*</v>
      </c>
      <c r="I1680" s="52">
        <v>4</v>
      </c>
    </row>
    <row r="1681" spans="1:10" ht="15" customHeight="1">
      <c r="A1681" t="str">
        <f t="shared" ca="1" si="545"/>
        <v/>
      </c>
      <c r="B1681">
        <f t="shared" si="546"/>
        <v>10</v>
      </c>
      <c r="C1681">
        <f t="shared" ca="1" si="532"/>
        <v>7</v>
      </c>
      <c r="D1681" t="str">
        <f t="shared" si="547"/>
        <v>E10</v>
      </c>
      <c r="E1681" t="str">
        <f t="shared" ca="1" si="548"/>
        <v/>
      </c>
      <c r="F1681" t="str">
        <f t="shared" ca="1" si="549"/>
        <v xml:space="preserve">Enter a 'Employee Units' for  building 7 in cell E10.
</v>
      </c>
      <c r="G1681" s="9" t="str">
        <f t="shared" ca="1" si="530"/>
        <v xml:space="preserve">Enter a value for 'Number of Floors in the Tallest Building' in cell B58.
</v>
      </c>
      <c r="H1681" s="52" t="str">
        <f t="shared" ca="1" si="550"/>
        <v>Employee Units</v>
      </c>
      <c r="I1681" s="52">
        <v>5</v>
      </c>
    </row>
    <row r="1682" spans="1:10" ht="15" customHeight="1">
      <c r="A1682" t="str">
        <f t="shared" ca="1" si="545"/>
        <v/>
      </c>
      <c r="B1682">
        <f t="shared" si="546"/>
        <v>10</v>
      </c>
      <c r="C1682">
        <f t="shared" ca="1" si="532"/>
        <v>7</v>
      </c>
      <c r="D1682" t="str">
        <f t="shared" si="547"/>
        <v>F10</v>
      </c>
      <c r="E1682" t="str">
        <f t="shared" ca="1" si="548"/>
        <v/>
      </c>
      <c r="F1682" t="str">
        <f t="shared" ca="1" si="549"/>
        <v xml:space="preserve">Enter a 'Low-Income Units' for  building 7 in cell F10.
</v>
      </c>
      <c r="G1682" s="9" t="str">
        <f t="shared" ca="1" si="530"/>
        <v xml:space="preserve">Enter a value for 'Number of Floors in the Tallest Building' in cell B58.
</v>
      </c>
      <c r="H1682" s="52" t="str">
        <f t="shared" ca="1" si="550"/>
        <v>Low-Income Units</v>
      </c>
      <c r="I1682" s="52">
        <v>6</v>
      </c>
    </row>
    <row r="1683" spans="1:10" ht="15" customHeight="1">
      <c r="A1683" t="str">
        <f t="shared" ca="1" si="545"/>
        <v/>
      </c>
      <c r="B1683">
        <f t="shared" si="546"/>
        <v>10</v>
      </c>
      <c r="C1683">
        <f t="shared" ca="1" si="532"/>
        <v>7</v>
      </c>
      <c r="D1683" t="str">
        <f t="shared" si="547"/>
        <v>G10</v>
      </c>
      <c r="E1683" t="str">
        <f t="shared" ca="1" si="548"/>
        <v/>
      </c>
      <c r="F1683" t="str">
        <f t="shared" ca="1" si="549"/>
        <v xml:space="preserve">Enter a 'Residential Square Footage**' for  building 7 in cell G10.
</v>
      </c>
      <c r="G1683" s="9" t="str">
        <f t="shared" ca="1" si="530"/>
        <v xml:space="preserve">Enter a value for 'Number of Floors in the Tallest Building' in cell B58.
</v>
      </c>
      <c r="H1683" s="52" t="str">
        <f t="shared" ca="1" si="550"/>
        <v>Residential Square Footage**</v>
      </c>
      <c r="I1683" s="52">
        <v>7</v>
      </c>
    </row>
    <row r="1684" spans="1:10" ht="15" customHeight="1">
      <c r="A1684" t="str">
        <f t="shared" ca="1" si="545"/>
        <v/>
      </c>
      <c r="B1684">
        <f t="shared" si="546"/>
        <v>10</v>
      </c>
      <c r="C1684">
        <f t="shared" ca="1" si="532"/>
        <v>7</v>
      </c>
      <c r="D1684" t="str">
        <f t="shared" si="547"/>
        <v>H10</v>
      </c>
      <c r="E1684" t="str">
        <f t="shared" ca="1" si="548"/>
        <v/>
      </c>
      <c r="F1684" t="str">
        <f t="shared" ca="1" si="549"/>
        <v xml:space="preserve">Enter a 'Square Footage of Employee Units' for  building 7 in cell H10.
</v>
      </c>
      <c r="G1684" s="9" t="str">
        <f t="shared" ca="1" si="530"/>
        <v xml:space="preserve">Enter a value for 'Number of Floors in the Tallest Building' in cell B58.
</v>
      </c>
      <c r="H1684" s="52" t="str">
        <f t="shared" ca="1" si="550"/>
        <v>Square Footage of Employee Units</v>
      </c>
      <c r="I1684" s="52">
        <v>8</v>
      </c>
    </row>
    <row r="1685" spans="1:10" ht="15" customHeight="1">
      <c r="A1685" t="str">
        <f t="shared" ca="1" si="545"/>
        <v/>
      </c>
      <c r="B1685">
        <f t="shared" si="546"/>
        <v>10</v>
      </c>
      <c r="C1685">
        <f t="shared" ca="1" si="532"/>
        <v>7</v>
      </c>
      <c r="D1685" t="str">
        <f t="shared" si="547"/>
        <v>I10</v>
      </c>
      <c r="E1685" t="str">
        <f t="shared" ca="1" si="548"/>
        <v/>
      </c>
      <c r="F1685" t="str">
        <f t="shared" ca="1" si="549"/>
        <v xml:space="preserve">Enter a 'Square Footage of Low-Income Units' for  building 7 in cell I10.
</v>
      </c>
      <c r="G1685" s="9" t="str">
        <f t="shared" ca="1" si="530"/>
        <v xml:space="preserve">Enter a value for 'Number of Floors in the Tallest Building' in cell B58.
</v>
      </c>
      <c r="H1685" s="52" t="str">
        <f t="shared" ca="1" si="550"/>
        <v>Square Footage of Low-Income Units</v>
      </c>
      <c r="I1685" s="52">
        <v>9</v>
      </c>
    </row>
    <row r="1686" spans="1:10" ht="15" customHeight="1">
      <c r="A1686" t="str">
        <f t="shared" ca="1" si="545"/>
        <v/>
      </c>
      <c r="B1686">
        <f t="shared" si="546"/>
        <v>10</v>
      </c>
      <c r="C1686">
        <f t="shared" ca="1" si="532"/>
        <v>7</v>
      </c>
      <c r="D1686" t="str">
        <f t="shared" si="547"/>
        <v>J10</v>
      </c>
      <c r="E1686" t="str">
        <f t="shared" ca="1" si="548"/>
        <v/>
      </c>
      <c r="F1686" t="str">
        <f t="shared" ca="1" si="549"/>
        <v xml:space="preserve">Enter a 'Placed-In-Service Date' for  building 7 in cell J10.
</v>
      </c>
      <c r="G1686" s="9" t="str">
        <f t="shared" ca="1" si="530"/>
        <v xml:space="preserve">Enter a value for 'Number of Floors in the Tallest Building' in cell B58.
</v>
      </c>
      <c r="H1686" s="52" t="str">
        <f t="shared" ca="1" si="550"/>
        <v>Placed-In-Service Date</v>
      </c>
      <c r="I1686" s="52">
        <v>10</v>
      </c>
    </row>
    <row r="1687" spans="1:10" ht="15" customHeight="1">
      <c r="A1687" t="str">
        <f t="shared" ca="1" si="545"/>
        <v/>
      </c>
      <c r="B1687">
        <f t="shared" si="546"/>
        <v>10</v>
      </c>
      <c r="C1687">
        <f t="shared" ca="1" si="532"/>
        <v>7</v>
      </c>
      <c r="D1687" t="str">
        <f t="shared" si="547"/>
        <v>K10</v>
      </c>
      <c r="E1687" t="str">
        <f t="shared" ca="1" si="548"/>
        <v/>
      </c>
      <c r="F1687" t="str">
        <f t="shared" ca="1" si="549"/>
        <v xml:space="preserve">Enter a 'New Construction/ Rehab APR' for  building 7 in cell K10.
</v>
      </c>
      <c r="G1687" s="9" t="str">
        <f t="shared" ca="1" si="530"/>
        <v xml:space="preserve">Enter a value for 'Number of Floors in the Tallest Building' in cell B58.
</v>
      </c>
      <c r="H1687" s="52" t="str">
        <f t="shared" ca="1" si="550"/>
        <v>New Construction/ Rehab APR</v>
      </c>
      <c r="I1687" s="52">
        <v>11</v>
      </c>
    </row>
    <row r="1688" spans="1:10" ht="15" customHeight="1">
      <c r="A1688" t="str">
        <f t="shared" ca="1" si="545"/>
        <v/>
      </c>
      <c r="B1688">
        <f t="shared" si="546"/>
        <v>10</v>
      </c>
      <c r="C1688">
        <f t="shared" ca="1" si="532"/>
        <v>7</v>
      </c>
      <c r="D1688" t="str">
        <f t="shared" si="547"/>
        <v>L10</v>
      </c>
      <c r="E1688" t="str">
        <f t="shared" ca="1" si="548"/>
        <v/>
      </c>
      <c r="F1688" t="str">
        <f t="shared" ca="1" si="549"/>
        <v xml:space="preserve">Enter a 'New Construction Eligible Basis' for  building 7 in cell L10.
</v>
      </c>
      <c r="G1688" s="9" t="str">
        <f t="shared" ca="1" si="530"/>
        <v xml:space="preserve">Enter a value for 'Number of Floors in the Tallest Building' in cell B58.
</v>
      </c>
      <c r="H1688" s="52" t="str">
        <f t="shared" ca="1" si="550"/>
        <v>New Construction Eligible Basis</v>
      </c>
      <c r="I1688" s="52">
        <v>12</v>
      </c>
    </row>
    <row r="1689" spans="1:10" ht="15" customHeight="1">
      <c r="A1689" t="str">
        <f ca="1">IF(AND(OFFSET(A1689, -I1689 + 2, 4) &gt;  0, E1689="", Calculations!$B$7), F1689, "")</f>
        <v/>
      </c>
      <c r="B1689">
        <f t="shared" si="546"/>
        <v>10</v>
      </c>
      <c r="C1689">
        <f t="shared" ca="1" si="532"/>
        <v>7</v>
      </c>
      <c r="D1689" t="str">
        <f t="shared" si="547"/>
        <v>M10</v>
      </c>
      <c r="E1689" t="str">
        <f t="shared" ca="1" si="548"/>
        <v/>
      </c>
      <c r="F1689" t="str">
        <f t="shared" ca="1" si="549"/>
        <v xml:space="preserve">Enter a 'Eligible Basis for Rehab' for  building 7 in cell M10.
</v>
      </c>
      <c r="G1689" s="9" t="str">
        <f t="shared" ca="1" si="530"/>
        <v xml:space="preserve">Enter a value for 'Number of Floors in the Tallest Building' in cell B58.
</v>
      </c>
      <c r="H1689" s="52" t="str">
        <f t="shared" ca="1" si="550"/>
        <v>Eligible Basis for Rehab</v>
      </c>
      <c r="I1689" s="52">
        <v>13</v>
      </c>
    </row>
    <row r="1690" spans="1:10" ht="15" customHeight="1">
      <c r="A1690" t="str">
        <f ca="1">IF(AND(OFFSET(A1690, -I1690 + 2, 4) &gt;  0, E1690="", Calculations!$B$7), F1690, "")</f>
        <v/>
      </c>
      <c r="B1690">
        <f t="shared" si="546"/>
        <v>10</v>
      </c>
      <c r="C1690">
        <f t="shared" ca="1" si="532"/>
        <v>7</v>
      </c>
      <c r="D1690" t="str">
        <f t="shared" si="547"/>
        <v>N10</v>
      </c>
      <c r="E1690" t="str">
        <f t="shared" ca="1" si="548"/>
        <v/>
      </c>
      <c r="F1690" t="str">
        <f t="shared" ca="1" si="549"/>
        <v xml:space="preserve">Enter a 'Cost of Acquiring the Building***' for  building 7 in cell N10.
</v>
      </c>
      <c r="G1690" s="9" t="str">
        <f t="shared" ca="1" si="530"/>
        <v xml:space="preserve">Enter a value for 'Number of Floors in the Tallest Building' in cell B58.
</v>
      </c>
      <c r="H1690" s="52" t="str">
        <f t="shared" ca="1" si="550"/>
        <v>Cost of Acquiring the Building***</v>
      </c>
      <c r="I1690" s="52">
        <v>14</v>
      </c>
    </row>
    <row r="1691" spans="1:10" ht="15" customHeight="1">
      <c r="A1691" t="str">
        <f ca="1">IF(AND(OFFSET(A1691, -I1691 + 2, 4) &gt;  0, E1691="", Calculations!$B$7), F1691, "")</f>
        <v/>
      </c>
      <c r="B1691">
        <f t="shared" si="546"/>
        <v>10</v>
      </c>
      <c r="C1691">
        <f t="shared" ca="1" si="532"/>
        <v>7</v>
      </c>
      <c r="D1691" t="str">
        <f t="shared" si="547"/>
        <v>O10</v>
      </c>
      <c r="E1691" t="str">
        <f t="shared" ca="1" si="548"/>
        <v/>
      </c>
      <c r="F1691" t="str">
        <f t="shared" ca="1" si="549"/>
        <v xml:space="preserve">Enter a 'Higher of Land Purchase Price or Land Appraised Value****' for  building 7 in cell O10.
</v>
      </c>
      <c r="G1691" s="9" t="str">
        <f t="shared" ca="1" si="530"/>
        <v xml:space="preserve">Enter a value for 'Number of Floors in the Tallest Building' in cell B58.
</v>
      </c>
      <c r="H1691" s="52" t="str">
        <f t="shared" ca="1" si="550"/>
        <v>Higher of Land Purchase Price or Land Appraised Value****</v>
      </c>
      <c r="I1691" s="52">
        <v>15</v>
      </c>
    </row>
    <row r="1692" spans="1:10" ht="15" customHeight="1">
      <c r="A1692" t="str">
        <f ca="1">IF(AND(OFFSET(A1692, -I1692 + 2, 4) &gt;  0, E1692="", Calculations!$B$7), F1692, "")</f>
        <v/>
      </c>
      <c r="B1692">
        <f t="shared" si="546"/>
        <v>10</v>
      </c>
      <c r="C1692">
        <f t="shared" ca="1" si="532"/>
        <v>7</v>
      </c>
      <c r="D1692" t="str">
        <f t="shared" si="547"/>
        <v>P10</v>
      </c>
      <c r="E1692" t="str">
        <f t="shared" ca="1" si="548"/>
        <v/>
      </c>
      <c r="F1692" t="str">
        <f t="shared" ca="1" si="549"/>
        <v xml:space="preserve">Enter a 'Acquisition Placed-in-Service Date' for  building 7 in cell P10.
</v>
      </c>
      <c r="G1692" s="9" t="str">
        <f t="shared" ca="1" si="530"/>
        <v xml:space="preserve">Enter a value for 'Number of Floors in the Tallest Building' in cell B58.
</v>
      </c>
      <c r="H1692" s="52" t="str">
        <f t="shared" ca="1" si="550"/>
        <v>Acquisition Placed-in-Service Date</v>
      </c>
      <c r="I1692" s="52">
        <v>16</v>
      </c>
    </row>
    <row r="1693" spans="1:10" ht="15" customHeight="1">
      <c r="A1693" t="str">
        <f ca="1">IF(AND(OFFSET(A1693, -I1693 + 2, 4) &gt;  0, E1693="", Calculations!$B$7), F1693, "")</f>
        <v/>
      </c>
      <c r="B1693">
        <f t="shared" si="546"/>
        <v>10</v>
      </c>
      <c r="C1693">
        <f t="shared" ca="1" si="532"/>
        <v>7</v>
      </c>
      <c r="D1693" t="str">
        <f t="shared" si="547"/>
        <v>Q10</v>
      </c>
      <c r="E1693" t="str">
        <f t="shared" ca="1" si="548"/>
        <v/>
      </c>
      <c r="F1693" t="str">
        <f t="shared" ca="1" si="549"/>
        <v xml:space="preserve">Enter a 'Acquisition APR' for  building 7 in cell Q10.
</v>
      </c>
      <c r="G1693" s="9" t="str">
        <f t="shared" ca="1" si="530"/>
        <v xml:space="preserve">Enter a value for 'Number of Floors in the Tallest Building' in cell B58.
</v>
      </c>
      <c r="H1693" s="52" t="str">
        <f t="shared" ca="1" si="550"/>
        <v>Acquisition APR</v>
      </c>
      <c r="I1693" s="52">
        <v>17</v>
      </c>
    </row>
    <row r="1694" spans="1:10" ht="15" customHeight="1">
      <c r="A1694" t="str">
        <f ca="1">IF(AND(Calculations!$B$4,Calculations!$B$28&gt;=C1694, E1694 &lt;&gt; 13),F1694,"")</f>
        <v/>
      </c>
      <c r="B1694">
        <f>ROW('Final Building Profile'!C11)</f>
        <v>11</v>
      </c>
      <c r="C1694">
        <f t="shared" ca="1" si="532"/>
        <v>8</v>
      </c>
      <c r="D1694" t="str">
        <f>ADDRESS(B1694, 3,4  )</f>
        <v>C11</v>
      </c>
      <c r="E1694" s="52">
        <f ca="1">H1694+I1694</f>
        <v>0</v>
      </c>
      <c r="F1694" t="str">
        <f ca="1">CONCATENATE("Based upon the number of buildings specified, information for  building ", C1694, " required for a final application in row ", B1694, ".", CHAR(10))</f>
        <v xml:space="preserve">Based upon the number of buildings specified, information for  building 8 required for a final application in row 11.
</v>
      </c>
      <c r="G1694" s="9" t="str">
        <f t="shared" ca="1" si="530"/>
        <v xml:space="preserve">Enter a value for 'Number of Floors in the Tallest Building' in cell B58.
</v>
      </c>
      <c r="H1694" s="52">
        <f ca="1">SUMPRODUCT(--ISTEXT(INDIRECT(J1694)))</f>
        <v>0</v>
      </c>
      <c r="I1694" s="52">
        <f ca="1">SUMPRODUCT(--ISNUMBER(INDIRECT(J1694)))</f>
        <v>0</v>
      </c>
      <c r="J1694" s="52" t="str">
        <f>$F$1564&amp; ADDRESS(B1694,3,4) &amp; ":" &amp; ADDRESS(B1694,15,4)</f>
        <v>'Final Building Profile'!C11:O11</v>
      </c>
    </row>
    <row r="1695" spans="1:10" ht="15" customHeight="1">
      <c r="A1695" t="str">
        <f t="shared" ref="A1695:A1704" ca="1" si="551">IF(AND(OFFSET(A1695, -I1695 + 2, 4) &gt;  0, E1695=""), F1695, "")</f>
        <v/>
      </c>
      <c r="B1695">
        <f t="shared" ref="B1695:B1709" si="552">B1694</f>
        <v>11</v>
      </c>
      <c r="C1695">
        <f t="shared" ca="1" si="532"/>
        <v>8</v>
      </c>
      <c r="D1695" t="str">
        <f t="shared" ref="D1695:D1709" si="553">ADDRESS(B1695, I1695,4  )</f>
        <v>C11</v>
      </c>
      <c r="E1695" t="str">
        <f t="shared" ref="E1695:E1709" ca="1" si="554">IF(ISBLANK( INDIRECT($F$1564 &amp; D1695)),"", INDIRECT($F$1564 &amp; D1695))</f>
        <v/>
      </c>
      <c r="F1695" t="str">
        <f t="shared" ref="F1695:F1709" ca="1" si="555">CONCATENATE("Enter a '"&amp; H1695 &amp;"' for  building ", C1695, " in cell ", D1695, ".", CHAR(10))</f>
        <v xml:space="preserve">Enter a 'Building Street Address Only 
(DO NOT ENTER CITY, STATE, OR ZIP)' for  building 8 in cell C11.
</v>
      </c>
      <c r="G1695" s="9" t="str">
        <f t="shared" ref="G1695:G1758" ca="1" si="556">OFFSET(G1695, -1, 0) &amp; A1695</f>
        <v xml:space="preserve">Enter a value for 'Number of Floors in the Tallest Building' in cell B58.
</v>
      </c>
      <c r="H1695" s="52" t="str">
        <f t="shared" ref="H1695:H1709" ca="1" si="557">OFFSET(INDIRECT($F$1564 &amp; D1695), -B1695 + 3, 0)</f>
        <v>Building Street Address Only 
(DO NOT ENTER CITY, STATE, OR ZIP)</v>
      </c>
      <c r="I1695" s="52">
        <v>3</v>
      </c>
    </row>
    <row r="1696" spans="1:10" ht="15" customHeight="1">
      <c r="A1696" t="str">
        <f t="shared" ca="1" si="551"/>
        <v/>
      </c>
      <c r="B1696">
        <f t="shared" si="552"/>
        <v>11</v>
      </c>
      <c r="C1696">
        <f t="shared" ca="1" si="532"/>
        <v>8</v>
      </c>
      <c r="D1696" t="str">
        <f t="shared" si="553"/>
        <v>D11</v>
      </c>
      <c r="E1696" t="str">
        <f t="shared" ca="1" si="554"/>
        <v/>
      </c>
      <c r="F1696" t="str">
        <f t="shared" ca="1" si="555"/>
        <v xml:space="preserve">Enter a 'Total Units in Building*' for  building 8 in cell D11.
</v>
      </c>
      <c r="G1696" s="9" t="str">
        <f t="shared" ca="1" si="556"/>
        <v xml:space="preserve">Enter a value for 'Number of Floors in the Tallest Building' in cell B58.
</v>
      </c>
      <c r="H1696" s="52" t="str">
        <f t="shared" ca="1" si="557"/>
        <v>Total Units in Building*</v>
      </c>
      <c r="I1696" s="52">
        <v>4</v>
      </c>
    </row>
    <row r="1697" spans="1:10" ht="15" customHeight="1">
      <c r="A1697" t="str">
        <f t="shared" ca="1" si="551"/>
        <v/>
      </c>
      <c r="B1697">
        <f t="shared" si="552"/>
        <v>11</v>
      </c>
      <c r="C1697">
        <f t="shared" ca="1" si="532"/>
        <v>8</v>
      </c>
      <c r="D1697" t="str">
        <f t="shared" si="553"/>
        <v>E11</v>
      </c>
      <c r="E1697" t="str">
        <f t="shared" ca="1" si="554"/>
        <v/>
      </c>
      <c r="F1697" t="str">
        <f t="shared" ca="1" si="555"/>
        <v xml:space="preserve">Enter a 'Employee Units' for  building 8 in cell E11.
</v>
      </c>
      <c r="G1697" s="9" t="str">
        <f t="shared" ca="1" si="556"/>
        <v xml:space="preserve">Enter a value for 'Number of Floors in the Tallest Building' in cell B58.
</v>
      </c>
      <c r="H1697" s="52" t="str">
        <f t="shared" ca="1" si="557"/>
        <v>Employee Units</v>
      </c>
      <c r="I1697" s="52">
        <v>5</v>
      </c>
    </row>
    <row r="1698" spans="1:10" ht="15" customHeight="1">
      <c r="A1698" t="str">
        <f t="shared" ca="1" si="551"/>
        <v/>
      </c>
      <c r="B1698">
        <f t="shared" si="552"/>
        <v>11</v>
      </c>
      <c r="C1698">
        <f t="shared" ca="1" si="532"/>
        <v>8</v>
      </c>
      <c r="D1698" t="str">
        <f t="shared" si="553"/>
        <v>F11</v>
      </c>
      <c r="E1698" t="str">
        <f t="shared" ca="1" si="554"/>
        <v/>
      </c>
      <c r="F1698" t="str">
        <f t="shared" ca="1" si="555"/>
        <v xml:space="preserve">Enter a 'Low-Income Units' for  building 8 in cell F11.
</v>
      </c>
      <c r="G1698" s="9" t="str">
        <f t="shared" ca="1" si="556"/>
        <v xml:space="preserve">Enter a value for 'Number of Floors in the Tallest Building' in cell B58.
</v>
      </c>
      <c r="H1698" s="52" t="str">
        <f t="shared" ca="1" si="557"/>
        <v>Low-Income Units</v>
      </c>
      <c r="I1698" s="52">
        <v>6</v>
      </c>
    </row>
    <row r="1699" spans="1:10" ht="15" customHeight="1">
      <c r="A1699" t="str">
        <f t="shared" ca="1" si="551"/>
        <v/>
      </c>
      <c r="B1699">
        <f t="shared" si="552"/>
        <v>11</v>
      </c>
      <c r="C1699">
        <f t="shared" ca="1" si="532"/>
        <v>8</v>
      </c>
      <c r="D1699" t="str">
        <f t="shared" si="553"/>
        <v>G11</v>
      </c>
      <c r="E1699" t="str">
        <f t="shared" ca="1" si="554"/>
        <v/>
      </c>
      <c r="F1699" t="str">
        <f t="shared" ca="1" si="555"/>
        <v xml:space="preserve">Enter a 'Residential Square Footage**' for  building 8 in cell G11.
</v>
      </c>
      <c r="G1699" s="9" t="str">
        <f t="shared" ca="1" si="556"/>
        <v xml:space="preserve">Enter a value for 'Number of Floors in the Tallest Building' in cell B58.
</v>
      </c>
      <c r="H1699" s="52" t="str">
        <f t="shared" ca="1" si="557"/>
        <v>Residential Square Footage**</v>
      </c>
      <c r="I1699" s="52">
        <v>7</v>
      </c>
    </row>
    <row r="1700" spans="1:10" ht="15" customHeight="1">
      <c r="A1700" t="str">
        <f t="shared" ca="1" si="551"/>
        <v/>
      </c>
      <c r="B1700">
        <f t="shared" si="552"/>
        <v>11</v>
      </c>
      <c r="C1700">
        <f t="shared" ca="1" si="532"/>
        <v>8</v>
      </c>
      <c r="D1700" t="str">
        <f t="shared" si="553"/>
        <v>H11</v>
      </c>
      <c r="E1700" t="str">
        <f t="shared" ca="1" si="554"/>
        <v/>
      </c>
      <c r="F1700" t="str">
        <f t="shared" ca="1" si="555"/>
        <v xml:space="preserve">Enter a 'Square Footage of Employee Units' for  building 8 in cell H11.
</v>
      </c>
      <c r="G1700" s="9" t="str">
        <f t="shared" ca="1" si="556"/>
        <v xml:space="preserve">Enter a value for 'Number of Floors in the Tallest Building' in cell B58.
</v>
      </c>
      <c r="H1700" s="52" t="str">
        <f t="shared" ca="1" si="557"/>
        <v>Square Footage of Employee Units</v>
      </c>
      <c r="I1700" s="52">
        <v>8</v>
      </c>
    </row>
    <row r="1701" spans="1:10" ht="15" customHeight="1">
      <c r="A1701" t="str">
        <f t="shared" ca="1" si="551"/>
        <v/>
      </c>
      <c r="B1701">
        <f t="shared" si="552"/>
        <v>11</v>
      </c>
      <c r="C1701">
        <f t="shared" ca="1" si="532"/>
        <v>8</v>
      </c>
      <c r="D1701" t="str">
        <f t="shared" si="553"/>
        <v>I11</v>
      </c>
      <c r="E1701" t="str">
        <f t="shared" ca="1" si="554"/>
        <v/>
      </c>
      <c r="F1701" t="str">
        <f t="shared" ca="1" si="555"/>
        <v xml:space="preserve">Enter a 'Square Footage of Low-Income Units' for  building 8 in cell I11.
</v>
      </c>
      <c r="G1701" s="9" t="str">
        <f t="shared" ca="1" si="556"/>
        <v xml:space="preserve">Enter a value for 'Number of Floors in the Tallest Building' in cell B58.
</v>
      </c>
      <c r="H1701" s="52" t="str">
        <f t="shared" ca="1" si="557"/>
        <v>Square Footage of Low-Income Units</v>
      </c>
      <c r="I1701" s="52">
        <v>9</v>
      </c>
    </row>
    <row r="1702" spans="1:10" ht="15" customHeight="1">
      <c r="A1702" t="str">
        <f t="shared" ca="1" si="551"/>
        <v/>
      </c>
      <c r="B1702">
        <f t="shared" si="552"/>
        <v>11</v>
      </c>
      <c r="C1702">
        <f t="shared" ca="1" si="532"/>
        <v>8</v>
      </c>
      <c r="D1702" t="str">
        <f t="shared" si="553"/>
        <v>J11</v>
      </c>
      <c r="E1702" t="str">
        <f t="shared" ca="1" si="554"/>
        <v/>
      </c>
      <c r="F1702" t="str">
        <f t="shared" ca="1" si="555"/>
        <v xml:space="preserve">Enter a 'Placed-In-Service Date' for  building 8 in cell J11.
</v>
      </c>
      <c r="G1702" s="9" t="str">
        <f t="shared" ca="1" si="556"/>
        <v xml:space="preserve">Enter a value for 'Number of Floors in the Tallest Building' in cell B58.
</v>
      </c>
      <c r="H1702" s="52" t="str">
        <f t="shared" ca="1" si="557"/>
        <v>Placed-In-Service Date</v>
      </c>
      <c r="I1702" s="52">
        <v>10</v>
      </c>
    </row>
    <row r="1703" spans="1:10" ht="15" customHeight="1">
      <c r="A1703" t="str">
        <f t="shared" ca="1" si="551"/>
        <v/>
      </c>
      <c r="B1703">
        <f t="shared" si="552"/>
        <v>11</v>
      </c>
      <c r="C1703">
        <f t="shared" ca="1" si="532"/>
        <v>8</v>
      </c>
      <c r="D1703" t="str">
        <f t="shared" si="553"/>
        <v>K11</v>
      </c>
      <c r="E1703" t="str">
        <f t="shared" ca="1" si="554"/>
        <v/>
      </c>
      <c r="F1703" t="str">
        <f t="shared" ca="1" si="555"/>
        <v xml:space="preserve">Enter a 'New Construction/ Rehab APR' for  building 8 in cell K11.
</v>
      </c>
      <c r="G1703" s="9" t="str">
        <f t="shared" ca="1" si="556"/>
        <v xml:space="preserve">Enter a value for 'Number of Floors in the Tallest Building' in cell B58.
</v>
      </c>
      <c r="H1703" s="52" t="str">
        <f t="shared" ca="1" si="557"/>
        <v>New Construction/ Rehab APR</v>
      </c>
      <c r="I1703" s="52">
        <v>11</v>
      </c>
    </row>
    <row r="1704" spans="1:10" ht="15" customHeight="1">
      <c r="A1704" t="str">
        <f t="shared" ca="1" si="551"/>
        <v/>
      </c>
      <c r="B1704">
        <f t="shared" si="552"/>
        <v>11</v>
      </c>
      <c r="C1704">
        <f t="shared" ca="1" si="532"/>
        <v>8</v>
      </c>
      <c r="D1704" t="str">
        <f t="shared" si="553"/>
        <v>L11</v>
      </c>
      <c r="E1704" t="str">
        <f t="shared" ca="1" si="554"/>
        <v/>
      </c>
      <c r="F1704" t="str">
        <f t="shared" ca="1" si="555"/>
        <v xml:space="preserve">Enter a 'New Construction Eligible Basis' for  building 8 in cell L11.
</v>
      </c>
      <c r="G1704" s="9" t="str">
        <f t="shared" ca="1" si="556"/>
        <v xml:space="preserve">Enter a value for 'Number of Floors in the Tallest Building' in cell B58.
</v>
      </c>
      <c r="H1704" s="52" t="str">
        <f t="shared" ca="1" si="557"/>
        <v>New Construction Eligible Basis</v>
      </c>
      <c r="I1704" s="52">
        <v>12</v>
      </c>
    </row>
    <row r="1705" spans="1:10" ht="15" customHeight="1">
      <c r="A1705" t="str">
        <f ca="1">IF(AND(OFFSET(A1705, -I1705 + 2, 4) &gt;  0, E1705="", Calculations!$B$7), F1705, "")</f>
        <v/>
      </c>
      <c r="B1705">
        <f t="shared" si="552"/>
        <v>11</v>
      </c>
      <c r="C1705">
        <f t="shared" ca="1" si="532"/>
        <v>8</v>
      </c>
      <c r="D1705" t="str">
        <f t="shared" si="553"/>
        <v>M11</v>
      </c>
      <c r="E1705" t="str">
        <f t="shared" ca="1" si="554"/>
        <v/>
      </c>
      <c r="F1705" t="str">
        <f t="shared" ca="1" si="555"/>
        <v xml:space="preserve">Enter a 'Eligible Basis for Rehab' for  building 8 in cell M11.
</v>
      </c>
      <c r="G1705" s="9" t="str">
        <f t="shared" ca="1" si="556"/>
        <v xml:space="preserve">Enter a value for 'Number of Floors in the Tallest Building' in cell B58.
</v>
      </c>
      <c r="H1705" s="52" t="str">
        <f t="shared" ca="1" si="557"/>
        <v>Eligible Basis for Rehab</v>
      </c>
      <c r="I1705" s="52">
        <v>13</v>
      </c>
    </row>
    <row r="1706" spans="1:10" ht="15" customHeight="1">
      <c r="A1706" t="str">
        <f ca="1">IF(AND(OFFSET(A1706, -I1706 + 2, 4) &gt;  0, E1706="", Calculations!$B$7), F1706, "")</f>
        <v/>
      </c>
      <c r="B1706">
        <f t="shared" si="552"/>
        <v>11</v>
      </c>
      <c r="C1706">
        <f t="shared" ca="1" si="532"/>
        <v>8</v>
      </c>
      <c r="D1706" t="str">
        <f t="shared" si="553"/>
        <v>N11</v>
      </c>
      <c r="E1706" t="str">
        <f t="shared" ca="1" si="554"/>
        <v/>
      </c>
      <c r="F1706" t="str">
        <f t="shared" ca="1" si="555"/>
        <v xml:space="preserve">Enter a 'Cost of Acquiring the Building***' for  building 8 in cell N11.
</v>
      </c>
      <c r="G1706" s="9" t="str">
        <f t="shared" ca="1" si="556"/>
        <v xml:space="preserve">Enter a value for 'Number of Floors in the Tallest Building' in cell B58.
</v>
      </c>
      <c r="H1706" s="52" t="str">
        <f t="shared" ca="1" si="557"/>
        <v>Cost of Acquiring the Building***</v>
      </c>
      <c r="I1706" s="52">
        <v>14</v>
      </c>
    </row>
    <row r="1707" spans="1:10" ht="15" customHeight="1">
      <c r="A1707" t="str">
        <f ca="1">IF(AND(OFFSET(A1707, -I1707 + 2, 4) &gt;  0, E1707="", Calculations!$B$7), F1707, "")</f>
        <v/>
      </c>
      <c r="B1707">
        <f t="shared" si="552"/>
        <v>11</v>
      </c>
      <c r="C1707">
        <f t="shared" ca="1" si="532"/>
        <v>8</v>
      </c>
      <c r="D1707" t="str">
        <f t="shared" si="553"/>
        <v>O11</v>
      </c>
      <c r="E1707" t="str">
        <f t="shared" ca="1" si="554"/>
        <v/>
      </c>
      <c r="F1707" t="str">
        <f t="shared" ca="1" si="555"/>
        <v xml:space="preserve">Enter a 'Higher of Land Purchase Price or Land Appraised Value****' for  building 8 in cell O11.
</v>
      </c>
      <c r="G1707" s="9" t="str">
        <f t="shared" ca="1" si="556"/>
        <v xml:space="preserve">Enter a value for 'Number of Floors in the Tallest Building' in cell B58.
</v>
      </c>
      <c r="H1707" s="52" t="str">
        <f t="shared" ca="1" si="557"/>
        <v>Higher of Land Purchase Price or Land Appraised Value****</v>
      </c>
      <c r="I1707" s="52">
        <v>15</v>
      </c>
    </row>
    <row r="1708" spans="1:10" ht="15" customHeight="1">
      <c r="A1708" t="str">
        <f ca="1">IF(AND(OFFSET(A1708, -I1708 + 2, 4) &gt;  0, E1708="", Calculations!$B$7), F1708, "")</f>
        <v/>
      </c>
      <c r="B1708">
        <f t="shared" si="552"/>
        <v>11</v>
      </c>
      <c r="C1708">
        <f t="shared" ca="1" si="532"/>
        <v>8</v>
      </c>
      <c r="D1708" t="str">
        <f t="shared" si="553"/>
        <v>P11</v>
      </c>
      <c r="E1708" t="str">
        <f t="shared" ca="1" si="554"/>
        <v/>
      </c>
      <c r="F1708" t="str">
        <f t="shared" ca="1" si="555"/>
        <v xml:space="preserve">Enter a 'Acquisition Placed-in-Service Date' for  building 8 in cell P11.
</v>
      </c>
      <c r="G1708" s="9" t="str">
        <f t="shared" ca="1" si="556"/>
        <v xml:space="preserve">Enter a value for 'Number of Floors in the Tallest Building' in cell B58.
</v>
      </c>
      <c r="H1708" s="52" t="str">
        <f t="shared" ca="1" si="557"/>
        <v>Acquisition Placed-in-Service Date</v>
      </c>
      <c r="I1708" s="52">
        <v>16</v>
      </c>
    </row>
    <row r="1709" spans="1:10" ht="15" customHeight="1">
      <c r="A1709" t="str">
        <f ca="1">IF(AND(OFFSET(A1709, -I1709 + 2, 4) &gt;  0, E1709="", Calculations!$B$7), F1709, "")</f>
        <v/>
      </c>
      <c r="B1709">
        <f t="shared" si="552"/>
        <v>11</v>
      </c>
      <c r="C1709">
        <f t="shared" ca="1" si="532"/>
        <v>8</v>
      </c>
      <c r="D1709" t="str">
        <f t="shared" si="553"/>
        <v>Q11</v>
      </c>
      <c r="E1709" t="str">
        <f t="shared" ca="1" si="554"/>
        <v/>
      </c>
      <c r="F1709" t="str">
        <f t="shared" ca="1" si="555"/>
        <v xml:space="preserve">Enter a 'Acquisition APR' for  building 8 in cell Q11.
</v>
      </c>
      <c r="G1709" s="9" t="str">
        <f t="shared" ca="1" si="556"/>
        <v xml:space="preserve">Enter a value for 'Number of Floors in the Tallest Building' in cell B58.
</v>
      </c>
      <c r="H1709" s="52" t="str">
        <f t="shared" ca="1" si="557"/>
        <v>Acquisition APR</v>
      </c>
      <c r="I1709" s="52">
        <v>17</v>
      </c>
    </row>
    <row r="1710" spans="1:10" ht="15" customHeight="1">
      <c r="A1710" t="str">
        <f ca="1">IF(AND(Calculations!$B$4,Calculations!$B$28&gt;=C1710, E1710 &lt;&gt; 13),F1710,"")</f>
        <v/>
      </c>
      <c r="B1710">
        <f>ROW('Final Building Profile'!C12)</f>
        <v>12</v>
      </c>
      <c r="C1710">
        <f t="shared" ref="C1710:C1773" ca="1" si="558">INDIRECT($F$1564 &amp; ADDRESS(B1710, 1,4  ))</f>
        <v>9</v>
      </c>
      <c r="D1710" t="str">
        <f>ADDRESS(B1710, 3,4  )</f>
        <v>C12</v>
      </c>
      <c r="E1710" s="52">
        <f ca="1">H1710+I1710</f>
        <v>0</v>
      </c>
      <c r="F1710" t="str">
        <f ca="1">CONCATENATE("Based upon the number of buildings specified, information for  building ", C1710, " required for a final application in row ", B1710, ".", CHAR(10))</f>
        <v xml:space="preserve">Based upon the number of buildings specified, information for  building 9 required for a final application in row 12.
</v>
      </c>
      <c r="G1710" s="9" t="str">
        <f t="shared" ca="1" si="556"/>
        <v xml:space="preserve">Enter a value for 'Number of Floors in the Tallest Building' in cell B58.
</v>
      </c>
      <c r="H1710" s="52">
        <f ca="1">SUMPRODUCT(--ISTEXT(INDIRECT(J1710)))</f>
        <v>0</v>
      </c>
      <c r="I1710" s="52">
        <f ca="1">SUMPRODUCT(--ISNUMBER(INDIRECT(J1710)))</f>
        <v>0</v>
      </c>
      <c r="J1710" s="52" t="str">
        <f>$F$1564&amp; ADDRESS(B1710,3,4) &amp; ":" &amp; ADDRESS(B1710,15,4)</f>
        <v>'Final Building Profile'!C12:O12</v>
      </c>
    </row>
    <row r="1711" spans="1:10" ht="15" customHeight="1">
      <c r="A1711" t="str">
        <f t="shared" ref="A1711:A1720" ca="1" si="559">IF(AND(OFFSET(A1711, -I1711 + 2, 4) &gt;  0, E1711=""), F1711, "")</f>
        <v/>
      </c>
      <c r="B1711">
        <f t="shared" ref="B1711:B1725" si="560">B1710</f>
        <v>12</v>
      </c>
      <c r="C1711">
        <f t="shared" ca="1" si="558"/>
        <v>9</v>
      </c>
      <c r="D1711" t="str">
        <f t="shared" ref="D1711:D1725" si="561">ADDRESS(B1711, I1711,4  )</f>
        <v>C12</v>
      </c>
      <c r="E1711" t="str">
        <f t="shared" ref="E1711:E1725" ca="1" si="562">IF(ISBLANK( INDIRECT($F$1564 &amp; D1711)),"", INDIRECT($F$1564 &amp; D1711))</f>
        <v/>
      </c>
      <c r="F1711" t="str">
        <f t="shared" ref="F1711:F1725" ca="1" si="563">CONCATENATE("Enter a '"&amp; H1711 &amp;"' for  building ", C1711, " in cell ", D1711, ".", CHAR(10))</f>
        <v xml:space="preserve">Enter a 'Building Street Address Only 
(DO NOT ENTER CITY, STATE, OR ZIP)' for  building 9 in cell C12.
</v>
      </c>
      <c r="G1711" s="9" t="str">
        <f t="shared" ca="1" si="556"/>
        <v xml:space="preserve">Enter a value for 'Number of Floors in the Tallest Building' in cell B58.
</v>
      </c>
      <c r="H1711" s="52" t="str">
        <f t="shared" ref="H1711:H1725" ca="1" si="564">OFFSET(INDIRECT($F$1564 &amp; D1711), -B1711 + 3, 0)</f>
        <v>Building Street Address Only 
(DO NOT ENTER CITY, STATE, OR ZIP)</v>
      </c>
      <c r="I1711" s="52">
        <v>3</v>
      </c>
    </row>
    <row r="1712" spans="1:10" ht="15" customHeight="1">
      <c r="A1712" t="str">
        <f t="shared" ca="1" si="559"/>
        <v/>
      </c>
      <c r="B1712">
        <f t="shared" si="560"/>
        <v>12</v>
      </c>
      <c r="C1712">
        <f t="shared" ca="1" si="558"/>
        <v>9</v>
      </c>
      <c r="D1712" t="str">
        <f t="shared" si="561"/>
        <v>D12</v>
      </c>
      <c r="E1712" t="str">
        <f t="shared" ca="1" si="562"/>
        <v/>
      </c>
      <c r="F1712" t="str">
        <f t="shared" ca="1" si="563"/>
        <v xml:space="preserve">Enter a 'Total Units in Building*' for  building 9 in cell D12.
</v>
      </c>
      <c r="G1712" s="9" t="str">
        <f t="shared" ca="1" si="556"/>
        <v xml:space="preserve">Enter a value for 'Number of Floors in the Tallest Building' in cell B58.
</v>
      </c>
      <c r="H1712" s="52" t="str">
        <f t="shared" ca="1" si="564"/>
        <v>Total Units in Building*</v>
      </c>
      <c r="I1712" s="52">
        <v>4</v>
      </c>
    </row>
    <row r="1713" spans="1:10" ht="15" customHeight="1">
      <c r="A1713" t="str">
        <f t="shared" ca="1" si="559"/>
        <v/>
      </c>
      <c r="B1713">
        <f t="shared" si="560"/>
        <v>12</v>
      </c>
      <c r="C1713">
        <f t="shared" ca="1" si="558"/>
        <v>9</v>
      </c>
      <c r="D1713" t="str">
        <f t="shared" si="561"/>
        <v>E12</v>
      </c>
      <c r="E1713" t="str">
        <f t="shared" ca="1" si="562"/>
        <v/>
      </c>
      <c r="F1713" t="str">
        <f t="shared" ca="1" si="563"/>
        <v xml:space="preserve">Enter a 'Employee Units' for  building 9 in cell E12.
</v>
      </c>
      <c r="G1713" s="9" t="str">
        <f t="shared" ca="1" si="556"/>
        <v xml:space="preserve">Enter a value for 'Number of Floors in the Tallest Building' in cell B58.
</v>
      </c>
      <c r="H1713" s="52" t="str">
        <f t="shared" ca="1" si="564"/>
        <v>Employee Units</v>
      </c>
      <c r="I1713" s="52">
        <v>5</v>
      </c>
    </row>
    <row r="1714" spans="1:10" ht="15" customHeight="1">
      <c r="A1714" t="str">
        <f t="shared" ca="1" si="559"/>
        <v/>
      </c>
      <c r="B1714">
        <f t="shared" si="560"/>
        <v>12</v>
      </c>
      <c r="C1714">
        <f t="shared" ca="1" si="558"/>
        <v>9</v>
      </c>
      <c r="D1714" t="str">
        <f t="shared" si="561"/>
        <v>F12</v>
      </c>
      <c r="E1714" t="str">
        <f t="shared" ca="1" si="562"/>
        <v/>
      </c>
      <c r="F1714" t="str">
        <f t="shared" ca="1" si="563"/>
        <v xml:space="preserve">Enter a 'Low-Income Units' for  building 9 in cell F12.
</v>
      </c>
      <c r="G1714" s="9" t="str">
        <f t="shared" ca="1" si="556"/>
        <v xml:space="preserve">Enter a value for 'Number of Floors in the Tallest Building' in cell B58.
</v>
      </c>
      <c r="H1714" s="52" t="str">
        <f t="shared" ca="1" si="564"/>
        <v>Low-Income Units</v>
      </c>
      <c r="I1714" s="52">
        <v>6</v>
      </c>
    </row>
    <row r="1715" spans="1:10" ht="15" customHeight="1">
      <c r="A1715" t="str">
        <f t="shared" ca="1" si="559"/>
        <v/>
      </c>
      <c r="B1715">
        <f t="shared" si="560"/>
        <v>12</v>
      </c>
      <c r="C1715">
        <f t="shared" ca="1" si="558"/>
        <v>9</v>
      </c>
      <c r="D1715" t="str">
        <f t="shared" si="561"/>
        <v>G12</v>
      </c>
      <c r="E1715" t="str">
        <f t="shared" ca="1" si="562"/>
        <v/>
      </c>
      <c r="F1715" t="str">
        <f t="shared" ca="1" si="563"/>
        <v xml:space="preserve">Enter a 'Residential Square Footage**' for  building 9 in cell G12.
</v>
      </c>
      <c r="G1715" s="9" t="str">
        <f t="shared" ca="1" si="556"/>
        <v xml:space="preserve">Enter a value for 'Number of Floors in the Tallest Building' in cell B58.
</v>
      </c>
      <c r="H1715" s="52" t="str">
        <f t="shared" ca="1" si="564"/>
        <v>Residential Square Footage**</v>
      </c>
      <c r="I1715" s="52">
        <v>7</v>
      </c>
    </row>
    <row r="1716" spans="1:10" ht="15" customHeight="1">
      <c r="A1716" t="str">
        <f t="shared" ca="1" si="559"/>
        <v/>
      </c>
      <c r="B1716">
        <f t="shared" si="560"/>
        <v>12</v>
      </c>
      <c r="C1716">
        <f t="shared" ca="1" si="558"/>
        <v>9</v>
      </c>
      <c r="D1716" t="str">
        <f t="shared" si="561"/>
        <v>H12</v>
      </c>
      <c r="E1716" t="str">
        <f t="shared" ca="1" si="562"/>
        <v/>
      </c>
      <c r="F1716" t="str">
        <f t="shared" ca="1" si="563"/>
        <v xml:space="preserve">Enter a 'Square Footage of Employee Units' for  building 9 in cell H12.
</v>
      </c>
      <c r="G1716" s="9" t="str">
        <f t="shared" ca="1" si="556"/>
        <v xml:space="preserve">Enter a value for 'Number of Floors in the Tallest Building' in cell B58.
</v>
      </c>
      <c r="H1716" s="52" t="str">
        <f t="shared" ca="1" si="564"/>
        <v>Square Footage of Employee Units</v>
      </c>
      <c r="I1716" s="52">
        <v>8</v>
      </c>
    </row>
    <row r="1717" spans="1:10" ht="15" customHeight="1">
      <c r="A1717" t="str">
        <f t="shared" ca="1" si="559"/>
        <v/>
      </c>
      <c r="B1717">
        <f t="shared" si="560"/>
        <v>12</v>
      </c>
      <c r="C1717">
        <f t="shared" ca="1" si="558"/>
        <v>9</v>
      </c>
      <c r="D1717" t="str">
        <f t="shared" si="561"/>
        <v>I12</v>
      </c>
      <c r="E1717" t="str">
        <f t="shared" ca="1" si="562"/>
        <v/>
      </c>
      <c r="F1717" t="str">
        <f t="shared" ca="1" si="563"/>
        <v xml:space="preserve">Enter a 'Square Footage of Low-Income Units' for  building 9 in cell I12.
</v>
      </c>
      <c r="G1717" s="9" t="str">
        <f t="shared" ca="1" si="556"/>
        <v xml:space="preserve">Enter a value for 'Number of Floors in the Tallest Building' in cell B58.
</v>
      </c>
      <c r="H1717" s="52" t="str">
        <f t="shared" ca="1" si="564"/>
        <v>Square Footage of Low-Income Units</v>
      </c>
      <c r="I1717" s="52">
        <v>9</v>
      </c>
    </row>
    <row r="1718" spans="1:10" ht="15" customHeight="1">
      <c r="A1718" t="str">
        <f t="shared" ca="1" si="559"/>
        <v/>
      </c>
      <c r="B1718">
        <f t="shared" si="560"/>
        <v>12</v>
      </c>
      <c r="C1718">
        <f t="shared" ca="1" si="558"/>
        <v>9</v>
      </c>
      <c r="D1718" t="str">
        <f t="shared" si="561"/>
        <v>J12</v>
      </c>
      <c r="E1718" t="str">
        <f t="shared" ca="1" si="562"/>
        <v/>
      </c>
      <c r="F1718" t="str">
        <f t="shared" ca="1" si="563"/>
        <v xml:space="preserve">Enter a 'Placed-In-Service Date' for  building 9 in cell J12.
</v>
      </c>
      <c r="G1718" s="9" t="str">
        <f t="shared" ca="1" si="556"/>
        <v xml:space="preserve">Enter a value for 'Number of Floors in the Tallest Building' in cell B58.
</v>
      </c>
      <c r="H1718" s="52" t="str">
        <f t="shared" ca="1" si="564"/>
        <v>Placed-In-Service Date</v>
      </c>
      <c r="I1718" s="52">
        <v>10</v>
      </c>
    </row>
    <row r="1719" spans="1:10" ht="15" customHeight="1">
      <c r="A1719" t="str">
        <f t="shared" ca="1" si="559"/>
        <v/>
      </c>
      <c r="B1719">
        <f t="shared" si="560"/>
        <v>12</v>
      </c>
      <c r="C1719">
        <f t="shared" ca="1" si="558"/>
        <v>9</v>
      </c>
      <c r="D1719" t="str">
        <f t="shared" si="561"/>
        <v>K12</v>
      </c>
      <c r="E1719" t="str">
        <f t="shared" ca="1" si="562"/>
        <v/>
      </c>
      <c r="F1719" t="str">
        <f t="shared" ca="1" si="563"/>
        <v xml:space="preserve">Enter a 'New Construction/ Rehab APR' for  building 9 in cell K12.
</v>
      </c>
      <c r="G1719" s="9" t="str">
        <f t="shared" ca="1" si="556"/>
        <v xml:space="preserve">Enter a value for 'Number of Floors in the Tallest Building' in cell B58.
</v>
      </c>
      <c r="H1719" s="52" t="str">
        <f t="shared" ca="1" si="564"/>
        <v>New Construction/ Rehab APR</v>
      </c>
      <c r="I1719" s="52">
        <v>11</v>
      </c>
    </row>
    <row r="1720" spans="1:10" ht="15" customHeight="1">
      <c r="A1720" t="str">
        <f t="shared" ca="1" si="559"/>
        <v/>
      </c>
      <c r="B1720">
        <f t="shared" si="560"/>
        <v>12</v>
      </c>
      <c r="C1720">
        <f t="shared" ca="1" si="558"/>
        <v>9</v>
      </c>
      <c r="D1720" t="str">
        <f t="shared" si="561"/>
        <v>L12</v>
      </c>
      <c r="E1720" t="str">
        <f t="shared" ca="1" si="562"/>
        <v/>
      </c>
      <c r="F1720" t="str">
        <f t="shared" ca="1" si="563"/>
        <v xml:space="preserve">Enter a 'New Construction Eligible Basis' for  building 9 in cell L12.
</v>
      </c>
      <c r="G1720" s="9" t="str">
        <f t="shared" ca="1" si="556"/>
        <v xml:space="preserve">Enter a value for 'Number of Floors in the Tallest Building' in cell B58.
</v>
      </c>
      <c r="H1720" s="52" t="str">
        <f t="shared" ca="1" si="564"/>
        <v>New Construction Eligible Basis</v>
      </c>
      <c r="I1720" s="52">
        <v>12</v>
      </c>
    </row>
    <row r="1721" spans="1:10" ht="15" customHeight="1">
      <c r="A1721" t="str">
        <f ca="1">IF(AND(OFFSET(A1721, -I1721 + 2, 4) &gt;  0, E1721="", Calculations!$B$7), F1721, "")</f>
        <v/>
      </c>
      <c r="B1721">
        <f t="shared" si="560"/>
        <v>12</v>
      </c>
      <c r="C1721">
        <f t="shared" ca="1" si="558"/>
        <v>9</v>
      </c>
      <c r="D1721" t="str">
        <f t="shared" si="561"/>
        <v>M12</v>
      </c>
      <c r="E1721" t="str">
        <f t="shared" ca="1" si="562"/>
        <v/>
      </c>
      <c r="F1721" t="str">
        <f t="shared" ca="1" si="563"/>
        <v xml:space="preserve">Enter a 'Eligible Basis for Rehab' for  building 9 in cell M12.
</v>
      </c>
      <c r="G1721" s="9" t="str">
        <f t="shared" ca="1" si="556"/>
        <v xml:space="preserve">Enter a value for 'Number of Floors in the Tallest Building' in cell B58.
</v>
      </c>
      <c r="H1721" s="52" t="str">
        <f t="shared" ca="1" si="564"/>
        <v>Eligible Basis for Rehab</v>
      </c>
      <c r="I1721" s="52">
        <v>13</v>
      </c>
    </row>
    <row r="1722" spans="1:10" ht="15" customHeight="1">
      <c r="A1722" t="str">
        <f ca="1">IF(AND(OFFSET(A1722, -I1722 + 2, 4) &gt;  0, E1722="", Calculations!$B$7), F1722, "")</f>
        <v/>
      </c>
      <c r="B1722">
        <f t="shared" si="560"/>
        <v>12</v>
      </c>
      <c r="C1722">
        <f t="shared" ca="1" si="558"/>
        <v>9</v>
      </c>
      <c r="D1722" t="str">
        <f t="shared" si="561"/>
        <v>N12</v>
      </c>
      <c r="E1722" t="str">
        <f t="shared" ca="1" si="562"/>
        <v/>
      </c>
      <c r="F1722" t="str">
        <f t="shared" ca="1" si="563"/>
        <v xml:space="preserve">Enter a 'Cost of Acquiring the Building***' for  building 9 in cell N12.
</v>
      </c>
      <c r="G1722" s="9" t="str">
        <f t="shared" ca="1" si="556"/>
        <v xml:space="preserve">Enter a value for 'Number of Floors in the Tallest Building' in cell B58.
</v>
      </c>
      <c r="H1722" s="52" t="str">
        <f t="shared" ca="1" si="564"/>
        <v>Cost of Acquiring the Building***</v>
      </c>
      <c r="I1722" s="52">
        <v>14</v>
      </c>
    </row>
    <row r="1723" spans="1:10" ht="15" customHeight="1">
      <c r="A1723" t="str">
        <f ca="1">IF(AND(OFFSET(A1723, -I1723 + 2, 4) &gt;  0, E1723="", Calculations!$B$7), F1723, "")</f>
        <v/>
      </c>
      <c r="B1723">
        <f t="shared" si="560"/>
        <v>12</v>
      </c>
      <c r="C1723">
        <f t="shared" ca="1" si="558"/>
        <v>9</v>
      </c>
      <c r="D1723" t="str">
        <f t="shared" si="561"/>
        <v>O12</v>
      </c>
      <c r="E1723" t="str">
        <f t="shared" ca="1" si="562"/>
        <v/>
      </c>
      <c r="F1723" t="str">
        <f t="shared" ca="1" si="563"/>
        <v xml:space="preserve">Enter a 'Higher of Land Purchase Price or Land Appraised Value****' for  building 9 in cell O12.
</v>
      </c>
      <c r="G1723" s="9" t="str">
        <f t="shared" ca="1" si="556"/>
        <v xml:space="preserve">Enter a value for 'Number of Floors in the Tallest Building' in cell B58.
</v>
      </c>
      <c r="H1723" s="52" t="str">
        <f t="shared" ca="1" si="564"/>
        <v>Higher of Land Purchase Price or Land Appraised Value****</v>
      </c>
      <c r="I1723" s="52">
        <v>15</v>
      </c>
    </row>
    <row r="1724" spans="1:10" ht="15" customHeight="1">
      <c r="A1724" t="str">
        <f ca="1">IF(AND(OFFSET(A1724, -I1724 + 2, 4) &gt;  0, E1724="", Calculations!$B$7), F1724, "")</f>
        <v/>
      </c>
      <c r="B1724">
        <f t="shared" si="560"/>
        <v>12</v>
      </c>
      <c r="C1724">
        <f t="shared" ca="1" si="558"/>
        <v>9</v>
      </c>
      <c r="D1724" t="str">
        <f t="shared" si="561"/>
        <v>P12</v>
      </c>
      <c r="E1724" t="str">
        <f t="shared" ca="1" si="562"/>
        <v/>
      </c>
      <c r="F1724" t="str">
        <f t="shared" ca="1" si="563"/>
        <v xml:space="preserve">Enter a 'Acquisition Placed-in-Service Date' for  building 9 in cell P12.
</v>
      </c>
      <c r="G1724" s="9" t="str">
        <f t="shared" ca="1" si="556"/>
        <v xml:space="preserve">Enter a value for 'Number of Floors in the Tallest Building' in cell B58.
</v>
      </c>
      <c r="H1724" s="52" t="str">
        <f t="shared" ca="1" si="564"/>
        <v>Acquisition Placed-in-Service Date</v>
      </c>
      <c r="I1724" s="52">
        <v>16</v>
      </c>
    </row>
    <row r="1725" spans="1:10" ht="15" customHeight="1">
      <c r="A1725" t="str">
        <f ca="1">IF(AND(OFFSET(A1725, -I1725 + 2, 4) &gt;  0, E1725="", Calculations!$B$7), F1725, "")</f>
        <v/>
      </c>
      <c r="B1725">
        <f t="shared" si="560"/>
        <v>12</v>
      </c>
      <c r="C1725">
        <f t="shared" ca="1" si="558"/>
        <v>9</v>
      </c>
      <c r="D1725" t="str">
        <f t="shared" si="561"/>
        <v>Q12</v>
      </c>
      <c r="E1725" t="str">
        <f t="shared" ca="1" si="562"/>
        <v/>
      </c>
      <c r="F1725" t="str">
        <f t="shared" ca="1" si="563"/>
        <v xml:space="preserve">Enter a 'Acquisition APR' for  building 9 in cell Q12.
</v>
      </c>
      <c r="G1725" s="9" t="str">
        <f t="shared" ca="1" si="556"/>
        <v xml:space="preserve">Enter a value for 'Number of Floors in the Tallest Building' in cell B58.
</v>
      </c>
      <c r="H1725" s="52" t="str">
        <f t="shared" ca="1" si="564"/>
        <v>Acquisition APR</v>
      </c>
      <c r="I1725" s="52">
        <v>17</v>
      </c>
    </row>
    <row r="1726" spans="1:10" ht="15" customHeight="1">
      <c r="A1726" t="str">
        <f ca="1">IF(AND(Calculations!$B$4,Calculations!$B$28&gt;=C1726, E1726 &lt;&gt; 13),F1726,"")</f>
        <v/>
      </c>
      <c r="B1726">
        <f>ROW('Final Building Profile'!C13)</f>
        <v>13</v>
      </c>
      <c r="C1726">
        <f t="shared" ca="1" si="558"/>
        <v>10</v>
      </c>
      <c r="D1726" t="str">
        <f>ADDRESS(B1726, 3,4  )</f>
        <v>C13</v>
      </c>
      <c r="E1726" s="52">
        <f ca="1">H1726+I1726</f>
        <v>0</v>
      </c>
      <c r="F1726" t="str">
        <f ca="1">CONCATENATE("Based upon the number of buildings specified, information for  building ", C1726, " required for a final application in row ", B1726, ".", CHAR(10))</f>
        <v xml:space="preserve">Based upon the number of buildings specified, information for  building 10 required for a final application in row 13.
</v>
      </c>
      <c r="G1726" s="9" t="str">
        <f t="shared" ca="1" si="556"/>
        <v xml:space="preserve">Enter a value for 'Number of Floors in the Tallest Building' in cell B58.
</v>
      </c>
      <c r="H1726" s="52">
        <f ca="1">SUMPRODUCT(--ISTEXT(INDIRECT(J1726)))</f>
        <v>0</v>
      </c>
      <c r="I1726" s="52">
        <f ca="1">SUMPRODUCT(--ISNUMBER(INDIRECT(J1726)))</f>
        <v>0</v>
      </c>
      <c r="J1726" s="52" t="str">
        <f>$F$1564&amp; ADDRESS(B1726,3,4) &amp; ":" &amp; ADDRESS(B1726,15,4)</f>
        <v>'Final Building Profile'!C13:O13</v>
      </c>
    </row>
    <row r="1727" spans="1:10" ht="15" customHeight="1">
      <c r="A1727" t="str">
        <f t="shared" ref="A1727:A1736" ca="1" si="565">IF(AND(OFFSET(A1727, -I1727 + 2, 4) &gt;  0, E1727=""), F1727, "")</f>
        <v/>
      </c>
      <c r="B1727">
        <f t="shared" ref="B1727:B1741" si="566">B1726</f>
        <v>13</v>
      </c>
      <c r="C1727">
        <f t="shared" ca="1" si="558"/>
        <v>10</v>
      </c>
      <c r="D1727" t="str">
        <f t="shared" ref="D1727:D1741" si="567">ADDRESS(B1727, I1727,4  )</f>
        <v>C13</v>
      </c>
      <c r="E1727" t="str">
        <f t="shared" ref="E1727:E1741" ca="1" si="568">IF(ISBLANK( INDIRECT($F$1564 &amp; D1727)),"", INDIRECT($F$1564 &amp; D1727))</f>
        <v/>
      </c>
      <c r="F1727" t="str">
        <f t="shared" ref="F1727:F1741" ca="1" si="569">CONCATENATE("Enter a '"&amp; H1727 &amp;"' for  building ", C1727, " in cell ", D1727, ".", CHAR(10))</f>
        <v xml:space="preserve">Enter a 'Building Street Address Only 
(DO NOT ENTER CITY, STATE, OR ZIP)' for  building 10 in cell C13.
</v>
      </c>
      <c r="G1727" s="9" t="str">
        <f t="shared" ca="1" si="556"/>
        <v xml:space="preserve">Enter a value for 'Number of Floors in the Tallest Building' in cell B58.
</v>
      </c>
      <c r="H1727" s="52" t="str">
        <f t="shared" ref="H1727:H1741" ca="1" si="570">OFFSET(INDIRECT($F$1564 &amp; D1727), -B1727 + 3, 0)</f>
        <v>Building Street Address Only 
(DO NOT ENTER CITY, STATE, OR ZIP)</v>
      </c>
      <c r="I1727" s="52">
        <v>3</v>
      </c>
    </row>
    <row r="1728" spans="1:10" ht="15" customHeight="1">
      <c r="A1728" t="str">
        <f t="shared" ca="1" si="565"/>
        <v/>
      </c>
      <c r="B1728">
        <f t="shared" si="566"/>
        <v>13</v>
      </c>
      <c r="C1728">
        <f t="shared" ca="1" si="558"/>
        <v>10</v>
      </c>
      <c r="D1728" t="str">
        <f t="shared" si="567"/>
        <v>D13</v>
      </c>
      <c r="E1728" t="str">
        <f t="shared" ca="1" si="568"/>
        <v/>
      </c>
      <c r="F1728" t="str">
        <f t="shared" ca="1" si="569"/>
        <v xml:space="preserve">Enter a 'Total Units in Building*' for  building 10 in cell D13.
</v>
      </c>
      <c r="G1728" s="9" t="str">
        <f t="shared" ca="1" si="556"/>
        <v xml:space="preserve">Enter a value for 'Number of Floors in the Tallest Building' in cell B58.
</v>
      </c>
      <c r="H1728" s="52" t="str">
        <f t="shared" ca="1" si="570"/>
        <v>Total Units in Building*</v>
      </c>
      <c r="I1728" s="52">
        <v>4</v>
      </c>
    </row>
    <row r="1729" spans="1:10" ht="15" customHeight="1">
      <c r="A1729" t="str">
        <f t="shared" ca="1" si="565"/>
        <v/>
      </c>
      <c r="B1729">
        <f t="shared" si="566"/>
        <v>13</v>
      </c>
      <c r="C1729">
        <f t="shared" ca="1" si="558"/>
        <v>10</v>
      </c>
      <c r="D1729" t="str">
        <f t="shared" si="567"/>
        <v>E13</v>
      </c>
      <c r="E1729" t="str">
        <f t="shared" ca="1" si="568"/>
        <v/>
      </c>
      <c r="F1729" t="str">
        <f t="shared" ca="1" si="569"/>
        <v xml:space="preserve">Enter a 'Employee Units' for  building 10 in cell E13.
</v>
      </c>
      <c r="G1729" s="9" t="str">
        <f t="shared" ca="1" si="556"/>
        <v xml:space="preserve">Enter a value for 'Number of Floors in the Tallest Building' in cell B58.
</v>
      </c>
      <c r="H1729" s="52" t="str">
        <f t="shared" ca="1" si="570"/>
        <v>Employee Units</v>
      </c>
      <c r="I1729" s="52">
        <v>5</v>
      </c>
    </row>
    <row r="1730" spans="1:10" ht="15" customHeight="1">
      <c r="A1730" t="str">
        <f t="shared" ca="1" si="565"/>
        <v/>
      </c>
      <c r="B1730">
        <f t="shared" si="566"/>
        <v>13</v>
      </c>
      <c r="C1730">
        <f t="shared" ca="1" si="558"/>
        <v>10</v>
      </c>
      <c r="D1730" t="str">
        <f t="shared" si="567"/>
        <v>F13</v>
      </c>
      <c r="E1730" t="str">
        <f t="shared" ca="1" si="568"/>
        <v/>
      </c>
      <c r="F1730" t="str">
        <f t="shared" ca="1" si="569"/>
        <v xml:space="preserve">Enter a 'Low-Income Units' for  building 10 in cell F13.
</v>
      </c>
      <c r="G1730" s="9" t="str">
        <f t="shared" ca="1" si="556"/>
        <v xml:space="preserve">Enter a value for 'Number of Floors in the Tallest Building' in cell B58.
</v>
      </c>
      <c r="H1730" s="52" t="str">
        <f t="shared" ca="1" si="570"/>
        <v>Low-Income Units</v>
      </c>
      <c r="I1730" s="52">
        <v>6</v>
      </c>
    </row>
    <row r="1731" spans="1:10" ht="15" customHeight="1">
      <c r="A1731" t="str">
        <f t="shared" ca="1" si="565"/>
        <v/>
      </c>
      <c r="B1731">
        <f t="shared" si="566"/>
        <v>13</v>
      </c>
      <c r="C1731">
        <f t="shared" ca="1" si="558"/>
        <v>10</v>
      </c>
      <c r="D1731" t="str">
        <f t="shared" si="567"/>
        <v>G13</v>
      </c>
      <c r="E1731" t="str">
        <f t="shared" ca="1" si="568"/>
        <v/>
      </c>
      <c r="F1731" t="str">
        <f t="shared" ca="1" si="569"/>
        <v xml:space="preserve">Enter a 'Residential Square Footage**' for  building 10 in cell G13.
</v>
      </c>
      <c r="G1731" s="9" t="str">
        <f t="shared" ca="1" si="556"/>
        <v xml:space="preserve">Enter a value for 'Number of Floors in the Tallest Building' in cell B58.
</v>
      </c>
      <c r="H1731" s="52" t="str">
        <f t="shared" ca="1" si="570"/>
        <v>Residential Square Footage**</v>
      </c>
      <c r="I1731" s="52">
        <v>7</v>
      </c>
    </row>
    <row r="1732" spans="1:10" ht="15" customHeight="1">
      <c r="A1732" t="str">
        <f t="shared" ca="1" si="565"/>
        <v/>
      </c>
      <c r="B1732">
        <f t="shared" si="566"/>
        <v>13</v>
      </c>
      <c r="C1732">
        <f t="shared" ca="1" si="558"/>
        <v>10</v>
      </c>
      <c r="D1732" t="str">
        <f t="shared" si="567"/>
        <v>H13</v>
      </c>
      <c r="E1732" t="str">
        <f t="shared" ca="1" si="568"/>
        <v/>
      </c>
      <c r="F1732" t="str">
        <f t="shared" ca="1" si="569"/>
        <v xml:space="preserve">Enter a 'Square Footage of Employee Units' for  building 10 in cell H13.
</v>
      </c>
      <c r="G1732" s="9" t="str">
        <f t="shared" ca="1" si="556"/>
        <v xml:space="preserve">Enter a value for 'Number of Floors in the Tallest Building' in cell B58.
</v>
      </c>
      <c r="H1732" s="52" t="str">
        <f t="shared" ca="1" si="570"/>
        <v>Square Footage of Employee Units</v>
      </c>
      <c r="I1732" s="52">
        <v>8</v>
      </c>
    </row>
    <row r="1733" spans="1:10" ht="15" customHeight="1">
      <c r="A1733" t="str">
        <f t="shared" ca="1" si="565"/>
        <v/>
      </c>
      <c r="B1733">
        <f t="shared" si="566"/>
        <v>13</v>
      </c>
      <c r="C1733">
        <f t="shared" ca="1" si="558"/>
        <v>10</v>
      </c>
      <c r="D1733" t="str">
        <f t="shared" si="567"/>
        <v>I13</v>
      </c>
      <c r="E1733" t="str">
        <f t="shared" ca="1" si="568"/>
        <v/>
      </c>
      <c r="F1733" t="str">
        <f t="shared" ca="1" si="569"/>
        <v xml:space="preserve">Enter a 'Square Footage of Low-Income Units' for  building 10 in cell I13.
</v>
      </c>
      <c r="G1733" s="9" t="str">
        <f t="shared" ca="1" si="556"/>
        <v xml:space="preserve">Enter a value for 'Number of Floors in the Tallest Building' in cell B58.
</v>
      </c>
      <c r="H1733" s="52" t="str">
        <f t="shared" ca="1" si="570"/>
        <v>Square Footage of Low-Income Units</v>
      </c>
      <c r="I1733" s="52">
        <v>9</v>
      </c>
    </row>
    <row r="1734" spans="1:10" ht="15" customHeight="1">
      <c r="A1734" t="str">
        <f t="shared" ca="1" si="565"/>
        <v/>
      </c>
      <c r="B1734">
        <f t="shared" si="566"/>
        <v>13</v>
      </c>
      <c r="C1734">
        <f t="shared" ca="1" si="558"/>
        <v>10</v>
      </c>
      <c r="D1734" t="str">
        <f t="shared" si="567"/>
        <v>J13</v>
      </c>
      <c r="E1734" t="str">
        <f t="shared" ca="1" si="568"/>
        <v/>
      </c>
      <c r="F1734" t="str">
        <f t="shared" ca="1" si="569"/>
        <v xml:space="preserve">Enter a 'Placed-In-Service Date' for  building 10 in cell J13.
</v>
      </c>
      <c r="G1734" s="9" t="str">
        <f t="shared" ca="1" si="556"/>
        <v xml:space="preserve">Enter a value for 'Number of Floors in the Tallest Building' in cell B58.
</v>
      </c>
      <c r="H1734" s="52" t="str">
        <f t="shared" ca="1" si="570"/>
        <v>Placed-In-Service Date</v>
      </c>
      <c r="I1734" s="52">
        <v>10</v>
      </c>
    </row>
    <row r="1735" spans="1:10" ht="15" customHeight="1">
      <c r="A1735" t="str">
        <f t="shared" ca="1" si="565"/>
        <v/>
      </c>
      <c r="B1735">
        <f t="shared" si="566"/>
        <v>13</v>
      </c>
      <c r="C1735">
        <f t="shared" ca="1" si="558"/>
        <v>10</v>
      </c>
      <c r="D1735" t="str">
        <f t="shared" si="567"/>
        <v>K13</v>
      </c>
      <c r="E1735" t="str">
        <f t="shared" ca="1" si="568"/>
        <v/>
      </c>
      <c r="F1735" t="str">
        <f t="shared" ca="1" si="569"/>
        <v xml:space="preserve">Enter a 'New Construction/ Rehab APR' for  building 10 in cell K13.
</v>
      </c>
      <c r="G1735" s="9" t="str">
        <f t="shared" ca="1" si="556"/>
        <v xml:space="preserve">Enter a value for 'Number of Floors in the Tallest Building' in cell B58.
</v>
      </c>
      <c r="H1735" s="52" t="str">
        <f t="shared" ca="1" si="570"/>
        <v>New Construction/ Rehab APR</v>
      </c>
      <c r="I1735" s="52">
        <v>11</v>
      </c>
    </row>
    <row r="1736" spans="1:10" ht="15" customHeight="1">
      <c r="A1736" t="str">
        <f t="shared" ca="1" si="565"/>
        <v/>
      </c>
      <c r="B1736">
        <f t="shared" si="566"/>
        <v>13</v>
      </c>
      <c r="C1736">
        <f t="shared" ca="1" si="558"/>
        <v>10</v>
      </c>
      <c r="D1736" t="str">
        <f t="shared" si="567"/>
        <v>L13</v>
      </c>
      <c r="E1736" t="str">
        <f t="shared" ca="1" si="568"/>
        <v/>
      </c>
      <c r="F1736" t="str">
        <f t="shared" ca="1" si="569"/>
        <v xml:space="preserve">Enter a 'New Construction Eligible Basis' for  building 10 in cell L13.
</v>
      </c>
      <c r="G1736" s="9" t="str">
        <f t="shared" ca="1" si="556"/>
        <v xml:space="preserve">Enter a value for 'Number of Floors in the Tallest Building' in cell B58.
</v>
      </c>
      <c r="H1736" s="52" t="str">
        <f t="shared" ca="1" si="570"/>
        <v>New Construction Eligible Basis</v>
      </c>
      <c r="I1736" s="52">
        <v>12</v>
      </c>
    </row>
    <row r="1737" spans="1:10" ht="15" customHeight="1">
      <c r="A1737" t="str">
        <f ca="1">IF(AND(OFFSET(A1737, -I1737 + 2, 4) &gt;  0, E1737="", Calculations!$B$7), F1737, "")</f>
        <v/>
      </c>
      <c r="B1737">
        <f t="shared" si="566"/>
        <v>13</v>
      </c>
      <c r="C1737">
        <f t="shared" ca="1" si="558"/>
        <v>10</v>
      </c>
      <c r="D1737" t="str">
        <f t="shared" si="567"/>
        <v>M13</v>
      </c>
      <c r="E1737" t="str">
        <f t="shared" ca="1" si="568"/>
        <v/>
      </c>
      <c r="F1737" t="str">
        <f t="shared" ca="1" si="569"/>
        <v xml:space="preserve">Enter a 'Eligible Basis for Rehab' for  building 10 in cell M13.
</v>
      </c>
      <c r="G1737" s="9" t="str">
        <f t="shared" ca="1" si="556"/>
        <v xml:space="preserve">Enter a value for 'Number of Floors in the Tallest Building' in cell B58.
</v>
      </c>
      <c r="H1737" s="52" t="str">
        <f t="shared" ca="1" si="570"/>
        <v>Eligible Basis for Rehab</v>
      </c>
      <c r="I1737" s="52">
        <v>13</v>
      </c>
    </row>
    <row r="1738" spans="1:10" ht="15" customHeight="1">
      <c r="A1738" t="str">
        <f ca="1">IF(AND(OFFSET(A1738, -I1738 + 2, 4) &gt;  0, E1738="", Calculations!$B$7), F1738, "")</f>
        <v/>
      </c>
      <c r="B1738">
        <f t="shared" si="566"/>
        <v>13</v>
      </c>
      <c r="C1738">
        <f t="shared" ca="1" si="558"/>
        <v>10</v>
      </c>
      <c r="D1738" t="str">
        <f t="shared" si="567"/>
        <v>N13</v>
      </c>
      <c r="E1738" t="str">
        <f t="shared" ca="1" si="568"/>
        <v/>
      </c>
      <c r="F1738" t="str">
        <f t="shared" ca="1" si="569"/>
        <v xml:space="preserve">Enter a 'Cost of Acquiring the Building***' for  building 10 in cell N13.
</v>
      </c>
      <c r="G1738" s="9" t="str">
        <f t="shared" ca="1" si="556"/>
        <v xml:space="preserve">Enter a value for 'Number of Floors in the Tallest Building' in cell B58.
</v>
      </c>
      <c r="H1738" s="52" t="str">
        <f t="shared" ca="1" si="570"/>
        <v>Cost of Acquiring the Building***</v>
      </c>
      <c r="I1738" s="52">
        <v>14</v>
      </c>
    </row>
    <row r="1739" spans="1:10" ht="15" customHeight="1">
      <c r="A1739" t="str">
        <f ca="1">IF(AND(OFFSET(A1739, -I1739 + 2, 4) &gt;  0, E1739="", Calculations!$B$7), F1739, "")</f>
        <v/>
      </c>
      <c r="B1739">
        <f t="shared" si="566"/>
        <v>13</v>
      </c>
      <c r="C1739">
        <f t="shared" ca="1" si="558"/>
        <v>10</v>
      </c>
      <c r="D1739" t="str">
        <f t="shared" si="567"/>
        <v>O13</v>
      </c>
      <c r="E1739" t="str">
        <f t="shared" ca="1" si="568"/>
        <v/>
      </c>
      <c r="F1739" t="str">
        <f t="shared" ca="1" si="569"/>
        <v xml:space="preserve">Enter a 'Higher of Land Purchase Price or Land Appraised Value****' for  building 10 in cell O13.
</v>
      </c>
      <c r="G1739" s="9" t="str">
        <f t="shared" ca="1" si="556"/>
        <v xml:space="preserve">Enter a value for 'Number of Floors in the Tallest Building' in cell B58.
</v>
      </c>
      <c r="H1739" s="52" t="str">
        <f t="shared" ca="1" si="570"/>
        <v>Higher of Land Purchase Price or Land Appraised Value****</v>
      </c>
      <c r="I1739" s="52">
        <v>15</v>
      </c>
    </row>
    <row r="1740" spans="1:10" ht="15" customHeight="1">
      <c r="A1740" t="str">
        <f ca="1">IF(AND(OFFSET(A1740, -I1740 + 2, 4) &gt;  0, E1740="", Calculations!$B$7), F1740, "")</f>
        <v/>
      </c>
      <c r="B1740">
        <f t="shared" si="566"/>
        <v>13</v>
      </c>
      <c r="C1740">
        <f t="shared" ca="1" si="558"/>
        <v>10</v>
      </c>
      <c r="D1740" t="str">
        <f t="shared" si="567"/>
        <v>P13</v>
      </c>
      <c r="E1740" t="str">
        <f t="shared" ca="1" si="568"/>
        <v/>
      </c>
      <c r="F1740" t="str">
        <f t="shared" ca="1" si="569"/>
        <v xml:space="preserve">Enter a 'Acquisition Placed-in-Service Date' for  building 10 in cell P13.
</v>
      </c>
      <c r="G1740" s="9" t="str">
        <f t="shared" ca="1" si="556"/>
        <v xml:space="preserve">Enter a value for 'Number of Floors in the Tallest Building' in cell B58.
</v>
      </c>
      <c r="H1740" s="52" t="str">
        <f t="shared" ca="1" si="570"/>
        <v>Acquisition Placed-in-Service Date</v>
      </c>
      <c r="I1740" s="52">
        <v>16</v>
      </c>
    </row>
    <row r="1741" spans="1:10" ht="15" customHeight="1">
      <c r="A1741" t="str">
        <f ca="1">IF(AND(OFFSET(A1741, -I1741 + 2, 4) &gt;  0, E1741="", Calculations!$B$7), F1741, "")</f>
        <v/>
      </c>
      <c r="B1741">
        <f t="shared" si="566"/>
        <v>13</v>
      </c>
      <c r="C1741">
        <f t="shared" ca="1" si="558"/>
        <v>10</v>
      </c>
      <c r="D1741" t="str">
        <f t="shared" si="567"/>
        <v>Q13</v>
      </c>
      <c r="E1741" t="str">
        <f t="shared" ca="1" si="568"/>
        <v/>
      </c>
      <c r="F1741" t="str">
        <f t="shared" ca="1" si="569"/>
        <v xml:space="preserve">Enter a 'Acquisition APR' for  building 10 in cell Q13.
</v>
      </c>
      <c r="G1741" s="9" t="str">
        <f t="shared" ca="1" si="556"/>
        <v xml:space="preserve">Enter a value for 'Number of Floors in the Tallest Building' in cell B58.
</v>
      </c>
      <c r="H1741" s="52" t="str">
        <f t="shared" ca="1" si="570"/>
        <v>Acquisition APR</v>
      </c>
      <c r="I1741" s="52">
        <v>17</v>
      </c>
    </row>
    <row r="1742" spans="1:10" ht="15" customHeight="1">
      <c r="A1742" t="str">
        <f ca="1">IF(AND(Calculations!$B$4,Calculations!$B$28&gt;=C1742, E1742 &lt;&gt; 13),F1742,"")</f>
        <v/>
      </c>
      <c r="B1742">
        <f>ROW('Final Building Profile'!C14)</f>
        <v>14</v>
      </c>
      <c r="C1742">
        <f t="shared" ca="1" si="558"/>
        <v>11</v>
      </c>
      <c r="D1742" t="str">
        <f>ADDRESS(B1742, 3,4  )</f>
        <v>C14</v>
      </c>
      <c r="E1742" s="52">
        <f ca="1">H1742+I1742</f>
        <v>0</v>
      </c>
      <c r="F1742" t="str">
        <f ca="1">CONCATENATE("Based upon the number of buildings specified, information for  building ", C1742, " required for a final application in row ", B1742, ".", CHAR(10))</f>
        <v xml:space="preserve">Based upon the number of buildings specified, information for  building 11 required for a final application in row 14.
</v>
      </c>
      <c r="G1742" s="9" t="str">
        <f t="shared" ca="1" si="556"/>
        <v xml:space="preserve">Enter a value for 'Number of Floors in the Tallest Building' in cell B58.
</v>
      </c>
      <c r="H1742" s="52">
        <f ca="1">SUMPRODUCT(--ISTEXT(INDIRECT(J1742)))</f>
        <v>0</v>
      </c>
      <c r="I1742" s="52">
        <f ca="1">SUMPRODUCT(--ISNUMBER(INDIRECT(J1742)))</f>
        <v>0</v>
      </c>
      <c r="J1742" s="52" t="str">
        <f>$F$1564&amp; ADDRESS(B1742,3,4) &amp; ":" &amp; ADDRESS(B1742,15,4)</f>
        <v>'Final Building Profile'!C14:O14</v>
      </c>
    </row>
    <row r="1743" spans="1:10" ht="15" customHeight="1">
      <c r="A1743" t="str">
        <f t="shared" ref="A1743:A1752" ca="1" si="571">IF(AND(OFFSET(A1743, -I1743 + 2, 4) &gt;  0, E1743=""), F1743, "")</f>
        <v/>
      </c>
      <c r="B1743">
        <f t="shared" ref="B1743:B1757" si="572">B1742</f>
        <v>14</v>
      </c>
      <c r="C1743">
        <f t="shared" ca="1" si="558"/>
        <v>11</v>
      </c>
      <c r="D1743" t="str">
        <f t="shared" ref="D1743:D1757" si="573">ADDRESS(B1743, I1743,4  )</f>
        <v>C14</v>
      </c>
      <c r="E1743" t="str">
        <f t="shared" ref="E1743:E1757" ca="1" si="574">IF(ISBLANK( INDIRECT($F$1564 &amp; D1743)),"", INDIRECT($F$1564 &amp; D1743))</f>
        <v/>
      </c>
      <c r="F1743" t="str">
        <f t="shared" ref="F1743:F1757" ca="1" si="575">CONCATENATE("Enter a '"&amp; H1743 &amp;"' for  building ", C1743, " in cell ", D1743, ".", CHAR(10))</f>
        <v xml:space="preserve">Enter a 'Building Street Address Only 
(DO NOT ENTER CITY, STATE, OR ZIP)' for  building 11 in cell C14.
</v>
      </c>
      <c r="G1743" s="9" t="str">
        <f t="shared" ca="1" si="556"/>
        <v xml:space="preserve">Enter a value for 'Number of Floors in the Tallest Building' in cell B58.
</v>
      </c>
      <c r="H1743" s="52" t="str">
        <f t="shared" ref="H1743:H1757" ca="1" si="576">OFFSET(INDIRECT($F$1564 &amp; D1743), -B1743 + 3, 0)</f>
        <v>Building Street Address Only 
(DO NOT ENTER CITY, STATE, OR ZIP)</v>
      </c>
      <c r="I1743" s="52">
        <v>3</v>
      </c>
    </row>
    <row r="1744" spans="1:10" ht="15" customHeight="1">
      <c r="A1744" t="str">
        <f t="shared" ca="1" si="571"/>
        <v/>
      </c>
      <c r="B1744">
        <f t="shared" si="572"/>
        <v>14</v>
      </c>
      <c r="C1744">
        <f t="shared" ca="1" si="558"/>
        <v>11</v>
      </c>
      <c r="D1744" t="str">
        <f t="shared" si="573"/>
        <v>D14</v>
      </c>
      <c r="E1744" t="str">
        <f t="shared" ca="1" si="574"/>
        <v/>
      </c>
      <c r="F1744" t="str">
        <f t="shared" ca="1" si="575"/>
        <v xml:space="preserve">Enter a 'Total Units in Building*' for  building 11 in cell D14.
</v>
      </c>
      <c r="G1744" s="9" t="str">
        <f t="shared" ca="1" si="556"/>
        <v xml:space="preserve">Enter a value for 'Number of Floors in the Tallest Building' in cell B58.
</v>
      </c>
      <c r="H1744" s="52" t="str">
        <f t="shared" ca="1" si="576"/>
        <v>Total Units in Building*</v>
      </c>
      <c r="I1744" s="52">
        <v>4</v>
      </c>
    </row>
    <row r="1745" spans="1:10" ht="15" customHeight="1">
      <c r="A1745" t="str">
        <f t="shared" ca="1" si="571"/>
        <v/>
      </c>
      <c r="B1745">
        <f t="shared" si="572"/>
        <v>14</v>
      </c>
      <c r="C1745">
        <f t="shared" ca="1" si="558"/>
        <v>11</v>
      </c>
      <c r="D1745" t="str">
        <f t="shared" si="573"/>
        <v>E14</v>
      </c>
      <c r="E1745" t="str">
        <f t="shared" ca="1" si="574"/>
        <v/>
      </c>
      <c r="F1745" t="str">
        <f t="shared" ca="1" si="575"/>
        <v xml:space="preserve">Enter a 'Employee Units' for  building 11 in cell E14.
</v>
      </c>
      <c r="G1745" s="9" t="str">
        <f t="shared" ca="1" si="556"/>
        <v xml:space="preserve">Enter a value for 'Number of Floors in the Tallest Building' in cell B58.
</v>
      </c>
      <c r="H1745" s="52" t="str">
        <f t="shared" ca="1" si="576"/>
        <v>Employee Units</v>
      </c>
      <c r="I1745" s="52">
        <v>5</v>
      </c>
    </row>
    <row r="1746" spans="1:10" ht="15" customHeight="1">
      <c r="A1746" t="str">
        <f t="shared" ca="1" si="571"/>
        <v/>
      </c>
      <c r="B1746">
        <f t="shared" si="572"/>
        <v>14</v>
      </c>
      <c r="C1746">
        <f t="shared" ca="1" si="558"/>
        <v>11</v>
      </c>
      <c r="D1746" t="str">
        <f t="shared" si="573"/>
        <v>F14</v>
      </c>
      <c r="E1746" t="str">
        <f t="shared" ca="1" si="574"/>
        <v/>
      </c>
      <c r="F1746" t="str">
        <f t="shared" ca="1" si="575"/>
        <v xml:space="preserve">Enter a 'Low-Income Units' for  building 11 in cell F14.
</v>
      </c>
      <c r="G1746" s="9" t="str">
        <f t="shared" ca="1" si="556"/>
        <v xml:space="preserve">Enter a value for 'Number of Floors in the Tallest Building' in cell B58.
</v>
      </c>
      <c r="H1746" s="52" t="str">
        <f t="shared" ca="1" si="576"/>
        <v>Low-Income Units</v>
      </c>
      <c r="I1746" s="52">
        <v>6</v>
      </c>
    </row>
    <row r="1747" spans="1:10" ht="15" customHeight="1">
      <c r="A1747" t="str">
        <f t="shared" ca="1" si="571"/>
        <v/>
      </c>
      <c r="B1747">
        <f t="shared" si="572"/>
        <v>14</v>
      </c>
      <c r="C1747">
        <f t="shared" ca="1" si="558"/>
        <v>11</v>
      </c>
      <c r="D1747" t="str">
        <f t="shared" si="573"/>
        <v>G14</v>
      </c>
      <c r="E1747" t="str">
        <f t="shared" ca="1" si="574"/>
        <v/>
      </c>
      <c r="F1747" t="str">
        <f t="shared" ca="1" si="575"/>
        <v xml:space="preserve">Enter a 'Residential Square Footage**' for  building 11 in cell G14.
</v>
      </c>
      <c r="G1747" s="9" t="str">
        <f t="shared" ca="1" si="556"/>
        <v xml:space="preserve">Enter a value for 'Number of Floors in the Tallest Building' in cell B58.
</v>
      </c>
      <c r="H1747" s="52" t="str">
        <f t="shared" ca="1" si="576"/>
        <v>Residential Square Footage**</v>
      </c>
      <c r="I1747" s="52">
        <v>7</v>
      </c>
    </row>
    <row r="1748" spans="1:10" ht="15" customHeight="1">
      <c r="A1748" t="str">
        <f t="shared" ca="1" si="571"/>
        <v/>
      </c>
      <c r="B1748">
        <f t="shared" si="572"/>
        <v>14</v>
      </c>
      <c r="C1748">
        <f t="shared" ca="1" si="558"/>
        <v>11</v>
      </c>
      <c r="D1748" t="str">
        <f t="shared" si="573"/>
        <v>H14</v>
      </c>
      <c r="E1748" t="str">
        <f t="shared" ca="1" si="574"/>
        <v/>
      </c>
      <c r="F1748" t="str">
        <f t="shared" ca="1" si="575"/>
        <v xml:space="preserve">Enter a 'Square Footage of Employee Units' for  building 11 in cell H14.
</v>
      </c>
      <c r="G1748" s="9" t="str">
        <f t="shared" ca="1" si="556"/>
        <v xml:space="preserve">Enter a value for 'Number of Floors in the Tallest Building' in cell B58.
</v>
      </c>
      <c r="H1748" s="52" t="str">
        <f t="shared" ca="1" si="576"/>
        <v>Square Footage of Employee Units</v>
      </c>
      <c r="I1748" s="52">
        <v>8</v>
      </c>
    </row>
    <row r="1749" spans="1:10" ht="15" customHeight="1">
      <c r="A1749" t="str">
        <f t="shared" ca="1" si="571"/>
        <v/>
      </c>
      <c r="B1749">
        <f t="shared" si="572"/>
        <v>14</v>
      </c>
      <c r="C1749">
        <f t="shared" ca="1" si="558"/>
        <v>11</v>
      </c>
      <c r="D1749" t="str">
        <f t="shared" si="573"/>
        <v>I14</v>
      </c>
      <c r="E1749" t="str">
        <f t="shared" ca="1" si="574"/>
        <v/>
      </c>
      <c r="F1749" t="str">
        <f t="shared" ca="1" si="575"/>
        <v xml:space="preserve">Enter a 'Square Footage of Low-Income Units' for  building 11 in cell I14.
</v>
      </c>
      <c r="G1749" s="9" t="str">
        <f t="shared" ca="1" si="556"/>
        <v xml:space="preserve">Enter a value for 'Number of Floors in the Tallest Building' in cell B58.
</v>
      </c>
      <c r="H1749" s="52" t="str">
        <f t="shared" ca="1" si="576"/>
        <v>Square Footage of Low-Income Units</v>
      </c>
      <c r="I1749" s="52">
        <v>9</v>
      </c>
    </row>
    <row r="1750" spans="1:10" ht="15" customHeight="1">
      <c r="A1750" t="str">
        <f t="shared" ca="1" si="571"/>
        <v/>
      </c>
      <c r="B1750">
        <f t="shared" si="572"/>
        <v>14</v>
      </c>
      <c r="C1750">
        <f t="shared" ca="1" si="558"/>
        <v>11</v>
      </c>
      <c r="D1750" t="str">
        <f t="shared" si="573"/>
        <v>J14</v>
      </c>
      <c r="E1750" t="str">
        <f t="shared" ca="1" si="574"/>
        <v/>
      </c>
      <c r="F1750" t="str">
        <f t="shared" ca="1" si="575"/>
        <v xml:space="preserve">Enter a 'Placed-In-Service Date' for  building 11 in cell J14.
</v>
      </c>
      <c r="G1750" s="9" t="str">
        <f t="shared" ca="1" si="556"/>
        <v xml:space="preserve">Enter a value for 'Number of Floors in the Tallest Building' in cell B58.
</v>
      </c>
      <c r="H1750" s="52" t="str">
        <f t="shared" ca="1" si="576"/>
        <v>Placed-In-Service Date</v>
      </c>
      <c r="I1750" s="52">
        <v>10</v>
      </c>
    </row>
    <row r="1751" spans="1:10" ht="15" customHeight="1">
      <c r="A1751" t="str">
        <f t="shared" ca="1" si="571"/>
        <v/>
      </c>
      <c r="B1751">
        <f t="shared" si="572"/>
        <v>14</v>
      </c>
      <c r="C1751">
        <f t="shared" ca="1" si="558"/>
        <v>11</v>
      </c>
      <c r="D1751" t="str">
        <f t="shared" si="573"/>
        <v>K14</v>
      </c>
      <c r="E1751" t="str">
        <f t="shared" ca="1" si="574"/>
        <v/>
      </c>
      <c r="F1751" t="str">
        <f t="shared" ca="1" si="575"/>
        <v xml:space="preserve">Enter a 'New Construction/ Rehab APR' for  building 11 in cell K14.
</v>
      </c>
      <c r="G1751" s="9" t="str">
        <f t="shared" ca="1" si="556"/>
        <v xml:space="preserve">Enter a value for 'Number of Floors in the Tallest Building' in cell B58.
</v>
      </c>
      <c r="H1751" s="52" t="str">
        <f t="shared" ca="1" si="576"/>
        <v>New Construction/ Rehab APR</v>
      </c>
      <c r="I1751" s="52">
        <v>11</v>
      </c>
    </row>
    <row r="1752" spans="1:10" ht="15" customHeight="1">
      <c r="A1752" t="str">
        <f t="shared" ca="1" si="571"/>
        <v/>
      </c>
      <c r="B1752">
        <f t="shared" si="572"/>
        <v>14</v>
      </c>
      <c r="C1752">
        <f t="shared" ca="1" si="558"/>
        <v>11</v>
      </c>
      <c r="D1752" t="str">
        <f t="shared" si="573"/>
        <v>L14</v>
      </c>
      <c r="E1752" t="str">
        <f t="shared" ca="1" si="574"/>
        <v/>
      </c>
      <c r="F1752" t="str">
        <f t="shared" ca="1" si="575"/>
        <v xml:space="preserve">Enter a 'New Construction Eligible Basis' for  building 11 in cell L14.
</v>
      </c>
      <c r="G1752" s="9" t="str">
        <f t="shared" ca="1" si="556"/>
        <v xml:space="preserve">Enter a value for 'Number of Floors in the Tallest Building' in cell B58.
</v>
      </c>
      <c r="H1752" s="52" t="str">
        <f t="shared" ca="1" si="576"/>
        <v>New Construction Eligible Basis</v>
      </c>
      <c r="I1752" s="52">
        <v>12</v>
      </c>
    </row>
    <row r="1753" spans="1:10" ht="15" customHeight="1">
      <c r="A1753" t="str">
        <f ca="1">IF(AND(OFFSET(A1753, -I1753 + 2, 4) &gt;  0, E1753="", Calculations!$B$7), F1753, "")</f>
        <v/>
      </c>
      <c r="B1753">
        <f t="shared" si="572"/>
        <v>14</v>
      </c>
      <c r="C1753">
        <f t="shared" ca="1" si="558"/>
        <v>11</v>
      </c>
      <c r="D1753" t="str">
        <f t="shared" si="573"/>
        <v>M14</v>
      </c>
      <c r="E1753" t="str">
        <f t="shared" ca="1" si="574"/>
        <v/>
      </c>
      <c r="F1753" t="str">
        <f t="shared" ca="1" si="575"/>
        <v xml:space="preserve">Enter a 'Eligible Basis for Rehab' for  building 11 in cell M14.
</v>
      </c>
      <c r="G1753" s="9" t="str">
        <f t="shared" ca="1" si="556"/>
        <v xml:space="preserve">Enter a value for 'Number of Floors in the Tallest Building' in cell B58.
</v>
      </c>
      <c r="H1753" s="52" t="str">
        <f t="shared" ca="1" si="576"/>
        <v>Eligible Basis for Rehab</v>
      </c>
      <c r="I1753" s="52">
        <v>13</v>
      </c>
    </row>
    <row r="1754" spans="1:10" ht="15" customHeight="1">
      <c r="A1754" t="str">
        <f ca="1">IF(AND(OFFSET(A1754, -I1754 + 2, 4) &gt;  0, E1754="", Calculations!$B$7), F1754, "")</f>
        <v/>
      </c>
      <c r="B1754">
        <f t="shared" si="572"/>
        <v>14</v>
      </c>
      <c r="C1754">
        <f t="shared" ca="1" si="558"/>
        <v>11</v>
      </c>
      <c r="D1754" t="str">
        <f t="shared" si="573"/>
        <v>N14</v>
      </c>
      <c r="E1754" t="str">
        <f t="shared" ca="1" si="574"/>
        <v/>
      </c>
      <c r="F1754" t="str">
        <f t="shared" ca="1" si="575"/>
        <v xml:space="preserve">Enter a 'Cost of Acquiring the Building***' for  building 11 in cell N14.
</v>
      </c>
      <c r="G1754" s="9" t="str">
        <f t="shared" ca="1" si="556"/>
        <v xml:space="preserve">Enter a value for 'Number of Floors in the Tallest Building' in cell B58.
</v>
      </c>
      <c r="H1754" s="52" t="str">
        <f t="shared" ca="1" si="576"/>
        <v>Cost of Acquiring the Building***</v>
      </c>
      <c r="I1754" s="52">
        <v>14</v>
      </c>
    </row>
    <row r="1755" spans="1:10" ht="15" customHeight="1">
      <c r="A1755" t="str">
        <f ca="1">IF(AND(OFFSET(A1755, -I1755 + 2, 4) &gt;  0, E1755="", Calculations!$B$7), F1755, "")</f>
        <v/>
      </c>
      <c r="B1755">
        <f t="shared" si="572"/>
        <v>14</v>
      </c>
      <c r="C1755">
        <f t="shared" ca="1" si="558"/>
        <v>11</v>
      </c>
      <c r="D1755" t="str">
        <f t="shared" si="573"/>
        <v>O14</v>
      </c>
      <c r="E1755" t="str">
        <f t="shared" ca="1" si="574"/>
        <v/>
      </c>
      <c r="F1755" t="str">
        <f t="shared" ca="1" si="575"/>
        <v xml:space="preserve">Enter a 'Higher of Land Purchase Price or Land Appraised Value****' for  building 11 in cell O14.
</v>
      </c>
      <c r="G1755" s="9" t="str">
        <f t="shared" ca="1" si="556"/>
        <v xml:space="preserve">Enter a value for 'Number of Floors in the Tallest Building' in cell B58.
</v>
      </c>
      <c r="H1755" s="52" t="str">
        <f t="shared" ca="1" si="576"/>
        <v>Higher of Land Purchase Price or Land Appraised Value****</v>
      </c>
      <c r="I1755" s="52">
        <v>15</v>
      </c>
    </row>
    <row r="1756" spans="1:10" ht="15" customHeight="1">
      <c r="A1756" t="str">
        <f ca="1">IF(AND(OFFSET(A1756, -I1756 + 2, 4) &gt;  0, E1756="", Calculations!$B$7), F1756, "")</f>
        <v/>
      </c>
      <c r="B1756">
        <f t="shared" si="572"/>
        <v>14</v>
      </c>
      <c r="C1756">
        <f t="shared" ca="1" si="558"/>
        <v>11</v>
      </c>
      <c r="D1756" t="str">
        <f t="shared" si="573"/>
        <v>P14</v>
      </c>
      <c r="E1756" t="str">
        <f t="shared" ca="1" si="574"/>
        <v/>
      </c>
      <c r="F1756" t="str">
        <f t="shared" ca="1" si="575"/>
        <v xml:space="preserve">Enter a 'Acquisition Placed-in-Service Date' for  building 11 in cell P14.
</v>
      </c>
      <c r="G1756" s="9" t="str">
        <f t="shared" ca="1" si="556"/>
        <v xml:space="preserve">Enter a value for 'Number of Floors in the Tallest Building' in cell B58.
</v>
      </c>
      <c r="H1756" s="52" t="str">
        <f t="shared" ca="1" si="576"/>
        <v>Acquisition Placed-in-Service Date</v>
      </c>
      <c r="I1756" s="52">
        <v>16</v>
      </c>
    </row>
    <row r="1757" spans="1:10" ht="15" customHeight="1">
      <c r="A1757" t="str">
        <f ca="1">IF(AND(OFFSET(A1757, -I1757 + 2, 4) &gt;  0, E1757="", Calculations!$B$7), F1757, "")</f>
        <v/>
      </c>
      <c r="B1757">
        <f t="shared" si="572"/>
        <v>14</v>
      </c>
      <c r="C1757">
        <f t="shared" ca="1" si="558"/>
        <v>11</v>
      </c>
      <c r="D1757" t="str">
        <f t="shared" si="573"/>
        <v>Q14</v>
      </c>
      <c r="E1757" t="str">
        <f t="shared" ca="1" si="574"/>
        <v/>
      </c>
      <c r="F1757" t="str">
        <f t="shared" ca="1" si="575"/>
        <v xml:space="preserve">Enter a 'Acquisition APR' for  building 11 in cell Q14.
</v>
      </c>
      <c r="G1757" s="9" t="str">
        <f t="shared" ca="1" si="556"/>
        <v xml:space="preserve">Enter a value for 'Number of Floors in the Tallest Building' in cell B58.
</v>
      </c>
      <c r="H1757" s="52" t="str">
        <f t="shared" ca="1" si="576"/>
        <v>Acquisition APR</v>
      </c>
      <c r="I1757" s="52">
        <v>17</v>
      </c>
    </row>
    <row r="1758" spans="1:10" ht="15" customHeight="1">
      <c r="A1758" t="str">
        <f ca="1">IF(AND(Calculations!$B$4,Calculations!$B$28&gt;=C1758, E1758 &lt;&gt; 13),F1758,"")</f>
        <v/>
      </c>
      <c r="B1758">
        <f>ROW('Final Building Profile'!C15)</f>
        <v>15</v>
      </c>
      <c r="C1758">
        <f t="shared" ca="1" si="558"/>
        <v>12</v>
      </c>
      <c r="D1758" t="str">
        <f>ADDRESS(B1758, 3,4  )</f>
        <v>C15</v>
      </c>
      <c r="E1758" s="52">
        <f ca="1">H1758+I1758</f>
        <v>0</v>
      </c>
      <c r="F1758" t="str">
        <f ca="1">CONCATENATE("Based upon the number of buildings specified, information for  building ", C1758, " required for a final application in row ", B1758, ".", CHAR(10))</f>
        <v xml:space="preserve">Based upon the number of buildings specified, information for  building 12 required for a final application in row 15.
</v>
      </c>
      <c r="G1758" s="9" t="str">
        <f t="shared" ca="1" si="556"/>
        <v xml:space="preserve">Enter a value for 'Number of Floors in the Tallest Building' in cell B58.
</v>
      </c>
      <c r="H1758" s="52">
        <f ca="1">SUMPRODUCT(--ISTEXT(INDIRECT(J1758)))</f>
        <v>0</v>
      </c>
      <c r="I1758" s="52">
        <f ca="1">SUMPRODUCT(--ISNUMBER(INDIRECT(J1758)))</f>
        <v>0</v>
      </c>
      <c r="J1758" s="52" t="str">
        <f>$F$1564&amp; ADDRESS(B1758,3,4) &amp; ":" &amp; ADDRESS(B1758,15,4)</f>
        <v>'Final Building Profile'!C15:O15</v>
      </c>
    </row>
    <row r="1759" spans="1:10" ht="15" customHeight="1">
      <c r="A1759" t="str">
        <f t="shared" ref="A1759:A1768" ca="1" si="577">IF(AND(OFFSET(A1759, -I1759 + 2, 4) &gt;  0, E1759=""), F1759, "")</f>
        <v/>
      </c>
      <c r="B1759">
        <f t="shared" ref="B1759:B1773" si="578">B1758</f>
        <v>15</v>
      </c>
      <c r="C1759">
        <f t="shared" ca="1" si="558"/>
        <v>12</v>
      </c>
      <c r="D1759" t="str">
        <f t="shared" ref="D1759:D1773" si="579">ADDRESS(B1759, I1759,4  )</f>
        <v>C15</v>
      </c>
      <c r="E1759" t="str">
        <f t="shared" ref="E1759:E1773" ca="1" si="580">IF(ISBLANK( INDIRECT($F$1564 &amp; D1759)),"", INDIRECT($F$1564 &amp; D1759))</f>
        <v/>
      </c>
      <c r="F1759" t="str">
        <f t="shared" ref="F1759:F1773" ca="1" si="581">CONCATENATE("Enter a '"&amp; H1759 &amp;"' for  building ", C1759, " in cell ", D1759, ".", CHAR(10))</f>
        <v xml:space="preserve">Enter a 'Building Street Address Only 
(DO NOT ENTER CITY, STATE, OR ZIP)' for  building 12 in cell C15.
</v>
      </c>
      <c r="G1759" s="9" t="str">
        <f t="shared" ref="G1759:G1822" ca="1" si="582">OFFSET(G1759, -1, 0) &amp; A1759</f>
        <v xml:space="preserve">Enter a value for 'Number of Floors in the Tallest Building' in cell B58.
</v>
      </c>
      <c r="H1759" s="52" t="str">
        <f t="shared" ref="H1759:H1773" ca="1" si="583">OFFSET(INDIRECT($F$1564 &amp; D1759), -B1759 + 3, 0)</f>
        <v>Building Street Address Only 
(DO NOT ENTER CITY, STATE, OR ZIP)</v>
      </c>
      <c r="I1759" s="52">
        <v>3</v>
      </c>
    </row>
    <row r="1760" spans="1:10" ht="15" customHeight="1">
      <c r="A1760" t="str">
        <f t="shared" ca="1" si="577"/>
        <v/>
      </c>
      <c r="B1760">
        <f t="shared" si="578"/>
        <v>15</v>
      </c>
      <c r="C1760">
        <f t="shared" ca="1" si="558"/>
        <v>12</v>
      </c>
      <c r="D1760" t="str">
        <f t="shared" si="579"/>
        <v>D15</v>
      </c>
      <c r="E1760" t="str">
        <f t="shared" ca="1" si="580"/>
        <v/>
      </c>
      <c r="F1760" t="str">
        <f t="shared" ca="1" si="581"/>
        <v xml:space="preserve">Enter a 'Total Units in Building*' for  building 12 in cell D15.
</v>
      </c>
      <c r="G1760" s="9" t="str">
        <f t="shared" ca="1" si="582"/>
        <v xml:space="preserve">Enter a value for 'Number of Floors in the Tallest Building' in cell B58.
</v>
      </c>
      <c r="H1760" s="52" t="str">
        <f t="shared" ca="1" si="583"/>
        <v>Total Units in Building*</v>
      </c>
      <c r="I1760" s="52">
        <v>4</v>
      </c>
    </row>
    <row r="1761" spans="1:10" ht="15" customHeight="1">
      <c r="A1761" t="str">
        <f t="shared" ca="1" si="577"/>
        <v/>
      </c>
      <c r="B1761">
        <f t="shared" si="578"/>
        <v>15</v>
      </c>
      <c r="C1761">
        <f t="shared" ca="1" si="558"/>
        <v>12</v>
      </c>
      <c r="D1761" t="str">
        <f t="shared" si="579"/>
        <v>E15</v>
      </c>
      <c r="E1761" t="str">
        <f t="shared" ca="1" si="580"/>
        <v/>
      </c>
      <c r="F1761" t="str">
        <f t="shared" ca="1" si="581"/>
        <v xml:space="preserve">Enter a 'Employee Units' for  building 12 in cell E15.
</v>
      </c>
      <c r="G1761" s="9" t="str">
        <f t="shared" ca="1" si="582"/>
        <v xml:space="preserve">Enter a value for 'Number of Floors in the Tallest Building' in cell B58.
</v>
      </c>
      <c r="H1761" s="52" t="str">
        <f t="shared" ca="1" si="583"/>
        <v>Employee Units</v>
      </c>
      <c r="I1761" s="52">
        <v>5</v>
      </c>
    </row>
    <row r="1762" spans="1:10" ht="15" customHeight="1">
      <c r="A1762" t="str">
        <f t="shared" ca="1" si="577"/>
        <v/>
      </c>
      <c r="B1762">
        <f t="shared" si="578"/>
        <v>15</v>
      </c>
      <c r="C1762">
        <f t="shared" ca="1" si="558"/>
        <v>12</v>
      </c>
      <c r="D1762" t="str">
        <f t="shared" si="579"/>
        <v>F15</v>
      </c>
      <c r="E1762" t="str">
        <f t="shared" ca="1" si="580"/>
        <v/>
      </c>
      <c r="F1762" t="str">
        <f t="shared" ca="1" si="581"/>
        <v xml:space="preserve">Enter a 'Low-Income Units' for  building 12 in cell F15.
</v>
      </c>
      <c r="G1762" s="9" t="str">
        <f t="shared" ca="1" si="582"/>
        <v xml:space="preserve">Enter a value for 'Number of Floors in the Tallest Building' in cell B58.
</v>
      </c>
      <c r="H1762" s="52" t="str">
        <f t="shared" ca="1" si="583"/>
        <v>Low-Income Units</v>
      </c>
      <c r="I1762" s="52">
        <v>6</v>
      </c>
    </row>
    <row r="1763" spans="1:10" ht="15" customHeight="1">
      <c r="A1763" t="str">
        <f t="shared" ca="1" si="577"/>
        <v/>
      </c>
      <c r="B1763">
        <f t="shared" si="578"/>
        <v>15</v>
      </c>
      <c r="C1763">
        <f t="shared" ca="1" si="558"/>
        <v>12</v>
      </c>
      <c r="D1763" t="str">
        <f t="shared" si="579"/>
        <v>G15</v>
      </c>
      <c r="E1763" t="str">
        <f t="shared" ca="1" si="580"/>
        <v/>
      </c>
      <c r="F1763" t="str">
        <f t="shared" ca="1" si="581"/>
        <v xml:space="preserve">Enter a 'Residential Square Footage**' for  building 12 in cell G15.
</v>
      </c>
      <c r="G1763" s="9" t="str">
        <f t="shared" ca="1" si="582"/>
        <v xml:space="preserve">Enter a value for 'Number of Floors in the Tallest Building' in cell B58.
</v>
      </c>
      <c r="H1763" s="52" t="str">
        <f t="shared" ca="1" si="583"/>
        <v>Residential Square Footage**</v>
      </c>
      <c r="I1763" s="52">
        <v>7</v>
      </c>
    </row>
    <row r="1764" spans="1:10" ht="15" customHeight="1">
      <c r="A1764" t="str">
        <f t="shared" ca="1" si="577"/>
        <v/>
      </c>
      <c r="B1764">
        <f t="shared" si="578"/>
        <v>15</v>
      </c>
      <c r="C1764">
        <f t="shared" ca="1" si="558"/>
        <v>12</v>
      </c>
      <c r="D1764" t="str">
        <f t="shared" si="579"/>
        <v>H15</v>
      </c>
      <c r="E1764" t="str">
        <f t="shared" ca="1" si="580"/>
        <v/>
      </c>
      <c r="F1764" t="str">
        <f t="shared" ca="1" si="581"/>
        <v xml:space="preserve">Enter a 'Square Footage of Employee Units' for  building 12 in cell H15.
</v>
      </c>
      <c r="G1764" s="9" t="str">
        <f t="shared" ca="1" si="582"/>
        <v xml:space="preserve">Enter a value for 'Number of Floors in the Tallest Building' in cell B58.
</v>
      </c>
      <c r="H1764" s="52" t="str">
        <f t="shared" ca="1" si="583"/>
        <v>Square Footage of Employee Units</v>
      </c>
      <c r="I1764" s="52">
        <v>8</v>
      </c>
    </row>
    <row r="1765" spans="1:10" ht="15" customHeight="1">
      <c r="A1765" t="str">
        <f t="shared" ca="1" si="577"/>
        <v/>
      </c>
      <c r="B1765">
        <f t="shared" si="578"/>
        <v>15</v>
      </c>
      <c r="C1765">
        <f t="shared" ca="1" si="558"/>
        <v>12</v>
      </c>
      <c r="D1765" t="str">
        <f t="shared" si="579"/>
        <v>I15</v>
      </c>
      <c r="E1765" t="str">
        <f t="shared" ca="1" si="580"/>
        <v/>
      </c>
      <c r="F1765" t="str">
        <f t="shared" ca="1" si="581"/>
        <v xml:space="preserve">Enter a 'Square Footage of Low-Income Units' for  building 12 in cell I15.
</v>
      </c>
      <c r="G1765" s="9" t="str">
        <f t="shared" ca="1" si="582"/>
        <v xml:space="preserve">Enter a value for 'Number of Floors in the Tallest Building' in cell B58.
</v>
      </c>
      <c r="H1765" s="52" t="str">
        <f t="shared" ca="1" si="583"/>
        <v>Square Footage of Low-Income Units</v>
      </c>
      <c r="I1765" s="52">
        <v>9</v>
      </c>
    </row>
    <row r="1766" spans="1:10" ht="15" customHeight="1">
      <c r="A1766" t="str">
        <f t="shared" ca="1" si="577"/>
        <v/>
      </c>
      <c r="B1766">
        <f t="shared" si="578"/>
        <v>15</v>
      </c>
      <c r="C1766">
        <f t="shared" ca="1" si="558"/>
        <v>12</v>
      </c>
      <c r="D1766" t="str">
        <f t="shared" si="579"/>
        <v>J15</v>
      </c>
      <c r="E1766" t="str">
        <f t="shared" ca="1" si="580"/>
        <v/>
      </c>
      <c r="F1766" t="str">
        <f t="shared" ca="1" si="581"/>
        <v xml:space="preserve">Enter a 'Placed-In-Service Date' for  building 12 in cell J15.
</v>
      </c>
      <c r="G1766" s="9" t="str">
        <f t="shared" ca="1" si="582"/>
        <v xml:space="preserve">Enter a value for 'Number of Floors in the Tallest Building' in cell B58.
</v>
      </c>
      <c r="H1766" s="52" t="str">
        <f t="shared" ca="1" si="583"/>
        <v>Placed-In-Service Date</v>
      </c>
      <c r="I1766" s="52">
        <v>10</v>
      </c>
    </row>
    <row r="1767" spans="1:10" ht="15" customHeight="1">
      <c r="A1767" t="str">
        <f t="shared" ca="1" si="577"/>
        <v/>
      </c>
      <c r="B1767">
        <f t="shared" si="578"/>
        <v>15</v>
      </c>
      <c r="C1767">
        <f t="shared" ca="1" si="558"/>
        <v>12</v>
      </c>
      <c r="D1767" t="str">
        <f t="shared" si="579"/>
        <v>K15</v>
      </c>
      <c r="E1767" t="str">
        <f t="shared" ca="1" si="580"/>
        <v/>
      </c>
      <c r="F1767" t="str">
        <f t="shared" ca="1" si="581"/>
        <v xml:space="preserve">Enter a 'New Construction/ Rehab APR' for  building 12 in cell K15.
</v>
      </c>
      <c r="G1767" s="9" t="str">
        <f t="shared" ca="1" si="582"/>
        <v xml:space="preserve">Enter a value for 'Number of Floors in the Tallest Building' in cell B58.
</v>
      </c>
      <c r="H1767" s="52" t="str">
        <f t="shared" ca="1" si="583"/>
        <v>New Construction/ Rehab APR</v>
      </c>
      <c r="I1767" s="52">
        <v>11</v>
      </c>
    </row>
    <row r="1768" spans="1:10" ht="15" customHeight="1">
      <c r="A1768" t="str">
        <f t="shared" ca="1" si="577"/>
        <v/>
      </c>
      <c r="B1768">
        <f t="shared" si="578"/>
        <v>15</v>
      </c>
      <c r="C1768">
        <f t="shared" ca="1" si="558"/>
        <v>12</v>
      </c>
      <c r="D1768" t="str">
        <f t="shared" si="579"/>
        <v>L15</v>
      </c>
      <c r="E1768" t="str">
        <f t="shared" ca="1" si="580"/>
        <v/>
      </c>
      <c r="F1768" t="str">
        <f t="shared" ca="1" si="581"/>
        <v xml:space="preserve">Enter a 'New Construction Eligible Basis' for  building 12 in cell L15.
</v>
      </c>
      <c r="G1768" s="9" t="str">
        <f t="shared" ca="1" si="582"/>
        <v xml:space="preserve">Enter a value for 'Number of Floors in the Tallest Building' in cell B58.
</v>
      </c>
      <c r="H1768" s="52" t="str">
        <f t="shared" ca="1" si="583"/>
        <v>New Construction Eligible Basis</v>
      </c>
      <c r="I1768" s="52">
        <v>12</v>
      </c>
    </row>
    <row r="1769" spans="1:10" ht="15" customHeight="1">
      <c r="A1769" t="str">
        <f ca="1">IF(AND(OFFSET(A1769, -I1769 + 2, 4) &gt;  0, E1769="", Calculations!$B$7), F1769, "")</f>
        <v/>
      </c>
      <c r="B1769">
        <f t="shared" si="578"/>
        <v>15</v>
      </c>
      <c r="C1769">
        <f t="shared" ca="1" si="558"/>
        <v>12</v>
      </c>
      <c r="D1769" t="str">
        <f t="shared" si="579"/>
        <v>M15</v>
      </c>
      <c r="E1769" t="str">
        <f t="shared" ca="1" si="580"/>
        <v/>
      </c>
      <c r="F1769" t="str">
        <f t="shared" ca="1" si="581"/>
        <v xml:space="preserve">Enter a 'Eligible Basis for Rehab' for  building 12 in cell M15.
</v>
      </c>
      <c r="G1769" s="9" t="str">
        <f t="shared" ca="1" si="582"/>
        <v xml:space="preserve">Enter a value for 'Number of Floors in the Tallest Building' in cell B58.
</v>
      </c>
      <c r="H1769" s="52" t="str">
        <f t="shared" ca="1" si="583"/>
        <v>Eligible Basis for Rehab</v>
      </c>
      <c r="I1769" s="52">
        <v>13</v>
      </c>
    </row>
    <row r="1770" spans="1:10" ht="15" customHeight="1">
      <c r="A1770" t="str">
        <f ca="1">IF(AND(OFFSET(A1770, -I1770 + 2, 4) &gt;  0, E1770="", Calculations!$B$7), F1770, "")</f>
        <v/>
      </c>
      <c r="B1770">
        <f t="shared" si="578"/>
        <v>15</v>
      </c>
      <c r="C1770">
        <f t="shared" ca="1" si="558"/>
        <v>12</v>
      </c>
      <c r="D1770" t="str">
        <f t="shared" si="579"/>
        <v>N15</v>
      </c>
      <c r="E1770" t="str">
        <f t="shared" ca="1" si="580"/>
        <v/>
      </c>
      <c r="F1770" t="str">
        <f t="shared" ca="1" si="581"/>
        <v xml:space="preserve">Enter a 'Cost of Acquiring the Building***' for  building 12 in cell N15.
</v>
      </c>
      <c r="G1770" s="9" t="str">
        <f t="shared" ca="1" si="582"/>
        <v xml:space="preserve">Enter a value for 'Number of Floors in the Tallest Building' in cell B58.
</v>
      </c>
      <c r="H1770" s="52" t="str">
        <f t="shared" ca="1" si="583"/>
        <v>Cost of Acquiring the Building***</v>
      </c>
      <c r="I1770" s="52">
        <v>14</v>
      </c>
    </row>
    <row r="1771" spans="1:10" ht="15" customHeight="1">
      <c r="A1771" t="str">
        <f ca="1">IF(AND(OFFSET(A1771, -I1771 + 2, 4) &gt;  0, E1771="", Calculations!$B$7), F1771, "")</f>
        <v/>
      </c>
      <c r="B1771">
        <f t="shared" si="578"/>
        <v>15</v>
      </c>
      <c r="C1771">
        <f t="shared" ca="1" si="558"/>
        <v>12</v>
      </c>
      <c r="D1771" t="str">
        <f t="shared" si="579"/>
        <v>O15</v>
      </c>
      <c r="E1771" t="str">
        <f t="shared" ca="1" si="580"/>
        <v/>
      </c>
      <c r="F1771" t="str">
        <f t="shared" ca="1" si="581"/>
        <v xml:space="preserve">Enter a 'Higher of Land Purchase Price or Land Appraised Value****' for  building 12 in cell O15.
</v>
      </c>
      <c r="G1771" s="9" t="str">
        <f t="shared" ca="1" si="582"/>
        <v xml:space="preserve">Enter a value for 'Number of Floors in the Tallest Building' in cell B58.
</v>
      </c>
      <c r="H1771" s="52" t="str">
        <f t="shared" ca="1" si="583"/>
        <v>Higher of Land Purchase Price or Land Appraised Value****</v>
      </c>
      <c r="I1771" s="52">
        <v>15</v>
      </c>
    </row>
    <row r="1772" spans="1:10" ht="15" customHeight="1">
      <c r="A1772" t="str">
        <f ca="1">IF(AND(OFFSET(A1772, -I1772 + 2, 4) &gt;  0, E1772="", Calculations!$B$7), F1772, "")</f>
        <v/>
      </c>
      <c r="B1772">
        <f t="shared" si="578"/>
        <v>15</v>
      </c>
      <c r="C1772">
        <f t="shared" ca="1" si="558"/>
        <v>12</v>
      </c>
      <c r="D1772" t="str">
        <f t="shared" si="579"/>
        <v>P15</v>
      </c>
      <c r="E1772" t="str">
        <f t="shared" ca="1" si="580"/>
        <v/>
      </c>
      <c r="F1772" t="str">
        <f t="shared" ca="1" si="581"/>
        <v xml:space="preserve">Enter a 'Acquisition Placed-in-Service Date' for  building 12 in cell P15.
</v>
      </c>
      <c r="G1772" s="9" t="str">
        <f t="shared" ca="1" si="582"/>
        <v xml:space="preserve">Enter a value for 'Number of Floors in the Tallest Building' in cell B58.
</v>
      </c>
      <c r="H1772" s="52" t="str">
        <f t="shared" ca="1" si="583"/>
        <v>Acquisition Placed-in-Service Date</v>
      </c>
      <c r="I1772" s="52">
        <v>16</v>
      </c>
    </row>
    <row r="1773" spans="1:10" ht="15" customHeight="1">
      <c r="A1773" t="str">
        <f ca="1">IF(AND(OFFSET(A1773, -I1773 + 2, 4) &gt;  0, E1773="", Calculations!$B$7), F1773, "")</f>
        <v/>
      </c>
      <c r="B1773">
        <f t="shared" si="578"/>
        <v>15</v>
      </c>
      <c r="C1773">
        <f t="shared" ca="1" si="558"/>
        <v>12</v>
      </c>
      <c r="D1773" t="str">
        <f t="shared" si="579"/>
        <v>Q15</v>
      </c>
      <c r="E1773" t="str">
        <f t="shared" ca="1" si="580"/>
        <v/>
      </c>
      <c r="F1773" t="str">
        <f t="shared" ca="1" si="581"/>
        <v xml:space="preserve">Enter a 'Acquisition APR' for  building 12 in cell Q15.
</v>
      </c>
      <c r="G1773" s="9" t="str">
        <f t="shared" ca="1" si="582"/>
        <v xml:space="preserve">Enter a value for 'Number of Floors in the Tallest Building' in cell B58.
</v>
      </c>
      <c r="H1773" s="52" t="str">
        <f t="shared" ca="1" si="583"/>
        <v>Acquisition APR</v>
      </c>
      <c r="I1773" s="52">
        <v>17</v>
      </c>
    </row>
    <row r="1774" spans="1:10" ht="15" customHeight="1">
      <c r="A1774" t="str">
        <f ca="1">IF(AND(Calculations!$B$4,Calculations!$B$28&gt;=C1774, E1774 &lt;&gt; 13),F1774,"")</f>
        <v/>
      </c>
      <c r="B1774">
        <f>ROW('Final Building Profile'!C16)</f>
        <v>16</v>
      </c>
      <c r="C1774">
        <f t="shared" ref="C1774:C1837" ca="1" si="584">INDIRECT($F$1564 &amp; ADDRESS(B1774, 1,4  ))</f>
        <v>13</v>
      </c>
      <c r="D1774" t="str">
        <f>ADDRESS(B1774, 3,4  )</f>
        <v>C16</v>
      </c>
      <c r="E1774" s="52">
        <f ca="1">H1774+I1774</f>
        <v>0</v>
      </c>
      <c r="F1774" t="str">
        <f ca="1">CONCATENATE("Based upon the number of buildings specified, information for  building ", C1774, " required for a final application in row ", B1774, ".", CHAR(10))</f>
        <v xml:space="preserve">Based upon the number of buildings specified, information for  building 13 required for a final application in row 16.
</v>
      </c>
      <c r="G1774" s="9" t="str">
        <f t="shared" ca="1" si="582"/>
        <v xml:space="preserve">Enter a value for 'Number of Floors in the Tallest Building' in cell B58.
</v>
      </c>
      <c r="H1774" s="52">
        <f ca="1">SUMPRODUCT(--ISTEXT(INDIRECT(J1774)))</f>
        <v>0</v>
      </c>
      <c r="I1774" s="52">
        <f ca="1">SUMPRODUCT(--ISNUMBER(INDIRECT(J1774)))</f>
        <v>0</v>
      </c>
      <c r="J1774" s="52" t="str">
        <f>$F$1564&amp; ADDRESS(B1774,3,4) &amp; ":" &amp; ADDRESS(B1774,15,4)</f>
        <v>'Final Building Profile'!C16:O16</v>
      </c>
    </row>
    <row r="1775" spans="1:10" ht="15" customHeight="1">
      <c r="A1775" t="str">
        <f t="shared" ref="A1775:A1784" ca="1" si="585">IF(AND(OFFSET(A1775, -I1775 + 2, 4) &gt;  0, E1775=""), F1775, "")</f>
        <v/>
      </c>
      <c r="B1775">
        <f t="shared" ref="B1775:B1789" si="586">B1774</f>
        <v>16</v>
      </c>
      <c r="C1775">
        <f t="shared" ca="1" si="584"/>
        <v>13</v>
      </c>
      <c r="D1775" t="str">
        <f t="shared" ref="D1775:D1789" si="587">ADDRESS(B1775, I1775,4  )</f>
        <v>C16</v>
      </c>
      <c r="E1775" t="str">
        <f t="shared" ref="E1775:E1789" ca="1" si="588">IF(ISBLANK( INDIRECT($F$1564 &amp; D1775)),"", INDIRECT($F$1564 &amp; D1775))</f>
        <v/>
      </c>
      <c r="F1775" t="str">
        <f t="shared" ref="F1775:F1789" ca="1" si="589">CONCATENATE("Enter a '"&amp; H1775 &amp;"' for  building ", C1775, " in cell ", D1775, ".", CHAR(10))</f>
        <v xml:space="preserve">Enter a 'Building Street Address Only 
(DO NOT ENTER CITY, STATE, OR ZIP)' for  building 13 in cell C16.
</v>
      </c>
      <c r="G1775" s="9" t="str">
        <f t="shared" ca="1" si="582"/>
        <v xml:space="preserve">Enter a value for 'Number of Floors in the Tallest Building' in cell B58.
</v>
      </c>
      <c r="H1775" s="52" t="str">
        <f t="shared" ref="H1775:H1789" ca="1" si="590">OFFSET(INDIRECT($F$1564 &amp; D1775), -B1775 + 3, 0)</f>
        <v>Building Street Address Only 
(DO NOT ENTER CITY, STATE, OR ZIP)</v>
      </c>
      <c r="I1775" s="52">
        <v>3</v>
      </c>
    </row>
    <row r="1776" spans="1:10" ht="15" customHeight="1">
      <c r="A1776" t="str">
        <f t="shared" ca="1" si="585"/>
        <v/>
      </c>
      <c r="B1776">
        <f t="shared" si="586"/>
        <v>16</v>
      </c>
      <c r="C1776">
        <f t="shared" ca="1" si="584"/>
        <v>13</v>
      </c>
      <c r="D1776" t="str">
        <f t="shared" si="587"/>
        <v>D16</v>
      </c>
      <c r="E1776" t="str">
        <f t="shared" ca="1" si="588"/>
        <v/>
      </c>
      <c r="F1776" t="str">
        <f t="shared" ca="1" si="589"/>
        <v xml:space="preserve">Enter a 'Total Units in Building*' for  building 13 in cell D16.
</v>
      </c>
      <c r="G1776" s="9" t="str">
        <f t="shared" ca="1" si="582"/>
        <v xml:space="preserve">Enter a value for 'Number of Floors in the Tallest Building' in cell B58.
</v>
      </c>
      <c r="H1776" s="52" t="str">
        <f t="shared" ca="1" si="590"/>
        <v>Total Units in Building*</v>
      </c>
      <c r="I1776" s="52">
        <v>4</v>
      </c>
    </row>
    <row r="1777" spans="1:10" ht="15" customHeight="1">
      <c r="A1777" t="str">
        <f t="shared" ca="1" si="585"/>
        <v/>
      </c>
      <c r="B1777">
        <f t="shared" si="586"/>
        <v>16</v>
      </c>
      <c r="C1777">
        <f t="shared" ca="1" si="584"/>
        <v>13</v>
      </c>
      <c r="D1777" t="str">
        <f t="shared" si="587"/>
        <v>E16</v>
      </c>
      <c r="E1777" t="str">
        <f t="shared" ca="1" si="588"/>
        <v/>
      </c>
      <c r="F1777" t="str">
        <f t="shared" ca="1" si="589"/>
        <v xml:space="preserve">Enter a 'Employee Units' for  building 13 in cell E16.
</v>
      </c>
      <c r="G1777" s="9" t="str">
        <f t="shared" ca="1" si="582"/>
        <v xml:space="preserve">Enter a value for 'Number of Floors in the Tallest Building' in cell B58.
</v>
      </c>
      <c r="H1777" s="52" t="str">
        <f t="shared" ca="1" si="590"/>
        <v>Employee Units</v>
      </c>
      <c r="I1777" s="52">
        <v>5</v>
      </c>
    </row>
    <row r="1778" spans="1:10" ht="15" customHeight="1">
      <c r="A1778" t="str">
        <f t="shared" ca="1" si="585"/>
        <v/>
      </c>
      <c r="B1778">
        <f t="shared" si="586"/>
        <v>16</v>
      </c>
      <c r="C1778">
        <f t="shared" ca="1" si="584"/>
        <v>13</v>
      </c>
      <c r="D1778" t="str">
        <f t="shared" si="587"/>
        <v>F16</v>
      </c>
      <c r="E1778" t="str">
        <f t="shared" ca="1" si="588"/>
        <v/>
      </c>
      <c r="F1778" t="str">
        <f t="shared" ca="1" si="589"/>
        <v xml:space="preserve">Enter a 'Low-Income Units' for  building 13 in cell F16.
</v>
      </c>
      <c r="G1778" s="9" t="str">
        <f t="shared" ca="1" si="582"/>
        <v xml:space="preserve">Enter a value for 'Number of Floors in the Tallest Building' in cell B58.
</v>
      </c>
      <c r="H1778" s="52" t="str">
        <f t="shared" ca="1" si="590"/>
        <v>Low-Income Units</v>
      </c>
      <c r="I1778" s="52">
        <v>6</v>
      </c>
    </row>
    <row r="1779" spans="1:10" ht="15" customHeight="1">
      <c r="A1779" t="str">
        <f t="shared" ca="1" si="585"/>
        <v/>
      </c>
      <c r="B1779">
        <f t="shared" si="586"/>
        <v>16</v>
      </c>
      <c r="C1779">
        <f t="shared" ca="1" si="584"/>
        <v>13</v>
      </c>
      <c r="D1779" t="str">
        <f t="shared" si="587"/>
        <v>G16</v>
      </c>
      <c r="E1779" t="str">
        <f t="shared" ca="1" si="588"/>
        <v/>
      </c>
      <c r="F1779" t="str">
        <f t="shared" ca="1" si="589"/>
        <v xml:space="preserve">Enter a 'Residential Square Footage**' for  building 13 in cell G16.
</v>
      </c>
      <c r="G1779" s="9" t="str">
        <f t="shared" ca="1" si="582"/>
        <v xml:space="preserve">Enter a value for 'Number of Floors in the Tallest Building' in cell B58.
</v>
      </c>
      <c r="H1779" s="52" t="str">
        <f t="shared" ca="1" si="590"/>
        <v>Residential Square Footage**</v>
      </c>
      <c r="I1779" s="52">
        <v>7</v>
      </c>
    </row>
    <row r="1780" spans="1:10" ht="15" customHeight="1">
      <c r="A1780" t="str">
        <f t="shared" ca="1" si="585"/>
        <v/>
      </c>
      <c r="B1780">
        <f t="shared" si="586"/>
        <v>16</v>
      </c>
      <c r="C1780">
        <f t="shared" ca="1" si="584"/>
        <v>13</v>
      </c>
      <c r="D1780" t="str">
        <f t="shared" si="587"/>
        <v>H16</v>
      </c>
      <c r="E1780" t="str">
        <f t="shared" ca="1" si="588"/>
        <v/>
      </c>
      <c r="F1780" t="str">
        <f t="shared" ca="1" si="589"/>
        <v xml:space="preserve">Enter a 'Square Footage of Employee Units' for  building 13 in cell H16.
</v>
      </c>
      <c r="G1780" s="9" t="str">
        <f t="shared" ca="1" si="582"/>
        <v xml:space="preserve">Enter a value for 'Number of Floors in the Tallest Building' in cell B58.
</v>
      </c>
      <c r="H1780" s="52" t="str">
        <f t="shared" ca="1" si="590"/>
        <v>Square Footage of Employee Units</v>
      </c>
      <c r="I1780" s="52">
        <v>8</v>
      </c>
    </row>
    <row r="1781" spans="1:10" ht="15" customHeight="1">
      <c r="A1781" t="str">
        <f t="shared" ca="1" si="585"/>
        <v/>
      </c>
      <c r="B1781">
        <f t="shared" si="586"/>
        <v>16</v>
      </c>
      <c r="C1781">
        <f t="shared" ca="1" si="584"/>
        <v>13</v>
      </c>
      <c r="D1781" t="str">
        <f t="shared" si="587"/>
        <v>I16</v>
      </c>
      <c r="E1781" t="str">
        <f t="shared" ca="1" si="588"/>
        <v/>
      </c>
      <c r="F1781" t="str">
        <f t="shared" ca="1" si="589"/>
        <v xml:space="preserve">Enter a 'Square Footage of Low-Income Units' for  building 13 in cell I16.
</v>
      </c>
      <c r="G1781" s="9" t="str">
        <f t="shared" ca="1" si="582"/>
        <v xml:space="preserve">Enter a value for 'Number of Floors in the Tallest Building' in cell B58.
</v>
      </c>
      <c r="H1781" s="52" t="str">
        <f t="shared" ca="1" si="590"/>
        <v>Square Footage of Low-Income Units</v>
      </c>
      <c r="I1781" s="52">
        <v>9</v>
      </c>
    </row>
    <row r="1782" spans="1:10" ht="15" customHeight="1">
      <c r="A1782" t="str">
        <f t="shared" ca="1" si="585"/>
        <v/>
      </c>
      <c r="B1782">
        <f t="shared" si="586"/>
        <v>16</v>
      </c>
      <c r="C1782">
        <f t="shared" ca="1" si="584"/>
        <v>13</v>
      </c>
      <c r="D1782" t="str">
        <f t="shared" si="587"/>
        <v>J16</v>
      </c>
      <c r="E1782" t="str">
        <f t="shared" ca="1" si="588"/>
        <v/>
      </c>
      <c r="F1782" t="str">
        <f t="shared" ca="1" si="589"/>
        <v xml:space="preserve">Enter a 'Placed-In-Service Date' for  building 13 in cell J16.
</v>
      </c>
      <c r="G1782" s="9" t="str">
        <f t="shared" ca="1" si="582"/>
        <v xml:space="preserve">Enter a value for 'Number of Floors in the Tallest Building' in cell B58.
</v>
      </c>
      <c r="H1782" s="52" t="str">
        <f t="shared" ca="1" si="590"/>
        <v>Placed-In-Service Date</v>
      </c>
      <c r="I1782" s="52">
        <v>10</v>
      </c>
    </row>
    <row r="1783" spans="1:10" ht="15" customHeight="1">
      <c r="A1783" t="str">
        <f t="shared" ca="1" si="585"/>
        <v/>
      </c>
      <c r="B1783">
        <f t="shared" si="586"/>
        <v>16</v>
      </c>
      <c r="C1783">
        <f t="shared" ca="1" si="584"/>
        <v>13</v>
      </c>
      <c r="D1783" t="str">
        <f t="shared" si="587"/>
        <v>K16</v>
      </c>
      <c r="E1783" t="str">
        <f t="shared" ca="1" si="588"/>
        <v/>
      </c>
      <c r="F1783" t="str">
        <f t="shared" ca="1" si="589"/>
        <v xml:space="preserve">Enter a 'New Construction/ Rehab APR' for  building 13 in cell K16.
</v>
      </c>
      <c r="G1783" s="9" t="str">
        <f t="shared" ca="1" si="582"/>
        <v xml:space="preserve">Enter a value for 'Number of Floors in the Tallest Building' in cell B58.
</v>
      </c>
      <c r="H1783" s="52" t="str">
        <f t="shared" ca="1" si="590"/>
        <v>New Construction/ Rehab APR</v>
      </c>
      <c r="I1783" s="52">
        <v>11</v>
      </c>
    </row>
    <row r="1784" spans="1:10" ht="15" customHeight="1">
      <c r="A1784" t="str">
        <f t="shared" ca="1" si="585"/>
        <v/>
      </c>
      <c r="B1784">
        <f t="shared" si="586"/>
        <v>16</v>
      </c>
      <c r="C1784">
        <f t="shared" ca="1" si="584"/>
        <v>13</v>
      </c>
      <c r="D1784" t="str">
        <f t="shared" si="587"/>
        <v>L16</v>
      </c>
      <c r="E1784" t="str">
        <f t="shared" ca="1" si="588"/>
        <v/>
      </c>
      <c r="F1784" t="str">
        <f t="shared" ca="1" si="589"/>
        <v xml:space="preserve">Enter a 'New Construction Eligible Basis' for  building 13 in cell L16.
</v>
      </c>
      <c r="G1784" s="9" t="str">
        <f t="shared" ca="1" si="582"/>
        <v xml:space="preserve">Enter a value for 'Number of Floors in the Tallest Building' in cell B58.
</v>
      </c>
      <c r="H1784" s="52" t="str">
        <f t="shared" ca="1" si="590"/>
        <v>New Construction Eligible Basis</v>
      </c>
      <c r="I1784" s="52">
        <v>12</v>
      </c>
    </row>
    <row r="1785" spans="1:10" ht="15" customHeight="1">
      <c r="A1785" t="str">
        <f ca="1">IF(AND(OFFSET(A1785, -I1785 + 2, 4) &gt;  0, E1785="", Calculations!$B$7), F1785, "")</f>
        <v/>
      </c>
      <c r="B1785">
        <f t="shared" si="586"/>
        <v>16</v>
      </c>
      <c r="C1785">
        <f t="shared" ca="1" si="584"/>
        <v>13</v>
      </c>
      <c r="D1785" t="str">
        <f t="shared" si="587"/>
        <v>M16</v>
      </c>
      <c r="E1785" t="str">
        <f t="shared" ca="1" si="588"/>
        <v/>
      </c>
      <c r="F1785" t="str">
        <f t="shared" ca="1" si="589"/>
        <v xml:space="preserve">Enter a 'Eligible Basis for Rehab' for  building 13 in cell M16.
</v>
      </c>
      <c r="G1785" s="9" t="str">
        <f t="shared" ca="1" si="582"/>
        <v xml:space="preserve">Enter a value for 'Number of Floors in the Tallest Building' in cell B58.
</v>
      </c>
      <c r="H1785" s="52" t="str">
        <f t="shared" ca="1" si="590"/>
        <v>Eligible Basis for Rehab</v>
      </c>
      <c r="I1785" s="52">
        <v>13</v>
      </c>
    </row>
    <row r="1786" spans="1:10" ht="15" customHeight="1">
      <c r="A1786" t="str">
        <f ca="1">IF(AND(OFFSET(A1786, -I1786 + 2, 4) &gt;  0, E1786="", Calculations!$B$7), F1786, "")</f>
        <v/>
      </c>
      <c r="B1786">
        <f t="shared" si="586"/>
        <v>16</v>
      </c>
      <c r="C1786">
        <f t="shared" ca="1" si="584"/>
        <v>13</v>
      </c>
      <c r="D1786" t="str">
        <f t="shared" si="587"/>
        <v>N16</v>
      </c>
      <c r="E1786" t="str">
        <f t="shared" ca="1" si="588"/>
        <v/>
      </c>
      <c r="F1786" t="str">
        <f t="shared" ca="1" si="589"/>
        <v xml:space="preserve">Enter a 'Cost of Acquiring the Building***' for  building 13 in cell N16.
</v>
      </c>
      <c r="G1786" s="9" t="str">
        <f t="shared" ca="1" si="582"/>
        <v xml:space="preserve">Enter a value for 'Number of Floors in the Tallest Building' in cell B58.
</v>
      </c>
      <c r="H1786" s="52" t="str">
        <f t="shared" ca="1" si="590"/>
        <v>Cost of Acquiring the Building***</v>
      </c>
      <c r="I1786" s="52">
        <v>14</v>
      </c>
    </row>
    <row r="1787" spans="1:10" ht="15" customHeight="1">
      <c r="A1787" t="str">
        <f ca="1">IF(AND(OFFSET(A1787, -I1787 + 2, 4) &gt;  0, E1787="", Calculations!$B$7), F1787, "")</f>
        <v/>
      </c>
      <c r="B1787">
        <f t="shared" si="586"/>
        <v>16</v>
      </c>
      <c r="C1787">
        <f t="shared" ca="1" si="584"/>
        <v>13</v>
      </c>
      <c r="D1787" t="str">
        <f t="shared" si="587"/>
        <v>O16</v>
      </c>
      <c r="E1787" t="str">
        <f t="shared" ca="1" si="588"/>
        <v/>
      </c>
      <c r="F1787" t="str">
        <f t="shared" ca="1" si="589"/>
        <v xml:space="preserve">Enter a 'Higher of Land Purchase Price or Land Appraised Value****' for  building 13 in cell O16.
</v>
      </c>
      <c r="G1787" s="9" t="str">
        <f t="shared" ca="1" si="582"/>
        <v xml:space="preserve">Enter a value for 'Number of Floors in the Tallest Building' in cell B58.
</v>
      </c>
      <c r="H1787" s="52" t="str">
        <f t="shared" ca="1" si="590"/>
        <v>Higher of Land Purchase Price or Land Appraised Value****</v>
      </c>
      <c r="I1787" s="52">
        <v>15</v>
      </c>
    </row>
    <row r="1788" spans="1:10" ht="15" customHeight="1">
      <c r="A1788" t="str">
        <f ca="1">IF(AND(OFFSET(A1788, -I1788 + 2, 4) &gt;  0, E1788="", Calculations!$B$7), F1788, "")</f>
        <v/>
      </c>
      <c r="B1788">
        <f t="shared" si="586"/>
        <v>16</v>
      </c>
      <c r="C1788">
        <f t="shared" ca="1" si="584"/>
        <v>13</v>
      </c>
      <c r="D1788" t="str">
        <f t="shared" si="587"/>
        <v>P16</v>
      </c>
      <c r="E1788" t="str">
        <f t="shared" ca="1" si="588"/>
        <v/>
      </c>
      <c r="F1788" t="str">
        <f t="shared" ca="1" si="589"/>
        <v xml:space="preserve">Enter a 'Acquisition Placed-in-Service Date' for  building 13 in cell P16.
</v>
      </c>
      <c r="G1788" s="9" t="str">
        <f t="shared" ca="1" si="582"/>
        <v xml:space="preserve">Enter a value for 'Number of Floors in the Tallest Building' in cell B58.
</v>
      </c>
      <c r="H1788" s="52" t="str">
        <f t="shared" ca="1" si="590"/>
        <v>Acquisition Placed-in-Service Date</v>
      </c>
      <c r="I1788" s="52">
        <v>16</v>
      </c>
    </row>
    <row r="1789" spans="1:10" ht="15" customHeight="1">
      <c r="A1789" t="str">
        <f ca="1">IF(AND(OFFSET(A1789, -I1789 + 2, 4) &gt;  0, E1789="", Calculations!$B$7), F1789, "")</f>
        <v/>
      </c>
      <c r="B1789">
        <f t="shared" si="586"/>
        <v>16</v>
      </c>
      <c r="C1789">
        <f t="shared" ca="1" si="584"/>
        <v>13</v>
      </c>
      <c r="D1789" t="str">
        <f t="shared" si="587"/>
        <v>Q16</v>
      </c>
      <c r="E1789" t="str">
        <f t="shared" ca="1" si="588"/>
        <v/>
      </c>
      <c r="F1789" t="str">
        <f t="shared" ca="1" si="589"/>
        <v xml:space="preserve">Enter a 'Acquisition APR' for  building 13 in cell Q16.
</v>
      </c>
      <c r="G1789" s="9" t="str">
        <f t="shared" ca="1" si="582"/>
        <v xml:space="preserve">Enter a value for 'Number of Floors in the Tallest Building' in cell B58.
</v>
      </c>
      <c r="H1789" s="52" t="str">
        <f t="shared" ca="1" si="590"/>
        <v>Acquisition APR</v>
      </c>
      <c r="I1789" s="52">
        <v>17</v>
      </c>
    </row>
    <row r="1790" spans="1:10" ht="15" customHeight="1">
      <c r="A1790" t="str">
        <f ca="1">IF(AND(Calculations!$B$4,Calculations!$B$28&gt;=C1790, E1790 &lt;&gt; 13),F1790,"")</f>
        <v/>
      </c>
      <c r="B1790">
        <f>ROW('Final Building Profile'!C17)</f>
        <v>17</v>
      </c>
      <c r="C1790">
        <f t="shared" ca="1" si="584"/>
        <v>14</v>
      </c>
      <c r="D1790" t="str">
        <f>ADDRESS(B1790, 3,4  )</f>
        <v>C17</v>
      </c>
      <c r="E1790" s="52">
        <f ca="1">H1790+I1790</f>
        <v>0</v>
      </c>
      <c r="F1790" t="str">
        <f ca="1">CONCATENATE("Based upon the number of buildings specified, information for  building ", C1790, " required for a final application in row ", B1790, ".", CHAR(10))</f>
        <v xml:space="preserve">Based upon the number of buildings specified, information for  building 14 required for a final application in row 17.
</v>
      </c>
      <c r="G1790" s="9" t="str">
        <f t="shared" ca="1" si="582"/>
        <v xml:space="preserve">Enter a value for 'Number of Floors in the Tallest Building' in cell B58.
</v>
      </c>
      <c r="H1790" s="52">
        <f ca="1">SUMPRODUCT(--ISTEXT(INDIRECT(J1790)))</f>
        <v>0</v>
      </c>
      <c r="I1790" s="52">
        <f ca="1">SUMPRODUCT(--ISNUMBER(INDIRECT(J1790)))</f>
        <v>0</v>
      </c>
      <c r="J1790" s="52" t="str">
        <f>$F$1564&amp; ADDRESS(B1790,3,4) &amp; ":" &amp; ADDRESS(B1790,15,4)</f>
        <v>'Final Building Profile'!C17:O17</v>
      </c>
    </row>
    <row r="1791" spans="1:10" ht="15" customHeight="1">
      <c r="A1791" t="str">
        <f t="shared" ref="A1791:A1800" ca="1" si="591">IF(AND(OFFSET(A1791, -I1791 + 2, 4) &gt;  0, E1791=""), F1791, "")</f>
        <v/>
      </c>
      <c r="B1791">
        <f t="shared" ref="B1791:B1805" si="592">B1790</f>
        <v>17</v>
      </c>
      <c r="C1791">
        <f t="shared" ca="1" si="584"/>
        <v>14</v>
      </c>
      <c r="D1791" t="str">
        <f t="shared" ref="D1791:D1805" si="593">ADDRESS(B1791, I1791,4  )</f>
        <v>C17</v>
      </c>
      <c r="E1791" t="str">
        <f t="shared" ref="E1791:E1805" ca="1" si="594">IF(ISBLANK( INDIRECT($F$1564 &amp; D1791)),"", INDIRECT($F$1564 &amp; D1791))</f>
        <v/>
      </c>
      <c r="F1791" t="str">
        <f t="shared" ref="F1791:F1805" ca="1" si="595">CONCATENATE("Enter a '"&amp; H1791 &amp;"' for  building ", C1791, " in cell ", D1791, ".", CHAR(10))</f>
        <v xml:space="preserve">Enter a 'Building Street Address Only 
(DO NOT ENTER CITY, STATE, OR ZIP)' for  building 14 in cell C17.
</v>
      </c>
      <c r="G1791" s="9" t="str">
        <f t="shared" ca="1" si="582"/>
        <v xml:space="preserve">Enter a value for 'Number of Floors in the Tallest Building' in cell B58.
</v>
      </c>
      <c r="H1791" s="52" t="str">
        <f t="shared" ref="H1791:H1805" ca="1" si="596">OFFSET(INDIRECT($F$1564 &amp; D1791), -B1791 + 3, 0)</f>
        <v>Building Street Address Only 
(DO NOT ENTER CITY, STATE, OR ZIP)</v>
      </c>
      <c r="I1791" s="52">
        <v>3</v>
      </c>
    </row>
    <row r="1792" spans="1:10" ht="15" customHeight="1">
      <c r="A1792" t="str">
        <f t="shared" ca="1" si="591"/>
        <v/>
      </c>
      <c r="B1792">
        <f t="shared" si="592"/>
        <v>17</v>
      </c>
      <c r="C1792">
        <f t="shared" ca="1" si="584"/>
        <v>14</v>
      </c>
      <c r="D1792" t="str">
        <f t="shared" si="593"/>
        <v>D17</v>
      </c>
      <c r="E1792" t="str">
        <f t="shared" ca="1" si="594"/>
        <v/>
      </c>
      <c r="F1792" t="str">
        <f t="shared" ca="1" si="595"/>
        <v xml:space="preserve">Enter a 'Total Units in Building*' for  building 14 in cell D17.
</v>
      </c>
      <c r="G1792" s="9" t="str">
        <f t="shared" ca="1" si="582"/>
        <v xml:space="preserve">Enter a value for 'Number of Floors in the Tallest Building' in cell B58.
</v>
      </c>
      <c r="H1792" s="52" t="str">
        <f t="shared" ca="1" si="596"/>
        <v>Total Units in Building*</v>
      </c>
      <c r="I1792" s="52">
        <v>4</v>
      </c>
    </row>
    <row r="1793" spans="1:10" ht="15" customHeight="1">
      <c r="A1793" t="str">
        <f t="shared" ca="1" si="591"/>
        <v/>
      </c>
      <c r="B1793">
        <f t="shared" si="592"/>
        <v>17</v>
      </c>
      <c r="C1793">
        <f t="shared" ca="1" si="584"/>
        <v>14</v>
      </c>
      <c r="D1793" t="str">
        <f t="shared" si="593"/>
        <v>E17</v>
      </c>
      <c r="E1793" t="str">
        <f t="shared" ca="1" si="594"/>
        <v/>
      </c>
      <c r="F1793" t="str">
        <f t="shared" ca="1" si="595"/>
        <v xml:space="preserve">Enter a 'Employee Units' for  building 14 in cell E17.
</v>
      </c>
      <c r="G1793" s="9" t="str">
        <f t="shared" ca="1" si="582"/>
        <v xml:space="preserve">Enter a value for 'Number of Floors in the Tallest Building' in cell B58.
</v>
      </c>
      <c r="H1793" s="52" t="str">
        <f t="shared" ca="1" si="596"/>
        <v>Employee Units</v>
      </c>
      <c r="I1793" s="52">
        <v>5</v>
      </c>
    </row>
    <row r="1794" spans="1:10" ht="15" customHeight="1">
      <c r="A1794" t="str">
        <f t="shared" ca="1" si="591"/>
        <v/>
      </c>
      <c r="B1794">
        <f t="shared" si="592"/>
        <v>17</v>
      </c>
      <c r="C1794">
        <f t="shared" ca="1" si="584"/>
        <v>14</v>
      </c>
      <c r="D1794" t="str">
        <f t="shared" si="593"/>
        <v>F17</v>
      </c>
      <c r="E1794" t="str">
        <f t="shared" ca="1" si="594"/>
        <v/>
      </c>
      <c r="F1794" t="str">
        <f t="shared" ca="1" si="595"/>
        <v xml:space="preserve">Enter a 'Low-Income Units' for  building 14 in cell F17.
</v>
      </c>
      <c r="G1794" s="9" t="str">
        <f t="shared" ca="1" si="582"/>
        <v xml:space="preserve">Enter a value for 'Number of Floors in the Tallest Building' in cell B58.
</v>
      </c>
      <c r="H1794" s="52" t="str">
        <f t="shared" ca="1" si="596"/>
        <v>Low-Income Units</v>
      </c>
      <c r="I1794" s="52">
        <v>6</v>
      </c>
    </row>
    <row r="1795" spans="1:10" ht="15" customHeight="1">
      <c r="A1795" t="str">
        <f t="shared" ca="1" si="591"/>
        <v/>
      </c>
      <c r="B1795">
        <f t="shared" si="592"/>
        <v>17</v>
      </c>
      <c r="C1795">
        <f t="shared" ca="1" si="584"/>
        <v>14</v>
      </c>
      <c r="D1795" t="str">
        <f t="shared" si="593"/>
        <v>G17</v>
      </c>
      <c r="E1795" t="str">
        <f t="shared" ca="1" si="594"/>
        <v/>
      </c>
      <c r="F1795" t="str">
        <f t="shared" ca="1" si="595"/>
        <v xml:space="preserve">Enter a 'Residential Square Footage**' for  building 14 in cell G17.
</v>
      </c>
      <c r="G1795" s="9" t="str">
        <f t="shared" ca="1" si="582"/>
        <v xml:space="preserve">Enter a value for 'Number of Floors in the Tallest Building' in cell B58.
</v>
      </c>
      <c r="H1795" s="52" t="str">
        <f t="shared" ca="1" si="596"/>
        <v>Residential Square Footage**</v>
      </c>
      <c r="I1795" s="52">
        <v>7</v>
      </c>
    </row>
    <row r="1796" spans="1:10" ht="15" customHeight="1">
      <c r="A1796" t="str">
        <f t="shared" ca="1" si="591"/>
        <v/>
      </c>
      <c r="B1796">
        <f t="shared" si="592"/>
        <v>17</v>
      </c>
      <c r="C1796">
        <f t="shared" ca="1" si="584"/>
        <v>14</v>
      </c>
      <c r="D1796" t="str">
        <f t="shared" si="593"/>
        <v>H17</v>
      </c>
      <c r="E1796" t="str">
        <f t="shared" ca="1" si="594"/>
        <v/>
      </c>
      <c r="F1796" t="str">
        <f t="shared" ca="1" si="595"/>
        <v xml:space="preserve">Enter a 'Square Footage of Employee Units' for  building 14 in cell H17.
</v>
      </c>
      <c r="G1796" s="9" t="str">
        <f t="shared" ca="1" si="582"/>
        <v xml:space="preserve">Enter a value for 'Number of Floors in the Tallest Building' in cell B58.
</v>
      </c>
      <c r="H1796" s="52" t="str">
        <f t="shared" ca="1" si="596"/>
        <v>Square Footage of Employee Units</v>
      </c>
      <c r="I1796" s="52">
        <v>8</v>
      </c>
    </row>
    <row r="1797" spans="1:10" ht="15" customHeight="1">
      <c r="A1797" t="str">
        <f t="shared" ca="1" si="591"/>
        <v/>
      </c>
      <c r="B1797">
        <f t="shared" si="592"/>
        <v>17</v>
      </c>
      <c r="C1797">
        <f t="shared" ca="1" si="584"/>
        <v>14</v>
      </c>
      <c r="D1797" t="str">
        <f t="shared" si="593"/>
        <v>I17</v>
      </c>
      <c r="E1797" t="str">
        <f t="shared" ca="1" si="594"/>
        <v/>
      </c>
      <c r="F1797" t="str">
        <f t="shared" ca="1" si="595"/>
        <v xml:space="preserve">Enter a 'Square Footage of Low-Income Units' for  building 14 in cell I17.
</v>
      </c>
      <c r="G1797" s="9" t="str">
        <f t="shared" ca="1" si="582"/>
        <v xml:space="preserve">Enter a value for 'Number of Floors in the Tallest Building' in cell B58.
</v>
      </c>
      <c r="H1797" s="52" t="str">
        <f t="shared" ca="1" si="596"/>
        <v>Square Footage of Low-Income Units</v>
      </c>
      <c r="I1797" s="52">
        <v>9</v>
      </c>
    </row>
    <row r="1798" spans="1:10" ht="15" customHeight="1">
      <c r="A1798" t="str">
        <f t="shared" ca="1" si="591"/>
        <v/>
      </c>
      <c r="B1798">
        <f t="shared" si="592"/>
        <v>17</v>
      </c>
      <c r="C1798">
        <f t="shared" ca="1" si="584"/>
        <v>14</v>
      </c>
      <c r="D1798" t="str">
        <f t="shared" si="593"/>
        <v>J17</v>
      </c>
      <c r="E1798" t="str">
        <f t="shared" ca="1" si="594"/>
        <v/>
      </c>
      <c r="F1798" t="str">
        <f t="shared" ca="1" si="595"/>
        <v xml:space="preserve">Enter a 'Placed-In-Service Date' for  building 14 in cell J17.
</v>
      </c>
      <c r="G1798" s="9" t="str">
        <f t="shared" ca="1" si="582"/>
        <v xml:space="preserve">Enter a value for 'Number of Floors in the Tallest Building' in cell B58.
</v>
      </c>
      <c r="H1798" s="52" t="str">
        <f t="shared" ca="1" si="596"/>
        <v>Placed-In-Service Date</v>
      </c>
      <c r="I1798" s="52">
        <v>10</v>
      </c>
    </row>
    <row r="1799" spans="1:10" ht="15" customHeight="1">
      <c r="A1799" t="str">
        <f t="shared" ca="1" si="591"/>
        <v/>
      </c>
      <c r="B1799">
        <f t="shared" si="592"/>
        <v>17</v>
      </c>
      <c r="C1799">
        <f t="shared" ca="1" si="584"/>
        <v>14</v>
      </c>
      <c r="D1799" t="str">
        <f t="shared" si="593"/>
        <v>K17</v>
      </c>
      <c r="E1799" t="str">
        <f t="shared" ca="1" si="594"/>
        <v/>
      </c>
      <c r="F1799" t="str">
        <f t="shared" ca="1" si="595"/>
        <v xml:space="preserve">Enter a 'New Construction/ Rehab APR' for  building 14 in cell K17.
</v>
      </c>
      <c r="G1799" s="9" t="str">
        <f t="shared" ca="1" si="582"/>
        <v xml:space="preserve">Enter a value for 'Number of Floors in the Tallest Building' in cell B58.
</v>
      </c>
      <c r="H1799" s="52" t="str">
        <f t="shared" ca="1" si="596"/>
        <v>New Construction/ Rehab APR</v>
      </c>
      <c r="I1799" s="52">
        <v>11</v>
      </c>
    </row>
    <row r="1800" spans="1:10" ht="15" customHeight="1">
      <c r="A1800" t="str">
        <f t="shared" ca="1" si="591"/>
        <v/>
      </c>
      <c r="B1800">
        <f t="shared" si="592"/>
        <v>17</v>
      </c>
      <c r="C1800">
        <f t="shared" ca="1" si="584"/>
        <v>14</v>
      </c>
      <c r="D1800" t="str">
        <f t="shared" si="593"/>
        <v>L17</v>
      </c>
      <c r="E1800" t="str">
        <f t="shared" ca="1" si="594"/>
        <v/>
      </c>
      <c r="F1800" t="str">
        <f t="shared" ca="1" si="595"/>
        <v xml:space="preserve">Enter a 'New Construction Eligible Basis' for  building 14 in cell L17.
</v>
      </c>
      <c r="G1800" s="9" t="str">
        <f t="shared" ca="1" si="582"/>
        <v xml:space="preserve">Enter a value for 'Number of Floors in the Tallest Building' in cell B58.
</v>
      </c>
      <c r="H1800" s="52" t="str">
        <f t="shared" ca="1" si="596"/>
        <v>New Construction Eligible Basis</v>
      </c>
      <c r="I1800" s="52">
        <v>12</v>
      </c>
    </row>
    <row r="1801" spans="1:10" ht="15" customHeight="1">
      <c r="A1801" t="str">
        <f ca="1">IF(AND(OFFSET(A1801, -I1801 + 2, 4) &gt;  0, E1801="", Calculations!$B$7), F1801, "")</f>
        <v/>
      </c>
      <c r="B1801">
        <f t="shared" si="592"/>
        <v>17</v>
      </c>
      <c r="C1801">
        <f t="shared" ca="1" si="584"/>
        <v>14</v>
      </c>
      <c r="D1801" t="str">
        <f t="shared" si="593"/>
        <v>M17</v>
      </c>
      <c r="E1801" t="str">
        <f t="shared" ca="1" si="594"/>
        <v/>
      </c>
      <c r="F1801" t="str">
        <f t="shared" ca="1" si="595"/>
        <v xml:space="preserve">Enter a 'Eligible Basis for Rehab' for  building 14 in cell M17.
</v>
      </c>
      <c r="G1801" s="9" t="str">
        <f t="shared" ca="1" si="582"/>
        <v xml:space="preserve">Enter a value for 'Number of Floors in the Tallest Building' in cell B58.
</v>
      </c>
      <c r="H1801" s="52" t="str">
        <f t="shared" ca="1" si="596"/>
        <v>Eligible Basis for Rehab</v>
      </c>
      <c r="I1801" s="52">
        <v>13</v>
      </c>
    </row>
    <row r="1802" spans="1:10" ht="15" customHeight="1">
      <c r="A1802" t="str">
        <f ca="1">IF(AND(OFFSET(A1802, -I1802 + 2, 4) &gt;  0, E1802="", Calculations!$B$7), F1802, "")</f>
        <v/>
      </c>
      <c r="B1802">
        <f t="shared" si="592"/>
        <v>17</v>
      </c>
      <c r="C1802">
        <f t="shared" ca="1" si="584"/>
        <v>14</v>
      </c>
      <c r="D1802" t="str">
        <f t="shared" si="593"/>
        <v>N17</v>
      </c>
      <c r="E1802" t="str">
        <f t="shared" ca="1" si="594"/>
        <v/>
      </c>
      <c r="F1802" t="str">
        <f t="shared" ca="1" si="595"/>
        <v xml:space="preserve">Enter a 'Cost of Acquiring the Building***' for  building 14 in cell N17.
</v>
      </c>
      <c r="G1802" s="9" t="str">
        <f t="shared" ca="1" si="582"/>
        <v xml:space="preserve">Enter a value for 'Number of Floors in the Tallest Building' in cell B58.
</v>
      </c>
      <c r="H1802" s="52" t="str">
        <f t="shared" ca="1" si="596"/>
        <v>Cost of Acquiring the Building***</v>
      </c>
      <c r="I1802" s="52">
        <v>14</v>
      </c>
    </row>
    <row r="1803" spans="1:10" ht="15" customHeight="1">
      <c r="A1803" t="str">
        <f ca="1">IF(AND(OFFSET(A1803, -I1803 + 2, 4) &gt;  0, E1803="", Calculations!$B$7), F1803, "")</f>
        <v/>
      </c>
      <c r="B1803">
        <f t="shared" si="592"/>
        <v>17</v>
      </c>
      <c r="C1803">
        <f t="shared" ca="1" si="584"/>
        <v>14</v>
      </c>
      <c r="D1803" t="str">
        <f t="shared" si="593"/>
        <v>O17</v>
      </c>
      <c r="E1803" t="str">
        <f t="shared" ca="1" si="594"/>
        <v/>
      </c>
      <c r="F1803" t="str">
        <f t="shared" ca="1" si="595"/>
        <v xml:space="preserve">Enter a 'Higher of Land Purchase Price or Land Appraised Value****' for  building 14 in cell O17.
</v>
      </c>
      <c r="G1803" s="9" t="str">
        <f t="shared" ca="1" si="582"/>
        <v xml:space="preserve">Enter a value for 'Number of Floors in the Tallest Building' in cell B58.
</v>
      </c>
      <c r="H1803" s="52" t="str">
        <f t="shared" ca="1" si="596"/>
        <v>Higher of Land Purchase Price or Land Appraised Value****</v>
      </c>
      <c r="I1803" s="52">
        <v>15</v>
      </c>
    </row>
    <row r="1804" spans="1:10" ht="15" customHeight="1">
      <c r="A1804" t="str">
        <f ca="1">IF(AND(OFFSET(A1804, -I1804 + 2, 4) &gt;  0, E1804="", Calculations!$B$7), F1804, "")</f>
        <v/>
      </c>
      <c r="B1804">
        <f t="shared" si="592"/>
        <v>17</v>
      </c>
      <c r="C1804">
        <f t="shared" ca="1" si="584"/>
        <v>14</v>
      </c>
      <c r="D1804" t="str">
        <f t="shared" si="593"/>
        <v>P17</v>
      </c>
      <c r="E1804" t="str">
        <f t="shared" ca="1" si="594"/>
        <v/>
      </c>
      <c r="F1804" t="str">
        <f t="shared" ca="1" si="595"/>
        <v xml:space="preserve">Enter a 'Acquisition Placed-in-Service Date' for  building 14 in cell P17.
</v>
      </c>
      <c r="G1804" s="9" t="str">
        <f t="shared" ca="1" si="582"/>
        <v xml:space="preserve">Enter a value for 'Number of Floors in the Tallest Building' in cell B58.
</v>
      </c>
      <c r="H1804" s="52" t="str">
        <f t="shared" ca="1" si="596"/>
        <v>Acquisition Placed-in-Service Date</v>
      </c>
      <c r="I1804" s="52">
        <v>16</v>
      </c>
    </row>
    <row r="1805" spans="1:10" ht="15" customHeight="1">
      <c r="A1805" t="str">
        <f ca="1">IF(AND(OFFSET(A1805, -I1805 + 2, 4) &gt;  0, E1805="", Calculations!$B$7), F1805, "")</f>
        <v/>
      </c>
      <c r="B1805">
        <f t="shared" si="592"/>
        <v>17</v>
      </c>
      <c r="C1805">
        <f t="shared" ca="1" si="584"/>
        <v>14</v>
      </c>
      <c r="D1805" t="str">
        <f t="shared" si="593"/>
        <v>Q17</v>
      </c>
      <c r="E1805" t="str">
        <f t="shared" ca="1" si="594"/>
        <v/>
      </c>
      <c r="F1805" t="str">
        <f t="shared" ca="1" si="595"/>
        <v xml:space="preserve">Enter a 'Acquisition APR' for  building 14 in cell Q17.
</v>
      </c>
      <c r="G1805" s="9" t="str">
        <f t="shared" ca="1" si="582"/>
        <v xml:space="preserve">Enter a value for 'Number of Floors in the Tallest Building' in cell B58.
</v>
      </c>
      <c r="H1805" s="52" t="str">
        <f t="shared" ca="1" si="596"/>
        <v>Acquisition APR</v>
      </c>
      <c r="I1805" s="52">
        <v>17</v>
      </c>
    </row>
    <row r="1806" spans="1:10" ht="15" customHeight="1">
      <c r="A1806" t="str">
        <f ca="1">IF(AND(Calculations!$B$4,Calculations!$B$28&gt;=C1806, E1806 &lt;&gt; 13),F1806,"")</f>
        <v/>
      </c>
      <c r="B1806">
        <f>ROW('Final Building Profile'!C18)</f>
        <v>18</v>
      </c>
      <c r="C1806">
        <f t="shared" ca="1" si="584"/>
        <v>15</v>
      </c>
      <c r="D1806" t="str">
        <f>ADDRESS(B1806, 3,4  )</f>
        <v>C18</v>
      </c>
      <c r="E1806" s="52">
        <f ca="1">H1806+I1806</f>
        <v>0</v>
      </c>
      <c r="F1806" t="str">
        <f ca="1">CONCATENATE("Based upon the number of buildings specified, information for  building ", C1806, " required for a final application in row ", B1806, ".", CHAR(10))</f>
        <v xml:space="preserve">Based upon the number of buildings specified, information for  building 15 required for a final application in row 18.
</v>
      </c>
      <c r="G1806" s="9" t="str">
        <f t="shared" ca="1" si="582"/>
        <v xml:space="preserve">Enter a value for 'Number of Floors in the Tallest Building' in cell B58.
</v>
      </c>
      <c r="H1806" s="52">
        <f ca="1">SUMPRODUCT(--ISTEXT(INDIRECT(J1806)))</f>
        <v>0</v>
      </c>
      <c r="I1806" s="52">
        <f ca="1">SUMPRODUCT(--ISNUMBER(INDIRECT(J1806)))</f>
        <v>0</v>
      </c>
      <c r="J1806" s="52" t="str">
        <f>$F$1564&amp; ADDRESS(B1806,3,4) &amp; ":" &amp; ADDRESS(B1806,15,4)</f>
        <v>'Final Building Profile'!C18:O18</v>
      </c>
    </row>
    <row r="1807" spans="1:10" ht="15" customHeight="1">
      <c r="A1807" t="str">
        <f t="shared" ref="A1807:A1816" ca="1" si="597">IF(AND(OFFSET(A1807, -I1807 + 2, 4) &gt;  0, E1807=""), F1807, "")</f>
        <v/>
      </c>
      <c r="B1807">
        <f t="shared" ref="B1807:B1821" si="598">B1806</f>
        <v>18</v>
      </c>
      <c r="C1807">
        <f t="shared" ca="1" si="584"/>
        <v>15</v>
      </c>
      <c r="D1807" t="str">
        <f t="shared" ref="D1807:D1821" si="599">ADDRESS(B1807, I1807,4  )</f>
        <v>C18</v>
      </c>
      <c r="E1807" t="str">
        <f t="shared" ref="E1807:E1821" ca="1" si="600">IF(ISBLANK( INDIRECT($F$1564 &amp; D1807)),"", INDIRECT($F$1564 &amp; D1807))</f>
        <v/>
      </c>
      <c r="F1807" t="str">
        <f t="shared" ref="F1807:F1821" ca="1" si="601">CONCATENATE("Enter a '"&amp; H1807 &amp;"' for  building ", C1807, " in cell ", D1807, ".", CHAR(10))</f>
        <v xml:space="preserve">Enter a 'Building Street Address Only 
(DO NOT ENTER CITY, STATE, OR ZIP)' for  building 15 in cell C18.
</v>
      </c>
      <c r="G1807" s="9" t="str">
        <f t="shared" ca="1" si="582"/>
        <v xml:space="preserve">Enter a value for 'Number of Floors in the Tallest Building' in cell B58.
</v>
      </c>
      <c r="H1807" s="52" t="str">
        <f t="shared" ref="H1807:H1821" ca="1" si="602">OFFSET(INDIRECT($F$1564 &amp; D1807), -B1807 + 3, 0)</f>
        <v>Building Street Address Only 
(DO NOT ENTER CITY, STATE, OR ZIP)</v>
      </c>
      <c r="I1807" s="52">
        <v>3</v>
      </c>
    </row>
    <row r="1808" spans="1:10" ht="15" customHeight="1">
      <c r="A1808" t="str">
        <f t="shared" ca="1" si="597"/>
        <v/>
      </c>
      <c r="B1808">
        <f t="shared" si="598"/>
        <v>18</v>
      </c>
      <c r="C1808">
        <f t="shared" ca="1" si="584"/>
        <v>15</v>
      </c>
      <c r="D1808" t="str">
        <f t="shared" si="599"/>
        <v>D18</v>
      </c>
      <c r="E1808" t="str">
        <f t="shared" ca="1" si="600"/>
        <v/>
      </c>
      <c r="F1808" t="str">
        <f t="shared" ca="1" si="601"/>
        <v xml:space="preserve">Enter a 'Total Units in Building*' for  building 15 in cell D18.
</v>
      </c>
      <c r="G1808" s="9" t="str">
        <f t="shared" ca="1" si="582"/>
        <v xml:space="preserve">Enter a value for 'Number of Floors in the Tallest Building' in cell B58.
</v>
      </c>
      <c r="H1808" s="52" t="str">
        <f t="shared" ca="1" si="602"/>
        <v>Total Units in Building*</v>
      </c>
      <c r="I1808" s="52">
        <v>4</v>
      </c>
    </row>
    <row r="1809" spans="1:10" ht="15" customHeight="1">
      <c r="A1809" t="str">
        <f t="shared" ca="1" si="597"/>
        <v/>
      </c>
      <c r="B1809">
        <f t="shared" si="598"/>
        <v>18</v>
      </c>
      <c r="C1809">
        <f t="shared" ca="1" si="584"/>
        <v>15</v>
      </c>
      <c r="D1809" t="str">
        <f t="shared" si="599"/>
        <v>E18</v>
      </c>
      <c r="E1809" t="str">
        <f t="shared" ca="1" si="600"/>
        <v/>
      </c>
      <c r="F1809" t="str">
        <f t="shared" ca="1" si="601"/>
        <v xml:space="preserve">Enter a 'Employee Units' for  building 15 in cell E18.
</v>
      </c>
      <c r="G1809" s="9" t="str">
        <f t="shared" ca="1" si="582"/>
        <v xml:space="preserve">Enter a value for 'Number of Floors in the Tallest Building' in cell B58.
</v>
      </c>
      <c r="H1809" s="52" t="str">
        <f t="shared" ca="1" si="602"/>
        <v>Employee Units</v>
      </c>
      <c r="I1809" s="52">
        <v>5</v>
      </c>
    </row>
    <row r="1810" spans="1:10" ht="15" customHeight="1">
      <c r="A1810" t="str">
        <f t="shared" ca="1" si="597"/>
        <v/>
      </c>
      <c r="B1810">
        <f t="shared" si="598"/>
        <v>18</v>
      </c>
      <c r="C1810">
        <f t="shared" ca="1" si="584"/>
        <v>15</v>
      </c>
      <c r="D1810" t="str">
        <f t="shared" si="599"/>
        <v>F18</v>
      </c>
      <c r="E1810" t="str">
        <f t="shared" ca="1" si="600"/>
        <v/>
      </c>
      <c r="F1810" t="str">
        <f t="shared" ca="1" si="601"/>
        <v xml:space="preserve">Enter a 'Low-Income Units' for  building 15 in cell F18.
</v>
      </c>
      <c r="G1810" s="9" t="str">
        <f t="shared" ca="1" si="582"/>
        <v xml:space="preserve">Enter a value for 'Number of Floors in the Tallest Building' in cell B58.
</v>
      </c>
      <c r="H1810" s="52" t="str">
        <f t="shared" ca="1" si="602"/>
        <v>Low-Income Units</v>
      </c>
      <c r="I1810" s="52">
        <v>6</v>
      </c>
    </row>
    <row r="1811" spans="1:10" ht="15" customHeight="1">
      <c r="A1811" t="str">
        <f t="shared" ca="1" si="597"/>
        <v/>
      </c>
      <c r="B1811">
        <f t="shared" si="598"/>
        <v>18</v>
      </c>
      <c r="C1811">
        <f t="shared" ca="1" si="584"/>
        <v>15</v>
      </c>
      <c r="D1811" t="str">
        <f t="shared" si="599"/>
        <v>G18</v>
      </c>
      <c r="E1811" t="str">
        <f t="shared" ca="1" si="600"/>
        <v/>
      </c>
      <c r="F1811" t="str">
        <f t="shared" ca="1" si="601"/>
        <v xml:space="preserve">Enter a 'Residential Square Footage**' for  building 15 in cell G18.
</v>
      </c>
      <c r="G1811" s="9" t="str">
        <f t="shared" ca="1" si="582"/>
        <v xml:space="preserve">Enter a value for 'Number of Floors in the Tallest Building' in cell B58.
</v>
      </c>
      <c r="H1811" s="52" t="str">
        <f t="shared" ca="1" si="602"/>
        <v>Residential Square Footage**</v>
      </c>
      <c r="I1811" s="52">
        <v>7</v>
      </c>
    </row>
    <row r="1812" spans="1:10" ht="15" customHeight="1">
      <c r="A1812" t="str">
        <f t="shared" ca="1" si="597"/>
        <v/>
      </c>
      <c r="B1812">
        <f t="shared" si="598"/>
        <v>18</v>
      </c>
      <c r="C1812">
        <f t="shared" ca="1" si="584"/>
        <v>15</v>
      </c>
      <c r="D1812" t="str">
        <f t="shared" si="599"/>
        <v>H18</v>
      </c>
      <c r="E1812" t="str">
        <f t="shared" ca="1" si="600"/>
        <v/>
      </c>
      <c r="F1812" t="str">
        <f t="shared" ca="1" si="601"/>
        <v xml:space="preserve">Enter a 'Square Footage of Employee Units' for  building 15 in cell H18.
</v>
      </c>
      <c r="G1812" s="9" t="str">
        <f t="shared" ca="1" si="582"/>
        <v xml:space="preserve">Enter a value for 'Number of Floors in the Tallest Building' in cell B58.
</v>
      </c>
      <c r="H1812" s="52" t="str">
        <f t="shared" ca="1" si="602"/>
        <v>Square Footage of Employee Units</v>
      </c>
      <c r="I1812" s="52">
        <v>8</v>
      </c>
    </row>
    <row r="1813" spans="1:10" ht="15" customHeight="1">
      <c r="A1813" t="str">
        <f t="shared" ca="1" si="597"/>
        <v/>
      </c>
      <c r="B1813">
        <f t="shared" si="598"/>
        <v>18</v>
      </c>
      <c r="C1813">
        <f t="shared" ca="1" si="584"/>
        <v>15</v>
      </c>
      <c r="D1813" t="str">
        <f t="shared" si="599"/>
        <v>I18</v>
      </c>
      <c r="E1813" t="str">
        <f t="shared" ca="1" si="600"/>
        <v/>
      </c>
      <c r="F1813" t="str">
        <f t="shared" ca="1" si="601"/>
        <v xml:space="preserve">Enter a 'Square Footage of Low-Income Units' for  building 15 in cell I18.
</v>
      </c>
      <c r="G1813" s="9" t="str">
        <f t="shared" ca="1" si="582"/>
        <v xml:space="preserve">Enter a value for 'Number of Floors in the Tallest Building' in cell B58.
</v>
      </c>
      <c r="H1813" s="52" t="str">
        <f t="shared" ca="1" si="602"/>
        <v>Square Footage of Low-Income Units</v>
      </c>
      <c r="I1813" s="52">
        <v>9</v>
      </c>
    </row>
    <row r="1814" spans="1:10" ht="15" customHeight="1">
      <c r="A1814" t="str">
        <f t="shared" ca="1" si="597"/>
        <v/>
      </c>
      <c r="B1814">
        <f t="shared" si="598"/>
        <v>18</v>
      </c>
      <c r="C1814">
        <f t="shared" ca="1" si="584"/>
        <v>15</v>
      </c>
      <c r="D1814" t="str">
        <f t="shared" si="599"/>
        <v>J18</v>
      </c>
      <c r="E1814" t="str">
        <f t="shared" ca="1" si="600"/>
        <v/>
      </c>
      <c r="F1814" t="str">
        <f t="shared" ca="1" si="601"/>
        <v xml:space="preserve">Enter a 'Placed-In-Service Date' for  building 15 in cell J18.
</v>
      </c>
      <c r="G1814" s="9" t="str">
        <f t="shared" ca="1" si="582"/>
        <v xml:space="preserve">Enter a value for 'Number of Floors in the Tallest Building' in cell B58.
</v>
      </c>
      <c r="H1814" s="52" t="str">
        <f t="shared" ca="1" si="602"/>
        <v>Placed-In-Service Date</v>
      </c>
      <c r="I1814" s="52">
        <v>10</v>
      </c>
    </row>
    <row r="1815" spans="1:10" ht="15" customHeight="1">
      <c r="A1815" t="str">
        <f t="shared" ca="1" si="597"/>
        <v/>
      </c>
      <c r="B1815">
        <f t="shared" si="598"/>
        <v>18</v>
      </c>
      <c r="C1815">
        <f t="shared" ca="1" si="584"/>
        <v>15</v>
      </c>
      <c r="D1815" t="str">
        <f t="shared" si="599"/>
        <v>K18</v>
      </c>
      <c r="E1815" t="str">
        <f t="shared" ca="1" si="600"/>
        <v/>
      </c>
      <c r="F1815" t="str">
        <f t="shared" ca="1" si="601"/>
        <v xml:space="preserve">Enter a 'New Construction/ Rehab APR' for  building 15 in cell K18.
</v>
      </c>
      <c r="G1815" s="9" t="str">
        <f t="shared" ca="1" si="582"/>
        <v xml:space="preserve">Enter a value for 'Number of Floors in the Tallest Building' in cell B58.
</v>
      </c>
      <c r="H1815" s="52" t="str">
        <f t="shared" ca="1" si="602"/>
        <v>New Construction/ Rehab APR</v>
      </c>
      <c r="I1815" s="52">
        <v>11</v>
      </c>
    </row>
    <row r="1816" spans="1:10" ht="15" customHeight="1">
      <c r="A1816" t="str">
        <f t="shared" ca="1" si="597"/>
        <v/>
      </c>
      <c r="B1816">
        <f t="shared" si="598"/>
        <v>18</v>
      </c>
      <c r="C1816">
        <f t="shared" ca="1" si="584"/>
        <v>15</v>
      </c>
      <c r="D1816" t="str">
        <f t="shared" si="599"/>
        <v>L18</v>
      </c>
      <c r="E1816" t="str">
        <f t="shared" ca="1" si="600"/>
        <v/>
      </c>
      <c r="F1816" t="str">
        <f t="shared" ca="1" si="601"/>
        <v xml:space="preserve">Enter a 'New Construction Eligible Basis' for  building 15 in cell L18.
</v>
      </c>
      <c r="G1816" s="9" t="str">
        <f t="shared" ca="1" si="582"/>
        <v xml:space="preserve">Enter a value for 'Number of Floors in the Tallest Building' in cell B58.
</v>
      </c>
      <c r="H1816" s="52" t="str">
        <f t="shared" ca="1" si="602"/>
        <v>New Construction Eligible Basis</v>
      </c>
      <c r="I1816" s="52">
        <v>12</v>
      </c>
    </row>
    <row r="1817" spans="1:10" ht="15" customHeight="1">
      <c r="A1817" t="str">
        <f ca="1">IF(AND(OFFSET(A1817, -I1817 + 2, 4) &gt;  0, E1817="", Calculations!$B$7), F1817, "")</f>
        <v/>
      </c>
      <c r="B1817">
        <f t="shared" si="598"/>
        <v>18</v>
      </c>
      <c r="C1817">
        <f t="shared" ca="1" si="584"/>
        <v>15</v>
      </c>
      <c r="D1817" t="str">
        <f t="shared" si="599"/>
        <v>M18</v>
      </c>
      <c r="E1817" t="str">
        <f t="shared" ca="1" si="600"/>
        <v/>
      </c>
      <c r="F1817" t="str">
        <f t="shared" ca="1" si="601"/>
        <v xml:space="preserve">Enter a 'Eligible Basis for Rehab' for  building 15 in cell M18.
</v>
      </c>
      <c r="G1817" s="9" t="str">
        <f t="shared" ca="1" si="582"/>
        <v xml:space="preserve">Enter a value for 'Number of Floors in the Tallest Building' in cell B58.
</v>
      </c>
      <c r="H1817" s="52" t="str">
        <f t="shared" ca="1" si="602"/>
        <v>Eligible Basis for Rehab</v>
      </c>
      <c r="I1817" s="52">
        <v>13</v>
      </c>
    </row>
    <row r="1818" spans="1:10" ht="15" customHeight="1">
      <c r="A1818" t="str">
        <f ca="1">IF(AND(OFFSET(A1818, -I1818 + 2, 4) &gt;  0, E1818="", Calculations!$B$7), F1818, "")</f>
        <v/>
      </c>
      <c r="B1818">
        <f t="shared" si="598"/>
        <v>18</v>
      </c>
      <c r="C1818">
        <f t="shared" ca="1" si="584"/>
        <v>15</v>
      </c>
      <c r="D1818" t="str">
        <f t="shared" si="599"/>
        <v>N18</v>
      </c>
      <c r="E1818" t="str">
        <f t="shared" ca="1" si="600"/>
        <v/>
      </c>
      <c r="F1818" t="str">
        <f t="shared" ca="1" si="601"/>
        <v xml:space="preserve">Enter a 'Cost of Acquiring the Building***' for  building 15 in cell N18.
</v>
      </c>
      <c r="G1818" s="9" t="str">
        <f t="shared" ca="1" si="582"/>
        <v xml:space="preserve">Enter a value for 'Number of Floors in the Tallest Building' in cell B58.
</v>
      </c>
      <c r="H1818" s="52" t="str">
        <f t="shared" ca="1" si="602"/>
        <v>Cost of Acquiring the Building***</v>
      </c>
      <c r="I1818" s="52">
        <v>14</v>
      </c>
    </row>
    <row r="1819" spans="1:10" ht="15" customHeight="1">
      <c r="A1819" t="str">
        <f ca="1">IF(AND(OFFSET(A1819, -I1819 + 2, 4) &gt;  0, E1819="", Calculations!$B$7), F1819, "")</f>
        <v/>
      </c>
      <c r="B1819">
        <f t="shared" si="598"/>
        <v>18</v>
      </c>
      <c r="C1819">
        <f t="shared" ca="1" si="584"/>
        <v>15</v>
      </c>
      <c r="D1819" t="str">
        <f t="shared" si="599"/>
        <v>O18</v>
      </c>
      <c r="E1819" t="str">
        <f t="shared" ca="1" si="600"/>
        <v/>
      </c>
      <c r="F1819" t="str">
        <f t="shared" ca="1" si="601"/>
        <v xml:space="preserve">Enter a 'Higher of Land Purchase Price or Land Appraised Value****' for  building 15 in cell O18.
</v>
      </c>
      <c r="G1819" s="9" t="str">
        <f t="shared" ca="1" si="582"/>
        <v xml:space="preserve">Enter a value for 'Number of Floors in the Tallest Building' in cell B58.
</v>
      </c>
      <c r="H1819" s="52" t="str">
        <f t="shared" ca="1" si="602"/>
        <v>Higher of Land Purchase Price or Land Appraised Value****</v>
      </c>
      <c r="I1819" s="52">
        <v>15</v>
      </c>
    </row>
    <row r="1820" spans="1:10" ht="15" customHeight="1">
      <c r="A1820" t="str">
        <f ca="1">IF(AND(OFFSET(A1820, -I1820 + 2, 4) &gt;  0, E1820="", Calculations!$B$7), F1820, "")</f>
        <v/>
      </c>
      <c r="B1820">
        <f t="shared" si="598"/>
        <v>18</v>
      </c>
      <c r="C1820">
        <f t="shared" ca="1" si="584"/>
        <v>15</v>
      </c>
      <c r="D1820" t="str">
        <f t="shared" si="599"/>
        <v>P18</v>
      </c>
      <c r="E1820" t="str">
        <f t="shared" ca="1" si="600"/>
        <v/>
      </c>
      <c r="F1820" t="str">
        <f t="shared" ca="1" si="601"/>
        <v xml:space="preserve">Enter a 'Acquisition Placed-in-Service Date' for  building 15 in cell P18.
</v>
      </c>
      <c r="G1820" s="9" t="str">
        <f t="shared" ca="1" si="582"/>
        <v xml:space="preserve">Enter a value for 'Number of Floors in the Tallest Building' in cell B58.
</v>
      </c>
      <c r="H1820" s="52" t="str">
        <f t="shared" ca="1" si="602"/>
        <v>Acquisition Placed-in-Service Date</v>
      </c>
      <c r="I1820" s="52">
        <v>16</v>
      </c>
    </row>
    <row r="1821" spans="1:10" ht="15" customHeight="1">
      <c r="A1821" t="str">
        <f ca="1">IF(AND(OFFSET(A1821, -I1821 + 2, 4) &gt;  0, E1821="", Calculations!$B$7), F1821, "")</f>
        <v/>
      </c>
      <c r="B1821">
        <f t="shared" si="598"/>
        <v>18</v>
      </c>
      <c r="C1821">
        <f t="shared" ca="1" si="584"/>
        <v>15</v>
      </c>
      <c r="D1821" t="str">
        <f t="shared" si="599"/>
        <v>Q18</v>
      </c>
      <c r="E1821" t="str">
        <f t="shared" ca="1" si="600"/>
        <v/>
      </c>
      <c r="F1821" t="str">
        <f t="shared" ca="1" si="601"/>
        <v xml:space="preserve">Enter a 'Acquisition APR' for  building 15 in cell Q18.
</v>
      </c>
      <c r="G1821" s="9" t="str">
        <f t="shared" ca="1" si="582"/>
        <v xml:space="preserve">Enter a value for 'Number of Floors in the Tallest Building' in cell B58.
</v>
      </c>
      <c r="H1821" s="52" t="str">
        <f t="shared" ca="1" si="602"/>
        <v>Acquisition APR</v>
      </c>
      <c r="I1821" s="52">
        <v>17</v>
      </c>
    </row>
    <row r="1822" spans="1:10" ht="15" customHeight="1">
      <c r="A1822" t="str">
        <f ca="1">IF(AND(Calculations!$B$4,Calculations!$B$28&gt;=C1822, E1822 &lt;&gt; 13),F1822,"")</f>
        <v/>
      </c>
      <c r="B1822">
        <f>ROW('Final Building Profile'!C19)</f>
        <v>19</v>
      </c>
      <c r="C1822">
        <f t="shared" ca="1" si="584"/>
        <v>16</v>
      </c>
      <c r="D1822" t="str">
        <f>ADDRESS(B1822, 3,4  )</f>
        <v>C19</v>
      </c>
      <c r="E1822" s="52">
        <f ca="1">H1822+I1822</f>
        <v>0</v>
      </c>
      <c r="F1822" t="str">
        <f ca="1">CONCATENATE("Based upon the number of buildings specified, information for  building ", C1822, " required for a final application in row ", B1822, ".", CHAR(10))</f>
        <v xml:space="preserve">Based upon the number of buildings specified, information for  building 16 required for a final application in row 19.
</v>
      </c>
      <c r="G1822" s="9" t="str">
        <f t="shared" ca="1" si="582"/>
        <v xml:space="preserve">Enter a value for 'Number of Floors in the Tallest Building' in cell B58.
</v>
      </c>
      <c r="H1822" s="52">
        <f ca="1">SUMPRODUCT(--ISTEXT(INDIRECT(J1822)))</f>
        <v>0</v>
      </c>
      <c r="I1822" s="52">
        <f ca="1">SUMPRODUCT(--ISNUMBER(INDIRECT(J1822)))</f>
        <v>0</v>
      </c>
      <c r="J1822" s="52" t="str">
        <f>$F$1564&amp; ADDRESS(B1822,3,4) &amp; ":" &amp; ADDRESS(B1822,15,4)</f>
        <v>'Final Building Profile'!C19:O19</v>
      </c>
    </row>
    <row r="1823" spans="1:10" ht="15" customHeight="1">
      <c r="A1823" t="str">
        <f t="shared" ref="A1823:A1832" ca="1" si="603">IF(AND(OFFSET(A1823, -I1823 + 2, 4) &gt;  0, E1823=""), F1823, "")</f>
        <v/>
      </c>
      <c r="B1823">
        <f t="shared" ref="B1823:B1837" si="604">B1822</f>
        <v>19</v>
      </c>
      <c r="C1823">
        <f t="shared" ca="1" si="584"/>
        <v>16</v>
      </c>
      <c r="D1823" t="str">
        <f t="shared" ref="D1823:D1837" si="605">ADDRESS(B1823, I1823,4  )</f>
        <v>C19</v>
      </c>
      <c r="E1823" t="str">
        <f t="shared" ref="E1823:E1837" ca="1" si="606">IF(ISBLANK( INDIRECT($F$1564 &amp; D1823)),"", INDIRECT($F$1564 &amp; D1823))</f>
        <v/>
      </c>
      <c r="F1823" t="str">
        <f t="shared" ref="F1823:F1837" ca="1" si="607">CONCATENATE("Enter a '"&amp; H1823 &amp;"' for  building ", C1823, " in cell ", D1823, ".", CHAR(10))</f>
        <v xml:space="preserve">Enter a 'Building Street Address Only 
(DO NOT ENTER CITY, STATE, OR ZIP)' for  building 16 in cell C19.
</v>
      </c>
      <c r="G1823" s="9" t="str">
        <f t="shared" ref="G1823:G1886" ca="1" si="608">OFFSET(G1823, -1, 0) &amp; A1823</f>
        <v xml:space="preserve">Enter a value for 'Number of Floors in the Tallest Building' in cell B58.
</v>
      </c>
      <c r="H1823" s="52" t="str">
        <f t="shared" ref="H1823:H1837" ca="1" si="609">OFFSET(INDIRECT($F$1564 &amp; D1823), -B1823 + 3, 0)</f>
        <v>Building Street Address Only 
(DO NOT ENTER CITY, STATE, OR ZIP)</v>
      </c>
      <c r="I1823" s="52">
        <v>3</v>
      </c>
    </row>
    <row r="1824" spans="1:10" ht="15" customHeight="1">
      <c r="A1824" t="str">
        <f t="shared" ca="1" si="603"/>
        <v/>
      </c>
      <c r="B1824">
        <f t="shared" si="604"/>
        <v>19</v>
      </c>
      <c r="C1824">
        <f t="shared" ca="1" si="584"/>
        <v>16</v>
      </c>
      <c r="D1824" t="str">
        <f t="shared" si="605"/>
        <v>D19</v>
      </c>
      <c r="E1824" t="str">
        <f t="shared" ca="1" si="606"/>
        <v/>
      </c>
      <c r="F1824" t="str">
        <f t="shared" ca="1" si="607"/>
        <v xml:space="preserve">Enter a 'Total Units in Building*' for  building 16 in cell D19.
</v>
      </c>
      <c r="G1824" s="9" t="str">
        <f t="shared" ca="1" si="608"/>
        <v xml:space="preserve">Enter a value for 'Number of Floors in the Tallest Building' in cell B58.
</v>
      </c>
      <c r="H1824" s="52" t="str">
        <f t="shared" ca="1" si="609"/>
        <v>Total Units in Building*</v>
      </c>
      <c r="I1824" s="52">
        <v>4</v>
      </c>
    </row>
    <row r="1825" spans="1:10" ht="15" customHeight="1">
      <c r="A1825" t="str">
        <f t="shared" ca="1" si="603"/>
        <v/>
      </c>
      <c r="B1825">
        <f t="shared" si="604"/>
        <v>19</v>
      </c>
      <c r="C1825">
        <f t="shared" ca="1" si="584"/>
        <v>16</v>
      </c>
      <c r="D1825" t="str">
        <f t="shared" si="605"/>
        <v>E19</v>
      </c>
      <c r="E1825" t="str">
        <f t="shared" ca="1" si="606"/>
        <v/>
      </c>
      <c r="F1825" t="str">
        <f t="shared" ca="1" si="607"/>
        <v xml:space="preserve">Enter a 'Employee Units' for  building 16 in cell E19.
</v>
      </c>
      <c r="G1825" s="9" t="str">
        <f t="shared" ca="1" si="608"/>
        <v xml:space="preserve">Enter a value for 'Number of Floors in the Tallest Building' in cell B58.
</v>
      </c>
      <c r="H1825" s="52" t="str">
        <f t="shared" ca="1" si="609"/>
        <v>Employee Units</v>
      </c>
      <c r="I1825" s="52">
        <v>5</v>
      </c>
    </row>
    <row r="1826" spans="1:10" ht="15" customHeight="1">
      <c r="A1826" t="str">
        <f t="shared" ca="1" si="603"/>
        <v/>
      </c>
      <c r="B1826">
        <f t="shared" si="604"/>
        <v>19</v>
      </c>
      <c r="C1826">
        <f t="shared" ca="1" si="584"/>
        <v>16</v>
      </c>
      <c r="D1826" t="str">
        <f t="shared" si="605"/>
        <v>F19</v>
      </c>
      <c r="E1826" t="str">
        <f t="shared" ca="1" si="606"/>
        <v/>
      </c>
      <c r="F1826" t="str">
        <f t="shared" ca="1" si="607"/>
        <v xml:space="preserve">Enter a 'Low-Income Units' for  building 16 in cell F19.
</v>
      </c>
      <c r="G1826" s="9" t="str">
        <f t="shared" ca="1" si="608"/>
        <v xml:space="preserve">Enter a value for 'Number of Floors in the Tallest Building' in cell B58.
</v>
      </c>
      <c r="H1826" s="52" t="str">
        <f t="shared" ca="1" si="609"/>
        <v>Low-Income Units</v>
      </c>
      <c r="I1826" s="52">
        <v>6</v>
      </c>
    </row>
    <row r="1827" spans="1:10" ht="15" customHeight="1">
      <c r="A1827" t="str">
        <f t="shared" ca="1" si="603"/>
        <v/>
      </c>
      <c r="B1827">
        <f t="shared" si="604"/>
        <v>19</v>
      </c>
      <c r="C1827">
        <f t="shared" ca="1" si="584"/>
        <v>16</v>
      </c>
      <c r="D1827" t="str">
        <f t="shared" si="605"/>
        <v>G19</v>
      </c>
      <c r="E1827" t="str">
        <f t="shared" ca="1" si="606"/>
        <v/>
      </c>
      <c r="F1827" t="str">
        <f t="shared" ca="1" si="607"/>
        <v xml:space="preserve">Enter a 'Residential Square Footage**' for  building 16 in cell G19.
</v>
      </c>
      <c r="G1827" s="9" t="str">
        <f t="shared" ca="1" si="608"/>
        <v xml:space="preserve">Enter a value for 'Number of Floors in the Tallest Building' in cell B58.
</v>
      </c>
      <c r="H1827" s="52" t="str">
        <f t="shared" ca="1" si="609"/>
        <v>Residential Square Footage**</v>
      </c>
      <c r="I1827" s="52">
        <v>7</v>
      </c>
    </row>
    <row r="1828" spans="1:10" ht="15" customHeight="1">
      <c r="A1828" t="str">
        <f t="shared" ca="1" si="603"/>
        <v/>
      </c>
      <c r="B1828">
        <f t="shared" si="604"/>
        <v>19</v>
      </c>
      <c r="C1828">
        <f t="shared" ca="1" si="584"/>
        <v>16</v>
      </c>
      <c r="D1828" t="str">
        <f t="shared" si="605"/>
        <v>H19</v>
      </c>
      <c r="E1828" t="str">
        <f t="shared" ca="1" si="606"/>
        <v/>
      </c>
      <c r="F1828" t="str">
        <f t="shared" ca="1" si="607"/>
        <v xml:space="preserve">Enter a 'Square Footage of Employee Units' for  building 16 in cell H19.
</v>
      </c>
      <c r="G1828" s="9" t="str">
        <f t="shared" ca="1" si="608"/>
        <v xml:space="preserve">Enter a value for 'Number of Floors in the Tallest Building' in cell B58.
</v>
      </c>
      <c r="H1828" s="52" t="str">
        <f t="shared" ca="1" si="609"/>
        <v>Square Footage of Employee Units</v>
      </c>
      <c r="I1828" s="52">
        <v>8</v>
      </c>
    </row>
    <row r="1829" spans="1:10" ht="15" customHeight="1">
      <c r="A1829" t="str">
        <f t="shared" ca="1" si="603"/>
        <v/>
      </c>
      <c r="B1829">
        <f t="shared" si="604"/>
        <v>19</v>
      </c>
      <c r="C1829">
        <f t="shared" ca="1" si="584"/>
        <v>16</v>
      </c>
      <c r="D1829" t="str">
        <f t="shared" si="605"/>
        <v>I19</v>
      </c>
      <c r="E1829" t="str">
        <f t="shared" ca="1" si="606"/>
        <v/>
      </c>
      <c r="F1829" t="str">
        <f t="shared" ca="1" si="607"/>
        <v xml:space="preserve">Enter a 'Square Footage of Low-Income Units' for  building 16 in cell I19.
</v>
      </c>
      <c r="G1829" s="9" t="str">
        <f t="shared" ca="1" si="608"/>
        <v xml:space="preserve">Enter a value for 'Number of Floors in the Tallest Building' in cell B58.
</v>
      </c>
      <c r="H1829" s="52" t="str">
        <f t="shared" ca="1" si="609"/>
        <v>Square Footage of Low-Income Units</v>
      </c>
      <c r="I1829" s="52">
        <v>9</v>
      </c>
    </row>
    <row r="1830" spans="1:10" ht="15" customHeight="1">
      <c r="A1830" t="str">
        <f t="shared" ca="1" si="603"/>
        <v/>
      </c>
      <c r="B1830">
        <f t="shared" si="604"/>
        <v>19</v>
      </c>
      <c r="C1830">
        <f t="shared" ca="1" si="584"/>
        <v>16</v>
      </c>
      <c r="D1830" t="str">
        <f t="shared" si="605"/>
        <v>J19</v>
      </c>
      <c r="E1830" t="str">
        <f t="shared" ca="1" si="606"/>
        <v/>
      </c>
      <c r="F1830" t="str">
        <f t="shared" ca="1" si="607"/>
        <v xml:space="preserve">Enter a 'Placed-In-Service Date' for  building 16 in cell J19.
</v>
      </c>
      <c r="G1830" s="9" t="str">
        <f t="shared" ca="1" si="608"/>
        <v xml:space="preserve">Enter a value for 'Number of Floors in the Tallest Building' in cell B58.
</v>
      </c>
      <c r="H1830" s="52" t="str">
        <f t="shared" ca="1" si="609"/>
        <v>Placed-In-Service Date</v>
      </c>
      <c r="I1830" s="52">
        <v>10</v>
      </c>
    </row>
    <row r="1831" spans="1:10" ht="15" customHeight="1">
      <c r="A1831" t="str">
        <f t="shared" ca="1" si="603"/>
        <v/>
      </c>
      <c r="B1831">
        <f t="shared" si="604"/>
        <v>19</v>
      </c>
      <c r="C1831">
        <f t="shared" ca="1" si="584"/>
        <v>16</v>
      </c>
      <c r="D1831" t="str">
        <f t="shared" si="605"/>
        <v>K19</v>
      </c>
      <c r="E1831" t="str">
        <f t="shared" ca="1" si="606"/>
        <v/>
      </c>
      <c r="F1831" t="str">
        <f t="shared" ca="1" si="607"/>
        <v xml:space="preserve">Enter a 'New Construction/ Rehab APR' for  building 16 in cell K19.
</v>
      </c>
      <c r="G1831" s="9" t="str">
        <f t="shared" ca="1" si="608"/>
        <v xml:space="preserve">Enter a value for 'Number of Floors in the Tallest Building' in cell B58.
</v>
      </c>
      <c r="H1831" s="52" t="str">
        <f t="shared" ca="1" si="609"/>
        <v>New Construction/ Rehab APR</v>
      </c>
      <c r="I1831" s="52">
        <v>11</v>
      </c>
    </row>
    <row r="1832" spans="1:10" ht="15" customHeight="1">
      <c r="A1832" t="str">
        <f t="shared" ca="1" si="603"/>
        <v/>
      </c>
      <c r="B1832">
        <f t="shared" si="604"/>
        <v>19</v>
      </c>
      <c r="C1832">
        <f t="shared" ca="1" si="584"/>
        <v>16</v>
      </c>
      <c r="D1832" t="str">
        <f t="shared" si="605"/>
        <v>L19</v>
      </c>
      <c r="E1832" t="str">
        <f t="shared" ca="1" si="606"/>
        <v/>
      </c>
      <c r="F1832" t="str">
        <f t="shared" ca="1" si="607"/>
        <v xml:space="preserve">Enter a 'New Construction Eligible Basis' for  building 16 in cell L19.
</v>
      </c>
      <c r="G1832" s="9" t="str">
        <f t="shared" ca="1" si="608"/>
        <v xml:space="preserve">Enter a value for 'Number of Floors in the Tallest Building' in cell B58.
</v>
      </c>
      <c r="H1832" s="52" t="str">
        <f t="shared" ca="1" si="609"/>
        <v>New Construction Eligible Basis</v>
      </c>
      <c r="I1832" s="52">
        <v>12</v>
      </c>
    </row>
    <row r="1833" spans="1:10" ht="15" customHeight="1">
      <c r="A1833" t="str">
        <f ca="1">IF(AND(OFFSET(A1833, -I1833 + 2, 4) &gt;  0, E1833="", Calculations!$B$7), F1833, "")</f>
        <v/>
      </c>
      <c r="B1833">
        <f t="shared" si="604"/>
        <v>19</v>
      </c>
      <c r="C1833">
        <f t="shared" ca="1" si="584"/>
        <v>16</v>
      </c>
      <c r="D1833" t="str">
        <f t="shared" si="605"/>
        <v>M19</v>
      </c>
      <c r="E1833" t="str">
        <f t="shared" ca="1" si="606"/>
        <v/>
      </c>
      <c r="F1833" t="str">
        <f t="shared" ca="1" si="607"/>
        <v xml:space="preserve">Enter a 'Eligible Basis for Rehab' for  building 16 in cell M19.
</v>
      </c>
      <c r="G1833" s="9" t="str">
        <f t="shared" ca="1" si="608"/>
        <v xml:space="preserve">Enter a value for 'Number of Floors in the Tallest Building' in cell B58.
</v>
      </c>
      <c r="H1833" s="52" t="str">
        <f t="shared" ca="1" si="609"/>
        <v>Eligible Basis for Rehab</v>
      </c>
      <c r="I1833" s="52">
        <v>13</v>
      </c>
    </row>
    <row r="1834" spans="1:10" ht="15" customHeight="1">
      <c r="A1834" t="str">
        <f ca="1">IF(AND(OFFSET(A1834, -I1834 + 2, 4) &gt;  0, E1834="", Calculations!$B$7), F1834, "")</f>
        <v/>
      </c>
      <c r="B1834">
        <f t="shared" si="604"/>
        <v>19</v>
      </c>
      <c r="C1834">
        <f t="shared" ca="1" si="584"/>
        <v>16</v>
      </c>
      <c r="D1834" t="str">
        <f t="shared" si="605"/>
        <v>N19</v>
      </c>
      <c r="E1834" t="str">
        <f t="shared" ca="1" si="606"/>
        <v/>
      </c>
      <c r="F1834" t="str">
        <f t="shared" ca="1" si="607"/>
        <v xml:space="preserve">Enter a 'Cost of Acquiring the Building***' for  building 16 in cell N19.
</v>
      </c>
      <c r="G1834" s="9" t="str">
        <f t="shared" ca="1" si="608"/>
        <v xml:space="preserve">Enter a value for 'Number of Floors in the Tallest Building' in cell B58.
</v>
      </c>
      <c r="H1834" s="52" t="str">
        <f t="shared" ca="1" si="609"/>
        <v>Cost of Acquiring the Building***</v>
      </c>
      <c r="I1834" s="52">
        <v>14</v>
      </c>
    </row>
    <row r="1835" spans="1:10" ht="15" customHeight="1">
      <c r="A1835" t="str">
        <f ca="1">IF(AND(OFFSET(A1835, -I1835 + 2, 4) &gt;  0, E1835="", Calculations!$B$7), F1835, "")</f>
        <v/>
      </c>
      <c r="B1835">
        <f t="shared" si="604"/>
        <v>19</v>
      </c>
      <c r="C1835">
        <f t="shared" ca="1" si="584"/>
        <v>16</v>
      </c>
      <c r="D1835" t="str">
        <f t="shared" si="605"/>
        <v>O19</v>
      </c>
      <c r="E1835" t="str">
        <f t="shared" ca="1" si="606"/>
        <v/>
      </c>
      <c r="F1835" t="str">
        <f t="shared" ca="1" si="607"/>
        <v xml:space="preserve">Enter a 'Higher of Land Purchase Price or Land Appraised Value****' for  building 16 in cell O19.
</v>
      </c>
      <c r="G1835" s="9" t="str">
        <f t="shared" ca="1" si="608"/>
        <v xml:space="preserve">Enter a value for 'Number of Floors in the Tallest Building' in cell B58.
</v>
      </c>
      <c r="H1835" s="52" t="str">
        <f t="shared" ca="1" si="609"/>
        <v>Higher of Land Purchase Price or Land Appraised Value****</v>
      </c>
      <c r="I1835" s="52">
        <v>15</v>
      </c>
    </row>
    <row r="1836" spans="1:10" ht="15" customHeight="1">
      <c r="A1836" t="str">
        <f ca="1">IF(AND(OFFSET(A1836, -I1836 + 2, 4) &gt;  0, E1836="", Calculations!$B$7), F1836, "")</f>
        <v/>
      </c>
      <c r="B1836">
        <f t="shared" si="604"/>
        <v>19</v>
      </c>
      <c r="C1836">
        <f t="shared" ca="1" si="584"/>
        <v>16</v>
      </c>
      <c r="D1836" t="str">
        <f t="shared" si="605"/>
        <v>P19</v>
      </c>
      <c r="E1836" t="str">
        <f t="shared" ca="1" si="606"/>
        <v/>
      </c>
      <c r="F1836" t="str">
        <f t="shared" ca="1" si="607"/>
        <v xml:space="preserve">Enter a 'Acquisition Placed-in-Service Date' for  building 16 in cell P19.
</v>
      </c>
      <c r="G1836" s="9" t="str">
        <f t="shared" ca="1" si="608"/>
        <v xml:space="preserve">Enter a value for 'Number of Floors in the Tallest Building' in cell B58.
</v>
      </c>
      <c r="H1836" s="52" t="str">
        <f t="shared" ca="1" si="609"/>
        <v>Acquisition Placed-in-Service Date</v>
      </c>
      <c r="I1836" s="52">
        <v>16</v>
      </c>
    </row>
    <row r="1837" spans="1:10" ht="15" customHeight="1">
      <c r="A1837" t="str">
        <f ca="1">IF(AND(OFFSET(A1837, -I1837 + 2, 4) &gt;  0, E1837="", Calculations!$B$7), F1837, "")</f>
        <v/>
      </c>
      <c r="B1837">
        <f t="shared" si="604"/>
        <v>19</v>
      </c>
      <c r="C1837">
        <f t="shared" ca="1" si="584"/>
        <v>16</v>
      </c>
      <c r="D1837" t="str">
        <f t="shared" si="605"/>
        <v>Q19</v>
      </c>
      <c r="E1837" t="str">
        <f t="shared" ca="1" si="606"/>
        <v/>
      </c>
      <c r="F1837" t="str">
        <f t="shared" ca="1" si="607"/>
        <v xml:space="preserve">Enter a 'Acquisition APR' for  building 16 in cell Q19.
</v>
      </c>
      <c r="G1837" s="9" t="str">
        <f t="shared" ca="1" si="608"/>
        <v xml:space="preserve">Enter a value for 'Number of Floors in the Tallest Building' in cell B58.
</v>
      </c>
      <c r="H1837" s="52" t="str">
        <f t="shared" ca="1" si="609"/>
        <v>Acquisition APR</v>
      </c>
      <c r="I1837" s="52">
        <v>17</v>
      </c>
    </row>
    <row r="1838" spans="1:10" ht="15" customHeight="1">
      <c r="A1838" t="str">
        <f ca="1">IF(AND(Calculations!$B$4,Calculations!$B$28&gt;=C1838, E1838 &lt;&gt; 13),F1838,"")</f>
        <v/>
      </c>
      <c r="B1838">
        <f>ROW('Final Building Profile'!C20)</f>
        <v>20</v>
      </c>
      <c r="C1838">
        <f t="shared" ref="C1838:C1901" ca="1" si="610">INDIRECT($F$1564 &amp; ADDRESS(B1838, 1,4  ))</f>
        <v>17</v>
      </c>
      <c r="D1838" t="str">
        <f>ADDRESS(B1838, 3,4  )</f>
        <v>C20</v>
      </c>
      <c r="E1838" s="52">
        <f ca="1">H1838+I1838</f>
        <v>0</v>
      </c>
      <c r="F1838" t="str">
        <f ca="1">CONCATENATE("Based upon the number of buildings specified, information for  building ", C1838, " required for a final application in row ", B1838, ".", CHAR(10))</f>
        <v xml:space="preserve">Based upon the number of buildings specified, information for  building 17 required for a final application in row 20.
</v>
      </c>
      <c r="G1838" s="9" t="str">
        <f t="shared" ca="1" si="608"/>
        <v xml:space="preserve">Enter a value for 'Number of Floors in the Tallest Building' in cell B58.
</v>
      </c>
      <c r="H1838" s="52">
        <f ca="1">SUMPRODUCT(--ISTEXT(INDIRECT(J1838)))</f>
        <v>0</v>
      </c>
      <c r="I1838" s="52">
        <f ca="1">SUMPRODUCT(--ISNUMBER(INDIRECT(J1838)))</f>
        <v>0</v>
      </c>
      <c r="J1838" s="52" t="str">
        <f>$F$1564&amp; ADDRESS(B1838,3,4) &amp; ":" &amp; ADDRESS(B1838,15,4)</f>
        <v>'Final Building Profile'!C20:O20</v>
      </c>
    </row>
    <row r="1839" spans="1:10" ht="15" customHeight="1">
      <c r="A1839" t="str">
        <f t="shared" ref="A1839:A1848" ca="1" si="611">IF(AND(OFFSET(A1839, -I1839 + 2, 4) &gt;  0, E1839=""), F1839, "")</f>
        <v/>
      </c>
      <c r="B1839">
        <f t="shared" ref="B1839:B1853" si="612">B1838</f>
        <v>20</v>
      </c>
      <c r="C1839">
        <f t="shared" ca="1" si="610"/>
        <v>17</v>
      </c>
      <c r="D1839" t="str">
        <f t="shared" ref="D1839:D1853" si="613">ADDRESS(B1839, I1839,4  )</f>
        <v>C20</v>
      </c>
      <c r="E1839" t="str">
        <f t="shared" ref="E1839:E1853" ca="1" si="614">IF(ISBLANK( INDIRECT($F$1564 &amp; D1839)),"", INDIRECT($F$1564 &amp; D1839))</f>
        <v/>
      </c>
      <c r="F1839" t="str">
        <f t="shared" ref="F1839:F1853" ca="1" si="615">CONCATENATE("Enter a '"&amp; H1839 &amp;"' for  building ", C1839, " in cell ", D1839, ".", CHAR(10))</f>
        <v xml:space="preserve">Enter a 'Building Street Address Only 
(DO NOT ENTER CITY, STATE, OR ZIP)' for  building 17 in cell C20.
</v>
      </c>
      <c r="G1839" s="9" t="str">
        <f t="shared" ca="1" si="608"/>
        <v xml:space="preserve">Enter a value for 'Number of Floors in the Tallest Building' in cell B58.
</v>
      </c>
      <c r="H1839" s="52" t="str">
        <f t="shared" ref="H1839:H1853" ca="1" si="616">OFFSET(INDIRECT($F$1564 &amp; D1839), -B1839 + 3, 0)</f>
        <v>Building Street Address Only 
(DO NOT ENTER CITY, STATE, OR ZIP)</v>
      </c>
      <c r="I1839" s="52">
        <v>3</v>
      </c>
    </row>
    <row r="1840" spans="1:10" ht="15" customHeight="1">
      <c r="A1840" t="str">
        <f t="shared" ca="1" si="611"/>
        <v/>
      </c>
      <c r="B1840">
        <f t="shared" si="612"/>
        <v>20</v>
      </c>
      <c r="C1840">
        <f t="shared" ca="1" si="610"/>
        <v>17</v>
      </c>
      <c r="D1840" t="str">
        <f t="shared" si="613"/>
        <v>D20</v>
      </c>
      <c r="E1840" t="str">
        <f t="shared" ca="1" si="614"/>
        <v/>
      </c>
      <c r="F1840" t="str">
        <f t="shared" ca="1" si="615"/>
        <v xml:space="preserve">Enter a 'Total Units in Building*' for  building 17 in cell D20.
</v>
      </c>
      <c r="G1840" s="9" t="str">
        <f t="shared" ca="1" si="608"/>
        <v xml:space="preserve">Enter a value for 'Number of Floors in the Tallest Building' in cell B58.
</v>
      </c>
      <c r="H1840" s="52" t="str">
        <f t="shared" ca="1" si="616"/>
        <v>Total Units in Building*</v>
      </c>
      <c r="I1840" s="52">
        <v>4</v>
      </c>
    </row>
    <row r="1841" spans="1:10" ht="15" customHeight="1">
      <c r="A1841" t="str">
        <f t="shared" ca="1" si="611"/>
        <v/>
      </c>
      <c r="B1841">
        <f t="shared" si="612"/>
        <v>20</v>
      </c>
      <c r="C1841">
        <f t="shared" ca="1" si="610"/>
        <v>17</v>
      </c>
      <c r="D1841" t="str">
        <f t="shared" si="613"/>
        <v>E20</v>
      </c>
      <c r="E1841" t="str">
        <f t="shared" ca="1" si="614"/>
        <v/>
      </c>
      <c r="F1841" t="str">
        <f t="shared" ca="1" si="615"/>
        <v xml:space="preserve">Enter a 'Employee Units' for  building 17 in cell E20.
</v>
      </c>
      <c r="G1841" s="9" t="str">
        <f t="shared" ca="1" si="608"/>
        <v xml:space="preserve">Enter a value for 'Number of Floors in the Tallest Building' in cell B58.
</v>
      </c>
      <c r="H1841" s="52" t="str">
        <f t="shared" ca="1" si="616"/>
        <v>Employee Units</v>
      </c>
      <c r="I1841" s="52">
        <v>5</v>
      </c>
    </row>
    <row r="1842" spans="1:10" ht="15" customHeight="1">
      <c r="A1842" t="str">
        <f t="shared" ca="1" si="611"/>
        <v/>
      </c>
      <c r="B1842">
        <f t="shared" si="612"/>
        <v>20</v>
      </c>
      <c r="C1842">
        <f t="shared" ca="1" si="610"/>
        <v>17</v>
      </c>
      <c r="D1842" t="str">
        <f t="shared" si="613"/>
        <v>F20</v>
      </c>
      <c r="E1842" t="str">
        <f t="shared" ca="1" si="614"/>
        <v/>
      </c>
      <c r="F1842" t="str">
        <f t="shared" ca="1" si="615"/>
        <v xml:space="preserve">Enter a 'Low-Income Units' for  building 17 in cell F20.
</v>
      </c>
      <c r="G1842" s="9" t="str">
        <f t="shared" ca="1" si="608"/>
        <v xml:space="preserve">Enter a value for 'Number of Floors in the Tallest Building' in cell B58.
</v>
      </c>
      <c r="H1842" s="52" t="str">
        <f t="shared" ca="1" si="616"/>
        <v>Low-Income Units</v>
      </c>
      <c r="I1842" s="52">
        <v>6</v>
      </c>
    </row>
    <row r="1843" spans="1:10" ht="15" customHeight="1">
      <c r="A1843" t="str">
        <f t="shared" ca="1" si="611"/>
        <v/>
      </c>
      <c r="B1843">
        <f t="shared" si="612"/>
        <v>20</v>
      </c>
      <c r="C1843">
        <f t="shared" ca="1" si="610"/>
        <v>17</v>
      </c>
      <c r="D1843" t="str">
        <f t="shared" si="613"/>
        <v>G20</v>
      </c>
      <c r="E1843" t="str">
        <f t="shared" ca="1" si="614"/>
        <v/>
      </c>
      <c r="F1843" t="str">
        <f t="shared" ca="1" si="615"/>
        <v xml:space="preserve">Enter a 'Residential Square Footage**' for  building 17 in cell G20.
</v>
      </c>
      <c r="G1843" s="9" t="str">
        <f t="shared" ca="1" si="608"/>
        <v xml:space="preserve">Enter a value for 'Number of Floors in the Tallest Building' in cell B58.
</v>
      </c>
      <c r="H1843" s="52" t="str">
        <f t="shared" ca="1" si="616"/>
        <v>Residential Square Footage**</v>
      </c>
      <c r="I1843" s="52">
        <v>7</v>
      </c>
    </row>
    <row r="1844" spans="1:10" ht="15" customHeight="1">
      <c r="A1844" t="str">
        <f t="shared" ca="1" si="611"/>
        <v/>
      </c>
      <c r="B1844">
        <f t="shared" si="612"/>
        <v>20</v>
      </c>
      <c r="C1844">
        <f t="shared" ca="1" si="610"/>
        <v>17</v>
      </c>
      <c r="D1844" t="str">
        <f t="shared" si="613"/>
        <v>H20</v>
      </c>
      <c r="E1844" t="str">
        <f t="shared" ca="1" si="614"/>
        <v/>
      </c>
      <c r="F1844" t="str">
        <f t="shared" ca="1" si="615"/>
        <v xml:space="preserve">Enter a 'Square Footage of Employee Units' for  building 17 in cell H20.
</v>
      </c>
      <c r="G1844" s="9" t="str">
        <f t="shared" ca="1" si="608"/>
        <v xml:space="preserve">Enter a value for 'Number of Floors in the Tallest Building' in cell B58.
</v>
      </c>
      <c r="H1844" s="52" t="str">
        <f t="shared" ca="1" si="616"/>
        <v>Square Footage of Employee Units</v>
      </c>
      <c r="I1844" s="52">
        <v>8</v>
      </c>
    </row>
    <row r="1845" spans="1:10" ht="15" customHeight="1">
      <c r="A1845" t="str">
        <f t="shared" ca="1" si="611"/>
        <v/>
      </c>
      <c r="B1845">
        <f t="shared" si="612"/>
        <v>20</v>
      </c>
      <c r="C1845">
        <f t="shared" ca="1" si="610"/>
        <v>17</v>
      </c>
      <c r="D1845" t="str">
        <f t="shared" si="613"/>
        <v>I20</v>
      </c>
      <c r="E1845" t="str">
        <f t="shared" ca="1" si="614"/>
        <v/>
      </c>
      <c r="F1845" t="str">
        <f t="shared" ca="1" si="615"/>
        <v xml:space="preserve">Enter a 'Square Footage of Low-Income Units' for  building 17 in cell I20.
</v>
      </c>
      <c r="G1845" s="9" t="str">
        <f t="shared" ca="1" si="608"/>
        <v xml:space="preserve">Enter a value for 'Number of Floors in the Tallest Building' in cell B58.
</v>
      </c>
      <c r="H1845" s="52" t="str">
        <f t="shared" ca="1" si="616"/>
        <v>Square Footage of Low-Income Units</v>
      </c>
      <c r="I1845" s="52">
        <v>9</v>
      </c>
    </row>
    <row r="1846" spans="1:10" ht="15" customHeight="1">
      <c r="A1846" t="str">
        <f t="shared" ca="1" si="611"/>
        <v/>
      </c>
      <c r="B1846">
        <f t="shared" si="612"/>
        <v>20</v>
      </c>
      <c r="C1846">
        <f t="shared" ca="1" si="610"/>
        <v>17</v>
      </c>
      <c r="D1846" t="str">
        <f t="shared" si="613"/>
        <v>J20</v>
      </c>
      <c r="E1846" t="str">
        <f t="shared" ca="1" si="614"/>
        <v/>
      </c>
      <c r="F1846" t="str">
        <f t="shared" ca="1" si="615"/>
        <v xml:space="preserve">Enter a 'Placed-In-Service Date' for  building 17 in cell J20.
</v>
      </c>
      <c r="G1846" s="9" t="str">
        <f t="shared" ca="1" si="608"/>
        <v xml:space="preserve">Enter a value for 'Number of Floors in the Tallest Building' in cell B58.
</v>
      </c>
      <c r="H1846" s="52" t="str">
        <f t="shared" ca="1" si="616"/>
        <v>Placed-In-Service Date</v>
      </c>
      <c r="I1846" s="52">
        <v>10</v>
      </c>
    </row>
    <row r="1847" spans="1:10" ht="15" customHeight="1">
      <c r="A1847" t="str">
        <f t="shared" ca="1" si="611"/>
        <v/>
      </c>
      <c r="B1847">
        <f t="shared" si="612"/>
        <v>20</v>
      </c>
      <c r="C1847">
        <f t="shared" ca="1" si="610"/>
        <v>17</v>
      </c>
      <c r="D1847" t="str">
        <f t="shared" si="613"/>
        <v>K20</v>
      </c>
      <c r="E1847" t="str">
        <f t="shared" ca="1" si="614"/>
        <v/>
      </c>
      <c r="F1847" t="str">
        <f t="shared" ca="1" si="615"/>
        <v xml:space="preserve">Enter a 'New Construction/ Rehab APR' for  building 17 in cell K20.
</v>
      </c>
      <c r="G1847" s="9" t="str">
        <f t="shared" ca="1" si="608"/>
        <v xml:space="preserve">Enter a value for 'Number of Floors in the Tallest Building' in cell B58.
</v>
      </c>
      <c r="H1847" s="52" t="str">
        <f t="shared" ca="1" si="616"/>
        <v>New Construction/ Rehab APR</v>
      </c>
      <c r="I1847" s="52">
        <v>11</v>
      </c>
    </row>
    <row r="1848" spans="1:10" ht="15" customHeight="1">
      <c r="A1848" t="str">
        <f t="shared" ca="1" si="611"/>
        <v/>
      </c>
      <c r="B1848">
        <f t="shared" si="612"/>
        <v>20</v>
      </c>
      <c r="C1848">
        <f t="shared" ca="1" si="610"/>
        <v>17</v>
      </c>
      <c r="D1848" t="str">
        <f t="shared" si="613"/>
        <v>L20</v>
      </c>
      <c r="E1848" t="str">
        <f t="shared" ca="1" si="614"/>
        <v/>
      </c>
      <c r="F1848" t="str">
        <f t="shared" ca="1" si="615"/>
        <v xml:space="preserve">Enter a 'New Construction Eligible Basis' for  building 17 in cell L20.
</v>
      </c>
      <c r="G1848" s="9" t="str">
        <f t="shared" ca="1" si="608"/>
        <v xml:space="preserve">Enter a value for 'Number of Floors in the Tallest Building' in cell B58.
</v>
      </c>
      <c r="H1848" s="52" t="str">
        <f t="shared" ca="1" si="616"/>
        <v>New Construction Eligible Basis</v>
      </c>
      <c r="I1848" s="52">
        <v>12</v>
      </c>
    </row>
    <row r="1849" spans="1:10" ht="15" customHeight="1">
      <c r="A1849" t="str">
        <f ca="1">IF(AND(OFFSET(A1849, -I1849 + 2, 4) &gt;  0, E1849="", Calculations!$B$7), F1849, "")</f>
        <v/>
      </c>
      <c r="B1849">
        <f t="shared" si="612"/>
        <v>20</v>
      </c>
      <c r="C1849">
        <f t="shared" ca="1" si="610"/>
        <v>17</v>
      </c>
      <c r="D1849" t="str">
        <f t="shared" si="613"/>
        <v>M20</v>
      </c>
      <c r="E1849" t="str">
        <f t="shared" ca="1" si="614"/>
        <v/>
      </c>
      <c r="F1849" t="str">
        <f t="shared" ca="1" si="615"/>
        <v xml:space="preserve">Enter a 'Eligible Basis for Rehab' for  building 17 in cell M20.
</v>
      </c>
      <c r="G1849" s="9" t="str">
        <f t="shared" ca="1" si="608"/>
        <v xml:space="preserve">Enter a value for 'Number of Floors in the Tallest Building' in cell B58.
</v>
      </c>
      <c r="H1849" s="52" t="str">
        <f t="shared" ca="1" si="616"/>
        <v>Eligible Basis for Rehab</v>
      </c>
      <c r="I1849" s="52">
        <v>13</v>
      </c>
    </row>
    <row r="1850" spans="1:10" ht="15" customHeight="1">
      <c r="A1850" t="str">
        <f ca="1">IF(AND(OFFSET(A1850, -I1850 + 2, 4) &gt;  0, E1850="", Calculations!$B$7), F1850, "")</f>
        <v/>
      </c>
      <c r="B1850">
        <f t="shared" si="612"/>
        <v>20</v>
      </c>
      <c r="C1850">
        <f t="shared" ca="1" si="610"/>
        <v>17</v>
      </c>
      <c r="D1850" t="str">
        <f t="shared" si="613"/>
        <v>N20</v>
      </c>
      <c r="E1850" t="str">
        <f t="shared" ca="1" si="614"/>
        <v/>
      </c>
      <c r="F1850" t="str">
        <f t="shared" ca="1" si="615"/>
        <v xml:space="preserve">Enter a 'Cost of Acquiring the Building***' for  building 17 in cell N20.
</v>
      </c>
      <c r="G1850" s="9" t="str">
        <f t="shared" ca="1" si="608"/>
        <v xml:space="preserve">Enter a value for 'Number of Floors in the Tallest Building' in cell B58.
</v>
      </c>
      <c r="H1850" s="52" t="str">
        <f t="shared" ca="1" si="616"/>
        <v>Cost of Acquiring the Building***</v>
      </c>
      <c r="I1850" s="52">
        <v>14</v>
      </c>
    </row>
    <row r="1851" spans="1:10" ht="15" customHeight="1">
      <c r="A1851" t="str">
        <f ca="1">IF(AND(OFFSET(A1851, -I1851 + 2, 4) &gt;  0, E1851="", Calculations!$B$7), F1851, "")</f>
        <v/>
      </c>
      <c r="B1851">
        <f t="shared" si="612"/>
        <v>20</v>
      </c>
      <c r="C1851">
        <f t="shared" ca="1" si="610"/>
        <v>17</v>
      </c>
      <c r="D1851" t="str">
        <f t="shared" si="613"/>
        <v>O20</v>
      </c>
      <c r="E1851" t="str">
        <f t="shared" ca="1" si="614"/>
        <v/>
      </c>
      <c r="F1851" t="str">
        <f t="shared" ca="1" si="615"/>
        <v xml:space="preserve">Enter a 'Higher of Land Purchase Price or Land Appraised Value****' for  building 17 in cell O20.
</v>
      </c>
      <c r="G1851" s="9" t="str">
        <f t="shared" ca="1" si="608"/>
        <v xml:space="preserve">Enter a value for 'Number of Floors in the Tallest Building' in cell B58.
</v>
      </c>
      <c r="H1851" s="52" t="str">
        <f t="shared" ca="1" si="616"/>
        <v>Higher of Land Purchase Price or Land Appraised Value****</v>
      </c>
      <c r="I1851" s="52">
        <v>15</v>
      </c>
    </row>
    <row r="1852" spans="1:10" ht="15" customHeight="1">
      <c r="A1852" t="str">
        <f ca="1">IF(AND(OFFSET(A1852, -I1852 + 2, 4) &gt;  0, E1852="", Calculations!$B$7), F1852, "")</f>
        <v/>
      </c>
      <c r="B1852">
        <f t="shared" si="612"/>
        <v>20</v>
      </c>
      <c r="C1852">
        <f t="shared" ca="1" si="610"/>
        <v>17</v>
      </c>
      <c r="D1852" t="str">
        <f t="shared" si="613"/>
        <v>P20</v>
      </c>
      <c r="E1852" t="str">
        <f t="shared" ca="1" si="614"/>
        <v/>
      </c>
      <c r="F1852" t="str">
        <f t="shared" ca="1" si="615"/>
        <v xml:space="preserve">Enter a 'Acquisition Placed-in-Service Date' for  building 17 in cell P20.
</v>
      </c>
      <c r="G1852" s="9" t="str">
        <f t="shared" ca="1" si="608"/>
        <v xml:space="preserve">Enter a value for 'Number of Floors in the Tallest Building' in cell B58.
</v>
      </c>
      <c r="H1852" s="52" t="str">
        <f t="shared" ca="1" si="616"/>
        <v>Acquisition Placed-in-Service Date</v>
      </c>
      <c r="I1852" s="52">
        <v>16</v>
      </c>
    </row>
    <row r="1853" spans="1:10" ht="15" customHeight="1">
      <c r="A1853" t="str">
        <f ca="1">IF(AND(OFFSET(A1853, -I1853 + 2, 4) &gt;  0, E1853="", Calculations!$B$7), F1853, "")</f>
        <v/>
      </c>
      <c r="B1853">
        <f t="shared" si="612"/>
        <v>20</v>
      </c>
      <c r="C1853">
        <f t="shared" ca="1" si="610"/>
        <v>17</v>
      </c>
      <c r="D1853" t="str">
        <f t="shared" si="613"/>
        <v>Q20</v>
      </c>
      <c r="E1853" t="str">
        <f t="shared" ca="1" si="614"/>
        <v/>
      </c>
      <c r="F1853" t="str">
        <f t="shared" ca="1" si="615"/>
        <v xml:space="preserve">Enter a 'Acquisition APR' for  building 17 in cell Q20.
</v>
      </c>
      <c r="G1853" s="9" t="str">
        <f t="shared" ca="1" si="608"/>
        <v xml:space="preserve">Enter a value for 'Number of Floors in the Tallest Building' in cell B58.
</v>
      </c>
      <c r="H1853" s="52" t="str">
        <f t="shared" ca="1" si="616"/>
        <v>Acquisition APR</v>
      </c>
      <c r="I1853" s="52">
        <v>17</v>
      </c>
    </row>
    <row r="1854" spans="1:10" ht="15" customHeight="1">
      <c r="A1854" t="str">
        <f ca="1">IF(AND(Calculations!$B$4,Calculations!$B$28&gt;=C1854, E1854 &lt;&gt; 13),F1854,"")</f>
        <v/>
      </c>
      <c r="B1854">
        <f>ROW('Final Building Profile'!C21)</f>
        <v>21</v>
      </c>
      <c r="C1854">
        <f t="shared" ca="1" si="610"/>
        <v>18</v>
      </c>
      <c r="D1854" t="str">
        <f>ADDRESS(B1854, 3,4  )</f>
        <v>C21</v>
      </c>
      <c r="E1854" s="52">
        <f ca="1">H1854+I1854</f>
        <v>0</v>
      </c>
      <c r="F1854" t="str">
        <f ca="1">CONCATENATE("Based upon the number of buildings specified, information for  building ", C1854, " required for a final application in row ", B1854, ".", CHAR(10))</f>
        <v xml:space="preserve">Based upon the number of buildings specified, information for  building 18 required for a final application in row 21.
</v>
      </c>
      <c r="G1854" s="9" t="str">
        <f t="shared" ca="1" si="608"/>
        <v xml:space="preserve">Enter a value for 'Number of Floors in the Tallest Building' in cell B58.
</v>
      </c>
      <c r="H1854" s="52">
        <f ca="1">SUMPRODUCT(--ISTEXT(INDIRECT(J1854)))</f>
        <v>0</v>
      </c>
      <c r="I1854" s="52">
        <f ca="1">SUMPRODUCT(--ISNUMBER(INDIRECT(J1854)))</f>
        <v>0</v>
      </c>
      <c r="J1854" s="52" t="str">
        <f>$F$1564&amp; ADDRESS(B1854,3,4) &amp; ":" &amp; ADDRESS(B1854,15,4)</f>
        <v>'Final Building Profile'!C21:O21</v>
      </c>
    </row>
    <row r="1855" spans="1:10" ht="15" customHeight="1">
      <c r="A1855" t="str">
        <f t="shared" ref="A1855:A1864" ca="1" si="617">IF(AND(OFFSET(A1855, -I1855 + 2, 4) &gt;  0, E1855=""), F1855, "")</f>
        <v/>
      </c>
      <c r="B1855">
        <f t="shared" ref="B1855:B1869" si="618">B1854</f>
        <v>21</v>
      </c>
      <c r="C1855">
        <f t="shared" ca="1" si="610"/>
        <v>18</v>
      </c>
      <c r="D1855" t="str">
        <f t="shared" ref="D1855:D1869" si="619">ADDRESS(B1855, I1855,4  )</f>
        <v>C21</v>
      </c>
      <c r="E1855" t="str">
        <f t="shared" ref="E1855:E1869" ca="1" si="620">IF(ISBLANK( INDIRECT($F$1564 &amp; D1855)),"", INDIRECT($F$1564 &amp; D1855))</f>
        <v/>
      </c>
      <c r="F1855" t="str">
        <f t="shared" ref="F1855:F1869" ca="1" si="621">CONCATENATE("Enter a '"&amp; H1855 &amp;"' for  building ", C1855, " in cell ", D1855, ".", CHAR(10))</f>
        <v xml:space="preserve">Enter a 'Building Street Address Only 
(DO NOT ENTER CITY, STATE, OR ZIP)' for  building 18 in cell C21.
</v>
      </c>
      <c r="G1855" s="9" t="str">
        <f t="shared" ca="1" si="608"/>
        <v xml:space="preserve">Enter a value for 'Number of Floors in the Tallest Building' in cell B58.
</v>
      </c>
      <c r="H1855" s="52" t="str">
        <f t="shared" ref="H1855:H1869" ca="1" si="622">OFFSET(INDIRECT($F$1564 &amp; D1855), -B1855 + 3, 0)</f>
        <v>Building Street Address Only 
(DO NOT ENTER CITY, STATE, OR ZIP)</v>
      </c>
      <c r="I1855" s="52">
        <v>3</v>
      </c>
    </row>
    <row r="1856" spans="1:10" ht="15" customHeight="1">
      <c r="A1856" t="str">
        <f t="shared" ca="1" si="617"/>
        <v/>
      </c>
      <c r="B1856">
        <f t="shared" si="618"/>
        <v>21</v>
      </c>
      <c r="C1856">
        <f t="shared" ca="1" si="610"/>
        <v>18</v>
      </c>
      <c r="D1856" t="str">
        <f t="shared" si="619"/>
        <v>D21</v>
      </c>
      <c r="E1856" t="str">
        <f t="shared" ca="1" si="620"/>
        <v/>
      </c>
      <c r="F1856" t="str">
        <f t="shared" ca="1" si="621"/>
        <v xml:space="preserve">Enter a 'Total Units in Building*' for  building 18 in cell D21.
</v>
      </c>
      <c r="G1856" s="9" t="str">
        <f t="shared" ca="1" si="608"/>
        <v xml:space="preserve">Enter a value for 'Number of Floors in the Tallest Building' in cell B58.
</v>
      </c>
      <c r="H1856" s="52" t="str">
        <f t="shared" ca="1" si="622"/>
        <v>Total Units in Building*</v>
      </c>
      <c r="I1856" s="52">
        <v>4</v>
      </c>
    </row>
    <row r="1857" spans="1:10" ht="15" customHeight="1">
      <c r="A1857" t="str">
        <f t="shared" ca="1" si="617"/>
        <v/>
      </c>
      <c r="B1857">
        <f t="shared" si="618"/>
        <v>21</v>
      </c>
      <c r="C1857">
        <f t="shared" ca="1" si="610"/>
        <v>18</v>
      </c>
      <c r="D1857" t="str">
        <f t="shared" si="619"/>
        <v>E21</v>
      </c>
      <c r="E1857" t="str">
        <f t="shared" ca="1" si="620"/>
        <v/>
      </c>
      <c r="F1857" t="str">
        <f t="shared" ca="1" si="621"/>
        <v xml:space="preserve">Enter a 'Employee Units' for  building 18 in cell E21.
</v>
      </c>
      <c r="G1857" s="9" t="str">
        <f t="shared" ca="1" si="608"/>
        <v xml:space="preserve">Enter a value for 'Number of Floors in the Tallest Building' in cell B58.
</v>
      </c>
      <c r="H1857" s="52" t="str">
        <f t="shared" ca="1" si="622"/>
        <v>Employee Units</v>
      </c>
      <c r="I1857" s="52">
        <v>5</v>
      </c>
    </row>
    <row r="1858" spans="1:10" ht="15" customHeight="1">
      <c r="A1858" t="str">
        <f t="shared" ca="1" si="617"/>
        <v/>
      </c>
      <c r="B1858">
        <f t="shared" si="618"/>
        <v>21</v>
      </c>
      <c r="C1858">
        <f t="shared" ca="1" si="610"/>
        <v>18</v>
      </c>
      <c r="D1858" t="str">
        <f t="shared" si="619"/>
        <v>F21</v>
      </c>
      <c r="E1858" t="str">
        <f t="shared" ca="1" si="620"/>
        <v/>
      </c>
      <c r="F1858" t="str">
        <f t="shared" ca="1" si="621"/>
        <v xml:space="preserve">Enter a 'Low-Income Units' for  building 18 in cell F21.
</v>
      </c>
      <c r="G1858" s="9" t="str">
        <f t="shared" ca="1" si="608"/>
        <v xml:space="preserve">Enter a value for 'Number of Floors in the Tallest Building' in cell B58.
</v>
      </c>
      <c r="H1858" s="52" t="str">
        <f t="shared" ca="1" si="622"/>
        <v>Low-Income Units</v>
      </c>
      <c r="I1858" s="52">
        <v>6</v>
      </c>
    </row>
    <row r="1859" spans="1:10" ht="15" customHeight="1">
      <c r="A1859" t="str">
        <f t="shared" ca="1" si="617"/>
        <v/>
      </c>
      <c r="B1859">
        <f t="shared" si="618"/>
        <v>21</v>
      </c>
      <c r="C1859">
        <f t="shared" ca="1" si="610"/>
        <v>18</v>
      </c>
      <c r="D1859" t="str">
        <f t="shared" si="619"/>
        <v>G21</v>
      </c>
      <c r="E1859" t="str">
        <f t="shared" ca="1" si="620"/>
        <v/>
      </c>
      <c r="F1859" t="str">
        <f t="shared" ca="1" si="621"/>
        <v xml:space="preserve">Enter a 'Residential Square Footage**' for  building 18 in cell G21.
</v>
      </c>
      <c r="G1859" s="9" t="str">
        <f t="shared" ca="1" si="608"/>
        <v xml:space="preserve">Enter a value for 'Number of Floors in the Tallest Building' in cell B58.
</v>
      </c>
      <c r="H1859" s="52" t="str">
        <f t="shared" ca="1" si="622"/>
        <v>Residential Square Footage**</v>
      </c>
      <c r="I1859" s="52">
        <v>7</v>
      </c>
    </row>
    <row r="1860" spans="1:10" ht="15" customHeight="1">
      <c r="A1860" t="str">
        <f t="shared" ca="1" si="617"/>
        <v/>
      </c>
      <c r="B1860">
        <f t="shared" si="618"/>
        <v>21</v>
      </c>
      <c r="C1860">
        <f t="shared" ca="1" si="610"/>
        <v>18</v>
      </c>
      <c r="D1860" t="str">
        <f t="shared" si="619"/>
        <v>H21</v>
      </c>
      <c r="E1860" t="str">
        <f t="shared" ca="1" si="620"/>
        <v/>
      </c>
      <c r="F1860" t="str">
        <f t="shared" ca="1" si="621"/>
        <v xml:space="preserve">Enter a 'Square Footage of Employee Units' for  building 18 in cell H21.
</v>
      </c>
      <c r="G1860" s="9" t="str">
        <f t="shared" ca="1" si="608"/>
        <v xml:space="preserve">Enter a value for 'Number of Floors in the Tallest Building' in cell B58.
</v>
      </c>
      <c r="H1860" s="52" t="str">
        <f t="shared" ca="1" si="622"/>
        <v>Square Footage of Employee Units</v>
      </c>
      <c r="I1860" s="52">
        <v>8</v>
      </c>
    </row>
    <row r="1861" spans="1:10" ht="15" customHeight="1">
      <c r="A1861" t="str">
        <f t="shared" ca="1" si="617"/>
        <v/>
      </c>
      <c r="B1861">
        <f t="shared" si="618"/>
        <v>21</v>
      </c>
      <c r="C1861">
        <f t="shared" ca="1" si="610"/>
        <v>18</v>
      </c>
      <c r="D1861" t="str">
        <f t="shared" si="619"/>
        <v>I21</v>
      </c>
      <c r="E1861" t="str">
        <f t="shared" ca="1" si="620"/>
        <v/>
      </c>
      <c r="F1861" t="str">
        <f t="shared" ca="1" si="621"/>
        <v xml:space="preserve">Enter a 'Square Footage of Low-Income Units' for  building 18 in cell I21.
</v>
      </c>
      <c r="G1861" s="9" t="str">
        <f t="shared" ca="1" si="608"/>
        <v xml:space="preserve">Enter a value for 'Number of Floors in the Tallest Building' in cell B58.
</v>
      </c>
      <c r="H1861" s="52" t="str">
        <f t="shared" ca="1" si="622"/>
        <v>Square Footage of Low-Income Units</v>
      </c>
      <c r="I1861" s="52">
        <v>9</v>
      </c>
    </row>
    <row r="1862" spans="1:10" ht="15" customHeight="1">
      <c r="A1862" t="str">
        <f t="shared" ca="1" si="617"/>
        <v/>
      </c>
      <c r="B1862">
        <f t="shared" si="618"/>
        <v>21</v>
      </c>
      <c r="C1862">
        <f t="shared" ca="1" si="610"/>
        <v>18</v>
      </c>
      <c r="D1862" t="str">
        <f t="shared" si="619"/>
        <v>J21</v>
      </c>
      <c r="E1862" t="str">
        <f t="shared" ca="1" si="620"/>
        <v/>
      </c>
      <c r="F1862" t="str">
        <f t="shared" ca="1" si="621"/>
        <v xml:space="preserve">Enter a 'Placed-In-Service Date' for  building 18 in cell J21.
</v>
      </c>
      <c r="G1862" s="9" t="str">
        <f t="shared" ca="1" si="608"/>
        <v xml:space="preserve">Enter a value for 'Number of Floors in the Tallest Building' in cell B58.
</v>
      </c>
      <c r="H1862" s="52" t="str">
        <f t="shared" ca="1" si="622"/>
        <v>Placed-In-Service Date</v>
      </c>
      <c r="I1862" s="52">
        <v>10</v>
      </c>
    </row>
    <row r="1863" spans="1:10" ht="15" customHeight="1">
      <c r="A1863" t="str">
        <f t="shared" ca="1" si="617"/>
        <v/>
      </c>
      <c r="B1863">
        <f t="shared" si="618"/>
        <v>21</v>
      </c>
      <c r="C1863">
        <f t="shared" ca="1" si="610"/>
        <v>18</v>
      </c>
      <c r="D1863" t="str">
        <f t="shared" si="619"/>
        <v>K21</v>
      </c>
      <c r="E1863" t="str">
        <f t="shared" ca="1" si="620"/>
        <v/>
      </c>
      <c r="F1863" t="str">
        <f t="shared" ca="1" si="621"/>
        <v xml:space="preserve">Enter a 'New Construction/ Rehab APR' for  building 18 in cell K21.
</v>
      </c>
      <c r="G1863" s="9" t="str">
        <f t="shared" ca="1" si="608"/>
        <v xml:space="preserve">Enter a value for 'Number of Floors in the Tallest Building' in cell B58.
</v>
      </c>
      <c r="H1863" s="52" t="str">
        <f t="shared" ca="1" si="622"/>
        <v>New Construction/ Rehab APR</v>
      </c>
      <c r="I1863" s="52">
        <v>11</v>
      </c>
    </row>
    <row r="1864" spans="1:10" ht="15" customHeight="1">
      <c r="A1864" t="str">
        <f t="shared" ca="1" si="617"/>
        <v/>
      </c>
      <c r="B1864">
        <f t="shared" si="618"/>
        <v>21</v>
      </c>
      <c r="C1864">
        <f t="shared" ca="1" si="610"/>
        <v>18</v>
      </c>
      <c r="D1864" t="str">
        <f t="shared" si="619"/>
        <v>L21</v>
      </c>
      <c r="E1864" t="str">
        <f t="shared" ca="1" si="620"/>
        <v/>
      </c>
      <c r="F1864" t="str">
        <f t="shared" ca="1" si="621"/>
        <v xml:space="preserve">Enter a 'New Construction Eligible Basis' for  building 18 in cell L21.
</v>
      </c>
      <c r="G1864" s="9" t="str">
        <f t="shared" ca="1" si="608"/>
        <v xml:space="preserve">Enter a value for 'Number of Floors in the Tallest Building' in cell B58.
</v>
      </c>
      <c r="H1864" s="52" t="str">
        <f t="shared" ca="1" si="622"/>
        <v>New Construction Eligible Basis</v>
      </c>
      <c r="I1864" s="52">
        <v>12</v>
      </c>
    </row>
    <row r="1865" spans="1:10" ht="15" customHeight="1">
      <c r="A1865" t="str">
        <f ca="1">IF(AND(OFFSET(A1865, -I1865 + 2, 4) &gt;  0, E1865="", Calculations!$B$7), F1865, "")</f>
        <v/>
      </c>
      <c r="B1865">
        <f t="shared" si="618"/>
        <v>21</v>
      </c>
      <c r="C1865">
        <f t="shared" ca="1" si="610"/>
        <v>18</v>
      </c>
      <c r="D1865" t="str">
        <f t="shared" si="619"/>
        <v>M21</v>
      </c>
      <c r="E1865" t="str">
        <f t="shared" ca="1" si="620"/>
        <v/>
      </c>
      <c r="F1865" t="str">
        <f t="shared" ca="1" si="621"/>
        <v xml:space="preserve">Enter a 'Eligible Basis for Rehab' for  building 18 in cell M21.
</v>
      </c>
      <c r="G1865" s="9" t="str">
        <f t="shared" ca="1" si="608"/>
        <v xml:space="preserve">Enter a value for 'Number of Floors in the Tallest Building' in cell B58.
</v>
      </c>
      <c r="H1865" s="52" t="str">
        <f t="shared" ca="1" si="622"/>
        <v>Eligible Basis for Rehab</v>
      </c>
      <c r="I1865" s="52">
        <v>13</v>
      </c>
    </row>
    <row r="1866" spans="1:10" ht="15" customHeight="1">
      <c r="A1866" t="str">
        <f ca="1">IF(AND(OFFSET(A1866, -I1866 + 2, 4) &gt;  0, E1866="", Calculations!$B$7), F1866, "")</f>
        <v/>
      </c>
      <c r="B1866">
        <f t="shared" si="618"/>
        <v>21</v>
      </c>
      <c r="C1866">
        <f t="shared" ca="1" si="610"/>
        <v>18</v>
      </c>
      <c r="D1866" t="str">
        <f t="shared" si="619"/>
        <v>N21</v>
      </c>
      <c r="E1866" t="str">
        <f t="shared" ca="1" si="620"/>
        <v/>
      </c>
      <c r="F1866" t="str">
        <f t="shared" ca="1" si="621"/>
        <v xml:space="preserve">Enter a 'Cost of Acquiring the Building***' for  building 18 in cell N21.
</v>
      </c>
      <c r="G1866" s="9" t="str">
        <f t="shared" ca="1" si="608"/>
        <v xml:space="preserve">Enter a value for 'Number of Floors in the Tallest Building' in cell B58.
</v>
      </c>
      <c r="H1866" s="52" t="str">
        <f t="shared" ca="1" si="622"/>
        <v>Cost of Acquiring the Building***</v>
      </c>
      <c r="I1866" s="52">
        <v>14</v>
      </c>
    </row>
    <row r="1867" spans="1:10" ht="15" customHeight="1">
      <c r="A1867" t="str">
        <f ca="1">IF(AND(OFFSET(A1867, -I1867 + 2, 4) &gt;  0, E1867="", Calculations!$B$7), F1867, "")</f>
        <v/>
      </c>
      <c r="B1867">
        <f t="shared" si="618"/>
        <v>21</v>
      </c>
      <c r="C1867">
        <f t="shared" ca="1" si="610"/>
        <v>18</v>
      </c>
      <c r="D1867" t="str">
        <f t="shared" si="619"/>
        <v>O21</v>
      </c>
      <c r="E1867" t="str">
        <f t="shared" ca="1" si="620"/>
        <v/>
      </c>
      <c r="F1867" t="str">
        <f t="shared" ca="1" si="621"/>
        <v xml:space="preserve">Enter a 'Higher of Land Purchase Price or Land Appraised Value****' for  building 18 in cell O21.
</v>
      </c>
      <c r="G1867" s="9" t="str">
        <f t="shared" ca="1" si="608"/>
        <v xml:space="preserve">Enter a value for 'Number of Floors in the Tallest Building' in cell B58.
</v>
      </c>
      <c r="H1867" s="52" t="str">
        <f t="shared" ca="1" si="622"/>
        <v>Higher of Land Purchase Price or Land Appraised Value****</v>
      </c>
      <c r="I1867" s="52">
        <v>15</v>
      </c>
    </row>
    <row r="1868" spans="1:10" ht="15" customHeight="1">
      <c r="A1868" t="str">
        <f ca="1">IF(AND(OFFSET(A1868, -I1868 + 2, 4) &gt;  0, E1868="", Calculations!$B$7), F1868, "")</f>
        <v/>
      </c>
      <c r="B1868">
        <f t="shared" si="618"/>
        <v>21</v>
      </c>
      <c r="C1868">
        <f t="shared" ca="1" si="610"/>
        <v>18</v>
      </c>
      <c r="D1868" t="str">
        <f t="shared" si="619"/>
        <v>P21</v>
      </c>
      <c r="E1868" t="str">
        <f t="shared" ca="1" si="620"/>
        <v/>
      </c>
      <c r="F1868" t="str">
        <f t="shared" ca="1" si="621"/>
        <v xml:space="preserve">Enter a 'Acquisition Placed-in-Service Date' for  building 18 in cell P21.
</v>
      </c>
      <c r="G1868" s="9" t="str">
        <f t="shared" ca="1" si="608"/>
        <v xml:space="preserve">Enter a value for 'Number of Floors in the Tallest Building' in cell B58.
</v>
      </c>
      <c r="H1868" s="52" t="str">
        <f t="shared" ca="1" si="622"/>
        <v>Acquisition Placed-in-Service Date</v>
      </c>
      <c r="I1868" s="52">
        <v>16</v>
      </c>
    </row>
    <row r="1869" spans="1:10" ht="15" customHeight="1">
      <c r="A1869" t="str">
        <f ca="1">IF(AND(OFFSET(A1869, -I1869 + 2, 4) &gt;  0, E1869="", Calculations!$B$7), F1869, "")</f>
        <v/>
      </c>
      <c r="B1869">
        <f t="shared" si="618"/>
        <v>21</v>
      </c>
      <c r="C1869">
        <f t="shared" ca="1" si="610"/>
        <v>18</v>
      </c>
      <c r="D1869" t="str">
        <f t="shared" si="619"/>
        <v>Q21</v>
      </c>
      <c r="E1869" t="str">
        <f t="shared" ca="1" si="620"/>
        <v/>
      </c>
      <c r="F1869" t="str">
        <f t="shared" ca="1" si="621"/>
        <v xml:space="preserve">Enter a 'Acquisition APR' for  building 18 in cell Q21.
</v>
      </c>
      <c r="G1869" s="9" t="str">
        <f t="shared" ca="1" si="608"/>
        <v xml:space="preserve">Enter a value for 'Number of Floors in the Tallest Building' in cell B58.
</v>
      </c>
      <c r="H1869" s="52" t="str">
        <f t="shared" ca="1" si="622"/>
        <v>Acquisition APR</v>
      </c>
      <c r="I1869" s="52">
        <v>17</v>
      </c>
    </row>
    <row r="1870" spans="1:10" ht="15" customHeight="1">
      <c r="A1870" t="str">
        <f ca="1">IF(AND(Calculations!$B$4,Calculations!$B$28&gt;=C1870, E1870 &lt;&gt; 13),F1870,"")</f>
        <v/>
      </c>
      <c r="B1870">
        <f>ROW('Final Building Profile'!C22)</f>
        <v>22</v>
      </c>
      <c r="C1870">
        <f t="shared" ca="1" si="610"/>
        <v>19</v>
      </c>
      <c r="D1870" t="str">
        <f>ADDRESS(B1870, 3,4  )</f>
        <v>C22</v>
      </c>
      <c r="E1870" s="52">
        <f ca="1">H1870+I1870</f>
        <v>0</v>
      </c>
      <c r="F1870" t="str">
        <f ca="1">CONCATENATE("Based upon the number of buildings specified, information for  building ", C1870, " required for a final application in row ", B1870, ".", CHAR(10))</f>
        <v xml:space="preserve">Based upon the number of buildings specified, information for  building 19 required for a final application in row 22.
</v>
      </c>
      <c r="G1870" s="9" t="str">
        <f t="shared" ca="1" si="608"/>
        <v xml:space="preserve">Enter a value for 'Number of Floors in the Tallest Building' in cell B58.
</v>
      </c>
      <c r="H1870" s="52">
        <f ca="1">SUMPRODUCT(--ISTEXT(INDIRECT(J1870)))</f>
        <v>0</v>
      </c>
      <c r="I1870" s="52">
        <f ca="1">SUMPRODUCT(--ISNUMBER(INDIRECT(J1870)))</f>
        <v>0</v>
      </c>
      <c r="J1870" s="52" t="str">
        <f>$F$1564&amp; ADDRESS(B1870,3,4) &amp; ":" &amp; ADDRESS(B1870,15,4)</f>
        <v>'Final Building Profile'!C22:O22</v>
      </c>
    </row>
    <row r="1871" spans="1:10" ht="15" customHeight="1">
      <c r="A1871" t="str">
        <f t="shared" ref="A1871:A1880" ca="1" si="623">IF(AND(OFFSET(A1871, -I1871 + 2, 4) &gt;  0, E1871=""), F1871, "")</f>
        <v/>
      </c>
      <c r="B1871">
        <f t="shared" ref="B1871:B1885" si="624">B1870</f>
        <v>22</v>
      </c>
      <c r="C1871">
        <f t="shared" ca="1" si="610"/>
        <v>19</v>
      </c>
      <c r="D1871" t="str">
        <f t="shared" ref="D1871:D1885" si="625">ADDRESS(B1871, I1871,4  )</f>
        <v>C22</v>
      </c>
      <c r="E1871" t="str">
        <f t="shared" ref="E1871:E1885" ca="1" si="626">IF(ISBLANK( INDIRECT($F$1564 &amp; D1871)),"", INDIRECT($F$1564 &amp; D1871))</f>
        <v/>
      </c>
      <c r="F1871" t="str">
        <f t="shared" ref="F1871:F1885" ca="1" si="627">CONCATENATE("Enter a '"&amp; H1871 &amp;"' for  building ", C1871, " in cell ", D1871, ".", CHAR(10))</f>
        <v xml:space="preserve">Enter a 'Building Street Address Only 
(DO NOT ENTER CITY, STATE, OR ZIP)' for  building 19 in cell C22.
</v>
      </c>
      <c r="G1871" s="9" t="str">
        <f t="shared" ca="1" si="608"/>
        <v xml:space="preserve">Enter a value for 'Number of Floors in the Tallest Building' in cell B58.
</v>
      </c>
      <c r="H1871" s="52" t="str">
        <f t="shared" ref="H1871:H1885" ca="1" si="628">OFFSET(INDIRECT($F$1564 &amp; D1871), -B1871 + 3, 0)</f>
        <v>Building Street Address Only 
(DO NOT ENTER CITY, STATE, OR ZIP)</v>
      </c>
      <c r="I1871" s="52">
        <v>3</v>
      </c>
    </row>
    <row r="1872" spans="1:10" ht="15" customHeight="1">
      <c r="A1872" t="str">
        <f t="shared" ca="1" si="623"/>
        <v/>
      </c>
      <c r="B1872">
        <f t="shared" si="624"/>
        <v>22</v>
      </c>
      <c r="C1872">
        <f t="shared" ca="1" si="610"/>
        <v>19</v>
      </c>
      <c r="D1872" t="str">
        <f t="shared" si="625"/>
        <v>D22</v>
      </c>
      <c r="E1872" t="str">
        <f t="shared" ca="1" si="626"/>
        <v/>
      </c>
      <c r="F1872" t="str">
        <f t="shared" ca="1" si="627"/>
        <v xml:space="preserve">Enter a 'Total Units in Building*' for  building 19 in cell D22.
</v>
      </c>
      <c r="G1872" s="9" t="str">
        <f t="shared" ca="1" si="608"/>
        <v xml:space="preserve">Enter a value for 'Number of Floors in the Tallest Building' in cell B58.
</v>
      </c>
      <c r="H1872" s="52" t="str">
        <f t="shared" ca="1" si="628"/>
        <v>Total Units in Building*</v>
      </c>
      <c r="I1872" s="52">
        <v>4</v>
      </c>
    </row>
    <row r="1873" spans="1:10" ht="15" customHeight="1">
      <c r="A1873" t="str">
        <f t="shared" ca="1" si="623"/>
        <v/>
      </c>
      <c r="B1873">
        <f t="shared" si="624"/>
        <v>22</v>
      </c>
      <c r="C1873">
        <f t="shared" ca="1" si="610"/>
        <v>19</v>
      </c>
      <c r="D1873" t="str">
        <f t="shared" si="625"/>
        <v>E22</v>
      </c>
      <c r="E1873" t="str">
        <f t="shared" ca="1" si="626"/>
        <v/>
      </c>
      <c r="F1873" t="str">
        <f t="shared" ca="1" si="627"/>
        <v xml:space="preserve">Enter a 'Employee Units' for  building 19 in cell E22.
</v>
      </c>
      <c r="G1873" s="9" t="str">
        <f t="shared" ca="1" si="608"/>
        <v xml:space="preserve">Enter a value for 'Number of Floors in the Tallest Building' in cell B58.
</v>
      </c>
      <c r="H1873" s="52" t="str">
        <f t="shared" ca="1" si="628"/>
        <v>Employee Units</v>
      </c>
      <c r="I1873" s="52">
        <v>5</v>
      </c>
    </row>
    <row r="1874" spans="1:10" ht="15" customHeight="1">
      <c r="A1874" t="str">
        <f t="shared" ca="1" si="623"/>
        <v/>
      </c>
      <c r="B1874">
        <f t="shared" si="624"/>
        <v>22</v>
      </c>
      <c r="C1874">
        <f t="shared" ca="1" si="610"/>
        <v>19</v>
      </c>
      <c r="D1874" t="str">
        <f t="shared" si="625"/>
        <v>F22</v>
      </c>
      <c r="E1874" t="str">
        <f t="shared" ca="1" si="626"/>
        <v/>
      </c>
      <c r="F1874" t="str">
        <f t="shared" ca="1" si="627"/>
        <v xml:space="preserve">Enter a 'Low-Income Units' for  building 19 in cell F22.
</v>
      </c>
      <c r="G1874" s="9" t="str">
        <f t="shared" ca="1" si="608"/>
        <v xml:space="preserve">Enter a value for 'Number of Floors in the Tallest Building' in cell B58.
</v>
      </c>
      <c r="H1874" s="52" t="str">
        <f t="shared" ca="1" si="628"/>
        <v>Low-Income Units</v>
      </c>
      <c r="I1874" s="52">
        <v>6</v>
      </c>
    </row>
    <row r="1875" spans="1:10" ht="15" customHeight="1">
      <c r="A1875" t="str">
        <f t="shared" ca="1" si="623"/>
        <v/>
      </c>
      <c r="B1875">
        <f t="shared" si="624"/>
        <v>22</v>
      </c>
      <c r="C1875">
        <f t="shared" ca="1" si="610"/>
        <v>19</v>
      </c>
      <c r="D1875" t="str">
        <f t="shared" si="625"/>
        <v>G22</v>
      </c>
      <c r="E1875" t="str">
        <f t="shared" ca="1" si="626"/>
        <v/>
      </c>
      <c r="F1875" t="str">
        <f t="shared" ca="1" si="627"/>
        <v xml:space="preserve">Enter a 'Residential Square Footage**' for  building 19 in cell G22.
</v>
      </c>
      <c r="G1875" s="9" t="str">
        <f t="shared" ca="1" si="608"/>
        <v xml:space="preserve">Enter a value for 'Number of Floors in the Tallest Building' in cell B58.
</v>
      </c>
      <c r="H1875" s="52" t="str">
        <f t="shared" ca="1" si="628"/>
        <v>Residential Square Footage**</v>
      </c>
      <c r="I1875" s="52">
        <v>7</v>
      </c>
    </row>
    <row r="1876" spans="1:10" ht="15" customHeight="1">
      <c r="A1876" t="str">
        <f t="shared" ca="1" si="623"/>
        <v/>
      </c>
      <c r="B1876">
        <f t="shared" si="624"/>
        <v>22</v>
      </c>
      <c r="C1876">
        <f t="shared" ca="1" si="610"/>
        <v>19</v>
      </c>
      <c r="D1876" t="str">
        <f t="shared" si="625"/>
        <v>H22</v>
      </c>
      <c r="E1876" t="str">
        <f t="shared" ca="1" si="626"/>
        <v/>
      </c>
      <c r="F1876" t="str">
        <f t="shared" ca="1" si="627"/>
        <v xml:space="preserve">Enter a 'Square Footage of Employee Units' for  building 19 in cell H22.
</v>
      </c>
      <c r="G1876" s="9" t="str">
        <f t="shared" ca="1" si="608"/>
        <v xml:space="preserve">Enter a value for 'Number of Floors in the Tallest Building' in cell B58.
</v>
      </c>
      <c r="H1876" s="52" t="str">
        <f t="shared" ca="1" si="628"/>
        <v>Square Footage of Employee Units</v>
      </c>
      <c r="I1876" s="52">
        <v>8</v>
      </c>
    </row>
    <row r="1877" spans="1:10" ht="15" customHeight="1">
      <c r="A1877" t="str">
        <f t="shared" ca="1" si="623"/>
        <v/>
      </c>
      <c r="B1877">
        <f t="shared" si="624"/>
        <v>22</v>
      </c>
      <c r="C1877">
        <f t="shared" ca="1" si="610"/>
        <v>19</v>
      </c>
      <c r="D1877" t="str">
        <f t="shared" si="625"/>
        <v>I22</v>
      </c>
      <c r="E1877" t="str">
        <f t="shared" ca="1" si="626"/>
        <v/>
      </c>
      <c r="F1877" t="str">
        <f t="shared" ca="1" si="627"/>
        <v xml:space="preserve">Enter a 'Square Footage of Low-Income Units' for  building 19 in cell I22.
</v>
      </c>
      <c r="G1877" s="9" t="str">
        <f t="shared" ca="1" si="608"/>
        <v xml:space="preserve">Enter a value for 'Number of Floors in the Tallest Building' in cell B58.
</v>
      </c>
      <c r="H1877" s="52" t="str">
        <f t="shared" ca="1" si="628"/>
        <v>Square Footage of Low-Income Units</v>
      </c>
      <c r="I1877" s="52">
        <v>9</v>
      </c>
    </row>
    <row r="1878" spans="1:10" ht="15" customHeight="1">
      <c r="A1878" t="str">
        <f t="shared" ca="1" si="623"/>
        <v/>
      </c>
      <c r="B1878">
        <f t="shared" si="624"/>
        <v>22</v>
      </c>
      <c r="C1878">
        <f t="shared" ca="1" si="610"/>
        <v>19</v>
      </c>
      <c r="D1878" t="str">
        <f t="shared" si="625"/>
        <v>J22</v>
      </c>
      <c r="E1878" t="str">
        <f t="shared" ca="1" si="626"/>
        <v/>
      </c>
      <c r="F1878" t="str">
        <f t="shared" ca="1" si="627"/>
        <v xml:space="preserve">Enter a 'Placed-In-Service Date' for  building 19 in cell J22.
</v>
      </c>
      <c r="G1878" s="9" t="str">
        <f t="shared" ca="1" si="608"/>
        <v xml:space="preserve">Enter a value for 'Number of Floors in the Tallest Building' in cell B58.
</v>
      </c>
      <c r="H1878" s="52" t="str">
        <f t="shared" ca="1" si="628"/>
        <v>Placed-In-Service Date</v>
      </c>
      <c r="I1878" s="52">
        <v>10</v>
      </c>
    </row>
    <row r="1879" spans="1:10" ht="15" customHeight="1">
      <c r="A1879" t="str">
        <f t="shared" ca="1" si="623"/>
        <v/>
      </c>
      <c r="B1879">
        <f t="shared" si="624"/>
        <v>22</v>
      </c>
      <c r="C1879">
        <f t="shared" ca="1" si="610"/>
        <v>19</v>
      </c>
      <c r="D1879" t="str">
        <f t="shared" si="625"/>
        <v>K22</v>
      </c>
      <c r="E1879" t="str">
        <f t="shared" ca="1" si="626"/>
        <v/>
      </c>
      <c r="F1879" t="str">
        <f t="shared" ca="1" si="627"/>
        <v xml:space="preserve">Enter a 'New Construction/ Rehab APR' for  building 19 in cell K22.
</v>
      </c>
      <c r="G1879" s="9" t="str">
        <f t="shared" ca="1" si="608"/>
        <v xml:space="preserve">Enter a value for 'Number of Floors in the Tallest Building' in cell B58.
</v>
      </c>
      <c r="H1879" s="52" t="str">
        <f t="shared" ca="1" si="628"/>
        <v>New Construction/ Rehab APR</v>
      </c>
      <c r="I1879" s="52">
        <v>11</v>
      </c>
    </row>
    <row r="1880" spans="1:10" ht="15" customHeight="1">
      <c r="A1880" t="str">
        <f t="shared" ca="1" si="623"/>
        <v/>
      </c>
      <c r="B1880">
        <f t="shared" si="624"/>
        <v>22</v>
      </c>
      <c r="C1880">
        <f t="shared" ca="1" si="610"/>
        <v>19</v>
      </c>
      <c r="D1880" t="str">
        <f t="shared" si="625"/>
        <v>L22</v>
      </c>
      <c r="E1880" t="str">
        <f t="shared" ca="1" si="626"/>
        <v/>
      </c>
      <c r="F1880" t="str">
        <f t="shared" ca="1" si="627"/>
        <v xml:space="preserve">Enter a 'New Construction Eligible Basis' for  building 19 in cell L22.
</v>
      </c>
      <c r="G1880" s="9" t="str">
        <f t="shared" ca="1" si="608"/>
        <v xml:space="preserve">Enter a value for 'Number of Floors in the Tallest Building' in cell B58.
</v>
      </c>
      <c r="H1880" s="52" t="str">
        <f t="shared" ca="1" si="628"/>
        <v>New Construction Eligible Basis</v>
      </c>
      <c r="I1880" s="52">
        <v>12</v>
      </c>
    </row>
    <row r="1881" spans="1:10" ht="15" customHeight="1">
      <c r="A1881" t="str">
        <f ca="1">IF(AND(OFFSET(A1881, -I1881 + 2, 4) &gt;  0, E1881="", Calculations!$B$7), F1881, "")</f>
        <v/>
      </c>
      <c r="B1881">
        <f t="shared" si="624"/>
        <v>22</v>
      </c>
      <c r="C1881">
        <f t="shared" ca="1" si="610"/>
        <v>19</v>
      </c>
      <c r="D1881" t="str">
        <f t="shared" si="625"/>
        <v>M22</v>
      </c>
      <c r="E1881" t="str">
        <f t="shared" ca="1" si="626"/>
        <v/>
      </c>
      <c r="F1881" t="str">
        <f t="shared" ca="1" si="627"/>
        <v xml:space="preserve">Enter a 'Eligible Basis for Rehab' for  building 19 in cell M22.
</v>
      </c>
      <c r="G1881" s="9" t="str">
        <f t="shared" ca="1" si="608"/>
        <v xml:space="preserve">Enter a value for 'Number of Floors in the Tallest Building' in cell B58.
</v>
      </c>
      <c r="H1881" s="52" t="str">
        <f t="shared" ca="1" si="628"/>
        <v>Eligible Basis for Rehab</v>
      </c>
      <c r="I1881" s="52">
        <v>13</v>
      </c>
    </row>
    <row r="1882" spans="1:10" ht="15" customHeight="1">
      <c r="A1882" t="str">
        <f ca="1">IF(AND(OFFSET(A1882, -I1882 + 2, 4) &gt;  0, E1882="", Calculations!$B$7), F1882, "")</f>
        <v/>
      </c>
      <c r="B1882">
        <f t="shared" si="624"/>
        <v>22</v>
      </c>
      <c r="C1882">
        <f t="shared" ca="1" si="610"/>
        <v>19</v>
      </c>
      <c r="D1882" t="str">
        <f t="shared" si="625"/>
        <v>N22</v>
      </c>
      <c r="E1882" t="str">
        <f t="shared" ca="1" si="626"/>
        <v/>
      </c>
      <c r="F1882" t="str">
        <f t="shared" ca="1" si="627"/>
        <v xml:space="preserve">Enter a 'Cost of Acquiring the Building***' for  building 19 in cell N22.
</v>
      </c>
      <c r="G1882" s="9" t="str">
        <f t="shared" ca="1" si="608"/>
        <v xml:space="preserve">Enter a value for 'Number of Floors in the Tallest Building' in cell B58.
</v>
      </c>
      <c r="H1882" s="52" t="str">
        <f t="shared" ca="1" si="628"/>
        <v>Cost of Acquiring the Building***</v>
      </c>
      <c r="I1882" s="52">
        <v>14</v>
      </c>
    </row>
    <row r="1883" spans="1:10" ht="15" customHeight="1">
      <c r="A1883" t="str">
        <f ca="1">IF(AND(OFFSET(A1883, -I1883 + 2, 4) &gt;  0, E1883="", Calculations!$B$7), F1883, "")</f>
        <v/>
      </c>
      <c r="B1883">
        <f t="shared" si="624"/>
        <v>22</v>
      </c>
      <c r="C1883">
        <f t="shared" ca="1" si="610"/>
        <v>19</v>
      </c>
      <c r="D1883" t="str">
        <f t="shared" si="625"/>
        <v>O22</v>
      </c>
      <c r="E1883" t="str">
        <f t="shared" ca="1" si="626"/>
        <v/>
      </c>
      <c r="F1883" t="str">
        <f t="shared" ca="1" si="627"/>
        <v xml:space="preserve">Enter a 'Higher of Land Purchase Price or Land Appraised Value****' for  building 19 in cell O22.
</v>
      </c>
      <c r="G1883" s="9" t="str">
        <f t="shared" ca="1" si="608"/>
        <v xml:space="preserve">Enter a value for 'Number of Floors in the Tallest Building' in cell B58.
</v>
      </c>
      <c r="H1883" s="52" t="str">
        <f t="shared" ca="1" si="628"/>
        <v>Higher of Land Purchase Price or Land Appraised Value****</v>
      </c>
      <c r="I1883" s="52">
        <v>15</v>
      </c>
    </row>
    <row r="1884" spans="1:10" ht="15" customHeight="1">
      <c r="A1884" t="str">
        <f ca="1">IF(AND(OFFSET(A1884, -I1884 + 2, 4) &gt;  0, E1884="", Calculations!$B$7), F1884, "")</f>
        <v/>
      </c>
      <c r="B1884">
        <f t="shared" si="624"/>
        <v>22</v>
      </c>
      <c r="C1884">
        <f t="shared" ca="1" si="610"/>
        <v>19</v>
      </c>
      <c r="D1884" t="str">
        <f t="shared" si="625"/>
        <v>P22</v>
      </c>
      <c r="E1884" t="str">
        <f t="shared" ca="1" si="626"/>
        <v/>
      </c>
      <c r="F1884" t="str">
        <f t="shared" ca="1" si="627"/>
        <v xml:space="preserve">Enter a 'Acquisition Placed-in-Service Date' for  building 19 in cell P22.
</v>
      </c>
      <c r="G1884" s="9" t="str">
        <f t="shared" ca="1" si="608"/>
        <v xml:space="preserve">Enter a value for 'Number of Floors in the Tallest Building' in cell B58.
</v>
      </c>
      <c r="H1884" s="52" t="str">
        <f t="shared" ca="1" si="628"/>
        <v>Acquisition Placed-in-Service Date</v>
      </c>
      <c r="I1884" s="52">
        <v>16</v>
      </c>
    </row>
    <row r="1885" spans="1:10" ht="15" customHeight="1">
      <c r="A1885" t="str">
        <f ca="1">IF(AND(OFFSET(A1885, -I1885 + 2, 4) &gt;  0, E1885="", Calculations!$B$7), F1885, "")</f>
        <v/>
      </c>
      <c r="B1885">
        <f t="shared" si="624"/>
        <v>22</v>
      </c>
      <c r="C1885">
        <f t="shared" ca="1" si="610"/>
        <v>19</v>
      </c>
      <c r="D1885" t="str">
        <f t="shared" si="625"/>
        <v>Q22</v>
      </c>
      <c r="E1885" t="str">
        <f t="shared" ca="1" si="626"/>
        <v/>
      </c>
      <c r="F1885" t="str">
        <f t="shared" ca="1" si="627"/>
        <v xml:space="preserve">Enter a 'Acquisition APR' for  building 19 in cell Q22.
</v>
      </c>
      <c r="G1885" s="9" t="str">
        <f t="shared" ca="1" si="608"/>
        <v xml:space="preserve">Enter a value for 'Number of Floors in the Tallest Building' in cell B58.
</v>
      </c>
      <c r="H1885" s="52" t="str">
        <f t="shared" ca="1" si="628"/>
        <v>Acquisition APR</v>
      </c>
      <c r="I1885" s="52">
        <v>17</v>
      </c>
    </row>
    <row r="1886" spans="1:10" ht="15" customHeight="1">
      <c r="A1886" t="str">
        <f ca="1">IF(AND(Calculations!$B$4,Calculations!$B$28&gt;=C1886, E1886 &lt;&gt; 13),F1886,"")</f>
        <v/>
      </c>
      <c r="B1886">
        <f>ROW('Final Building Profile'!C23)</f>
        <v>23</v>
      </c>
      <c r="C1886">
        <f t="shared" ca="1" si="610"/>
        <v>20</v>
      </c>
      <c r="D1886" t="str">
        <f>ADDRESS(B1886, 3,4  )</f>
        <v>C23</v>
      </c>
      <c r="E1886" s="52">
        <f ca="1">H1886+I1886</f>
        <v>0</v>
      </c>
      <c r="F1886" t="str">
        <f ca="1">CONCATENATE("Based upon the number of buildings specified, information for  building ", C1886, " required for a final application in row ", B1886, ".", CHAR(10))</f>
        <v xml:space="preserve">Based upon the number of buildings specified, information for  building 20 required for a final application in row 23.
</v>
      </c>
      <c r="G1886" s="9" t="str">
        <f t="shared" ca="1" si="608"/>
        <v xml:space="preserve">Enter a value for 'Number of Floors in the Tallest Building' in cell B58.
</v>
      </c>
      <c r="H1886" s="52">
        <f ca="1">SUMPRODUCT(--ISTEXT(INDIRECT(J1886)))</f>
        <v>0</v>
      </c>
      <c r="I1886" s="52">
        <f ca="1">SUMPRODUCT(--ISNUMBER(INDIRECT(J1886)))</f>
        <v>0</v>
      </c>
      <c r="J1886" s="52" t="str">
        <f>$F$1564&amp; ADDRESS(B1886,3,4) &amp; ":" &amp; ADDRESS(B1886,15,4)</f>
        <v>'Final Building Profile'!C23:O23</v>
      </c>
    </row>
    <row r="1887" spans="1:10" ht="15" customHeight="1">
      <c r="A1887" t="str">
        <f t="shared" ref="A1887:A1896" ca="1" si="629">IF(AND(OFFSET(A1887, -I1887 + 2, 4) &gt;  0, E1887=""), F1887, "")</f>
        <v/>
      </c>
      <c r="B1887">
        <f t="shared" ref="B1887:B1901" si="630">B1886</f>
        <v>23</v>
      </c>
      <c r="C1887">
        <f t="shared" ca="1" si="610"/>
        <v>20</v>
      </c>
      <c r="D1887" t="str">
        <f t="shared" ref="D1887:D1901" si="631">ADDRESS(B1887, I1887,4  )</f>
        <v>C23</v>
      </c>
      <c r="E1887" t="str">
        <f t="shared" ref="E1887:E1901" ca="1" si="632">IF(ISBLANK( INDIRECT($F$1564 &amp; D1887)),"", INDIRECT($F$1564 &amp; D1887))</f>
        <v/>
      </c>
      <c r="F1887" t="str">
        <f t="shared" ref="F1887:F1901" ca="1" si="633">CONCATENATE("Enter a '"&amp; H1887 &amp;"' for  building ", C1887, " in cell ", D1887, ".", CHAR(10))</f>
        <v xml:space="preserve">Enter a 'Building Street Address Only 
(DO NOT ENTER CITY, STATE, OR ZIP)' for  building 20 in cell C23.
</v>
      </c>
      <c r="G1887" s="9" t="str">
        <f t="shared" ref="G1887:G1950" ca="1" si="634">OFFSET(G1887, -1, 0) &amp; A1887</f>
        <v xml:space="preserve">Enter a value for 'Number of Floors in the Tallest Building' in cell B58.
</v>
      </c>
      <c r="H1887" s="52" t="str">
        <f t="shared" ref="H1887:H1901" ca="1" si="635">OFFSET(INDIRECT($F$1564 &amp; D1887), -B1887 + 3, 0)</f>
        <v>Building Street Address Only 
(DO NOT ENTER CITY, STATE, OR ZIP)</v>
      </c>
      <c r="I1887" s="52">
        <v>3</v>
      </c>
    </row>
    <row r="1888" spans="1:10" ht="15" customHeight="1">
      <c r="A1888" t="str">
        <f t="shared" ca="1" si="629"/>
        <v/>
      </c>
      <c r="B1888">
        <f t="shared" si="630"/>
        <v>23</v>
      </c>
      <c r="C1888">
        <f t="shared" ca="1" si="610"/>
        <v>20</v>
      </c>
      <c r="D1888" t="str">
        <f t="shared" si="631"/>
        <v>D23</v>
      </c>
      <c r="E1888" t="str">
        <f t="shared" ca="1" si="632"/>
        <v/>
      </c>
      <c r="F1888" t="str">
        <f t="shared" ca="1" si="633"/>
        <v xml:space="preserve">Enter a 'Total Units in Building*' for  building 20 in cell D23.
</v>
      </c>
      <c r="G1888" s="9" t="str">
        <f t="shared" ca="1" si="634"/>
        <v xml:space="preserve">Enter a value for 'Number of Floors in the Tallest Building' in cell B58.
</v>
      </c>
      <c r="H1888" s="52" t="str">
        <f t="shared" ca="1" si="635"/>
        <v>Total Units in Building*</v>
      </c>
      <c r="I1888" s="52">
        <v>4</v>
      </c>
    </row>
    <row r="1889" spans="1:10" ht="15" customHeight="1">
      <c r="A1889" t="str">
        <f t="shared" ca="1" si="629"/>
        <v/>
      </c>
      <c r="B1889">
        <f t="shared" si="630"/>
        <v>23</v>
      </c>
      <c r="C1889">
        <f t="shared" ca="1" si="610"/>
        <v>20</v>
      </c>
      <c r="D1889" t="str">
        <f t="shared" si="631"/>
        <v>E23</v>
      </c>
      <c r="E1889" t="str">
        <f t="shared" ca="1" si="632"/>
        <v/>
      </c>
      <c r="F1889" t="str">
        <f t="shared" ca="1" si="633"/>
        <v xml:space="preserve">Enter a 'Employee Units' for  building 20 in cell E23.
</v>
      </c>
      <c r="G1889" s="9" t="str">
        <f t="shared" ca="1" si="634"/>
        <v xml:space="preserve">Enter a value for 'Number of Floors in the Tallest Building' in cell B58.
</v>
      </c>
      <c r="H1889" s="52" t="str">
        <f t="shared" ca="1" si="635"/>
        <v>Employee Units</v>
      </c>
      <c r="I1889" s="52">
        <v>5</v>
      </c>
    </row>
    <row r="1890" spans="1:10" ht="15" customHeight="1">
      <c r="A1890" t="str">
        <f t="shared" ca="1" si="629"/>
        <v/>
      </c>
      <c r="B1890">
        <f t="shared" si="630"/>
        <v>23</v>
      </c>
      <c r="C1890">
        <f t="shared" ca="1" si="610"/>
        <v>20</v>
      </c>
      <c r="D1890" t="str">
        <f t="shared" si="631"/>
        <v>F23</v>
      </c>
      <c r="E1890" t="str">
        <f t="shared" ca="1" si="632"/>
        <v/>
      </c>
      <c r="F1890" t="str">
        <f t="shared" ca="1" si="633"/>
        <v xml:space="preserve">Enter a 'Low-Income Units' for  building 20 in cell F23.
</v>
      </c>
      <c r="G1890" s="9" t="str">
        <f t="shared" ca="1" si="634"/>
        <v xml:space="preserve">Enter a value for 'Number of Floors in the Tallest Building' in cell B58.
</v>
      </c>
      <c r="H1890" s="52" t="str">
        <f t="shared" ca="1" si="635"/>
        <v>Low-Income Units</v>
      </c>
      <c r="I1890" s="52">
        <v>6</v>
      </c>
    </row>
    <row r="1891" spans="1:10" ht="15" customHeight="1">
      <c r="A1891" t="str">
        <f t="shared" ca="1" si="629"/>
        <v/>
      </c>
      <c r="B1891">
        <f t="shared" si="630"/>
        <v>23</v>
      </c>
      <c r="C1891">
        <f t="shared" ca="1" si="610"/>
        <v>20</v>
      </c>
      <c r="D1891" t="str">
        <f t="shared" si="631"/>
        <v>G23</v>
      </c>
      <c r="E1891" t="str">
        <f t="shared" ca="1" si="632"/>
        <v/>
      </c>
      <c r="F1891" t="str">
        <f t="shared" ca="1" si="633"/>
        <v xml:space="preserve">Enter a 'Residential Square Footage**' for  building 20 in cell G23.
</v>
      </c>
      <c r="G1891" s="9" t="str">
        <f t="shared" ca="1" si="634"/>
        <v xml:space="preserve">Enter a value for 'Number of Floors in the Tallest Building' in cell B58.
</v>
      </c>
      <c r="H1891" s="52" t="str">
        <f t="shared" ca="1" si="635"/>
        <v>Residential Square Footage**</v>
      </c>
      <c r="I1891" s="52">
        <v>7</v>
      </c>
    </row>
    <row r="1892" spans="1:10" ht="15" customHeight="1">
      <c r="A1892" t="str">
        <f t="shared" ca="1" si="629"/>
        <v/>
      </c>
      <c r="B1892">
        <f t="shared" si="630"/>
        <v>23</v>
      </c>
      <c r="C1892">
        <f t="shared" ca="1" si="610"/>
        <v>20</v>
      </c>
      <c r="D1892" t="str">
        <f t="shared" si="631"/>
        <v>H23</v>
      </c>
      <c r="E1892" t="str">
        <f t="shared" ca="1" si="632"/>
        <v/>
      </c>
      <c r="F1892" t="str">
        <f t="shared" ca="1" si="633"/>
        <v xml:space="preserve">Enter a 'Square Footage of Employee Units' for  building 20 in cell H23.
</v>
      </c>
      <c r="G1892" s="9" t="str">
        <f t="shared" ca="1" si="634"/>
        <v xml:space="preserve">Enter a value for 'Number of Floors in the Tallest Building' in cell B58.
</v>
      </c>
      <c r="H1892" s="52" t="str">
        <f t="shared" ca="1" si="635"/>
        <v>Square Footage of Employee Units</v>
      </c>
      <c r="I1892" s="52">
        <v>8</v>
      </c>
    </row>
    <row r="1893" spans="1:10" ht="15" customHeight="1">
      <c r="A1893" t="str">
        <f t="shared" ca="1" si="629"/>
        <v/>
      </c>
      <c r="B1893">
        <f t="shared" si="630"/>
        <v>23</v>
      </c>
      <c r="C1893">
        <f t="shared" ca="1" si="610"/>
        <v>20</v>
      </c>
      <c r="D1893" t="str">
        <f t="shared" si="631"/>
        <v>I23</v>
      </c>
      <c r="E1893" t="str">
        <f t="shared" ca="1" si="632"/>
        <v/>
      </c>
      <c r="F1893" t="str">
        <f t="shared" ca="1" si="633"/>
        <v xml:space="preserve">Enter a 'Square Footage of Low-Income Units' for  building 20 in cell I23.
</v>
      </c>
      <c r="G1893" s="9" t="str">
        <f t="shared" ca="1" si="634"/>
        <v xml:space="preserve">Enter a value for 'Number of Floors in the Tallest Building' in cell B58.
</v>
      </c>
      <c r="H1893" s="52" t="str">
        <f t="shared" ca="1" si="635"/>
        <v>Square Footage of Low-Income Units</v>
      </c>
      <c r="I1893" s="52">
        <v>9</v>
      </c>
    </row>
    <row r="1894" spans="1:10" ht="15" customHeight="1">
      <c r="A1894" t="str">
        <f t="shared" ca="1" si="629"/>
        <v/>
      </c>
      <c r="B1894">
        <f t="shared" si="630"/>
        <v>23</v>
      </c>
      <c r="C1894">
        <f t="shared" ca="1" si="610"/>
        <v>20</v>
      </c>
      <c r="D1894" t="str">
        <f t="shared" si="631"/>
        <v>J23</v>
      </c>
      <c r="E1894" t="str">
        <f t="shared" ca="1" si="632"/>
        <v/>
      </c>
      <c r="F1894" t="str">
        <f t="shared" ca="1" si="633"/>
        <v xml:space="preserve">Enter a 'Placed-In-Service Date' for  building 20 in cell J23.
</v>
      </c>
      <c r="G1894" s="9" t="str">
        <f t="shared" ca="1" si="634"/>
        <v xml:space="preserve">Enter a value for 'Number of Floors in the Tallest Building' in cell B58.
</v>
      </c>
      <c r="H1894" s="52" t="str">
        <f t="shared" ca="1" si="635"/>
        <v>Placed-In-Service Date</v>
      </c>
      <c r="I1894" s="52">
        <v>10</v>
      </c>
    </row>
    <row r="1895" spans="1:10" ht="15" customHeight="1">
      <c r="A1895" t="str">
        <f t="shared" ca="1" si="629"/>
        <v/>
      </c>
      <c r="B1895">
        <f t="shared" si="630"/>
        <v>23</v>
      </c>
      <c r="C1895">
        <f t="shared" ca="1" si="610"/>
        <v>20</v>
      </c>
      <c r="D1895" t="str">
        <f t="shared" si="631"/>
        <v>K23</v>
      </c>
      <c r="E1895" t="str">
        <f t="shared" ca="1" si="632"/>
        <v/>
      </c>
      <c r="F1895" t="str">
        <f t="shared" ca="1" si="633"/>
        <v xml:space="preserve">Enter a 'New Construction/ Rehab APR' for  building 20 in cell K23.
</v>
      </c>
      <c r="G1895" s="9" t="str">
        <f t="shared" ca="1" si="634"/>
        <v xml:space="preserve">Enter a value for 'Number of Floors in the Tallest Building' in cell B58.
</v>
      </c>
      <c r="H1895" s="52" t="str">
        <f t="shared" ca="1" si="635"/>
        <v>New Construction/ Rehab APR</v>
      </c>
      <c r="I1895" s="52">
        <v>11</v>
      </c>
    </row>
    <row r="1896" spans="1:10" ht="15" customHeight="1">
      <c r="A1896" t="str">
        <f t="shared" ca="1" si="629"/>
        <v/>
      </c>
      <c r="B1896">
        <f t="shared" si="630"/>
        <v>23</v>
      </c>
      <c r="C1896">
        <f t="shared" ca="1" si="610"/>
        <v>20</v>
      </c>
      <c r="D1896" t="str">
        <f t="shared" si="631"/>
        <v>L23</v>
      </c>
      <c r="E1896" t="str">
        <f t="shared" ca="1" si="632"/>
        <v/>
      </c>
      <c r="F1896" t="str">
        <f t="shared" ca="1" si="633"/>
        <v xml:space="preserve">Enter a 'New Construction Eligible Basis' for  building 20 in cell L23.
</v>
      </c>
      <c r="G1896" s="9" t="str">
        <f t="shared" ca="1" si="634"/>
        <v xml:space="preserve">Enter a value for 'Number of Floors in the Tallest Building' in cell B58.
</v>
      </c>
      <c r="H1896" s="52" t="str">
        <f t="shared" ca="1" si="635"/>
        <v>New Construction Eligible Basis</v>
      </c>
      <c r="I1896" s="52">
        <v>12</v>
      </c>
    </row>
    <row r="1897" spans="1:10" ht="15" customHeight="1">
      <c r="A1897" t="str">
        <f ca="1">IF(AND(OFFSET(A1897, -I1897 + 2, 4) &gt;  0, E1897="", Calculations!$B$7), F1897, "")</f>
        <v/>
      </c>
      <c r="B1897">
        <f t="shared" si="630"/>
        <v>23</v>
      </c>
      <c r="C1897">
        <f t="shared" ca="1" si="610"/>
        <v>20</v>
      </c>
      <c r="D1897" t="str">
        <f t="shared" si="631"/>
        <v>M23</v>
      </c>
      <c r="E1897" t="str">
        <f t="shared" ca="1" si="632"/>
        <v/>
      </c>
      <c r="F1897" t="str">
        <f t="shared" ca="1" si="633"/>
        <v xml:space="preserve">Enter a 'Eligible Basis for Rehab' for  building 20 in cell M23.
</v>
      </c>
      <c r="G1897" s="9" t="str">
        <f t="shared" ca="1" si="634"/>
        <v xml:space="preserve">Enter a value for 'Number of Floors in the Tallest Building' in cell B58.
</v>
      </c>
      <c r="H1897" s="52" t="str">
        <f t="shared" ca="1" si="635"/>
        <v>Eligible Basis for Rehab</v>
      </c>
      <c r="I1897" s="52">
        <v>13</v>
      </c>
    </row>
    <row r="1898" spans="1:10" ht="15" customHeight="1">
      <c r="A1898" t="str">
        <f ca="1">IF(AND(OFFSET(A1898, -I1898 + 2, 4) &gt;  0, E1898="", Calculations!$B$7), F1898, "")</f>
        <v/>
      </c>
      <c r="B1898">
        <f t="shared" si="630"/>
        <v>23</v>
      </c>
      <c r="C1898">
        <f t="shared" ca="1" si="610"/>
        <v>20</v>
      </c>
      <c r="D1898" t="str">
        <f t="shared" si="631"/>
        <v>N23</v>
      </c>
      <c r="E1898" t="str">
        <f t="shared" ca="1" si="632"/>
        <v/>
      </c>
      <c r="F1898" t="str">
        <f t="shared" ca="1" si="633"/>
        <v xml:space="preserve">Enter a 'Cost of Acquiring the Building***' for  building 20 in cell N23.
</v>
      </c>
      <c r="G1898" s="9" t="str">
        <f t="shared" ca="1" si="634"/>
        <v xml:space="preserve">Enter a value for 'Number of Floors in the Tallest Building' in cell B58.
</v>
      </c>
      <c r="H1898" s="52" t="str">
        <f t="shared" ca="1" si="635"/>
        <v>Cost of Acquiring the Building***</v>
      </c>
      <c r="I1898" s="52">
        <v>14</v>
      </c>
    </row>
    <row r="1899" spans="1:10" ht="15" customHeight="1">
      <c r="A1899" t="str">
        <f ca="1">IF(AND(OFFSET(A1899, -I1899 + 2, 4) &gt;  0, E1899="", Calculations!$B$7), F1899, "")</f>
        <v/>
      </c>
      <c r="B1899">
        <f t="shared" si="630"/>
        <v>23</v>
      </c>
      <c r="C1899">
        <f t="shared" ca="1" si="610"/>
        <v>20</v>
      </c>
      <c r="D1899" t="str">
        <f t="shared" si="631"/>
        <v>O23</v>
      </c>
      <c r="E1899" t="str">
        <f t="shared" ca="1" si="632"/>
        <v/>
      </c>
      <c r="F1899" t="str">
        <f t="shared" ca="1" si="633"/>
        <v xml:space="preserve">Enter a 'Higher of Land Purchase Price or Land Appraised Value****' for  building 20 in cell O23.
</v>
      </c>
      <c r="G1899" s="9" t="str">
        <f t="shared" ca="1" si="634"/>
        <v xml:space="preserve">Enter a value for 'Number of Floors in the Tallest Building' in cell B58.
</v>
      </c>
      <c r="H1899" s="52" t="str">
        <f t="shared" ca="1" si="635"/>
        <v>Higher of Land Purchase Price or Land Appraised Value****</v>
      </c>
      <c r="I1899" s="52">
        <v>15</v>
      </c>
    </row>
    <row r="1900" spans="1:10" ht="15" customHeight="1">
      <c r="A1900" t="str">
        <f ca="1">IF(AND(OFFSET(A1900, -I1900 + 2, 4) &gt;  0, E1900="", Calculations!$B$7), F1900, "")</f>
        <v/>
      </c>
      <c r="B1900">
        <f t="shared" si="630"/>
        <v>23</v>
      </c>
      <c r="C1900">
        <f t="shared" ca="1" si="610"/>
        <v>20</v>
      </c>
      <c r="D1900" t="str">
        <f t="shared" si="631"/>
        <v>P23</v>
      </c>
      <c r="E1900" t="str">
        <f t="shared" ca="1" si="632"/>
        <v/>
      </c>
      <c r="F1900" t="str">
        <f t="shared" ca="1" si="633"/>
        <v xml:space="preserve">Enter a 'Acquisition Placed-in-Service Date' for  building 20 in cell P23.
</v>
      </c>
      <c r="G1900" s="9" t="str">
        <f t="shared" ca="1" si="634"/>
        <v xml:space="preserve">Enter a value for 'Number of Floors in the Tallest Building' in cell B58.
</v>
      </c>
      <c r="H1900" s="52" t="str">
        <f t="shared" ca="1" si="635"/>
        <v>Acquisition Placed-in-Service Date</v>
      </c>
      <c r="I1900" s="52">
        <v>16</v>
      </c>
    </row>
    <row r="1901" spans="1:10" ht="15" customHeight="1">
      <c r="A1901" t="str">
        <f ca="1">IF(AND(OFFSET(A1901, -I1901 + 2, 4) &gt;  0, E1901="", Calculations!$B$7), F1901, "")</f>
        <v/>
      </c>
      <c r="B1901">
        <f t="shared" si="630"/>
        <v>23</v>
      </c>
      <c r="C1901">
        <f t="shared" ca="1" si="610"/>
        <v>20</v>
      </c>
      <c r="D1901" t="str">
        <f t="shared" si="631"/>
        <v>Q23</v>
      </c>
      <c r="E1901" t="str">
        <f t="shared" ca="1" si="632"/>
        <v/>
      </c>
      <c r="F1901" t="str">
        <f t="shared" ca="1" si="633"/>
        <v xml:space="preserve">Enter a 'Acquisition APR' for  building 20 in cell Q23.
</v>
      </c>
      <c r="G1901" s="9" t="str">
        <f t="shared" ca="1" si="634"/>
        <v xml:space="preserve">Enter a value for 'Number of Floors in the Tallest Building' in cell B58.
</v>
      </c>
      <c r="H1901" s="52" t="str">
        <f t="shared" ca="1" si="635"/>
        <v>Acquisition APR</v>
      </c>
      <c r="I1901" s="52">
        <v>17</v>
      </c>
    </row>
    <row r="1902" spans="1:10" ht="15" customHeight="1">
      <c r="A1902" t="str">
        <f ca="1">IF(AND(Calculations!$B$4,Calculations!$B$28&gt;=C1902, E1902 &lt;&gt; 13),F1902,"")</f>
        <v/>
      </c>
      <c r="B1902">
        <f>ROW('Final Building Profile'!C24)</f>
        <v>24</v>
      </c>
      <c r="C1902">
        <f t="shared" ref="C1902:C1965" ca="1" si="636">INDIRECT($F$1564 &amp; ADDRESS(B1902, 1,4  ))</f>
        <v>21</v>
      </c>
      <c r="D1902" t="str">
        <f>ADDRESS(B1902, 3,4  )</f>
        <v>C24</v>
      </c>
      <c r="E1902" s="52">
        <f ca="1">H1902+I1902</f>
        <v>0</v>
      </c>
      <c r="F1902" t="str">
        <f ca="1">CONCATENATE("Based upon the number of buildings specified, information for  building ", C1902, " required for a final application in row ", B1902, ".", CHAR(10))</f>
        <v xml:space="preserve">Based upon the number of buildings specified, information for  building 21 required for a final application in row 24.
</v>
      </c>
      <c r="G1902" s="9" t="str">
        <f t="shared" ca="1" si="634"/>
        <v xml:space="preserve">Enter a value for 'Number of Floors in the Tallest Building' in cell B58.
</v>
      </c>
      <c r="H1902" s="52">
        <f ca="1">SUMPRODUCT(--ISTEXT(INDIRECT(J1902)))</f>
        <v>0</v>
      </c>
      <c r="I1902" s="52">
        <f ca="1">SUMPRODUCT(--ISNUMBER(INDIRECT(J1902)))</f>
        <v>0</v>
      </c>
      <c r="J1902" s="52" t="str">
        <f>$F$1564&amp; ADDRESS(B1902,3,4) &amp; ":" &amp; ADDRESS(B1902,15,4)</f>
        <v>'Final Building Profile'!C24:O24</v>
      </c>
    </row>
    <row r="1903" spans="1:10" ht="15" customHeight="1">
      <c r="A1903" t="str">
        <f t="shared" ref="A1903:A1912" ca="1" si="637">IF(AND(OFFSET(A1903, -I1903 + 2, 4) &gt;  0, E1903=""), F1903, "")</f>
        <v/>
      </c>
      <c r="B1903">
        <f t="shared" ref="B1903:B1917" si="638">B1902</f>
        <v>24</v>
      </c>
      <c r="C1903">
        <f t="shared" ca="1" si="636"/>
        <v>21</v>
      </c>
      <c r="D1903" t="str">
        <f t="shared" ref="D1903:D1917" si="639">ADDRESS(B1903, I1903,4  )</f>
        <v>C24</v>
      </c>
      <c r="E1903" t="str">
        <f t="shared" ref="E1903:E1917" ca="1" si="640">IF(ISBLANK( INDIRECT($F$1564 &amp; D1903)),"", INDIRECT($F$1564 &amp; D1903))</f>
        <v/>
      </c>
      <c r="F1903" t="str">
        <f t="shared" ref="F1903:F1917" ca="1" si="641">CONCATENATE("Enter a '"&amp; H1903 &amp;"' for  building ", C1903, " in cell ", D1903, ".", CHAR(10))</f>
        <v xml:space="preserve">Enter a 'Building Street Address Only 
(DO NOT ENTER CITY, STATE, OR ZIP)' for  building 21 in cell C24.
</v>
      </c>
      <c r="G1903" s="9" t="str">
        <f t="shared" ca="1" si="634"/>
        <v xml:space="preserve">Enter a value for 'Number of Floors in the Tallest Building' in cell B58.
</v>
      </c>
      <c r="H1903" s="52" t="str">
        <f t="shared" ref="H1903:H1917" ca="1" si="642">OFFSET(INDIRECT($F$1564 &amp; D1903), -B1903 + 3, 0)</f>
        <v>Building Street Address Only 
(DO NOT ENTER CITY, STATE, OR ZIP)</v>
      </c>
      <c r="I1903" s="52">
        <v>3</v>
      </c>
    </row>
    <row r="1904" spans="1:10" ht="15" customHeight="1">
      <c r="A1904" t="str">
        <f t="shared" ca="1" si="637"/>
        <v/>
      </c>
      <c r="B1904">
        <f t="shared" si="638"/>
        <v>24</v>
      </c>
      <c r="C1904">
        <f t="shared" ca="1" si="636"/>
        <v>21</v>
      </c>
      <c r="D1904" t="str">
        <f t="shared" si="639"/>
        <v>D24</v>
      </c>
      <c r="E1904" t="str">
        <f t="shared" ca="1" si="640"/>
        <v/>
      </c>
      <c r="F1904" t="str">
        <f t="shared" ca="1" si="641"/>
        <v xml:space="preserve">Enter a 'Total Units in Building*' for  building 21 in cell D24.
</v>
      </c>
      <c r="G1904" s="9" t="str">
        <f t="shared" ca="1" si="634"/>
        <v xml:space="preserve">Enter a value for 'Number of Floors in the Tallest Building' in cell B58.
</v>
      </c>
      <c r="H1904" s="52" t="str">
        <f t="shared" ca="1" si="642"/>
        <v>Total Units in Building*</v>
      </c>
      <c r="I1904" s="52">
        <v>4</v>
      </c>
    </row>
    <row r="1905" spans="1:10" ht="15" customHeight="1">
      <c r="A1905" t="str">
        <f t="shared" ca="1" si="637"/>
        <v/>
      </c>
      <c r="B1905">
        <f t="shared" si="638"/>
        <v>24</v>
      </c>
      <c r="C1905">
        <f t="shared" ca="1" si="636"/>
        <v>21</v>
      </c>
      <c r="D1905" t="str">
        <f t="shared" si="639"/>
        <v>E24</v>
      </c>
      <c r="E1905" t="str">
        <f t="shared" ca="1" si="640"/>
        <v/>
      </c>
      <c r="F1905" t="str">
        <f t="shared" ca="1" si="641"/>
        <v xml:space="preserve">Enter a 'Employee Units' for  building 21 in cell E24.
</v>
      </c>
      <c r="G1905" s="9" t="str">
        <f t="shared" ca="1" si="634"/>
        <v xml:space="preserve">Enter a value for 'Number of Floors in the Tallest Building' in cell B58.
</v>
      </c>
      <c r="H1905" s="52" t="str">
        <f t="shared" ca="1" si="642"/>
        <v>Employee Units</v>
      </c>
      <c r="I1905" s="52">
        <v>5</v>
      </c>
    </row>
    <row r="1906" spans="1:10" ht="15" customHeight="1">
      <c r="A1906" t="str">
        <f t="shared" ca="1" si="637"/>
        <v/>
      </c>
      <c r="B1906">
        <f t="shared" si="638"/>
        <v>24</v>
      </c>
      <c r="C1906">
        <f t="shared" ca="1" si="636"/>
        <v>21</v>
      </c>
      <c r="D1906" t="str">
        <f t="shared" si="639"/>
        <v>F24</v>
      </c>
      <c r="E1906" t="str">
        <f t="shared" ca="1" si="640"/>
        <v/>
      </c>
      <c r="F1906" t="str">
        <f t="shared" ca="1" si="641"/>
        <v xml:space="preserve">Enter a 'Low-Income Units' for  building 21 in cell F24.
</v>
      </c>
      <c r="G1906" s="9" t="str">
        <f t="shared" ca="1" si="634"/>
        <v xml:space="preserve">Enter a value for 'Number of Floors in the Tallest Building' in cell B58.
</v>
      </c>
      <c r="H1906" s="52" t="str">
        <f t="shared" ca="1" si="642"/>
        <v>Low-Income Units</v>
      </c>
      <c r="I1906" s="52">
        <v>6</v>
      </c>
    </row>
    <row r="1907" spans="1:10" ht="15" customHeight="1">
      <c r="A1907" t="str">
        <f t="shared" ca="1" si="637"/>
        <v/>
      </c>
      <c r="B1907">
        <f t="shared" si="638"/>
        <v>24</v>
      </c>
      <c r="C1907">
        <f t="shared" ca="1" si="636"/>
        <v>21</v>
      </c>
      <c r="D1907" t="str">
        <f t="shared" si="639"/>
        <v>G24</v>
      </c>
      <c r="E1907" t="str">
        <f t="shared" ca="1" si="640"/>
        <v/>
      </c>
      <c r="F1907" t="str">
        <f t="shared" ca="1" si="641"/>
        <v xml:space="preserve">Enter a 'Residential Square Footage**' for  building 21 in cell G24.
</v>
      </c>
      <c r="G1907" s="9" t="str">
        <f t="shared" ca="1" si="634"/>
        <v xml:space="preserve">Enter a value for 'Number of Floors in the Tallest Building' in cell B58.
</v>
      </c>
      <c r="H1907" s="52" t="str">
        <f t="shared" ca="1" si="642"/>
        <v>Residential Square Footage**</v>
      </c>
      <c r="I1907" s="52">
        <v>7</v>
      </c>
    </row>
    <row r="1908" spans="1:10" ht="15" customHeight="1">
      <c r="A1908" t="str">
        <f t="shared" ca="1" si="637"/>
        <v/>
      </c>
      <c r="B1908">
        <f t="shared" si="638"/>
        <v>24</v>
      </c>
      <c r="C1908">
        <f t="shared" ca="1" si="636"/>
        <v>21</v>
      </c>
      <c r="D1908" t="str">
        <f t="shared" si="639"/>
        <v>H24</v>
      </c>
      <c r="E1908" t="str">
        <f t="shared" ca="1" si="640"/>
        <v/>
      </c>
      <c r="F1908" t="str">
        <f t="shared" ca="1" si="641"/>
        <v xml:space="preserve">Enter a 'Square Footage of Employee Units' for  building 21 in cell H24.
</v>
      </c>
      <c r="G1908" s="9" t="str">
        <f t="shared" ca="1" si="634"/>
        <v xml:space="preserve">Enter a value for 'Number of Floors in the Tallest Building' in cell B58.
</v>
      </c>
      <c r="H1908" s="52" t="str">
        <f t="shared" ca="1" si="642"/>
        <v>Square Footage of Employee Units</v>
      </c>
      <c r="I1908" s="52">
        <v>8</v>
      </c>
    </row>
    <row r="1909" spans="1:10" ht="15" customHeight="1">
      <c r="A1909" t="str">
        <f t="shared" ca="1" si="637"/>
        <v/>
      </c>
      <c r="B1909">
        <f t="shared" si="638"/>
        <v>24</v>
      </c>
      <c r="C1909">
        <f t="shared" ca="1" si="636"/>
        <v>21</v>
      </c>
      <c r="D1909" t="str">
        <f t="shared" si="639"/>
        <v>I24</v>
      </c>
      <c r="E1909" t="str">
        <f t="shared" ca="1" si="640"/>
        <v/>
      </c>
      <c r="F1909" t="str">
        <f t="shared" ca="1" si="641"/>
        <v xml:space="preserve">Enter a 'Square Footage of Low-Income Units' for  building 21 in cell I24.
</v>
      </c>
      <c r="G1909" s="9" t="str">
        <f t="shared" ca="1" si="634"/>
        <v xml:space="preserve">Enter a value for 'Number of Floors in the Tallest Building' in cell B58.
</v>
      </c>
      <c r="H1909" s="52" t="str">
        <f t="shared" ca="1" si="642"/>
        <v>Square Footage of Low-Income Units</v>
      </c>
      <c r="I1909" s="52">
        <v>9</v>
      </c>
    </row>
    <row r="1910" spans="1:10" ht="15" customHeight="1">
      <c r="A1910" t="str">
        <f t="shared" ca="1" si="637"/>
        <v/>
      </c>
      <c r="B1910">
        <f t="shared" si="638"/>
        <v>24</v>
      </c>
      <c r="C1910">
        <f t="shared" ca="1" si="636"/>
        <v>21</v>
      </c>
      <c r="D1910" t="str">
        <f t="shared" si="639"/>
        <v>J24</v>
      </c>
      <c r="E1910" t="str">
        <f t="shared" ca="1" si="640"/>
        <v/>
      </c>
      <c r="F1910" t="str">
        <f t="shared" ca="1" si="641"/>
        <v xml:space="preserve">Enter a 'Placed-In-Service Date' for  building 21 in cell J24.
</v>
      </c>
      <c r="G1910" s="9" t="str">
        <f t="shared" ca="1" si="634"/>
        <v xml:space="preserve">Enter a value for 'Number of Floors in the Tallest Building' in cell B58.
</v>
      </c>
      <c r="H1910" s="52" t="str">
        <f t="shared" ca="1" si="642"/>
        <v>Placed-In-Service Date</v>
      </c>
      <c r="I1910" s="52">
        <v>10</v>
      </c>
    </row>
    <row r="1911" spans="1:10" ht="15" customHeight="1">
      <c r="A1911" t="str">
        <f t="shared" ca="1" si="637"/>
        <v/>
      </c>
      <c r="B1911">
        <f t="shared" si="638"/>
        <v>24</v>
      </c>
      <c r="C1911">
        <f t="shared" ca="1" si="636"/>
        <v>21</v>
      </c>
      <c r="D1911" t="str">
        <f t="shared" si="639"/>
        <v>K24</v>
      </c>
      <c r="E1911" t="str">
        <f t="shared" ca="1" si="640"/>
        <v/>
      </c>
      <c r="F1911" t="str">
        <f t="shared" ca="1" si="641"/>
        <v xml:space="preserve">Enter a 'New Construction/ Rehab APR' for  building 21 in cell K24.
</v>
      </c>
      <c r="G1911" s="9" t="str">
        <f t="shared" ca="1" si="634"/>
        <v xml:space="preserve">Enter a value for 'Number of Floors in the Tallest Building' in cell B58.
</v>
      </c>
      <c r="H1911" s="52" t="str">
        <f t="shared" ca="1" si="642"/>
        <v>New Construction/ Rehab APR</v>
      </c>
      <c r="I1911" s="52">
        <v>11</v>
      </c>
    </row>
    <row r="1912" spans="1:10" ht="15" customHeight="1">
      <c r="A1912" t="str">
        <f t="shared" ca="1" si="637"/>
        <v/>
      </c>
      <c r="B1912">
        <f t="shared" si="638"/>
        <v>24</v>
      </c>
      <c r="C1912">
        <f t="shared" ca="1" si="636"/>
        <v>21</v>
      </c>
      <c r="D1912" t="str">
        <f t="shared" si="639"/>
        <v>L24</v>
      </c>
      <c r="E1912" t="str">
        <f t="shared" ca="1" si="640"/>
        <v/>
      </c>
      <c r="F1912" t="str">
        <f t="shared" ca="1" si="641"/>
        <v xml:space="preserve">Enter a 'New Construction Eligible Basis' for  building 21 in cell L24.
</v>
      </c>
      <c r="G1912" s="9" t="str">
        <f t="shared" ca="1" si="634"/>
        <v xml:space="preserve">Enter a value for 'Number of Floors in the Tallest Building' in cell B58.
</v>
      </c>
      <c r="H1912" s="52" t="str">
        <f t="shared" ca="1" si="642"/>
        <v>New Construction Eligible Basis</v>
      </c>
      <c r="I1912" s="52">
        <v>12</v>
      </c>
    </row>
    <row r="1913" spans="1:10" ht="15" customHeight="1">
      <c r="A1913" t="str">
        <f ca="1">IF(AND(OFFSET(A1913, -I1913 + 2, 4) &gt;  0, E1913="", Calculations!$B$7), F1913, "")</f>
        <v/>
      </c>
      <c r="B1913">
        <f t="shared" si="638"/>
        <v>24</v>
      </c>
      <c r="C1913">
        <f t="shared" ca="1" si="636"/>
        <v>21</v>
      </c>
      <c r="D1913" t="str">
        <f t="shared" si="639"/>
        <v>M24</v>
      </c>
      <c r="E1913" t="str">
        <f t="shared" ca="1" si="640"/>
        <v/>
      </c>
      <c r="F1913" t="str">
        <f t="shared" ca="1" si="641"/>
        <v xml:space="preserve">Enter a 'Eligible Basis for Rehab' for  building 21 in cell M24.
</v>
      </c>
      <c r="G1913" s="9" t="str">
        <f t="shared" ca="1" si="634"/>
        <v xml:space="preserve">Enter a value for 'Number of Floors in the Tallest Building' in cell B58.
</v>
      </c>
      <c r="H1913" s="52" t="str">
        <f t="shared" ca="1" si="642"/>
        <v>Eligible Basis for Rehab</v>
      </c>
      <c r="I1913" s="52">
        <v>13</v>
      </c>
    </row>
    <row r="1914" spans="1:10" ht="15" customHeight="1">
      <c r="A1914" t="str">
        <f ca="1">IF(AND(OFFSET(A1914, -I1914 + 2, 4) &gt;  0, E1914="", Calculations!$B$7), F1914, "")</f>
        <v/>
      </c>
      <c r="B1914">
        <f t="shared" si="638"/>
        <v>24</v>
      </c>
      <c r="C1914">
        <f t="shared" ca="1" si="636"/>
        <v>21</v>
      </c>
      <c r="D1914" t="str">
        <f t="shared" si="639"/>
        <v>N24</v>
      </c>
      <c r="E1914" t="str">
        <f t="shared" ca="1" si="640"/>
        <v/>
      </c>
      <c r="F1914" t="str">
        <f t="shared" ca="1" si="641"/>
        <v xml:space="preserve">Enter a 'Cost of Acquiring the Building***' for  building 21 in cell N24.
</v>
      </c>
      <c r="G1914" s="9" t="str">
        <f t="shared" ca="1" si="634"/>
        <v xml:space="preserve">Enter a value for 'Number of Floors in the Tallest Building' in cell B58.
</v>
      </c>
      <c r="H1914" s="52" t="str">
        <f t="shared" ca="1" si="642"/>
        <v>Cost of Acquiring the Building***</v>
      </c>
      <c r="I1914" s="52">
        <v>14</v>
      </c>
    </row>
    <row r="1915" spans="1:10" ht="15" customHeight="1">
      <c r="A1915" t="str">
        <f ca="1">IF(AND(OFFSET(A1915, -I1915 + 2, 4) &gt;  0, E1915="", Calculations!$B$7), F1915, "")</f>
        <v/>
      </c>
      <c r="B1915">
        <f t="shared" si="638"/>
        <v>24</v>
      </c>
      <c r="C1915">
        <f t="shared" ca="1" si="636"/>
        <v>21</v>
      </c>
      <c r="D1915" t="str">
        <f t="shared" si="639"/>
        <v>O24</v>
      </c>
      <c r="E1915" t="str">
        <f t="shared" ca="1" si="640"/>
        <v/>
      </c>
      <c r="F1915" t="str">
        <f t="shared" ca="1" si="641"/>
        <v xml:space="preserve">Enter a 'Higher of Land Purchase Price or Land Appraised Value****' for  building 21 in cell O24.
</v>
      </c>
      <c r="G1915" s="9" t="str">
        <f t="shared" ca="1" si="634"/>
        <v xml:space="preserve">Enter a value for 'Number of Floors in the Tallest Building' in cell B58.
</v>
      </c>
      <c r="H1915" s="52" t="str">
        <f t="shared" ca="1" si="642"/>
        <v>Higher of Land Purchase Price or Land Appraised Value****</v>
      </c>
      <c r="I1915" s="52">
        <v>15</v>
      </c>
    </row>
    <row r="1916" spans="1:10" ht="15" customHeight="1">
      <c r="A1916" t="str">
        <f ca="1">IF(AND(OFFSET(A1916, -I1916 + 2, 4) &gt;  0, E1916="", Calculations!$B$7), F1916, "")</f>
        <v/>
      </c>
      <c r="B1916">
        <f t="shared" si="638"/>
        <v>24</v>
      </c>
      <c r="C1916">
        <f t="shared" ca="1" si="636"/>
        <v>21</v>
      </c>
      <c r="D1916" t="str">
        <f t="shared" si="639"/>
        <v>P24</v>
      </c>
      <c r="E1916" t="str">
        <f t="shared" ca="1" si="640"/>
        <v/>
      </c>
      <c r="F1916" t="str">
        <f t="shared" ca="1" si="641"/>
        <v xml:space="preserve">Enter a 'Acquisition Placed-in-Service Date' for  building 21 in cell P24.
</v>
      </c>
      <c r="G1916" s="9" t="str">
        <f t="shared" ca="1" si="634"/>
        <v xml:space="preserve">Enter a value for 'Number of Floors in the Tallest Building' in cell B58.
</v>
      </c>
      <c r="H1916" s="52" t="str">
        <f t="shared" ca="1" si="642"/>
        <v>Acquisition Placed-in-Service Date</v>
      </c>
      <c r="I1916" s="52">
        <v>16</v>
      </c>
    </row>
    <row r="1917" spans="1:10" ht="15" customHeight="1">
      <c r="A1917" t="str">
        <f ca="1">IF(AND(OFFSET(A1917, -I1917 + 2, 4) &gt;  0, E1917="", Calculations!$B$7), F1917, "")</f>
        <v/>
      </c>
      <c r="B1917">
        <f t="shared" si="638"/>
        <v>24</v>
      </c>
      <c r="C1917">
        <f t="shared" ca="1" si="636"/>
        <v>21</v>
      </c>
      <c r="D1917" t="str">
        <f t="shared" si="639"/>
        <v>Q24</v>
      </c>
      <c r="E1917" t="str">
        <f t="shared" ca="1" si="640"/>
        <v/>
      </c>
      <c r="F1917" t="str">
        <f t="shared" ca="1" si="641"/>
        <v xml:space="preserve">Enter a 'Acquisition APR' for  building 21 in cell Q24.
</v>
      </c>
      <c r="G1917" s="9" t="str">
        <f t="shared" ca="1" si="634"/>
        <v xml:space="preserve">Enter a value for 'Number of Floors in the Tallest Building' in cell B58.
</v>
      </c>
      <c r="H1917" s="52" t="str">
        <f t="shared" ca="1" si="642"/>
        <v>Acquisition APR</v>
      </c>
      <c r="I1917" s="52">
        <v>17</v>
      </c>
    </row>
    <row r="1918" spans="1:10" ht="15" customHeight="1">
      <c r="A1918" t="str">
        <f ca="1">IF(AND(Calculations!$B$4,Calculations!$B$28&gt;=C1918, E1918 &lt;&gt; 13),F1918,"")</f>
        <v/>
      </c>
      <c r="B1918">
        <f>ROW('Final Building Profile'!C25)</f>
        <v>25</v>
      </c>
      <c r="C1918">
        <f t="shared" ca="1" si="636"/>
        <v>22</v>
      </c>
      <c r="D1918" t="str">
        <f>ADDRESS(B1918, 3,4  )</f>
        <v>C25</v>
      </c>
      <c r="E1918" s="52">
        <f ca="1">H1918+I1918</f>
        <v>0</v>
      </c>
      <c r="F1918" t="str">
        <f ca="1">CONCATENATE("Based upon the number of buildings specified, information for  building ", C1918, " required for a final application in row ", B1918, ".", CHAR(10))</f>
        <v xml:space="preserve">Based upon the number of buildings specified, information for  building 22 required for a final application in row 25.
</v>
      </c>
      <c r="G1918" s="9" t="str">
        <f t="shared" ca="1" si="634"/>
        <v xml:space="preserve">Enter a value for 'Number of Floors in the Tallest Building' in cell B58.
</v>
      </c>
      <c r="H1918" s="52">
        <f ca="1">SUMPRODUCT(--ISTEXT(INDIRECT(J1918)))</f>
        <v>0</v>
      </c>
      <c r="I1918" s="52">
        <f ca="1">SUMPRODUCT(--ISNUMBER(INDIRECT(J1918)))</f>
        <v>0</v>
      </c>
      <c r="J1918" s="52" t="str">
        <f>$F$1564&amp; ADDRESS(B1918,3,4) &amp; ":" &amp; ADDRESS(B1918,15,4)</f>
        <v>'Final Building Profile'!C25:O25</v>
      </c>
    </row>
    <row r="1919" spans="1:10" ht="15" customHeight="1">
      <c r="A1919" t="str">
        <f t="shared" ref="A1919:A1928" ca="1" si="643">IF(AND(OFFSET(A1919, -I1919 + 2, 4) &gt;  0, E1919=""), F1919, "")</f>
        <v/>
      </c>
      <c r="B1919">
        <f t="shared" ref="B1919:B1933" si="644">B1918</f>
        <v>25</v>
      </c>
      <c r="C1919">
        <f t="shared" ca="1" si="636"/>
        <v>22</v>
      </c>
      <c r="D1919" t="str">
        <f t="shared" ref="D1919:D1933" si="645">ADDRESS(B1919, I1919,4  )</f>
        <v>C25</v>
      </c>
      <c r="E1919" t="str">
        <f t="shared" ref="E1919:E1933" ca="1" si="646">IF(ISBLANK( INDIRECT($F$1564 &amp; D1919)),"", INDIRECT($F$1564 &amp; D1919))</f>
        <v/>
      </c>
      <c r="F1919" t="str">
        <f t="shared" ref="F1919:F1933" ca="1" si="647">CONCATENATE("Enter a '"&amp; H1919 &amp;"' for  building ", C1919, " in cell ", D1919, ".", CHAR(10))</f>
        <v xml:space="preserve">Enter a 'Building Street Address Only 
(DO NOT ENTER CITY, STATE, OR ZIP)' for  building 22 in cell C25.
</v>
      </c>
      <c r="G1919" s="9" t="str">
        <f t="shared" ca="1" si="634"/>
        <v xml:space="preserve">Enter a value for 'Number of Floors in the Tallest Building' in cell B58.
</v>
      </c>
      <c r="H1919" s="52" t="str">
        <f t="shared" ref="H1919:H1933" ca="1" si="648">OFFSET(INDIRECT($F$1564 &amp; D1919), -B1919 + 3, 0)</f>
        <v>Building Street Address Only 
(DO NOT ENTER CITY, STATE, OR ZIP)</v>
      </c>
      <c r="I1919" s="52">
        <v>3</v>
      </c>
    </row>
    <row r="1920" spans="1:10" ht="15" customHeight="1">
      <c r="A1920" t="str">
        <f t="shared" ca="1" si="643"/>
        <v/>
      </c>
      <c r="B1920">
        <f t="shared" si="644"/>
        <v>25</v>
      </c>
      <c r="C1920">
        <f t="shared" ca="1" si="636"/>
        <v>22</v>
      </c>
      <c r="D1920" t="str">
        <f t="shared" si="645"/>
        <v>D25</v>
      </c>
      <c r="E1920" t="str">
        <f t="shared" ca="1" si="646"/>
        <v/>
      </c>
      <c r="F1920" t="str">
        <f t="shared" ca="1" si="647"/>
        <v xml:space="preserve">Enter a 'Total Units in Building*' for  building 22 in cell D25.
</v>
      </c>
      <c r="G1920" s="9" t="str">
        <f t="shared" ca="1" si="634"/>
        <v xml:space="preserve">Enter a value for 'Number of Floors in the Tallest Building' in cell B58.
</v>
      </c>
      <c r="H1920" s="52" t="str">
        <f t="shared" ca="1" si="648"/>
        <v>Total Units in Building*</v>
      </c>
      <c r="I1920" s="52">
        <v>4</v>
      </c>
    </row>
    <row r="1921" spans="1:10" ht="15" customHeight="1">
      <c r="A1921" t="str">
        <f t="shared" ca="1" si="643"/>
        <v/>
      </c>
      <c r="B1921">
        <f t="shared" si="644"/>
        <v>25</v>
      </c>
      <c r="C1921">
        <f t="shared" ca="1" si="636"/>
        <v>22</v>
      </c>
      <c r="D1921" t="str">
        <f t="shared" si="645"/>
        <v>E25</v>
      </c>
      <c r="E1921" t="str">
        <f t="shared" ca="1" si="646"/>
        <v/>
      </c>
      <c r="F1921" t="str">
        <f t="shared" ca="1" si="647"/>
        <v xml:space="preserve">Enter a 'Employee Units' for  building 22 in cell E25.
</v>
      </c>
      <c r="G1921" s="9" t="str">
        <f t="shared" ca="1" si="634"/>
        <v xml:space="preserve">Enter a value for 'Number of Floors in the Tallest Building' in cell B58.
</v>
      </c>
      <c r="H1921" s="52" t="str">
        <f t="shared" ca="1" si="648"/>
        <v>Employee Units</v>
      </c>
      <c r="I1921" s="52">
        <v>5</v>
      </c>
    </row>
    <row r="1922" spans="1:10" ht="15" customHeight="1">
      <c r="A1922" t="str">
        <f t="shared" ca="1" si="643"/>
        <v/>
      </c>
      <c r="B1922">
        <f t="shared" si="644"/>
        <v>25</v>
      </c>
      <c r="C1922">
        <f t="shared" ca="1" si="636"/>
        <v>22</v>
      </c>
      <c r="D1922" t="str">
        <f t="shared" si="645"/>
        <v>F25</v>
      </c>
      <c r="E1922" t="str">
        <f t="shared" ca="1" si="646"/>
        <v/>
      </c>
      <c r="F1922" t="str">
        <f t="shared" ca="1" si="647"/>
        <v xml:space="preserve">Enter a 'Low-Income Units' for  building 22 in cell F25.
</v>
      </c>
      <c r="G1922" s="9" t="str">
        <f t="shared" ca="1" si="634"/>
        <v xml:space="preserve">Enter a value for 'Number of Floors in the Tallest Building' in cell B58.
</v>
      </c>
      <c r="H1922" s="52" t="str">
        <f t="shared" ca="1" si="648"/>
        <v>Low-Income Units</v>
      </c>
      <c r="I1922" s="52">
        <v>6</v>
      </c>
    </row>
    <row r="1923" spans="1:10" ht="15" customHeight="1">
      <c r="A1923" t="str">
        <f t="shared" ca="1" si="643"/>
        <v/>
      </c>
      <c r="B1923">
        <f t="shared" si="644"/>
        <v>25</v>
      </c>
      <c r="C1923">
        <f t="shared" ca="1" si="636"/>
        <v>22</v>
      </c>
      <c r="D1923" t="str">
        <f t="shared" si="645"/>
        <v>G25</v>
      </c>
      <c r="E1923" t="str">
        <f t="shared" ca="1" si="646"/>
        <v/>
      </c>
      <c r="F1923" t="str">
        <f t="shared" ca="1" si="647"/>
        <v xml:space="preserve">Enter a 'Residential Square Footage**' for  building 22 in cell G25.
</v>
      </c>
      <c r="G1923" s="9" t="str">
        <f t="shared" ca="1" si="634"/>
        <v xml:space="preserve">Enter a value for 'Number of Floors in the Tallest Building' in cell B58.
</v>
      </c>
      <c r="H1923" s="52" t="str">
        <f t="shared" ca="1" si="648"/>
        <v>Residential Square Footage**</v>
      </c>
      <c r="I1923" s="52">
        <v>7</v>
      </c>
    </row>
    <row r="1924" spans="1:10" ht="15" customHeight="1">
      <c r="A1924" t="str">
        <f t="shared" ca="1" si="643"/>
        <v/>
      </c>
      <c r="B1924">
        <f t="shared" si="644"/>
        <v>25</v>
      </c>
      <c r="C1924">
        <f t="shared" ca="1" si="636"/>
        <v>22</v>
      </c>
      <c r="D1924" t="str">
        <f t="shared" si="645"/>
        <v>H25</v>
      </c>
      <c r="E1924" t="str">
        <f t="shared" ca="1" si="646"/>
        <v/>
      </c>
      <c r="F1924" t="str">
        <f t="shared" ca="1" si="647"/>
        <v xml:space="preserve">Enter a 'Square Footage of Employee Units' for  building 22 in cell H25.
</v>
      </c>
      <c r="G1924" s="9" t="str">
        <f t="shared" ca="1" si="634"/>
        <v xml:space="preserve">Enter a value for 'Number of Floors in the Tallest Building' in cell B58.
</v>
      </c>
      <c r="H1924" s="52" t="str">
        <f t="shared" ca="1" si="648"/>
        <v>Square Footage of Employee Units</v>
      </c>
      <c r="I1924" s="52">
        <v>8</v>
      </c>
    </row>
    <row r="1925" spans="1:10" ht="15" customHeight="1">
      <c r="A1925" t="str">
        <f t="shared" ca="1" si="643"/>
        <v/>
      </c>
      <c r="B1925">
        <f t="shared" si="644"/>
        <v>25</v>
      </c>
      <c r="C1925">
        <f t="shared" ca="1" si="636"/>
        <v>22</v>
      </c>
      <c r="D1925" t="str">
        <f t="shared" si="645"/>
        <v>I25</v>
      </c>
      <c r="E1925" t="str">
        <f t="shared" ca="1" si="646"/>
        <v/>
      </c>
      <c r="F1925" t="str">
        <f t="shared" ca="1" si="647"/>
        <v xml:space="preserve">Enter a 'Square Footage of Low-Income Units' for  building 22 in cell I25.
</v>
      </c>
      <c r="G1925" s="9" t="str">
        <f t="shared" ca="1" si="634"/>
        <v xml:space="preserve">Enter a value for 'Number of Floors in the Tallest Building' in cell B58.
</v>
      </c>
      <c r="H1925" s="52" t="str">
        <f t="shared" ca="1" si="648"/>
        <v>Square Footage of Low-Income Units</v>
      </c>
      <c r="I1925" s="52">
        <v>9</v>
      </c>
    </row>
    <row r="1926" spans="1:10" ht="15" customHeight="1">
      <c r="A1926" t="str">
        <f t="shared" ca="1" si="643"/>
        <v/>
      </c>
      <c r="B1926">
        <f t="shared" si="644"/>
        <v>25</v>
      </c>
      <c r="C1926">
        <f t="shared" ca="1" si="636"/>
        <v>22</v>
      </c>
      <c r="D1926" t="str">
        <f t="shared" si="645"/>
        <v>J25</v>
      </c>
      <c r="E1926" t="str">
        <f t="shared" ca="1" si="646"/>
        <v/>
      </c>
      <c r="F1926" t="str">
        <f t="shared" ca="1" si="647"/>
        <v xml:space="preserve">Enter a 'Placed-In-Service Date' for  building 22 in cell J25.
</v>
      </c>
      <c r="G1926" s="9" t="str">
        <f t="shared" ca="1" si="634"/>
        <v xml:space="preserve">Enter a value for 'Number of Floors in the Tallest Building' in cell B58.
</v>
      </c>
      <c r="H1926" s="52" t="str">
        <f t="shared" ca="1" si="648"/>
        <v>Placed-In-Service Date</v>
      </c>
      <c r="I1926" s="52">
        <v>10</v>
      </c>
    </row>
    <row r="1927" spans="1:10" ht="15" customHeight="1">
      <c r="A1927" t="str">
        <f t="shared" ca="1" si="643"/>
        <v/>
      </c>
      <c r="B1927">
        <f t="shared" si="644"/>
        <v>25</v>
      </c>
      <c r="C1927">
        <f t="shared" ca="1" si="636"/>
        <v>22</v>
      </c>
      <c r="D1927" t="str">
        <f t="shared" si="645"/>
        <v>K25</v>
      </c>
      <c r="E1927" t="str">
        <f t="shared" ca="1" si="646"/>
        <v/>
      </c>
      <c r="F1927" t="str">
        <f t="shared" ca="1" si="647"/>
        <v xml:space="preserve">Enter a 'New Construction/ Rehab APR' for  building 22 in cell K25.
</v>
      </c>
      <c r="G1927" s="9" t="str">
        <f t="shared" ca="1" si="634"/>
        <v xml:space="preserve">Enter a value for 'Number of Floors in the Tallest Building' in cell B58.
</v>
      </c>
      <c r="H1927" s="52" t="str">
        <f t="shared" ca="1" si="648"/>
        <v>New Construction/ Rehab APR</v>
      </c>
      <c r="I1927" s="52">
        <v>11</v>
      </c>
    </row>
    <row r="1928" spans="1:10" ht="15" customHeight="1">
      <c r="A1928" t="str">
        <f t="shared" ca="1" si="643"/>
        <v/>
      </c>
      <c r="B1928">
        <f t="shared" si="644"/>
        <v>25</v>
      </c>
      <c r="C1928">
        <f t="shared" ca="1" si="636"/>
        <v>22</v>
      </c>
      <c r="D1928" t="str">
        <f t="shared" si="645"/>
        <v>L25</v>
      </c>
      <c r="E1928" t="str">
        <f t="shared" ca="1" si="646"/>
        <v/>
      </c>
      <c r="F1928" t="str">
        <f t="shared" ca="1" si="647"/>
        <v xml:space="preserve">Enter a 'New Construction Eligible Basis' for  building 22 in cell L25.
</v>
      </c>
      <c r="G1928" s="9" t="str">
        <f t="shared" ca="1" si="634"/>
        <v xml:space="preserve">Enter a value for 'Number of Floors in the Tallest Building' in cell B58.
</v>
      </c>
      <c r="H1928" s="52" t="str">
        <f t="shared" ca="1" si="648"/>
        <v>New Construction Eligible Basis</v>
      </c>
      <c r="I1928" s="52">
        <v>12</v>
      </c>
    </row>
    <row r="1929" spans="1:10" ht="15" customHeight="1">
      <c r="A1929" t="str">
        <f ca="1">IF(AND(OFFSET(A1929, -I1929 + 2, 4) &gt;  0, E1929="", Calculations!$B$7), F1929, "")</f>
        <v/>
      </c>
      <c r="B1929">
        <f t="shared" si="644"/>
        <v>25</v>
      </c>
      <c r="C1929">
        <f t="shared" ca="1" si="636"/>
        <v>22</v>
      </c>
      <c r="D1929" t="str">
        <f t="shared" si="645"/>
        <v>M25</v>
      </c>
      <c r="E1929" t="str">
        <f t="shared" ca="1" si="646"/>
        <v/>
      </c>
      <c r="F1929" t="str">
        <f t="shared" ca="1" si="647"/>
        <v xml:space="preserve">Enter a 'Eligible Basis for Rehab' for  building 22 in cell M25.
</v>
      </c>
      <c r="G1929" s="9" t="str">
        <f t="shared" ca="1" si="634"/>
        <v xml:space="preserve">Enter a value for 'Number of Floors in the Tallest Building' in cell B58.
</v>
      </c>
      <c r="H1929" s="52" t="str">
        <f t="shared" ca="1" si="648"/>
        <v>Eligible Basis for Rehab</v>
      </c>
      <c r="I1929" s="52">
        <v>13</v>
      </c>
    </row>
    <row r="1930" spans="1:10" ht="15" customHeight="1">
      <c r="A1930" t="str">
        <f ca="1">IF(AND(OFFSET(A1930, -I1930 + 2, 4) &gt;  0, E1930="", Calculations!$B$7), F1930, "")</f>
        <v/>
      </c>
      <c r="B1930">
        <f t="shared" si="644"/>
        <v>25</v>
      </c>
      <c r="C1930">
        <f t="shared" ca="1" si="636"/>
        <v>22</v>
      </c>
      <c r="D1930" t="str">
        <f t="shared" si="645"/>
        <v>N25</v>
      </c>
      <c r="E1930" t="str">
        <f t="shared" ca="1" si="646"/>
        <v/>
      </c>
      <c r="F1930" t="str">
        <f t="shared" ca="1" si="647"/>
        <v xml:space="preserve">Enter a 'Cost of Acquiring the Building***' for  building 22 in cell N25.
</v>
      </c>
      <c r="G1930" s="9" t="str">
        <f t="shared" ca="1" si="634"/>
        <v xml:space="preserve">Enter a value for 'Number of Floors in the Tallest Building' in cell B58.
</v>
      </c>
      <c r="H1930" s="52" t="str">
        <f t="shared" ca="1" si="648"/>
        <v>Cost of Acquiring the Building***</v>
      </c>
      <c r="I1930" s="52">
        <v>14</v>
      </c>
    </row>
    <row r="1931" spans="1:10" ht="15" customHeight="1">
      <c r="A1931" t="str">
        <f ca="1">IF(AND(OFFSET(A1931, -I1931 + 2, 4) &gt;  0, E1931="", Calculations!$B$7), F1931, "")</f>
        <v/>
      </c>
      <c r="B1931">
        <f t="shared" si="644"/>
        <v>25</v>
      </c>
      <c r="C1931">
        <f t="shared" ca="1" si="636"/>
        <v>22</v>
      </c>
      <c r="D1931" t="str">
        <f t="shared" si="645"/>
        <v>O25</v>
      </c>
      <c r="E1931" t="str">
        <f t="shared" ca="1" si="646"/>
        <v/>
      </c>
      <c r="F1931" t="str">
        <f t="shared" ca="1" si="647"/>
        <v xml:space="preserve">Enter a 'Higher of Land Purchase Price or Land Appraised Value****' for  building 22 in cell O25.
</v>
      </c>
      <c r="G1931" s="9" t="str">
        <f t="shared" ca="1" si="634"/>
        <v xml:space="preserve">Enter a value for 'Number of Floors in the Tallest Building' in cell B58.
</v>
      </c>
      <c r="H1931" s="52" t="str">
        <f t="shared" ca="1" si="648"/>
        <v>Higher of Land Purchase Price or Land Appraised Value****</v>
      </c>
      <c r="I1931" s="52">
        <v>15</v>
      </c>
    </row>
    <row r="1932" spans="1:10" ht="15" customHeight="1">
      <c r="A1932" t="str">
        <f ca="1">IF(AND(OFFSET(A1932, -I1932 + 2, 4) &gt;  0, E1932="", Calculations!$B$7), F1932, "")</f>
        <v/>
      </c>
      <c r="B1932">
        <f t="shared" si="644"/>
        <v>25</v>
      </c>
      <c r="C1932">
        <f t="shared" ca="1" si="636"/>
        <v>22</v>
      </c>
      <c r="D1932" t="str">
        <f t="shared" si="645"/>
        <v>P25</v>
      </c>
      <c r="E1932" t="str">
        <f t="shared" ca="1" si="646"/>
        <v/>
      </c>
      <c r="F1932" t="str">
        <f t="shared" ca="1" si="647"/>
        <v xml:space="preserve">Enter a 'Acquisition Placed-in-Service Date' for  building 22 in cell P25.
</v>
      </c>
      <c r="G1932" s="9" t="str">
        <f t="shared" ca="1" si="634"/>
        <v xml:space="preserve">Enter a value for 'Number of Floors in the Tallest Building' in cell B58.
</v>
      </c>
      <c r="H1932" s="52" t="str">
        <f t="shared" ca="1" si="648"/>
        <v>Acquisition Placed-in-Service Date</v>
      </c>
      <c r="I1932" s="52">
        <v>16</v>
      </c>
    </row>
    <row r="1933" spans="1:10" ht="15" customHeight="1">
      <c r="A1933" t="str">
        <f ca="1">IF(AND(OFFSET(A1933, -I1933 + 2, 4) &gt;  0, E1933="", Calculations!$B$7), F1933, "")</f>
        <v/>
      </c>
      <c r="B1933">
        <f t="shared" si="644"/>
        <v>25</v>
      </c>
      <c r="C1933">
        <f t="shared" ca="1" si="636"/>
        <v>22</v>
      </c>
      <c r="D1933" t="str">
        <f t="shared" si="645"/>
        <v>Q25</v>
      </c>
      <c r="E1933" t="str">
        <f t="shared" ca="1" si="646"/>
        <v/>
      </c>
      <c r="F1933" t="str">
        <f t="shared" ca="1" si="647"/>
        <v xml:space="preserve">Enter a 'Acquisition APR' for  building 22 in cell Q25.
</v>
      </c>
      <c r="G1933" s="9" t="str">
        <f t="shared" ca="1" si="634"/>
        <v xml:space="preserve">Enter a value for 'Number of Floors in the Tallest Building' in cell B58.
</v>
      </c>
      <c r="H1933" s="52" t="str">
        <f t="shared" ca="1" si="648"/>
        <v>Acquisition APR</v>
      </c>
      <c r="I1933" s="52">
        <v>17</v>
      </c>
    </row>
    <row r="1934" spans="1:10" ht="15" customHeight="1">
      <c r="A1934" t="str">
        <f ca="1">IF(AND(Calculations!$B$4,Calculations!$B$28&gt;=C1934, E1934 &lt;&gt; 13),F1934,"")</f>
        <v/>
      </c>
      <c r="B1934">
        <f>ROW('Final Building Profile'!C26)</f>
        <v>26</v>
      </c>
      <c r="C1934">
        <f t="shared" ca="1" si="636"/>
        <v>23</v>
      </c>
      <c r="D1934" t="str">
        <f>ADDRESS(B1934, 3,4  )</f>
        <v>C26</v>
      </c>
      <c r="E1934" s="52">
        <f ca="1">H1934+I1934</f>
        <v>0</v>
      </c>
      <c r="F1934" t="str">
        <f ca="1">CONCATENATE("Based upon the number of buildings specified, information for  building ", C1934, " required for a final application in row ", B1934, ".", CHAR(10))</f>
        <v xml:space="preserve">Based upon the number of buildings specified, information for  building 23 required for a final application in row 26.
</v>
      </c>
      <c r="G1934" s="9" t="str">
        <f t="shared" ca="1" si="634"/>
        <v xml:space="preserve">Enter a value for 'Number of Floors in the Tallest Building' in cell B58.
</v>
      </c>
      <c r="H1934" s="52">
        <f ca="1">SUMPRODUCT(--ISTEXT(INDIRECT(J1934)))</f>
        <v>0</v>
      </c>
      <c r="I1934" s="52">
        <f ca="1">SUMPRODUCT(--ISNUMBER(INDIRECT(J1934)))</f>
        <v>0</v>
      </c>
      <c r="J1934" s="52" t="str">
        <f>$F$1564&amp; ADDRESS(B1934,3,4) &amp; ":" &amp; ADDRESS(B1934,15,4)</f>
        <v>'Final Building Profile'!C26:O26</v>
      </c>
    </row>
    <row r="1935" spans="1:10" ht="15" customHeight="1">
      <c r="A1935" t="str">
        <f t="shared" ref="A1935:A1944" ca="1" si="649">IF(AND(OFFSET(A1935, -I1935 + 2, 4) &gt;  0, E1935=""), F1935, "")</f>
        <v/>
      </c>
      <c r="B1935">
        <f t="shared" ref="B1935:B1949" si="650">B1934</f>
        <v>26</v>
      </c>
      <c r="C1935">
        <f t="shared" ca="1" si="636"/>
        <v>23</v>
      </c>
      <c r="D1935" t="str">
        <f t="shared" ref="D1935:D1949" si="651">ADDRESS(B1935, I1935,4  )</f>
        <v>C26</v>
      </c>
      <c r="E1935" t="str">
        <f t="shared" ref="E1935:E1949" ca="1" si="652">IF(ISBLANK( INDIRECT($F$1564 &amp; D1935)),"", INDIRECT($F$1564 &amp; D1935))</f>
        <v/>
      </c>
      <c r="F1935" t="str">
        <f t="shared" ref="F1935:F1949" ca="1" si="653">CONCATENATE("Enter a '"&amp; H1935 &amp;"' for  building ", C1935, " in cell ", D1935, ".", CHAR(10))</f>
        <v xml:space="preserve">Enter a 'Building Street Address Only 
(DO NOT ENTER CITY, STATE, OR ZIP)' for  building 23 in cell C26.
</v>
      </c>
      <c r="G1935" s="9" t="str">
        <f t="shared" ca="1" si="634"/>
        <v xml:space="preserve">Enter a value for 'Number of Floors in the Tallest Building' in cell B58.
</v>
      </c>
      <c r="H1935" s="52" t="str">
        <f t="shared" ref="H1935:H1949" ca="1" si="654">OFFSET(INDIRECT($F$1564 &amp; D1935), -B1935 + 3, 0)</f>
        <v>Building Street Address Only 
(DO NOT ENTER CITY, STATE, OR ZIP)</v>
      </c>
      <c r="I1935" s="52">
        <v>3</v>
      </c>
    </row>
    <row r="1936" spans="1:10" ht="15" customHeight="1">
      <c r="A1936" t="str">
        <f t="shared" ca="1" si="649"/>
        <v/>
      </c>
      <c r="B1936">
        <f t="shared" si="650"/>
        <v>26</v>
      </c>
      <c r="C1936">
        <f t="shared" ca="1" si="636"/>
        <v>23</v>
      </c>
      <c r="D1936" t="str">
        <f t="shared" si="651"/>
        <v>D26</v>
      </c>
      <c r="E1936" t="str">
        <f t="shared" ca="1" si="652"/>
        <v/>
      </c>
      <c r="F1936" t="str">
        <f t="shared" ca="1" si="653"/>
        <v xml:space="preserve">Enter a 'Total Units in Building*' for  building 23 in cell D26.
</v>
      </c>
      <c r="G1936" s="9" t="str">
        <f t="shared" ca="1" si="634"/>
        <v xml:space="preserve">Enter a value for 'Number of Floors in the Tallest Building' in cell B58.
</v>
      </c>
      <c r="H1936" s="52" t="str">
        <f t="shared" ca="1" si="654"/>
        <v>Total Units in Building*</v>
      </c>
      <c r="I1936" s="52">
        <v>4</v>
      </c>
    </row>
    <row r="1937" spans="1:10" ht="15" customHeight="1">
      <c r="A1937" t="str">
        <f t="shared" ca="1" si="649"/>
        <v/>
      </c>
      <c r="B1937">
        <f t="shared" si="650"/>
        <v>26</v>
      </c>
      <c r="C1937">
        <f t="shared" ca="1" si="636"/>
        <v>23</v>
      </c>
      <c r="D1937" t="str">
        <f t="shared" si="651"/>
        <v>E26</v>
      </c>
      <c r="E1937" t="str">
        <f t="shared" ca="1" si="652"/>
        <v/>
      </c>
      <c r="F1937" t="str">
        <f t="shared" ca="1" si="653"/>
        <v xml:space="preserve">Enter a 'Employee Units' for  building 23 in cell E26.
</v>
      </c>
      <c r="G1937" s="9" t="str">
        <f t="shared" ca="1" si="634"/>
        <v xml:space="preserve">Enter a value for 'Number of Floors in the Tallest Building' in cell B58.
</v>
      </c>
      <c r="H1937" s="52" t="str">
        <f t="shared" ca="1" si="654"/>
        <v>Employee Units</v>
      </c>
      <c r="I1937" s="52">
        <v>5</v>
      </c>
    </row>
    <row r="1938" spans="1:10" ht="15" customHeight="1">
      <c r="A1938" t="str">
        <f t="shared" ca="1" si="649"/>
        <v/>
      </c>
      <c r="B1938">
        <f t="shared" si="650"/>
        <v>26</v>
      </c>
      <c r="C1938">
        <f t="shared" ca="1" si="636"/>
        <v>23</v>
      </c>
      <c r="D1938" t="str">
        <f t="shared" si="651"/>
        <v>F26</v>
      </c>
      <c r="E1938" t="str">
        <f t="shared" ca="1" si="652"/>
        <v/>
      </c>
      <c r="F1938" t="str">
        <f t="shared" ca="1" si="653"/>
        <v xml:space="preserve">Enter a 'Low-Income Units' for  building 23 in cell F26.
</v>
      </c>
      <c r="G1938" s="9" t="str">
        <f t="shared" ca="1" si="634"/>
        <v xml:space="preserve">Enter a value for 'Number of Floors in the Tallest Building' in cell B58.
</v>
      </c>
      <c r="H1938" s="52" t="str">
        <f t="shared" ca="1" si="654"/>
        <v>Low-Income Units</v>
      </c>
      <c r="I1938" s="52">
        <v>6</v>
      </c>
    </row>
    <row r="1939" spans="1:10" ht="15" customHeight="1">
      <c r="A1939" t="str">
        <f t="shared" ca="1" si="649"/>
        <v/>
      </c>
      <c r="B1939">
        <f t="shared" si="650"/>
        <v>26</v>
      </c>
      <c r="C1939">
        <f t="shared" ca="1" si="636"/>
        <v>23</v>
      </c>
      <c r="D1939" t="str">
        <f t="shared" si="651"/>
        <v>G26</v>
      </c>
      <c r="E1939" t="str">
        <f t="shared" ca="1" si="652"/>
        <v/>
      </c>
      <c r="F1939" t="str">
        <f t="shared" ca="1" si="653"/>
        <v xml:space="preserve">Enter a 'Residential Square Footage**' for  building 23 in cell G26.
</v>
      </c>
      <c r="G1939" s="9" t="str">
        <f t="shared" ca="1" si="634"/>
        <v xml:space="preserve">Enter a value for 'Number of Floors in the Tallest Building' in cell B58.
</v>
      </c>
      <c r="H1939" s="52" t="str">
        <f t="shared" ca="1" si="654"/>
        <v>Residential Square Footage**</v>
      </c>
      <c r="I1939" s="52">
        <v>7</v>
      </c>
    </row>
    <row r="1940" spans="1:10" ht="15" customHeight="1">
      <c r="A1940" t="str">
        <f t="shared" ca="1" si="649"/>
        <v/>
      </c>
      <c r="B1940">
        <f t="shared" si="650"/>
        <v>26</v>
      </c>
      <c r="C1940">
        <f t="shared" ca="1" si="636"/>
        <v>23</v>
      </c>
      <c r="D1940" t="str">
        <f t="shared" si="651"/>
        <v>H26</v>
      </c>
      <c r="E1940" t="str">
        <f t="shared" ca="1" si="652"/>
        <v/>
      </c>
      <c r="F1940" t="str">
        <f t="shared" ca="1" si="653"/>
        <v xml:space="preserve">Enter a 'Square Footage of Employee Units' for  building 23 in cell H26.
</v>
      </c>
      <c r="G1940" s="9" t="str">
        <f t="shared" ca="1" si="634"/>
        <v xml:space="preserve">Enter a value for 'Number of Floors in the Tallest Building' in cell B58.
</v>
      </c>
      <c r="H1940" s="52" t="str">
        <f t="shared" ca="1" si="654"/>
        <v>Square Footage of Employee Units</v>
      </c>
      <c r="I1940" s="52">
        <v>8</v>
      </c>
    </row>
    <row r="1941" spans="1:10" ht="15" customHeight="1">
      <c r="A1941" t="str">
        <f t="shared" ca="1" si="649"/>
        <v/>
      </c>
      <c r="B1941">
        <f t="shared" si="650"/>
        <v>26</v>
      </c>
      <c r="C1941">
        <f t="shared" ca="1" si="636"/>
        <v>23</v>
      </c>
      <c r="D1941" t="str">
        <f t="shared" si="651"/>
        <v>I26</v>
      </c>
      <c r="E1941" t="str">
        <f t="shared" ca="1" si="652"/>
        <v/>
      </c>
      <c r="F1941" t="str">
        <f t="shared" ca="1" si="653"/>
        <v xml:space="preserve">Enter a 'Square Footage of Low-Income Units' for  building 23 in cell I26.
</v>
      </c>
      <c r="G1941" s="9" t="str">
        <f t="shared" ca="1" si="634"/>
        <v xml:space="preserve">Enter a value for 'Number of Floors in the Tallest Building' in cell B58.
</v>
      </c>
      <c r="H1941" s="52" t="str">
        <f t="shared" ca="1" si="654"/>
        <v>Square Footage of Low-Income Units</v>
      </c>
      <c r="I1941" s="52">
        <v>9</v>
      </c>
    </row>
    <row r="1942" spans="1:10" ht="15" customHeight="1">
      <c r="A1942" t="str">
        <f t="shared" ca="1" si="649"/>
        <v/>
      </c>
      <c r="B1942">
        <f t="shared" si="650"/>
        <v>26</v>
      </c>
      <c r="C1942">
        <f t="shared" ca="1" si="636"/>
        <v>23</v>
      </c>
      <c r="D1942" t="str">
        <f t="shared" si="651"/>
        <v>J26</v>
      </c>
      <c r="E1942" t="str">
        <f t="shared" ca="1" si="652"/>
        <v/>
      </c>
      <c r="F1942" t="str">
        <f t="shared" ca="1" si="653"/>
        <v xml:space="preserve">Enter a 'Placed-In-Service Date' for  building 23 in cell J26.
</v>
      </c>
      <c r="G1942" s="9" t="str">
        <f t="shared" ca="1" si="634"/>
        <v xml:space="preserve">Enter a value for 'Number of Floors in the Tallest Building' in cell B58.
</v>
      </c>
      <c r="H1942" s="52" t="str">
        <f t="shared" ca="1" si="654"/>
        <v>Placed-In-Service Date</v>
      </c>
      <c r="I1942" s="52">
        <v>10</v>
      </c>
    </row>
    <row r="1943" spans="1:10" ht="15" customHeight="1">
      <c r="A1943" t="str">
        <f t="shared" ca="1" si="649"/>
        <v/>
      </c>
      <c r="B1943">
        <f t="shared" si="650"/>
        <v>26</v>
      </c>
      <c r="C1943">
        <f t="shared" ca="1" si="636"/>
        <v>23</v>
      </c>
      <c r="D1943" t="str">
        <f t="shared" si="651"/>
        <v>K26</v>
      </c>
      <c r="E1943" t="str">
        <f t="shared" ca="1" si="652"/>
        <v/>
      </c>
      <c r="F1943" t="str">
        <f t="shared" ca="1" si="653"/>
        <v xml:space="preserve">Enter a 'New Construction/ Rehab APR' for  building 23 in cell K26.
</v>
      </c>
      <c r="G1943" s="9" t="str">
        <f t="shared" ca="1" si="634"/>
        <v xml:space="preserve">Enter a value for 'Number of Floors in the Tallest Building' in cell B58.
</v>
      </c>
      <c r="H1943" s="52" t="str">
        <f t="shared" ca="1" si="654"/>
        <v>New Construction/ Rehab APR</v>
      </c>
      <c r="I1943" s="52">
        <v>11</v>
      </c>
    </row>
    <row r="1944" spans="1:10" ht="15" customHeight="1">
      <c r="A1944" t="str">
        <f t="shared" ca="1" si="649"/>
        <v/>
      </c>
      <c r="B1944">
        <f t="shared" si="650"/>
        <v>26</v>
      </c>
      <c r="C1944">
        <f t="shared" ca="1" si="636"/>
        <v>23</v>
      </c>
      <c r="D1944" t="str">
        <f t="shared" si="651"/>
        <v>L26</v>
      </c>
      <c r="E1944" t="str">
        <f t="shared" ca="1" si="652"/>
        <v/>
      </c>
      <c r="F1944" t="str">
        <f t="shared" ca="1" si="653"/>
        <v xml:space="preserve">Enter a 'New Construction Eligible Basis' for  building 23 in cell L26.
</v>
      </c>
      <c r="G1944" s="9" t="str">
        <f t="shared" ca="1" si="634"/>
        <v xml:space="preserve">Enter a value for 'Number of Floors in the Tallest Building' in cell B58.
</v>
      </c>
      <c r="H1944" s="52" t="str">
        <f t="shared" ca="1" si="654"/>
        <v>New Construction Eligible Basis</v>
      </c>
      <c r="I1944" s="52">
        <v>12</v>
      </c>
    </row>
    <row r="1945" spans="1:10" ht="15" customHeight="1">
      <c r="A1945" t="str">
        <f ca="1">IF(AND(OFFSET(A1945, -I1945 + 2, 4) &gt;  0, E1945="", Calculations!$B$7), F1945, "")</f>
        <v/>
      </c>
      <c r="B1945">
        <f t="shared" si="650"/>
        <v>26</v>
      </c>
      <c r="C1945">
        <f t="shared" ca="1" si="636"/>
        <v>23</v>
      </c>
      <c r="D1945" t="str">
        <f t="shared" si="651"/>
        <v>M26</v>
      </c>
      <c r="E1945" t="str">
        <f t="shared" ca="1" si="652"/>
        <v/>
      </c>
      <c r="F1945" t="str">
        <f t="shared" ca="1" si="653"/>
        <v xml:space="preserve">Enter a 'Eligible Basis for Rehab' for  building 23 in cell M26.
</v>
      </c>
      <c r="G1945" s="9" t="str">
        <f t="shared" ca="1" si="634"/>
        <v xml:space="preserve">Enter a value for 'Number of Floors in the Tallest Building' in cell B58.
</v>
      </c>
      <c r="H1945" s="52" t="str">
        <f t="shared" ca="1" si="654"/>
        <v>Eligible Basis for Rehab</v>
      </c>
      <c r="I1945" s="52">
        <v>13</v>
      </c>
    </row>
    <row r="1946" spans="1:10" ht="15" customHeight="1">
      <c r="A1946" t="str">
        <f ca="1">IF(AND(OFFSET(A1946, -I1946 + 2, 4) &gt;  0, E1946="", Calculations!$B$7), F1946, "")</f>
        <v/>
      </c>
      <c r="B1946">
        <f t="shared" si="650"/>
        <v>26</v>
      </c>
      <c r="C1946">
        <f t="shared" ca="1" si="636"/>
        <v>23</v>
      </c>
      <c r="D1946" t="str">
        <f t="shared" si="651"/>
        <v>N26</v>
      </c>
      <c r="E1946" t="str">
        <f t="shared" ca="1" si="652"/>
        <v/>
      </c>
      <c r="F1946" t="str">
        <f t="shared" ca="1" si="653"/>
        <v xml:space="preserve">Enter a 'Cost of Acquiring the Building***' for  building 23 in cell N26.
</v>
      </c>
      <c r="G1946" s="9" t="str">
        <f t="shared" ca="1" si="634"/>
        <v xml:space="preserve">Enter a value for 'Number of Floors in the Tallest Building' in cell B58.
</v>
      </c>
      <c r="H1946" s="52" t="str">
        <f t="shared" ca="1" si="654"/>
        <v>Cost of Acquiring the Building***</v>
      </c>
      <c r="I1946" s="52">
        <v>14</v>
      </c>
    </row>
    <row r="1947" spans="1:10" ht="15" customHeight="1">
      <c r="A1947" t="str">
        <f ca="1">IF(AND(OFFSET(A1947, -I1947 + 2, 4) &gt;  0, E1947="", Calculations!$B$7), F1947, "")</f>
        <v/>
      </c>
      <c r="B1947">
        <f t="shared" si="650"/>
        <v>26</v>
      </c>
      <c r="C1947">
        <f t="shared" ca="1" si="636"/>
        <v>23</v>
      </c>
      <c r="D1947" t="str">
        <f t="shared" si="651"/>
        <v>O26</v>
      </c>
      <c r="E1947" t="str">
        <f t="shared" ca="1" si="652"/>
        <v/>
      </c>
      <c r="F1947" t="str">
        <f t="shared" ca="1" si="653"/>
        <v xml:space="preserve">Enter a 'Higher of Land Purchase Price or Land Appraised Value****' for  building 23 in cell O26.
</v>
      </c>
      <c r="G1947" s="9" t="str">
        <f t="shared" ca="1" si="634"/>
        <v xml:space="preserve">Enter a value for 'Number of Floors in the Tallest Building' in cell B58.
</v>
      </c>
      <c r="H1947" s="52" t="str">
        <f t="shared" ca="1" si="654"/>
        <v>Higher of Land Purchase Price or Land Appraised Value****</v>
      </c>
      <c r="I1947" s="52">
        <v>15</v>
      </c>
    </row>
    <row r="1948" spans="1:10" ht="15" customHeight="1">
      <c r="A1948" t="str">
        <f ca="1">IF(AND(OFFSET(A1948, -I1948 + 2, 4) &gt;  0, E1948="", Calculations!$B$7), F1948, "")</f>
        <v/>
      </c>
      <c r="B1948">
        <f t="shared" si="650"/>
        <v>26</v>
      </c>
      <c r="C1948">
        <f t="shared" ca="1" si="636"/>
        <v>23</v>
      </c>
      <c r="D1948" t="str">
        <f t="shared" si="651"/>
        <v>P26</v>
      </c>
      <c r="E1948" t="str">
        <f t="shared" ca="1" si="652"/>
        <v/>
      </c>
      <c r="F1948" t="str">
        <f t="shared" ca="1" si="653"/>
        <v xml:space="preserve">Enter a 'Acquisition Placed-in-Service Date' for  building 23 in cell P26.
</v>
      </c>
      <c r="G1948" s="9" t="str">
        <f t="shared" ca="1" si="634"/>
        <v xml:space="preserve">Enter a value for 'Number of Floors in the Tallest Building' in cell B58.
</v>
      </c>
      <c r="H1948" s="52" t="str">
        <f t="shared" ca="1" si="654"/>
        <v>Acquisition Placed-in-Service Date</v>
      </c>
      <c r="I1948" s="52">
        <v>16</v>
      </c>
    </row>
    <row r="1949" spans="1:10" ht="15" customHeight="1">
      <c r="A1949" t="str">
        <f ca="1">IF(AND(OFFSET(A1949, -I1949 + 2, 4) &gt;  0, E1949="", Calculations!$B$7), F1949, "")</f>
        <v/>
      </c>
      <c r="B1949">
        <f t="shared" si="650"/>
        <v>26</v>
      </c>
      <c r="C1949">
        <f t="shared" ca="1" si="636"/>
        <v>23</v>
      </c>
      <c r="D1949" t="str">
        <f t="shared" si="651"/>
        <v>Q26</v>
      </c>
      <c r="E1949" t="str">
        <f t="shared" ca="1" si="652"/>
        <v/>
      </c>
      <c r="F1949" t="str">
        <f t="shared" ca="1" si="653"/>
        <v xml:space="preserve">Enter a 'Acquisition APR' for  building 23 in cell Q26.
</v>
      </c>
      <c r="G1949" s="9" t="str">
        <f t="shared" ca="1" si="634"/>
        <v xml:space="preserve">Enter a value for 'Number of Floors in the Tallest Building' in cell B58.
</v>
      </c>
      <c r="H1949" s="52" t="str">
        <f t="shared" ca="1" si="654"/>
        <v>Acquisition APR</v>
      </c>
      <c r="I1949" s="52">
        <v>17</v>
      </c>
    </row>
    <row r="1950" spans="1:10" ht="15" customHeight="1">
      <c r="A1950" t="str">
        <f ca="1">IF(AND(Calculations!$B$4,Calculations!$B$28&gt;=C1950, E1950 &lt;&gt; 13),F1950,"")</f>
        <v/>
      </c>
      <c r="B1950">
        <f>ROW('Final Building Profile'!C27)</f>
        <v>27</v>
      </c>
      <c r="C1950">
        <f t="shared" ca="1" si="636"/>
        <v>24</v>
      </c>
      <c r="D1950" t="str">
        <f>ADDRESS(B1950, 3,4  )</f>
        <v>C27</v>
      </c>
      <c r="E1950" s="52">
        <f ca="1">H1950+I1950</f>
        <v>0</v>
      </c>
      <c r="F1950" t="str">
        <f ca="1">CONCATENATE("Based upon the number of buildings specified, information for  building ", C1950, " required for a final application in row ", B1950, ".", CHAR(10))</f>
        <v xml:space="preserve">Based upon the number of buildings specified, information for  building 24 required for a final application in row 27.
</v>
      </c>
      <c r="G1950" s="9" t="str">
        <f t="shared" ca="1" si="634"/>
        <v xml:space="preserve">Enter a value for 'Number of Floors in the Tallest Building' in cell B58.
</v>
      </c>
      <c r="H1950" s="52">
        <f ca="1">SUMPRODUCT(--ISTEXT(INDIRECT(J1950)))</f>
        <v>0</v>
      </c>
      <c r="I1950" s="52">
        <f ca="1">SUMPRODUCT(--ISNUMBER(INDIRECT(J1950)))</f>
        <v>0</v>
      </c>
      <c r="J1950" s="52" t="str">
        <f>$F$1564&amp; ADDRESS(B1950,3,4) &amp; ":" &amp; ADDRESS(B1950,15,4)</f>
        <v>'Final Building Profile'!C27:O27</v>
      </c>
    </row>
    <row r="1951" spans="1:10" ht="15" customHeight="1">
      <c r="A1951" t="str">
        <f t="shared" ref="A1951:A1960" ca="1" si="655">IF(AND(OFFSET(A1951, -I1951 + 2, 4) &gt;  0, E1951=""), F1951, "")</f>
        <v/>
      </c>
      <c r="B1951">
        <f t="shared" ref="B1951:B1965" si="656">B1950</f>
        <v>27</v>
      </c>
      <c r="C1951">
        <f t="shared" ca="1" si="636"/>
        <v>24</v>
      </c>
      <c r="D1951" t="str">
        <f t="shared" ref="D1951:D1965" si="657">ADDRESS(B1951, I1951,4  )</f>
        <v>C27</v>
      </c>
      <c r="E1951" t="str">
        <f t="shared" ref="E1951:E1965" ca="1" si="658">IF(ISBLANK( INDIRECT($F$1564 &amp; D1951)),"", INDIRECT($F$1564 &amp; D1951))</f>
        <v/>
      </c>
      <c r="F1951" t="str">
        <f t="shared" ref="F1951:F1965" ca="1" si="659">CONCATENATE("Enter a '"&amp; H1951 &amp;"' for  building ", C1951, " in cell ", D1951, ".", CHAR(10))</f>
        <v xml:space="preserve">Enter a 'Building Street Address Only 
(DO NOT ENTER CITY, STATE, OR ZIP)' for  building 24 in cell C27.
</v>
      </c>
      <c r="G1951" s="9" t="str">
        <f t="shared" ref="G1951:G2014" ca="1" si="660">OFFSET(G1951, -1, 0) &amp; A1951</f>
        <v xml:space="preserve">Enter a value for 'Number of Floors in the Tallest Building' in cell B58.
</v>
      </c>
      <c r="H1951" s="52" t="str">
        <f t="shared" ref="H1951:H1965" ca="1" si="661">OFFSET(INDIRECT($F$1564 &amp; D1951), -B1951 + 3, 0)</f>
        <v>Building Street Address Only 
(DO NOT ENTER CITY, STATE, OR ZIP)</v>
      </c>
      <c r="I1951" s="52">
        <v>3</v>
      </c>
    </row>
    <row r="1952" spans="1:10" ht="15" customHeight="1">
      <c r="A1952" t="str">
        <f t="shared" ca="1" si="655"/>
        <v/>
      </c>
      <c r="B1952">
        <f t="shared" si="656"/>
        <v>27</v>
      </c>
      <c r="C1952">
        <f t="shared" ca="1" si="636"/>
        <v>24</v>
      </c>
      <c r="D1952" t="str">
        <f t="shared" si="657"/>
        <v>D27</v>
      </c>
      <c r="E1952" t="str">
        <f t="shared" ca="1" si="658"/>
        <v/>
      </c>
      <c r="F1952" t="str">
        <f t="shared" ca="1" si="659"/>
        <v xml:space="preserve">Enter a 'Total Units in Building*' for  building 24 in cell D27.
</v>
      </c>
      <c r="G1952" s="9" t="str">
        <f t="shared" ca="1" si="660"/>
        <v xml:space="preserve">Enter a value for 'Number of Floors in the Tallest Building' in cell B58.
</v>
      </c>
      <c r="H1952" s="52" t="str">
        <f t="shared" ca="1" si="661"/>
        <v>Total Units in Building*</v>
      </c>
      <c r="I1952" s="52">
        <v>4</v>
      </c>
    </row>
    <row r="1953" spans="1:10" ht="15" customHeight="1">
      <c r="A1953" t="str">
        <f t="shared" ca="1" si="655"/>
        <v/>
      </c>
      <c r="B1953">
        <f t="shared" si="656"/>
        <v>27</v>
      </c>
      <c r="C1953">
        <f t="shared" ca="1" si="636"/>
        <v>24</v>
      </c>
      <c r="D1953" t="str">
        <f t="shared" si="657"/>
        <v>E27</v>
      </c>
      <c r="E1953" t="str">
        <f t="shared" ca="1" si="658"/>
        <v/>
      </c>
      <c r="F1953" t="str">
        <f t="shared" ca="1" si="659"/>
        <v xml:space="preserve">Enter a 'Employee Units' for  building 24 in cell E27.
</v>
      </c>
      <c r="G1953" s="9" t="str">
        <f t="shared" ca="1" si="660"/>
        <v xml:space="preserve">Enter a value for 'Number of Floors in the Tallest Building' in cell B58.
</v>
      </c>
      <c r="H1953" s="52" t="str">
        <f t="shared" ca="1" si="661"/>
        <v>Employee Units</v>
      </c>
      <c r="I1953" s="52">
        <v>5</v>
      </c>
    </row>
    <row r="1954" spans="1:10" ht="15" customHeight="1">
      <c r="A1954" t="str">
        <f t="shared" ca="1" si="655"/>
        <v/>
      </c>
      <c r="B1954">
        <f t="shared" si="656"/>
        <v>27</v>
      </c>
      <c r="C1954">
        <f t="shared" ca="1" si="636"/>
        <v>24</v>
      </c>
      <c r="D1954" t="str">
        <f t="shared" si="657"/>
        <v>F27</v>
      </c>
      <c r="E1954" t="str">
        <f t="shared" ca="1" si="658"/>
        <v/>
      </c>
      <c r="F1954" t="str">
        <f t="shared" ca="1" si="659"/>
        <v xml:space="preserve">Enter a 'Low-Income Units' for  building 24 in cell F27.
</v>
      </c>
      <c r="G1954" s="9" t="str">
        <f t="shared" ca="1" si="660"/>
        <v xml:space="preserve">Enter a value for 'Number of Floors in the Tallest Building' in cell B58.
</v>
      </c>
      <c r="H1954" s="52" t="str">
        <f t="shared" ca="1" si="661"/>
        <v>Low-Income Units</v>
      </c>
      <c r="I1954" s="52">
        <v>6</v>
      </c>
    </row>
    <row r="1955" spans="1:10" ht="15" customHeight="1">
      <c r="A1955" t="str">
        <f t="shared" ca="1" si="655"/>
        <v/>
      </c>
      <c r="B1955">
        <f t="shared" si="656"/>
        <v>27</v>
      </c>
      <c r="C1955">
        <f t="shared" ca="1" si="636"/>
        <v>24</v>
      </c>
      <c r="D1955" t="str">
        <f t="shared" si="657"/>
        <v>G27</v>
      </c>
      <c r="E1955" t="str">
        <f t="shared" ca="1" si="658"/>
        <v/>
      </c>
      <c r="F1955" t="str">
        <f t="shared" ca="1" si="659"/>
        <v xml:space="preserve">Enter a 'Residential Square Footage**' for  building 24 in cell G27.
</v>
      </c>
      <c r="G1955" s="9" t="str">
        <f t="shared" ca="1" si="660"/>
        <v xml:space="preserve">Enter a value for 'Number of Floors in the Tallest Building' in cell B58.
</v>
      </c>
      <c r="H1955" s="52" t="str">
        <f t="shared" ca="1" si="661"/>
        <v>Residential Square Footage**</v>
      </c>
      <c r="I1955" s="52">
        <v>7</v>
      </c>
    </row>
    <row r="1956" spans="1:10" ht="15" customHeight="1">
      <c r="A1956" t="str">
        <f t="shared" ca="1" si="655"/>
        <v/>
      </c>
      <c r="B1956">
        <f t="shared" si="656"/>
        <v>27</v>
      </c>
      <c r="C1956">
        <f t="shared" ca="1" si="636"/>
        <v>24</v>
      </c>
      <c r="D1956" t="str">
        <f t="shared" si="657"/>
        <v>H27</v>
      </c>
      <c r="E1956" t="str">
        <f t="shared" ca="1" si="658"/>
        <v/>
      </c>
      <c r="F1956" t="str">
        <f t="shared" ca="1" si="659"/>
        <v xml:space="preserve">Enter a 'Square Footage of Employee Units' for  building 24 in cell H27.
</v>
      </c>
      <c r="G1956" s="9" t="str">
        <f t="shared" ca="1" si="660"/>
        <v xml:space="preserve">Enter a value for 'Number of Floors in the Tallest Building' in cell B58.
</v>
      </c>
      <c r="H1956" s="52" t="str">
        <f t="shared" ca="1" si="661"/>
        <v>Square Footage of Employee Units</v>
      </c>
      <c r="I1956" s="52">
        <v>8</v>
      </c>
    </row>
    <row r="1957" spans="1:10" ht="15" customHeight="1">
      <c r="A1957" t="str">
        <f t="shared" ca="1" si="655"/>
        <v/>
      </c>
      <c r="B1957">
        <f t="shared" si="656"/>
        <v>27</v>
      </c>
      <c r="C1957">
        <f t="shared" ca="1" si="636"/>
        <v>24</v>
      </c>
      <c r="D1957" t="str">
        <f t="shared" si="657"/>
        <v>I27</v>
      </c>
      <c r="E1957" t="str">
        <f t="shared" ca="1" si="658"/>
        <v/>
      </c>
      <c r="F1957" t="str">
        <f t="shared" ca="1" si="659"/>
        <v xml:space="preserve">Enter a 'Square Footage of Low-Income Units' for  building 24 in cell I27.
</v>
      </c>
      <c r="G1957" s="9" t="str">
        <f t="shared" ca="1" si="660"/>
        <v xml:space="preserve">Enter a value for 'Number of Floors in the Tallest Building' in cell B58.
</v>
      </c>
      <c r="H1957" s="52" t="str">
        <f t="shared" ca="1" si="661"/>
        <v>Square Footage of Low-Income Units</v>
      </c>
      <c r="I1957" s="52">
        <v>9</v>
      </c>
    </row>
    <row r="1958" spans="1:10" ht="15" customHeight="1">
      <c r="A1958" t="str">
        <f t="shared" ca="1" si="655"/>
        <v/>
      </c>
      <c r="B1958">
        <f t="shared" si="656"/>
        <v>27</v>
      </c>
      <c r="C1958">
        <f t="shared" ca="1" si="636"/>
        <v>24</v>
      </c>
      <c r="D1958" t="str">
        <f t="shared" si="657"/>
        <v>J27</v>
      </c>
      <c r="E1958" t="str">
        <f t="shared" ca="1" si="658"/>
        <v/>
      </c>
      <c r="F1958" t="str">
        <f t="shared" ca="1" si="659"/>
        <v xml:space="preserve">Enter a 'Placed-In-Service Date' for  building 24 in cell J27.
</v>
      </c>
      <c r="G1958" s="9" t="str">
        <f t="shared" ca="1" si="660"/>
        <v xml:space="preserve">Enter a value for 'Number of Floors in the Tallest Building' in cell B58.
</v>
      </c>
      <c r="H1958" s="52" t="str">
        <f t="shared" ca="1" si="661"/>
        <v>Placed-In-Service Date</v>
      </c>
      <c r="I1958" s="52">
        <v>10</v>
      </c>
    </row>
    <row r="1959" spans="1:10" ht="15" customHeight="1">
      <c r="A1959" t="str">
        <f t="shared" ca="1" si="655"/>
        <v/>
      </c>
      <c r="B1959">
        <f t="shared" si="656"/>
        <v>27</v>
      </c>
      <c r="C1959">
        <f t="shared" ca="1" si="636"/>
        <v>24</v>
      </c>
      <c r="D1959" t="str">
        <f t="shared" si="657"/>
        <v>K27</v>
      </c>
      <c r="E1959" t="str">
        <f t="shared" ca="1" si="658"/>
        <v/>
      </c>
      <c r="F1959" t="str">
        <f t="shared" ca="1" si="659"/>
        <v xml:space="preserve">Enter a 'New Construction/ Rehab APR' for  building 24 in cell K27.
</v>
      </c>
      <c r="G1959" s="9" t="str">
        <f t="shared" ca="1" si="660"/>
        <v xml:space="preserve">Enter a value for 'Number of Floors in the Tallest Building' in cell B58.
</v>
      </c>
      <c r="H1959" s="52" t="str">
        <f t="shared" ca="1" si="661"/>
        <v>New Construction/ Rehab APR</v>
      </c>
      <c r="I1959" s="52">
        <v>11</v>
      </c>
    </row>
    <row r="1960" spans="1:10" ht="15" customHeight="1">
      <c r="A1960" t="str">
        <f t="shared" ca="1" si="655"/>
        <v/>
      </c>
      <c r="B1960">
        <f t="shared" si="656"/>
        <v>27</v>
      </c>
      <c r="C1960">
        <f t="shared" ca="1" si="636"/>
        <v>24</v>
      </c>
      <c r="D1960" t="str">
        <f t="shared" si="657"/>
        <v>L27</v>
      </c>
      <c r="E1960" t="str">
        <f t="shared" ca="1" si="658"/>
        <v/>
      </c>
      <c r="F1960" t="str">
        <f t="shared" ca="1" si="659"/>
        <v xml:space="preserve">Enter a 'New Construction Eligible Basis' for  building 24 in cell L27.
</v>
      </c>
      <c r="G1960" s="9" t="str">
        <f t="shared" ca="1" si="660"/>
        <v xml:space="preserve">Enter a value for 'Number of Floors in the Tallest Building' in cell B58.
</v>
      </c>
      <c r="H1960" s="52" t="str">
        <f t="shared" ca="1" si="661"/>
        <v>New Construction Eligible Basis</v>
      </c>
      <c r="I1960" s="52">
        <v>12</v>
      </c>
    </row>
    <row r="1961" spans="1:10" ht="15" customHeight="1">
      <c r="A1961" t="str">
        <f ca="1">IF(AND(OFFSET(A1961, -I1961 + 2, 4) &gt;  0, E1961="", Calculations!$B$7), F1961, "")</f>
        <v/>
      </c>
      <c r="B1961">
        <f t="shared" si="656"/>
        <v>27</v>
      </c>
      <c r="C1961">
        <f t="shared" ca="1" si="636"/>
        <v>24</v>
      </c>
      <c r="D1961" t="str">
        <f t="shared" si="657"/>
        <v>M27</v>
      </c>
      <c r="E1961" t="str">
        <f t="shared" ca="1" si="658"/>
        <v/>
      </c>
      <c r="F1961" t="str">
        <f t="shared" ca="1" si="659"/>
        <v xml:space="preserve">Enter a 'Eligible Basis for Rehab' for  building 24 in cell M27.
</v>
      </c>
      <c r="G1961" s="9" t="str">
        <f t="shared" ca="1" si="660"/>
        <v xml:space="preserve">Enter a value for 'Number of Floors in the Tallest Building' in cell B58.
</v>
      </c>
      <c r="H1961" s="52" t="str">
        <f t="shared" ca="1" si="661"/>
        <v>Eligible Basis for Rehab</v>
      </c>
      <c r="I1961" s="52">
        <v>13</v>
      </c>
    </row>
    <row r="1962" spans="1:10" ht="15" customHeight="1">
      <c r="A1962" t="str">
        <f ca="1">IF(AND(OFFSET(A1962, -I1962 + 2, 4) &gt;  0, E1962="", Calculations!$B$7), F1962, "")</f>
        <v/>
      </c>
      <c r="B1962">
        <f t="shared" si="656"/>
        <v>27</v>
      </c>
      <c r="C1962">
        <f t="shared" ca="1" si="636"/>
        <v>24</v>
      </c>
      <c r="D1962" t="str">
        <f t="shared" si="657"/>
        <v>N27</v>
      </c>
      <c r="E1962" t="str">
        <f t="shared" ca="1" si="658"/>
        <v/>
      </c>
      <c r="F1962" t="str">
        <f t="shared" ca="1" si="659"/>
        <v xml:space="preserve">Enter a 'Cost of Acquiring the Building***' for  building 24 in cell N27.
</v>
      </c>
      <c r="G1962" s="9" t="str">
        <f t="shared" ca="1" si="660"/>
        <v xml:space="preserve">Enter a value for 'Number of Floors in the Tallest Building' in cell B58.
</v>
      </c>
      <c r="H1962" s="52" t="str">
        <f t="shared" ca="1" si="661"/>
        <v>Cost of Acquiring the Building***</v>
      </c>
      <c r="I1962" s="52">
        <v>14</v>
      </c>
    </row>
    <row r="1963" spans="1:10" ht="15" customHeight="1">
      <c r="A1963" t="str">
        <f ca="1">IF(AND(OFFSET(A1963, -I1963 + 2, 4) &gt;  0, E1963="", Calculations!$B$7), F1963, "")</f>
        <v/>
      </c>
      <c r="B1963">
        <f t="shared" si="656"/>
        <v>27</v>
      </c>
      <c r="C1963">
        <f t="shared" ca="1" si="636"/>
        <v>24</v>
      </c>
      <c r="D1963" t="str">
        <f t="shared" si="657"/>
        <v>O27</v>
      </c>
      <c r="E1963" t="str">
        <f t="shared" ca="1" si="658"/>
        <v/>
      </c>
      <c r="F1963" t="str">
        <f t="shared" ca="1" si="659"/>
        <v xml:space="preserve">Enter a 'Higher of Land Purchase Price or Land Appraised Value****' for  building 24 in cell O27.
</v>
      </c>
      <c r="G1963" s="9" t="str">
        <f t="shared" ca="1" si="660"/>
        <v xml:space="preserve">Enter a value for 'Number of Floors in the Tallest Building' in cell B58.
</v>
      </c>
      <c r="H1963" s="52" t="str">
        <f t="shared" ca="1" si="661"/>
        <v>Higher of Land Purchase Price or Land Appraised Value****</v>
      </c>
      <c r="I1963" s="52">
        <v>15</v>
      </c>
    </row>
    <row r="1964" spans="1:10" ht="15" customHeight="1">
      <c r="A1964" t="str">
        <f ca="1">IF(AND(OFFSET(A1964, -I1964 + 2, 4) &gt;  0, E1964="", Calculations!$B$7), F1964, "")</f>
        <v/>
      </c>
      <c r="B1964">
        <f t="shared" si="656"/>
        <v>27</v>
      </c>
      <c r="C1964">
        <f t="shared" ca="1" si="636"/>
        <v>24</v>
      </c>
      <c r="D1964" t="str">
        <f t="shared" si="657"/>
        <v>P27</v>
      </c>
      <c r="E1964" t="str">
        <f t="shared" ca="1" si="658"/>
        <v/>
      </c>
      <c r="F1964" t="str">
        <f t="shared" ca="1" si="659"/>
        <v xml:space="preserve">Enter a 'Acquisition Placed-in-Service Date' for  building 24 in cell P27.
</v>
      </c>
      <c r="G1964" s="9" t="str">
        <f t="shared" ca="1" si="660"/>
        <v xml:space="preserve">Enter a value for 'Number of Floors in the Tallest Building' in cell B58.
</v>
      </c>
      <c r="H1964" s="52" t="str">
        <f t="shared" ca="1" si="661"/>
        <v>Acquisition Placed-in-Service Date</v>
      </c>
      <c r="I1964" s="52">
        <v>16</v>
      </c>
    </row>
    <row r="1965" spans="1:10" ht="15" customHeight="1">
      <c r="A1965" t="str">
        <f ca="1">IF(AND(OFFSET(A1965, -I1965 + 2, 4) &gt;  0, E1965="", Calculations!$B$7), F1965, "")</f>
        <v/>
      </c>
      <c r="B1965">
        <f t="shared" si="656"/>
        <v>27</v>
      </c>
      <c r="C1965">
        <f t="shared" ca="1" si="636"/>
        <v>24</v>
      </c>
      <c r="D1965" t="str">
        <f t="shared" si="657"/>
        <v>Q27</v>
      </c>
      <c r="E1965" t="str">
        <f t="shared" ca="1" si="658"/>
        <v/>
      </c>
      <c r="F1965" t="str">
        <f t="shared" ca="1" si="659"/>
        <v xml:space="preserve">Enter a 'Acquisition APR' for  building 24 in cell Q27.
</v>
      </c>
      <c r="G1965" s="9" t="str">
        <f t="shared" ca="1" si="660"/>
        <v xml:space="preserve">Enter a value for 'Number of Floors in the Tallest Building' in cell B58.
</v>
      </c>
      <c r="H1965" s="52" t="str">
        <f t="shared" ca="1" si="661"/>
        <v>Acquisition APR</v>
      </c>
      <c r="I1965" s="52">
        <v>17</v>
      </c>
    </row>
    <row r="1966" spans="1:10" ht="15" customHeight="1">
      <c r="A1966" t="str">
        <f ca="1">IF(AND(Calculations!$B$4,Calculations!$B$28&gt;=C1966, E1966 &lt;&gt; 13),F1966,"")</f>
        <v/>
      </c>
      <c r="B1966">
        <f>ROW('Final Building Profile'!C28)</f>
        <v>28</v>
      </c>
      <c r="C1966">
        <f t="shared" ref="C1966:C2029" ca="1" si="662">INDIRECT($F$1564 &amp; ADDRESS(B1966, 1,4  ))</f>
        <v>25</v>
      </c>
      <c r="D1966" t="str">
        <f>ADDRESS(B1966, 3,4  )</f>
        <v>C28</v>
      </c>
      <c r="E1966" s="52">
        <f ca="1">H1966+I1966</f>
        <v>0</v>
      </c>
      <c r="F1966" t="str">
        <f ca="1">CONCATENATE("Based upon the number of buildings specified, information for  building ", C1966, " required for a final application in row ", B1966, ".", CHAR(10))</f>
        <v xml:space="preserve">Based upon the number of buildings specified, information for  building 25 required for a final application in row 28.
</v>
      </c>
      <c r="G1966" s="9" t="str">
        <f t="shared" ca="1" si="660"/>
        <v xml:space="preserve">Enter a value for 'Number of Floors in the Tallest Building' in cell B58.
</v>
      </c>
      <c r="H1966" s="52">
        <f ca="1">SUMPRODUCT(--ISTEXT(INDIRECT(J1966)))</f>
        <v>0</v>
      </c>
      <c r="I1966" s="52">
        <f ca="1">SUMPRODUCT(--ISNUMBER(INDIRECT(J1966)))</f>
        <v>0</v>
      </c>
      <c r="J1966" s="52" t="str">
        <f>$F$1564&amp; ADDRESS(B1966,3,4) &amp; ":" &amp; ADDRESS(B1966,15,4)</f>
        <v>'Final Building Profile'!C28:O28</v>
      </c>
    </row>
    <row r="1967" spans="1:10" ht="15" customHeight="1">
      <c r="A1967" t="str">
        <f t="shared" ref="A1967:A1976" ca="1" si="663">IF(AND(OFFSET(A1967, -I1967 + 2, 4) &gt;  0, E1967=""), F1967, "")</f>
        <v/>
      </c>
      <c r="B1967">
        <f t="shared" ref="B1967:B1981" si="664">B1966</f>
        <v>28</v>
      </c>
      <c r="C1967">
        <f t="shared" ca="1" si="662"/>
        <v>25</v>
      </c>
      <c r="D1967" t="str">
        <f t="shared" ref="D1967:D1981" si="665">ADDRESS(B1967, I1967,4  )</f>
        <v>C28</v>
      </c>
      <c r="E1967" t="str">
        <f t="shared" ref="E1967:E1981" ca="1" si="666">IF(ISBLANK( INDIRECT($F$1564 &amp; D1967)),"", INDIRECT($F$1564 &amp; D1967))</f>
        <v/>
      </c>
      <c r="F1967" t="str">
        <f t="shared" ref="F1967:F1981" ca="1" si="667">CONCATENATE("Enter a '"&amp; H1967 &amp;"' for  building ", C1967, " in cell ", D1967, ".", CHAR(10))</f>
        <v xml:space="preserve">Enter a 'Building Street Address Only 
(DO NOT ENTER CITY, STATE, OR ZIP)' for  building 25 in cell C28.
</v>
      </c>
      <c r="G1967" s="9" t="str">
        <f t="shared" ca="1" si="660"/>
        <v xml:space="preserve">Enter a value for 'Number of Floors in the Tallest Building' in cell B58.
</v>
      </c>
      <c r="H1967" s="52" t="str">
        <f t="shared" ref="H1967:H1981" ca="1" si="668">OFFSET(INDIRECT($F$1564 &amp; D1967), -B1967 + 3, 0)</f>
        <v>Building Street Address Only 
(DO NOT ENTER CITY, STATE, OR ZIP)</v>
      </c>
      <c r="I1967" s="52">
        <v>3</v>
      </c>
    </row>
    <row r="1968" spans="1:10" ht="15" customHeight="1">
      <c r="A1968" t="str">
        <f t="shared" ca="1" si="663"/>
        <v/>
      </c>
      <c r="B1968">
        <f t="shared" si="664"/>
        <v>28</v>
      </c>
      <c r="C1968">
        <f t="shared" ca="1" si="662"/>
        <v>25</v>
      </c>
      <c r="D1968" t="str">
        <f t="shared" si="665"/>
        <v>D28</v>
      </c>
      <c r="E1968" t="str">
        <f t="shared" ca="1" si="666"/>
        <v/>
      </c>
      <c r="F1968" t="str">
        <f t="shared" ca="1" si="667"/>
        <v xml:space="preserve">Enter a 'Total Units in Building*' for  building 25 in cell D28.
</v>
      </c>
      <c r="G1968" s="9" t="str">
        <f t="shared" ca="1" si="660"/>
        <v xml:space="preserve">Enter a value for 'Number of Floors in the Tallest Building' in cell B58.
</v>
      </c>
      <c r="H1968" s="52" t="str">
        <f t="shared" ca="1" si="668"/>
        <v>Total Units in Building*</v>
      </c>
      <c r="I1968" s="52">
        <v>4</v>
      </c>
    </row>
    <row r="1969" spans="1:10" ht="15" customHeight="1">
      <c r="A1969" t="str">
        <f t="shared" ca="1" si="663"/>
        <v/>
      </c>
      <c r="B1969">
        <f t="shared" si="664"/>
        <v>28</v>
      </c>
      <c r="C1969">
        <f t="shared" ca="1" si="662"/>
        <v>25</v>
      </c>
      <c r="D1969" t="str">
        <f t="shared" si="665"/>
        <v>E28</v>
      </c>
      <c r="E1969" t="str">
        <f t="shared" ca="1" si="666"/>
        <v/>
      </c>
      <c r="F1969" t="str">
        <f t="shared" ca="1" si="667"/>
        <v xml:space="preserve">Enter a 'Employee Units' for  building 25 in cell E28.
</v>
      </c>
      <c r="G1969" s="9" t="str">
        <f t="shared" ca="1" si="660"/>
        <v xml:space="preserve">Enter a value for 'Number of Floors in the Tallest Building' in cell B58.
</v>
      </c>
      <c r="H1969" s="52" t="str">
        <f t="shared" ca="1" si="668"/>
        <v>Employee Units</v>
      </c>
      <c r="I1969" s="52">
        <v>5</v>
      </c>
    </row>
    <row r="1970" spans="1:10" ht="15" customHeight="1">
      <c r="A1970" t="str">
        <f t="shared" ca="1" si="663"/>
        <v/>
      </c>
      <c r="B1970">
        <f t="shared" si="664"/>
        <v>28</v>
      </c>
      <c r="C1970">
        <f t="shared" ca="1" si="662"/>
        <v>25</v>
      </c>
      <c r="D1970" t="str">
        <f t="shared" si="665"/>
        <v>F28</v>
      </c>
      <c r="E1970" t="str">
        <f t="shared" ca="1" si="666"/>
        <v/>
      </c>
      <c r="F1970" t="str">
        <f t="shared" ca="1" si="667"/>
        <v xml:space="preserve">Enter a 'Low-Income Units' for  building 25 in cell F28.
</v>
      </c>
      <c r="G1970" s="9" t="str">
        <f t="shared" ca="1" si="660"/>
        <v xml:space="preserve">Enter a value for 'Number of Floors in the Tallest Building' in cell B58.
</v>
      </c>
      <c r="H1970" s="52" t="str">
        <f t="shared" ca="1" si="668"/>
        <v>Low-Income Units</v>
      </c>
      <c r="I1970" s="52">
        <v>6</v>
      </c>
    </row>
    <row r="1971" spans="1:10" ht="15" customHeight="1">
      <c r="A1971" t="str">
        <f t="shared" ca="1" si="663"/>
        <v/>
      </c>
      <c r="B1971">
        <f t="shared" si="664"/>
        <v>28</v>
      </c>
      <c r="C1971">
        <f t="shared" ca="1" si="662"/>
        <v>25</v>
      </c>
      <c r="D1971" t="str">
        <f t="shared" si="665"/>
        <v>G28</v>
      </c>
      <c r="E1971" t="str">
        <f t="shared" ca="1" si="666"/>
        <v/>
      </c>
      <c r="F1971" t="str">
        <f t="shared" ca="1" si="667"/>
        <v xml:space="preserve">Enter a 'Residential Square Footage**' for  building 25 in cell G28.
</v>
      </c>
      <c r="G1971" s="9" t="str">
        <f t="shared" ca="1" si="660"/>
        <v xml:space="preserve">Enter a value for 'Number of Floors in the Tallest Building' in cell B58.
</v>
      </c>
      <c r="H1971" s="52" t="str">
        <f t="shared" ca="1" si="668"/>
        <v>Residential Square Footage**</v>
      </c>
      <c r="I1971" s="52">
        <v>7</v>
      </c>
    </row>
    <row r="1972" spans="1:10" ht="15" customHeight="1">
      <c r="A1972" t="str">
        <f t="shared" ca="1" si="663"/>
        <v/>
      </c>
      <c r="B1972">
        <f t="shared" si="664"/>
        <v>28</v>
      </c>
      <c r="C1972">
        <f t="shared" ca="1" si="662"/>
        <v>25</v>
      </c>
      <c r="D1972" t="str">
        <f t="shared" si="665"/>
        <v>H28</v>
      </c>
      <c r="E1972" t="str">
        <f t="shared" ca="1" si="666"/>
        <v/>
      </c>
      <c r="F1972" t="str">
        <f t="shared" ca="1" si="667"/>
        <v xml:space="preserve">Enter a 'Square Footage of Employee Units' for  building 25 in cell H28.
</v>
      </c>
      <c r="G1972" s="9" t="str">
        <f t="shared" ca="1" si="660"/>
        <v xml:space="preserve">Enter a value for 'Number of Floors in the Tallest Building' in cell B58.
</v>
      </c>
      <c r="H1972" s="52" t="str">
        <f t="shared" ca="1" si="668"/>
        <v>Square Footage of Employee Units</v>
      </c>
      <c r="I1972" s="52">
        <v>8</v>
      </c>
    </row>
    <row r="1973" spans="1:10" ht="15" customHeight="1">
      <c r="A1973" t="str">
        <f t="shared" ca="1" si="663"/>
        <v/>
      </c>
      <c r="B1973">
        <f t="shared" si="664"/>
        <v>28</v>
      </c>
      <c r="C1973">
        <f t="shared" ca="1" si="662"/>
        <v>25</v>
      </c>
      <c r="D1973" t="str">
        <f t="shared" si="665"/>
        <v>I28</v>
      </c>
      <c r="E1973" t="str">
        <f t="shared" ca="1" si="666"/>
        <v/>
      </c>
      <c r="F1973" t="str">
        <f t="shared" ca="1" si="667"/>
        <v xml:space="preserve">Enter a 'Square Footage of Low-Income Units' for  building 25 in cell I28.
</v>
      </c>
      <c r="G1973" s="9" t="str">
        <f t="shared" ca="1" si="660"/>
        <v xml:space="preserve">Enter a value for 'Number of Floors in the Tallest Building' in cell B58.
</v>
      </c>
      <c r="H1973" s="52" t="str">
        <f t="shared" ca="1" si="668"/>
        <v>Square Footage of Low-Income Units</v>
      </c>
      <c r="I1973" s="52">
        <v>9</v>
      </c>
    </row>
    <row r="1974" spans="1:10" ht="15" customHeight="1">
      <c r="A1974" t="str">
        <f t="shared" ca="1" si="663"/>
        <v/>
      </c>
      <c r="B1974">
        <f t="shared" si="664"/>
        <v>28</v>
      </c>
      <c r="C1974">
        <f t="shared" ca="1" si="662"/>
        <v>25</v>
      </c>
      <c r="D1974" t="str">
        <f t="shared" si="665"/>
        <v>J28</v>
      </c>
      <c r="E1974" t="str">
        <f t="shared" ca="1" si="666"/>
        <v/>
      </c>
      <c r="F1974" t="str">
        <f t="shared" ca="1" si="667"/>
        <v xml:space="preserve">Enter a 'Placed-In-Service Date' for  building 25 in cell J28.
</v>
      </c>
      <c r="G1974" s="9" t="str">
        <f t="shared" ca="1" si="660"/>
        <v xml:space="preserve">Enter a value for 'Number of Floors in the Tallest Building' in cell B58.
</v>
      </c>
      <c r="H1974" s="52" t="str">
        <f t="shared" ca="1" si="668"/>
        <v>Placed-In-Service Date</v>
      </c>
      <c r="I1974" s="52">
        <v>10</v>
      </c>
    </row>
    <row r="1975" spans="1:10" ht="15" customHeight="1">
      <c r="A1975" t="str">
        <f t="shared" ca="1" si="663"/>
        <v/>
      </c>
      <c r="B1975">
        <f t="shared" si="664"/>
        <v>28</v>
      </c>
      <c r="C1975">
        <f t="shared" ca="1" si="662"/>
        <v>25</v>
      </c>
      <c r="D1975" t="str">
        <f t="shared" si="665"/>
        <v>K28</v>
      </c>
      <c r="E1975" t="str">
        <f t="shared" ca="1" si="666"/>
        <v/>
      </c>
      <c r="F1975" t="str">
        <f t="shared" ca="1" si="667"/>
        <v xml:space="preserve">Enter a 'New Construction/ Rehab APR' for  building 25 in cell K28.
</v>
      </c>
      <c r="G1975" s="9" t="str">
        <f t="shared" ca="1" si="660"/>
        <v xml:space="preserve">Enter a value for 'Number of Floors in the Tallest Building' in cell B58.
</v>
      </c>
      <c r="H1975" s="52" t="str">
        <f t="shared" ca="1" si="668"/>
        <v>New Construction/ Rehab APR</v>
      </c>
      <c r="I1975" s="52">
        <v>11</v>
      </c>
    </row>
    <row r="1976" spans="1:10" ht="15" customHeight="1">
      <c r="A1976" t="str">
        <f t="shared" ca="1" si="663"/>
        <v/>
      </c>
      <c r="B1976">
        <f t="shared" si="664"/>
        <v>28</v>
      </c>
      <c r="C1976">
        <f t="shared" ca="1" si="662"/>
        <v>25</v>
      </c>
      <c r="D1976" t="str">
        <f t="shared" si="665"/>
        <v>L28</v>
      </c>
      <c r="E1976" t="str">
        <f t="shared" ca="1" si="666"/>
        <v/>
      </c>
      <c r="F1976" t="str">
        <f t="shared" ca="1" si="667"/>
        <v xml:space="preserve">Enter a 'New Construction Eligible Basis' for  building 25 in cell L28.
</v>
      </c>
      <c r="G1976" s="9" t="str">
        <f t="shared" ca="1" si="660"/>
        <v xml:space="preserve">Enter a value for 'Number of Floors in the Tallest Building' in cell B58.
</v>
      </c>
      <c r="H1976" s="52" t="str">
        <f t="shared" ca="1" si="668"/>
        <v>New Construction Eligible Basis</v>
      </c>
      <c r="I1976" s="52">
        <v>12</v>
      </c>
    </row>
    <row r="1977" spans="1:10" ht="15" customHeight="1">
      <c r="A1977" t="str">
        <f ca="1">IF(AND(OFFSET(A1977, -I1977 + 2, 4) &gt;  0, E1977="", Calculations!$B$7), F1977, "")</f>
        <v/>
      </c>
      <c r="B1977">
        <f t="shared" si="664"/>
        <v>28</v>
      </c>
      <c r="C1977">
        <f t="shared" ca="1" si="662"/>
        <v>25</v>
      </c>
      <c r="D1977" t="str">
        <f t="shared" si="665"/>
        <v>M28</v>
      </c>
      <c r="E1977" t="str">
        <f t="shared" ca="1" si="666"/>
        <v/>
      </c>
      <c r="F1977" t="str">
        <f t="shared" ca="1" si="667"/>
        <v xml:space="preserve">Enter a 'Eligible Basis for Rehab' for  building 25 in cell M28.
</v>
      </c>
      <c r="G1977" s="9" t="str">
        <f t="shared" ca="1" si="660"/>
        <v xml:space="preserve">Enter a value for 'Number of Floors in the Tallest Building' in cell B58.
</v>
      </c>
      <c r="H1977" s="52" t="str">
        <f t="shared" ca="1" si="668"/>
        <v>Eligible Basis for Rehab</v>
      </c>
      <c r="I1977" s="52">
        <v>13</v>
      </c>
    </row>
    <row r="1978" spans="1:10" ht="15" customHeight="1">
      <c r="A1978" t="str">
        <f ca="1">IF(AND(OFFSET(A1978, -I1978 + 2, 4) &gt;  0, E1978="", Calculations!$B$7), F1978, "")</f>
        <v/>
      </c>
      <c r="B1978">
        <f t="shared" si="664"/>
        <v>28</v>
      </c>
      <c r="C1978">
        <f t="shared" ca="1" si="662"/>
        <v>25</v>
      </c>
      <c r="D1978" t="str">
        <f t="shared" si="665"/>
        <v>N28</v>
      </c>
      <c r="E1978" t="str">
        <f t="shared" ca="1" si="666"/>
        <v/>
      </c>
      <c r="F1978" t="str">
        <f t="shared" ca="1" si="667"/>
        <v xml:space="preserve">Enter a 'Cost of Acquiring the Building***' for  building 25 in cell N28.
</v>
      </c>
      <c r="G1978" s="9" t="str">
        <f t="shared" ca="1" si="660"/>
        <v xml:space="preserve">Enter a value for 'Number of Floors in the Tallest Building' in cell B58.
</v>
      </c>
      <c r="H1978" s="52" t="str">
        <f t="shared" ca="1" si="668"/>
        <v>Cost of Acquiring the Building***</v>
      </c>
      <c r="I1978" s="52">
        <v>14</v>
      </c>
    </row>
    <row r="1979" spans="1:10" ht="15" customHeight="1">
      <c r="A1979" t="str">
        <f ca="1">IF(AND(OFFSET(A1979, -I1979 + 2, 4) &gt;  0, E1979="", Calculations!$B$7), F1979, "")</f>
        <v/>
      </c>
      <c r="B1979">
        <f t="shared" si="664"/>
        <v>28</v>
      </c>
      <c r="C1979">
        <f t="shared" ca="1" si="662"/>
        <v>25</v>
      </c>
      <c r="D1979" t="str">
        <f t="shared" si="665"/>
        <v>O28</v>
      </c>
      <c r="E1979" t="str">
        <f t="shared" ca="1" si="666"/>
        <v/>
      </c>
      <c r="F1979" t="str">
        <f t="shared" ca="1" si="667"/>
        <v xml:space="preserve">Enter a 'Higher of Land Purchase Price or Land Appraised Value****' for  building 25 in cell O28.
</v>
      </c>
      <c r="G1979" s="9" t="str">
        <f t="shared" ca="1" si="660"/>
        <v xml:space="preserve">Enter a value for 'Number of Floors in the Tallest Building' in cell B58.
</v>
      </c>
      <c r="H1979" s="52" t="str">
        <f t="shared" ca="1" si="668"/>
        <v>Higher of Land Purchase Price or Land Appraised Value****</v>
      </c>
      <c r="I1979" s="52">
        <v>15</v>
      </c>
    </row>
    <row r="1980" spans="1:10" ht="15" customHeight="1">
      <c r="A1980" t="str">
        <f ca="1">IF(AND(OFFSET(A1980, -I1980 + 2, 4) &gt;  0, E1980="", Calculations!$B$7), F1980, "")</f>
        <v/>
      </c>
      <c r="B1980">
        <f t="shared" si="664"/>
        <v>28</v>
      </c>
      <c r="C1980">
        <f t="shared" ca="1" si="662"/>
        <v>25</v>
      </c>
      <c r="D1980" t="str">
        <f t="shared" si="665"/>
        <v>P28</v>
      </c>
      <c r="E1980" t="str">
        <f t="shared" ca="1" si="666"/>
        <v/>
      </c>
      <c r="F1980" t="str">
        <f t="shared" ca="1" si="667"/>
        <v xml:space="preserve">Enter a 'Acquisition Placed-in-Service Date' for  building 25 in cell P28.
</v>
      </c>
      <c r="G1980" s="9" t="str">
        <f t="shared" ca="1" si="660"/>
        <v xml:space="preserve">Enter a value for 'Number of Floors in the Tallest Building' in cell B58.
</v>
      </c>
      <c r="H1980" s="52" t="str">
        <f t="shared" ca="1" si="668"/>
        <v>Acquisition Placed-in-Service Date</v>
      </c>
      <c r="I1980" s="52">
        <v>16</v>
      </c>
    </row>
    <row r="1981" spans="1:10" ht="15" customHeight="1">
      <c r="A1981" t="str">
        <f ca="1">IF(AND(OFFSET(A1981, -I1981 + 2, 4) &gt;  0, E1981="", Calculations!$B$7), F1981, "")</f>
        <v/>
      </c>
      <c r="B1981">
        <f t="shared" si="664"/>
        <v>28</v>
      </c>
      <c r="C1981">
        <f t="shared" ca="1" si="662"/>
        <v>25</v>
      </c>
      <c r="D1981" t="str">
        <f t="shared" si="665"/>
        <v>Q28</v>
      </c>
      <c r="E1981" t="str">
        <f t="shared" ca="1" si="666"/>
        <v/>
      </c>
      <c r="F1981" t="str">
        <f t="shared" ca="1" si="667"/>
        <v xml:space="preserve">Enter a 'Acquisition APR' for  building 25 in cell Q28.
</v>
      </c>
      <c r="G1981" s="9" t="str">
        <f t="shared" ca="1" si="660"/>
        <v xml:space="preserve">Enter a value for 'Number of Floors in the Tallest Building' in cell B58.
</v>
      </c>
      <c r="H1981" s="52" t="str">
        <f t="shared" ca="1" si="668"/>
        <v>Acquisition APR</v>
      </c>
      <c r="I1981" s="52">
        <v>17</v>
      </c>
    </row>
    <row r="1982" spans="1:10" ht="15" customHeight="1">
      <c r="A1982" t="str">
        <f ca="1">IF(AND(Calculations!$B$4,Calculations!$B$28&gt;=C1982, E1982 &lt;&gt; 13),F1982,"")</f>
        <v/>
      </c>
      <c r="B1982">
        <f>ROW('Final Building Profile'!C29)</f>
        <v>29</v>
      </c>
      <c r="C1982">
        <f t="shared" ca="1" si="662"/>
        <v>26</v>
      </c>
      <c r="D1982" t="str">
        <f>ADDRESS(B1982, 3,4  )</f>
        <v>C29</v>
      </c>
      <c r="E1982" s="52">
        <f ca="1">H1982+I1982</f>
        <v>0</v>
      </c>
      <c r="F1982" t="str">
        <f ca="1">CONCATENATE("Based upon the number of buildings specified, information for  building ", C1982, " required for a final application in row ", B1982, ".", CHAR(10))</f>
        <v xml:space="preserve">Based upon the number of buildings specified, information for  building 26 required for a final application in row 29.
</v>
      </c>
      <c r="G1982" s="9" t="str">
        <f t="shared" ca="1" si="660"/>
        <v xml:space="preserve">Enter a value for 'Number of Floors in the Tallest Building' in cell B58.
</v>
      </c>
      <c r="H1982" s="52">
        <f ca="1">SUMPRODUCT(--ISTEXT(INDIRECT(J1982)))</f>
        <v>0</v>
      </c>
      <c r="I1982" s="52">
        <f ca="1">SUMPRODUCT(--ISNUMBER(INDIRECT(J1982)))</f>
        <v>0</v>
      </c>
      <c r="J1982" s="52" t="str">
        <f>$F$1564&amp; ADDRESS(B1982,3,4) &amp; ":" &amp; ADDRESS(B1982,15,4)</f>
        <v>'Final Building Profile'!C29:O29</v>
      </c>
    </row>
    <row r="1983" spans="1:10" ht="15" customHeight="1">
      <c r="A1983" t="str">
        <f t="shared" ref="A1983:A1992" ca="1" si="669">IF(AND(OFFSET(A1983, -I1983 + 2, 4) &gt;  0, E1983=""), F1983, "")</f>
        <v/>
      </c>
      <c r="B1983">
        <f t="shared" ref="B1983:B1997" si="670">B1982</f>
        <v>29</v>
      </c>
      <c r="C1983">
        <f t="shared" ca="1" si="662"/>
        <v>26</v>
      </c>
      <c r="D1983" t="str">
        <f t="shared" ref="D1983:D1997" si="671">ADDRESS(B1983, I1983,4  )</f>
        <v>C29</v>
      </c>
      <c r="E1983" t="str">
        <f t="shared" ref="E1983:E1997" ca="1" si="672">IF(ISBLANK( INDIRECT($F$1564 &amp; D1983)),"", INDIRECT($F$1564 &amp; D1983))</f>
        <v/>
      </c>
      <c r="F1983" t="str">
        <f t="shared" ref="F1983:F1997" ca="1" si="673">CONCATENATE("Enter a '"&amp; H1983 &amp;"' for  building ", C1983, " in cell ", D1983, ".", CHAR(10))</f>
        <v xml:space="preserve">Enter a 'Building Street Address Only 
(DO NOT ENTER CITY, STATE, OR ZIP)' for  building 26 in cell C29.
</v>
      </c>
      <c r="G1983" s="9" t="str">
        <f t="shared" ca="1" si="660"/>
        <v xml:space="preserve">Enter a value for 'Number of Floors in the Tallest Building' in cell B58.
</v>
      </c>
      <c r="H1983" s="52" t="str">
        <f t="shared" ref="H1983:H1997" ca="1" si="674">OFFSET(INDIRECT($F$1564 &amp; D1983), -B1983 + 3, 0)</f>
        <v>Building Street Address Only 
(DO NOT ENTER CITY, STATE, OR ZIP)</v>
      </c>
      <c r="I1983" s="52">
        <v>3</v>
      </c>
    </row>
    <row r="1984" spans="1:10" ht="15" customHeight="1">
      <c r="A1984" t="str">
        <f t="shared" ca="1" si="669"/>
        <v/>
      </c>
      <c r="B1984">
        <f t="shared" si="670"/>
        <v>29</v>
      </c>
      <c r="C1984">
        <f t="shared" ca="1" si="662"/>
        <v>26</v>
      </c>
      <c r="D1984" t="str">
        <f t="shared" si="671"/>
        <v>D29</v>
      </c>
      <c r="E1984" t="str">
        <f t="shared" ca="1" si="672"/>
        <v/>
      </c>
      <c r="F1984" t="str">
        <f t="shared" ca="1" si="673"/>
        <v xml:space="preserve">Enter a 'Total Units in Building*' for  building 26 in cell D29.
</v>
      </c>
      <c r="G1984" s="9" t="str">
        <f t="shared" ca="1" si="660"/>
        <v xml:space="preserve">Enter a value for 'Number of Floors in the Tallest Building' in cell B58.
</v>
      </c>
      <c r="H1984" s="52" t="str">
        <f t="shared" ca="1" si="674"/>
        <v>Total Units in Building*</v>
      </c>
      <c r="I1984" s="52">
        <v>4</v>
      </c>
    </row>
    <row r="1985" spans="1:10" ht="15" customHeight="1">
      <c r="A1985" t="str">
        <f t="shared" ca="1" si="669"/>
        <v/>
      </c>
      <c r="B1985">
        <f t="shared" si="670"/>
        <v>29</v>
      </c>
      <c r="C1985">
        <f t="shared" ca="1" si="662"/>
        <v>26</v>
      </c>
      <c r="D1985" t="str">
        <f t="shared" si="671"/>
        <v>E29</v>
      </c>
      <c r="E1985" t="str">
        <f t="shared" ca="1" si="672"/>
        <v/>
      </c>
      <c r="F1985" t="str">
        <f t="shared" ca="1" si="673"/>
        <v xml:space="preserve">Enter a 'Employee Units' for  building 26 in cell E29.
</v>
      </c>
      <c r="G1985" s="9" t="str">
        <f t="shared" ca="1" si="660"/>
        <v xml:space="preserve">Enter a value for 'Number of Floors in the Tallest Building' in cell B58.
</v>
      </c>
      <c r="H1985" s="52" t="str">
        <f t="shared" ca="1" si="674"/>
        <v>Employee Units</v>
      </c>
      <c r="I1985" s="52">
        <v>5</v>
      </c>
    </row>
    <row r="1986" spans="1:10" ht="15" customHeight="1">
      <c r="A1986" t="str">
        <f t="shared" ca="1" si="669"/>
        <v/>
      </c>
      <c r="B1986">
        <f t="shared" si="670"/>
        <v>29</v>
      </c>
      <c r="C1986">
        <f t="shared" ca="1" si="662"/>
        <v>26</v>
      </c>
      <c r="D1986" t="str">
        <f t="shared" si="671"/>
        <v>F29</v>
      </c>
      <c r="E1986" t="str">
        <f t="shared" ca="1" si="672"/>
        <v/>
      </c>
      <c r="F1986" t="str">
        <f t="shared" ca="1" si="673"/>
        <v xml:space="preserve">Enter a 'Low-Income Units' for  building 26 in cell F29.
</v>
      </c>
      <c r="G1986" s="9" t="str">
        <f t="shared" ca="1" si="660"/>
        <v xml:space="preserve">Enter a value for 'Number of Floors in the Tallest Building' in cell B58.
</v>
      </c>
      <c r="H1986" s="52" t="str">
        <f t="shared" ca="1" si="674"/>
        <v>Low-Income Units</v>
      </c>
      <c r="I1986" s="52">
        <v>6</v>
      </c>
    </row>
    <row r="1987" spans="1:10" ht="15" customHeight="1">
      <c r="A1987" t="str">
        <f t="shared" ca="1" si="669"/>
        <v/>
      </c>
      <c r="B1987">
        <f t="shared" si="670"/>
        <v>29</v>
      </c>
      <c r="C1987">
        <f t="shared" ca="1" si="662"/>
        <v>26</v>
      </c>
      <c r="D1987" t="str">
        <f t="shared" si="671"/>
        <v>G29</v>
      </c>
      <c r="E1987" t="str">
        <f t="shared" ca="1" si="672"/>
        <v/>
      </c>
      <c r="F1987" t="str">
        <f t="shared" ca="1" si="673"/>
        <v xml:space="preserve">Enter a 'Residential Square Footage**' for  building 26 in cell G29.
</v>
      </c>
      <c r="G1987" s="9" t="str">
        <f t="shared" ca="1" si="660"/>
        <v xml:space="preserve">Enter a value for 'Number of Floors in the Tallest Building' in cell B58.
</v>
      </c>
      <c r="H1987" s="52" t="str">
        <f t="shared" ca="1" si="674"/>
        <v>Residential Square Footage**</v>
      </c>
      <c r="I1987" s="52">
        <v>7</v>
      </c>
    </row>
    <row r="1988" spans="1:10" ht="15" customHeight="1">
      <c r="A1988" t="str">
        <f t="shared" ca="1" si="669"/>
        <v/>
      </c>
      <c r="B1988">
        <f t="shared" si="670"/>
        <v>29</v>
      </c>
      <c r="C1988">
        <f t="shared" ca="1" si="662"/>
        <v>26</v>
      </c>
      <c r="D1988" t="str">
        <f t="shared" si="671"/>
        <v>H29</v>
      </c>
      <c r="E1988" t="str">
        <f t="shared" ca="1" si="672"/>
        <v/>
      </c>
      <c r="F1988" t="str">
        <f t="shared" ca="1" si="673"/>
        <v xml:space="preserve">Enter a 'Square Footage of Employee Units' for  building 26 in cell H29.
</v>
      </c>
      <c r="G1988" s="9" t="str">
        <f t="shared" ca="1" si="660"/>
        <v xml:space="preserve">Enter a value for 'Number of Floors in the Tallest Building' in cell B58.
</v>
      </c>
      <c r="H1988" s="52" t="str">
        <f t="shared" ca="1" si="674"/>
        <v>Square Footage of Employee Units</v>
      </c>
      <c r="I1988" s="52">
        <v>8</v>
      </c>
    </row>
    <row r="1989" spans="1:10" ht="15" customHeight="1">
      <c r="A1989" t="str">
        <f t="shared" ca="1" si="669"/>
        <v/>
      </c>
      <c r="B1989">
        <f t="shared" si="670"/>
        <v>29</v>
      </c>
      <c r="C1989">
        <f t="shared" ca="1" si="662"/>
        <v>26</v>
      </c>
      <c r="D1989" t="str">
        <f t="shared" si="671"/>
        <v>I29</v>
      </c>
      <c r="E1989" t="str">
        <f t="shared" ca="1" si="672"/>
        <v/>
      </c>
      <c r="F1989" t="str">
        <f t="shared" ca="1" si="673"/>
        <v xml:space="preserve">Enter a 'Square Footage of Low-Income Units' for  building 26 in cell I29.
</v>
      </c>
      <c r="G1989" s="9" t="str">
        <f t="shared" ca="1" si="660"/>
        <v xml:space="preserve">Enter a value for 'Number of Floors in the Tallest Building' in cell B58.
</v>
      </c>
      <c r="H1989" s="52" t="str">
        <f t="shared" ca="1" si="674"/>
        <v>Square Footage of Low-Income Units</v>
      </c>
      <c r="I1989" s="52">
        <v>9</v>
      </c>
    </row>
    <row r="1990" spans="1:10" ht="15" customHeight="1">
      <c r="A1990" t="str">
        <f t="shared" ca="1" si="669"/>
        <v/>
      </c>
      <c r="B1990">
        <f t="shared" si="670"/>
        <v>29</v>
      </c>
      <c r="C1990">
        <f t="shared" ca="1" si="662"/>
        <v>26</v>
      </c>
      <c r="D1990" t="str">
        <f t="shared" si="671"/>
        <v>J29</v>
      </c>
      <c r="E1990" t="str">
        <f t="shared" ca="1" si="672"/>
        <v/>
      </c>
      <c r="F1990" t="str">
        <f t="shared" ca="1" si="673"/>
        <v xml:space="preserve">Enter a 'Placed-In-Service Date' for  building 26 in cell J29.
</v>
      </c>
      <c r="G1990" s="9" t="str">
        <f t="shared" ca="1" si="660"/>
        <v xml:space="preserve">Enter a value for 'Number of Floors in the Tallest Building' in cell B58.
</v>
      </c>
      <c r="H1990" s="52" t="str">
        <f t="shared" ca="1" si="674"/>
        <v>Placed-In-Service Date</v>
      </c>
      <c r="I1990" s="52">
        <v>10</v>
      </c>
    </row>
    <row r="1991" spans="1:10" ht="15" customHeight="1">
      <c r="A1991" t="str">
        <f t="shared" ca="1" si="669"/>
        <v/>
      </c>
      <c r="B1991">
        <f t="shared" si="670"/>
        <v>29</v>
      </c>
      <c r="C1991">
        <f t="shared" ca="1" si="662"/>
        <v>26</v>
      </c>
      <c r="D1991" t="str">
        <f t="shared" si="671"/>
        <v>K29</v>
      </c>
      <c r="E1991" t="str">
        <f t="shared" ca="1" si="672"/>
        <v/>
      </c>
      <c r="F1991" t="str">
        <f t="shared" ca="1" si="673"/>
        <v xml:space="preserve">Enter a 'New Construction/ Rehab APR' for  building 26 in cell K29.
</v>
      </c>
      <c r="G1991" s="9" t="str">
        <f t="shared" ca="1" si="660"/>
        <v xml:space="preserve">Enter a value for 'Number of Floors in the Tallest Building' in cell B58.
</v>
      </c>
      <c r="H1991" s="52" t="str">
        <f t="shared" ca="1" si="674"/>
        <v>New Construction/ Rehab APR</v>
      </c>
      <c r="I1991" s="52">
        <v>11</v>
      </c>
    </row>
    <row r="1992" spans="1:10" ht="15" customHeight="1">
      <c r="A1992" t="str">
        <f t="shared" ca="1" si="669"/>
        <v/>
      </c>
      <c r="B1992">
        <f t="shared" si="670"/>
        <v>29</v>
      </c>
      <c r="C1992">
        <f t="shared" ca="1" si="662"/>
        <v>26</v>
      </c>
      <c r="D1992" t="str">
        <f t="shared" si="671"/>
        <v>L29</v>
      </c>
      <c r="E1992" t="str">
        <f t="shared" ca="1" si="672"/>
        <v/>
      </c>
      <c r="F1992" t="str">
        <f t="shared" ca="1" si="673"/>
        <v xml:space="preserve">Enter a 'New Construction Eligible Basis' for  building 26 in cell L29.
</v>
      </c>
      <c r="G1992" s="9" t="str">
        <f t="shared" ca="1" si="660"/>
        <v xml:space="preserve">Enter a value for 'Number of Floors in the Tallest Building' in cell B58.
</v>
      </c>
      <c r="H1992" s="52" t="str">
        <f t="shared" ca="1" si="674"/>
        <v>New Construction Eligible Basis</v>
      </c>
      <c r="I1992" s="52">
        <v>12</v>
      </c>
    </row>
    <row r="1993" spans="1:10" ht="15" customHeight="1">
      <c r="A1993" t="str">
        <f ca="1">IF(AND(OFFSET(A1993, -I1993 + 2, 4) &gt;  0, E1993="", Calculations!$B$7), F1993, "")</f>
        <v/>
      </c>
      <c r="B1993">
        <f t="shared" si="670"/>
        <v>29</v>
      </c>
      <c r="C1993">
        <f t="shared" ca="1" si="662"/>
        <v>26</v>
      </c>
      <c r="D1993" t="str">
        <f t="shared" si="671"/>
        <v>M29</v>
      </c>
      <c r="E1993" t="str">
        <f t="shared" ca="1" si="672"/>
        <v/>
      </c>
      <c r="F1993" t="str">
        <f t="shared" ca="1" si="673"/>
        <v xml:space="preserve">Enter a 'Eligible Basis for Rehab' for  building 26 in cell M29.
</v>
      </c>
      <c r="G1993" s="9" t="str">
        <f t="shared" ca="1" si="660"/>
        <v xml:space="preserve">Enter a value for 'Number of Floors in the Tallest Building' in cell B58.
</v>
      </c>
      <c r="H1993" s="52" t="str">
        <f t="shared" ca="1" si="674"/>
        <v>Eligible Basis for Rehab</v>
      </c>
      <c r="I1993" s="52">
        <v>13</v>
      </c>
    </row>
    <row r="1994" spans="1:10" ht="15" customHeight="1">
      <c r="A1994" t="str">
        <f ca="1">IF(AND(OFFSET(A1994, -I1994 + 2, 4) &gt;  0, E1994="", Calculations!$B$7), F1994, "")</f>
        <v/>
      </c>
      <c r="B1994">
        <f t="shared" si="670"/>
        <v>29</v>
      </c>
      <c r="C1994">
        <f t="shared" ca="1" si="662"/>
        <v>26</v>
      </c>
      <c r="D1994" t="str">
        <f t="shared" si="671"/>
        <v>N29</v>
      </c>
      <c r="E1994" t="str">
        <f t="shared" ca="1" si="672"/>
        <v/>
      </c>
      <c r="F1994" t="str">
        <f t="shared" ca="1" si="673"/>
        <v xml:space="preserve">Enter a 'Cost of Acquiring the Building***' for  building 26 in cell N29.
</v>
      </c>
      <c r="G1994" s="9" t="str">
        <f t="shared" ca="1" si="660"/>
        <v xml:space="preserve">Enter a value for 'Number of Floors in the Tallest Building' in cell B58.
</v>
      </c>
      <c r="H1994" s="52" t="str">
        <f t="shared" ca="1" si="674"/>
        <v>Cost of Acquiring the Building***</v>
      </c>
      <c r="I1994" s="52">
        <v>14</v>
      </c>
    </row>
    <row r="1995" spans="1:10" ht="15" customHeight="1">
      <c r="A1995" t="str">
        <f ca="1">IF(AND(OFFSET(A1995, -I1995 + 2, 4) &gt;  0, E1995="", Calculations!$B$7), F1995, "")</f>
        <v/>
      </c>
      <c r="B1995">
        <f t="shared" si="670"/>
        <v>29</v>
      </c>
      <c r="C1995">
        <f t="shared" ca="1" si="662"/>
        <v>26</v>
      </c>
      <c r="D1995" t="str">
        <f t="shared" si="671"/>
        <v>O29</v>
      </c>
      <c r="E1995" t="str">
        <f t="shared" ca="1" si="672"/>
        <v/>
      </c>
      <c r="F1995" t="str">
        <f t="shared" ca="1" si="673"/>
        <v xml:space="preserve">Enter a 'Higher of Land Purchase Price or Land Appraised Value****' for  building 26 in cell O29.
</v>
      </c>
      <c r="G1995" s="9" t="str">
        <f t="shared" ca="1" si="660"/>
        <v xml:space="preserve">Enter a value for 'Number of Floors in the Tallest Building' in cell B58.
</v>
      </c>
      <c r="H1995" s="52" t="str">
        <f t="shared" ca="1" si="674"/>
        <v>Higher of Land Purchase Price or Land Appraised Value****</v>
      </c>
      <c r="I1995" s="52">
        <v>15</v>
      </c>
    </row>
    <row r="1996" spans="1:10" ht="15" customHeight="1">
      <c r="A1996" t="str">
        <f ca="1">IF(AND(OFFSET(A1996, -I1996 + 2, 4) &gt;  0, E1996="", Calculations!$B$7), F1996, "")</f>
        <v/>
      </c>
      <c r="B1996">
        <f t="shared" si="670"/>
        <v>29</v>
      </c>
      <c r="C1996">
        <f t="shared" ca="1" si="662"/>
        <v>26</v>
      </c>
      <c r="D1996" t="str">
        <f t="shared" si="671"/>
        <v>P29</v>
      </c>
      <c r="E1996" t="str">
        <f t="shared" ca="1" si="672"/>
        <v/>
      </c>
      <c r="F1996" t="str">
        <f t="shared" ca="1" si="673"/>
        <v xml:space="preserve">Enter a 'Acquisition Placed-in-Service Date' for  building 26 in cell P29.
</v>
      </c>
      <c r="G1996" s="9" t="str">
        <f t="shared" ca="1" si="660"/>
        <v xml:space="preserve">Enter a value for 'Number of Floors in the Tallest Building' in cell B58.
</v>
      </c>
      <c r="H1996" s="52" t="str">
        <f t="shared" ca="1" si="674"/>
        <v>Acquisition Placed-in-Service Date</v>
      </c>
      <c r="I1996" s="52">
        <v>16</v>
      </c>
    </row>
    <row r="1997" spans="1:10" ht="15" customHeight="1">
      <c r="A1997" t="str">
        <f ca="1">IF(AND(OFFSET(A1997, -I1997 + 2, 4) &gt;  0, E1997="", Calculations!$B$7), F1997, "")</f>
        <v/>
      </c>
      <c r="B1997">
        <f t="shared" si="670"/>
        <v>29</v>
      </c>
      <c r="C1997">
        <f t="shared" ca="1" si="662"/>
        <v>26</v>
      </c>
      <c r="D1997" t="str">
        <f t="shared" si="671"/>
        <v>Q29</v>
      </c>
      <c r="E1997" t="str">
        <f t="shared" ca="1" si="672"/>
        <v/>
      </c>
      <c r="F1997" t="str">
        <f t="shared" ca="1" si="673"/>
        <v xml:space="preserve">Enter a 'Acquisition APR' for  building 26 in cell Q29.
</v>
      </c>
      <c r="G1997" s="9" t="str">
        <f t="shared" ca="1" si="660"/>
        <v xml:space="preserve">Enter a value for 'Number of Floors in the Tallest Building' in cell B58.
</v>
      </c>
      <c r="H1997" s="52" t="str">
        <f t="shared" ca="1" si="674"/>
        <v>Acquisition APR</v>
      </c>
      <c r="I1997" s="52">
        <v>17</v>
      </c>
    </row>
    <row r="1998" spans="1:10" ht="15" customHeight="1">
      <c r="A1998" t="str">
        <f ca="1">IF(AND(Calculations!$B$4,Calculations!$B$28&gt;=C1998, E1998 &lt;&gt; 13),F1998,"")</f>
        <v/>
      </c>
      <c r="B1998">
        <f>ROW('Final Building Profile'!C30)</f>
        <v>30</v>
      </c>
      <c r="C1998">
        <f t="shared" ca="1" si="662"/>
        <v>27</v>
      </c>
      <c r="D1998" t="str">
        <f>ADDRESS(B1998, 3,4  )</f>
        <v>C30</v>
      </c>
      <c r="E1998" s="52">
        <f ca="1">H1998+I1998</f>
        <v>0</v>
      </c>
      <c r="F1998" t="str">
        <f ca="1">CONCATENATE("Based upon the number of buildings specified, information for  building ", C1998, " required for a final application in row ", B1998, ".", CHAR(10))</f>
        <v xml:space="preserve">Based upon the number of buildings specified, information for  building 27 required for a final application in row 30.
</v>
      </c>
      <c r="G1998" s="9" t="str">
        <f t="shared" ca="1" si="660"/>
        <v xml:space="preserve">Enter a value for 'Number of Floors in the Tallest Building' in cell B58.
</v>
      </c>
      <c r="H1998" s="52">
        <f ca="1">SUMPRODUCT(--ISTEXT(INDIRECT(J1998)))</f>
        <v>0</v>
      </c>
      <c r="I1998" s="52">
        <f ca="1">SUMPRODUCT(--ISNUMBER(INDIRECT(J1998)))</f>
        <v>0</v>
      </c>
      <c r="J1998" s="52" t="str">
        <f>$F$1564&amp; ADDRESS(B1998,3,4) &amp; ":" &amp; ADDRESS(B1998,15,4)</f>
        <v>'Final Building Profile'!C30:O30</v>
      </c>
    </row>
    <row r="1999" spans="1:10" ht="15" customHeight="1">
      <c r="A1999" t="str">
        <f t="shared" ref="A1999:A2008" ca="1" si="675">IF(AND(OFFSET(A1999, -I1999 + 2, 4) &gt;  0, E1999=""), F1999, "")</f>
        <v/>
      </c>
      <c r="B1999">
        <f t="shared" ref="B1999:B2013" si="676">B1998</f>
        <v>30</v>
      </c>
      <c r="C1999">
        <f t="shared" ca="1" si="662"/>
        <v>27</v>
      </c>
      <c r="D1999" t="str">
        <f t="shared" ref="D1999:D2013" si="677">ADDRESS(B1999, I1999,4  )</f>
        <v>C30</v>
      </c>
      <c r="E1999" t="str">
        <f t="shared" ref="E1999:E2013" ca="1" si="678">IF(ISBLANK( INDIRECT($F$1564 &amp; D1999)),"", INDIRECT($F$1564 &amp; D1999))</f>
        <v/>
      </c>
      <c r="F1999" t="str">
        <f t="shared" ref="F1999:F2013" ca="1" si="679">CONCATENATE("Enter a '"&amp; H1999 &amp;"' for  building ", C1999, " in cell ", D1999, ".", CHAR(10))</f>
        <v xml:space="preserve">Enter a 'Building Street Address Only 
(DO NOT ENTER CITY, STATE, OR ZIP)' for  building 27 in cell C30.
</v>
      </c>
      <c r="G1999" s="9" t="str">
        <f t="shared" ca="1" si="660"/>
        <v xml:space="preserve">Enter a value for 'Number of Floors in the Tallest Building' in cell B58.
</v>
      </c>
      <c r="H1999" s="52" t="str">
        <f t="shared" ref="H1999:H2013" ca="1" si="680">OFFSET(INDIRECT($F$1564 &amp; D1999), -B1999 + 3, 0)</f>
        <v>Building Street Address Only 
(DO NOT ENTER CITY, STATE, OR ZIP)</v>
      </c>
      <c r="I1999" s="52">
        <v>3</v>
      </c>
    </row>
    <row r="2000" spans="1:10" ht="15" customHeight="1">
      <c r="A2000" t="str">
        <f t="shared" ca="1" si="675"/>
        <v/>
      </c>
      <c r="B2000">
        <f t="shared" si="676"/>
        <v>30</v>
      </c>
      <c r="C2000">
        <f t="shared" ca="1" si="662"/>
        <v>27</v>
      </c>
      <c r="D2000" t="str">
        <f t="shared" si="677"/>
        <v>D30</v>
      </c>
      <c r="E2000" t="str">
        <f t="shared" ca="1" si="678"/>
        <v/>
      </c>
      <c r="F2000" t="str">
        <f t="shared" ca="1" si="679"/>
        <v xml:space="preserve">Enter a 'Total Units in Building*' for  building 27 in cell D30.
</v>
      </c>
      <c r="G2000" s="9" t="str">
        <f t="shared" ca="1" si="660"/>
        <v xml:space="preserve">Enter a value for 'Number of Floors in the Tallest Building' in cell B58.
</v>
      </c>
      <c r="H2000" s="52" t="str">
        <f t="shared" ca="1" si="680"/>
        <v>Total Units in Building*</v>
      </c>
      <c r="I2000" s="52">
        <v>4</v>
      </c>
    </row>
    <row r="2001" spans="1:10" ht="15" customHeight="1">
      <c r="A2001" t="str">
        <f t="shared" ca="1" si="675"/>
        <v/>
      </c>
      <c r="B2001">
        <f t="shared" si="676"/>
        <v>30</v>
      </c>
      <c r="C2001">
        <f t="shared" ca="1" si="662"/>
        <v>27</v>
      </c>
      <c r="D2001" t="str">
        <f t="shared" si="677"/>
        <v>E30</v>
      </c>
      <c r="E2001" t="str">
        <f t="shared" ca="1" si="678"/>
        <v/>
      </c>
      <c r="F2001" t="str">
        <f t="shared" ca="1" si="679"/>
        <v xml:space="preserve">Enter a 'Employee Units' for  building 27 in cell E30.
</v>
      </c>
      <c r="G2001" s="9" t="str">
        <f t="shared" ca="1" si="660"/>
        <v xml:space="preserve">Enter a value for 'Number of Floors in the Tallest Building' in cell B58.
</v>
      </c>
      <c r="H2001" s="52" t="str">
        <f t="shared" ca="1" si="680"/>
        <v>Employee Units</v>
      </c>
      <c r="I2001" s="52">
        <v>5</v>
      </c>
    </row>
    <row r="2002" spans="1:10" ht="15" customHeight="1">
      <c r="A2002" t="str">
        <f t="shared" ca="1" si="675"/>
        <v/>
      </c>
      <c r="B2002">
        <f t="shared" si="676"/>
        <v>30</v>
      </c>
      <c r="C2002">
        <f t="shared" ca="1" si="662"/>
        <v>27</v>
      </c>
      <c r="D2002" t="str">
        <f t="shared" si="677"/>
        <v>F30</v>
      </c>
      <c r="E2002" t="str">
        <f t="shared" ca="1" si="678"/>
        <v/>
      </c>
      <c r="F2002" t="str">
        <f t="shared" ca="1" si="679"/>
        <v xml:space="preserve">Enter a 'Low-Income Units' for  building 27 in cell F30.
</v>
      </c>
      <c r="G2002" s="9" t="str">
        <f t="shared" ca="1" si="660"/>
        <v xml:space="preserve">Enter a value for 'Number of Floors in the Tallest Building' in cell B58.
</v>
      </c>
      <c r="H2002" s="52" t="str">
        <f t="shared" ca="1" si="680"/>
        <v>Low-Income Units</v>
      </c>
      <c r="I2002" s="52">
        <v>6</v>
      </c>
    </row>
    <row r="2003" spans="1:10" ht="15" customHeight="1">
      <c r="A2003" t="str">
        <f t="shared" ca="1" si="675"/>
        <v/>
      </c>
      <c r="B2003">
        <f t="shared" si="676"/>
        <v>30</v>
      </c>
      <c r="C2003">
        <f t="shared" ca="1" si="662"/>
        <v>27</v>
      </c>
      <c r="D2003" t="str">
        <f t="shared" si="677"/>
        <v>G30</v>
      </c>
      <c r="E2003" t="str">
        <f t="shared" ca="1" si="678"/>
        <v/>
      </c>
      <c r="F2003" t="str">
        <f t="shared" ca="1" si="679"/>
        <v xml:space="preserve">Enter a 'Residential Square Footage**' for  building 27 in cell G30.
</v>
      </c>
      <c r="G2003" s="9" t="str">
        <f t="shared" ca="1" si="660"/>
        <v xml:space="preserve">Enter a value for 'Number of Floors in the Tallest Building' in cell B58.
</v>
      </c>
      <c r="H2003" s="52" t="str">
        <f t="shared" ca="1" si="680"/>
        <v>Residential Square Footage**</v>
      </c>
      <c r="I2003" s="52">
        <v>7</v>
      </c>
    </row>
    <row r="2004" spans="1:10" ht="15" customHeight="1">
      <c r="A2004" t="str">
        <f t="shared" ca="1" si="675"/>
        <v/>
      </c>
      <c r="B2004">
        <f t="shared" si="676"/>
        <v>30</v>
      </c>
      <c r="C2004">
        <f t="shared" ca="1" si="662"/>
        <v>27</v>
      </c>
      <c r="D2004" t="str">
        <f t="shared" si="677"/>
        <v>H30</v>
      </c>
      <c r="E2004" t="str">
        <f t="shared" ca="1" si="678"/>
        <v/>
      </c>
      <c r="F2004" t="str">
        <f t="shared" ca="1" si="679"/>
        <v xml:space="preserve">Enter a 'Square Footage of Employee Units' for  building 27 in cell H30.
</v>
      </c>
      <c r="G2004" s="9" t="str">
        <f t="shared" ca="1" si="660"/>
        <v xml:space="preserve">Enter a value for 'Number of Floors in the Tallest Building' in cell B58.
</v>
      </c>
      <c r="H2004" s="52" t="str">
        <f t="shared" ca="1" si="680"/>
        <v>Square Footage of Employee Units</v>
      </c>
      <c r="I2004" s="52">
        <v>8</v>
      </c>
    </row>
    <row r="2005" spans="1:10" ht="15" customHeight="1">
      <c r="A2005" t="str">
        <f t="shared" ca="1" si="675"/>
        <v/>
      </c>
      <c r="B2005">
        <f t="shared" si="676"/>
        <v>30</v>
      </c>
      <c r="C2005">
        <f t="shared" ca="1" si="662"/>
        <v>27</v>
      </c>
      <c r="D2005" t="str">
        <f t="shared" si="677"/>
        <v>I30</v>
      </c>
      <c r="E2005" t="str">
        <f t="shared" ca="1" si="678"/>
        <v/>
      </c>
      <c r="F2005" t="str">
        <f t="shared" ca="1" si="679"/>
        <v xml:space="preserve">Enter a 'Square Footage of Low-Income Units' for  building 27 in cell I30.
</v>
      </c>
      <c r="G2005" s="9" t="str">
        <f t="shared" ca="1" si="660"/>
        <v xml:space="preserve">Enter a value for 'Number of Floors in the Tallest Building' in cell B58.
</v>
      </c>
      <c r="H2005" s="52" t="str">
        <f t="shared" ca="1" si="680"/>
        <v>Square Footage of Low-Income Units</v>
      </c>
      <c r="I2005" s="52">
        <v>9</v>
      </c>
    </row>
    <row r="2006" spans="1:10" ht="15" customHeight="1">
      <c r="A2006" t="str">
        <f t="shared" ca="1" si="675"/>
        <v/>
      </c>
      <c r="B2006">
        <f t="shared" si="676"/>
        <v>30</v>
      </c>
      <c r="C2006">
        <f t="shared" ca="1" si="662"/>
        <v>27</v>
      </c>
      <c r="D2006" t="str">
        <f t="shared" si="677"/>
        <v>J30</v>
      </c>
      <c r="E2006" t="str">
        <f t="shared" ca="1" si="678"/>
        <v/>
      </c>
      <c r="F2006" t="str">
        <f t="shared" ca="1" si="679"/>
        <v xml:space="preserve">Enter a 'Placed-In-Service Date' for  building 27 in cell J30.
</v>
      </c>
      <c r="G2006" s="9" t="str">
        <f t="shared" ca="1" si="660"/>
        <v xml:space="preserve">Enter a value for 'Number of Floors in the Tallest Building' in cell B58.
</v>
      </c>
      <c r="H2006" s="52" t="str">
        <f t="shared" ca="1" si="680"/>
        <v>Placed-In-Service Date</v>
      </c>
      <c r="I2006" s="52">
        <v>10</v>
      </c>
    </row>
    <row r="2007" spans="1:10" ht="15" customHeight="1">
      <c r="A2007" t="str">
        <f t="shared" ca="1" si="675"/>
        <v/>
      </c>
      <c r="B2007">
        <f t="shared" si="676"/>
        <v>30</v>
      </c>
      <c r="C2007">
        <f t="shared" ca="1" si="662"/>
        <v>27</v>
      </c>
      <c r="D2007" t="str">
        <f t="shared" si="677"/>
        <v>K30</v>
      </c>
      <c r="E2007" t="str">
        <f t="shared" ca="1" si="678"/>
        <v/>
      </c>
      <c r="F2007" t="str">
        <f t="shared" ca="1" si="679"/>
        <v xml:space="preserve">Enter a 'New Construction/ Rehab APR' for  building 27 in cell K30.
</v>
      </c>
      <c r="G2007" s="9" t="str">
        <f t="shared" ca="1" si="660"/>
        <v xml:space="preserve">Enter a value for 'Number of Floors in the Tallest Building' in cell B58.
</v>
      </c>
      <c r="H2007" s="52" t="str">
        <f t="shared" ca="1" si="680"/>
        <v>New Construction/ Rehab APR</v>
      </c>
      <c r="I2007" s="52">
        <v>11</v>
      </c>
    </row>
    <row r="2008" spans="1:10" ht="15" customHeight="1">
      <c r="A2008" t="str">
        <f t="shared" ca="1" si="675"/>
        <v/>
      </c>
      <c r="B2008">
        <f t="shared" si="676"/>
        <v>30</v>
      </c>
      <c r="C2008">
        <f t="shared" ca="1" si="662"/>
        <v>27</v>
      </c>
      <c r="D2008" t="str">
        <f t="shared" si="677"/>
        <v>L30</v>
      </c>
      <c r="E2008" t="str">
        <f t="shared" ca="1" si="678"/>
        <v/>
      </c>
      <c r="F2008" t="str">
        <f t="shared" ca="1" si="679"/>
        <v xml:space="preserve">Enter a 'New Construction Eligible Basis' for  building 27 in cell L30.
</v>
      </c>
      <c r="G2008" s="9" t="str">
        <f t="shared" ca="1" si="660"/>
        <v xml:space="preserve">Enter a value for 'Number of Floors in the Tallest Building' in cell B58.
</v>
      </c>
      <c r="H2008" s="52" t="str">
        <f t="shared" ca="1" si="680"/>
        <v>New Construction Eligible Basis</v>
      </c>
      <c r="I2008" s="52">
        <v>12</v>
      </c>
    </row>
    <row r="2009" spans="1:10" ht="15" customHeight="1">
      <c r="A2009" t="str">
        <f ca="1">IF(AND(OFFSET(A2009, -I2009 + 2, 4) &gt;  0, E2009="", Calculations!$B$7), F2009, "")</f>
        <v/>
      </c>
      <c r="B2009">
        <f t="shared" si="676"/>
        <v>30</v>
      </c>
      <c r="C2009">
        <f t="shared" ca="1" si="662"/>
        <v>27</v>
      </c>
      <c r="D2009" t="str">
        <f t="shared" si="677"/>
        <v>M30</v>
      </c>
      <c r="E2009" t="str">
        <f t="shared" ca="1" si="678"/>
        <v/>
      </c>
      <c r="F2009" t="str">
        <f t="shared" ca="1" si="679"/>
        <v xml:space="preserve">Enter a 'Eligible Basis for Rehab' for  building 27 in cell M30.
</v>
      </c>
      <c r="G2009" s="9" t="str">
        <f t="shared" ca="1" si="660"/>
        <v xml:space="preserve">Enter a value for 'Number of Floors in the Tallest Building' in cell B58.
</v>
      </c>
      <c r="H2009" s="52" t="str">
        <f t="shared" ca="1" si="680"/>
        <v>Eligible Basis for Rehab</v>
      </c>
      <c r="I2009" s="52">
        <v>13</v>
      </c>
    </row>
    <row r="2010" spans="1:10" ht="15" customHeight="1">
      <c r="A2010" t="str">
        <f ca="1">IF(AND(OFFSET(A2010, -I2010 + 2, 4) &gt;  0, E2010="", Calculations!$B$7), F2010, "")</f>
        <v/>
      </c>
      <c r="B2010">
        <f t="shared" si="676"/>
        <v>30</v>
      </c>
      <c r="C2010">
        <f t="shared" ca="1" si="662"/>
        <v>27</v>
      </c>
      <c r="D2010" t="str">
        <f t="shared" si="677"/>
        <v>N30</v>
      </c>
      <c r="E2010" t="str">
        <f t="shared" ca="1" si="678"/>
        <v/>
      </c>
      <c r="F2010" t="str">
        <f t="shared" ca="1" si="679"/>
        <v xml:space="preserve">Enter a 'Cost of Acquiring the Building***' for  building 27 in cell N30.
</v>
      </c>
      <c r="G2010" s="9" t="str">
        <f t="shared" ca="1" si="660"/>
        <v xml:space="preserve">Enter a value for 'Number of Floors in the Tallest Building' in cell B58.
</v>
      </c>
      <c r="H2010" s="52" t="str">
        <f t="shared" ca="1" si="680"/>
        <v>Cost of Acquiring the Building***</v>
      </c>
      <c r="I2010" s="52">
        <v>14</v>
      </c>
    </row>
    <row r="2011" spans="1:10" ht="15" customHeight="1">
      <c r="A2011" t="str">
        <f ca="1">IF(AND(OFFSET(A2011, -I2011 + 2, 4) &gt;  0, E2011="", Calculations!$B$7), F2011, "")</f>
        <v/>
      </c>
      <c r="B2011">
        <f t="shared" si="676"/>
        <v>30</v>
      </c>
      <c r="C2011">
        <f t="shared" ca="1" si="662"/>
        <v>27</v>
      </c>
      <c r="D2011" t="str">
        <f t="shared" si="677"/>
        <v>O30</v>
      </c>
      <c r="E2011" t="str">
        <f t="shared" ca="1" si="678"/>
        <v/>
      </c>
      <c r="F2011" t="str">
        <f t="shared" ca="1" si="679"/>
        <v xml:space="preserve">Enter a 'Higher of Land Purchase Price or Land Appraised Value****' for  building 27 in cell O30.
</v>
      </c>
      <c r="G2011" s="9" t="str">
        <f t="shared" ca="1" si="660"/>
        <v xml:space="preserve">Enter a value for 'Number of Floors in the Tallest Building' in cell B58.
</v>
      </c>
      <c r="H2011" s="52" t="str">
        <f t="shared" ca="1" si="680"/>
        <v>Higher of Land Purchase Price or Land Appraised Value****</v>
      </c>
      <c r="I2011" s="52">
        <v>15</v>
      </c>
    </row>
    <row r="2012" spans="1:10" ht="15" customHeight="1">
      <c r="A2012" t="str">
        <f ca="1">IF(AND(OFFSET(A2012, -I2012 + 2, 4) &gt;  0, E2012="", Calculations!$B$7), F2012, "")</f>
        <v/>
      </c>
      <c r="B2012">
        <f t="shared" si="676"/>
        <v>30</v>
      </c>
      <c r="C2012">
        <f t="shared" ca="1" si="662"/>
        <v>27</v>
      </c>
      <c r="D2012" t="str">
        <f t="shared" si="677"/>
        <v>P30</v>
      </c>
      <c r="E2012" t="str">
        <f t="shared" ca="1" si="678"/>
        <v/>
      </c>
      <c r="F2012" t="str">
        <f t="shared" ca="1" si="679"/>
        <v xml:space="preserve">Enter a 'Acquisition Placed-in-Service Date' for  building 27 in cell P30.
</v>
      </c>
      <c r="G2012" s="9" t="str">
        <f t="shared" ca="1" si="660"/>
        <v xml:space="preserve">Enter a value for 'Number of Floors in the Tallest Building' in cell B58.
</v>
      </c>
      <c r="H2012" s="52" t="str">
        <f t="shared" ca="1" si="680"/>
        <v>Acquisition Placed-in-Service Date</v>
      </c>
      <c r="I2012" s="52">
        <v>16</v>
      </c>
    </row>
    <row r="2013" spans="1:10" ht="15" customHeight="1">
      <c r="A2013" t="str">
        <f ca="1">IF(AND(OFFSET(A2013, -I2013 + 2, 4) &gt;  0, E2013="", Calculations!$B$7), F2013, "")</f>
        <v/>
      </c>
      <c r="B2013">
        <f t="shared" si="676"/>
        <v>30</v>
      </c>
      <c r="C2013">
        <f t="shared" ca="1" si="662"/>
        <v>27</v>
      </c>
      <c r="D2013" t="str">
        <f t="shared" si="677"/>
        <v>Q30</v>
      </c>
      <c r="E2013" t="str">
        <f t="shared" ca="1" si="678"/>
        <v/>
      </c>
      <c r="F2013" t="str">
        <f t="shared" ca="1" si="679"/>
        <v xml:space="preserve">Enter a 'Acquisition APR' for  building 27 in cell Q30.
</v>
      </c>
      <c r="G2013" s="9" t="str">
        <f t="shared" ca="1" si="660"/>
        <v xml:space="preserve">Enter a value for 'Number of Floors in the Tallest Building' in cell B58.
</v>
      </c>
      <c r="H2013" s="52" t="str">
        <f t="shared" ca="1" si="680"/>
        <v>Acquisition APR</v>
      </c>
      <c r="I2013" s="52">
        <v>17</v>
      </c>
    </row>
    <row r="2014" spans="1:10" ht="15" customHeight="1">
      <c r="A2014" t="str">
        <f ca="1">IF(AND(Calculations!$B$4,Calculations!$B$28&gt;=C2014, E2014 &lt;&gt; 13),F2014,"")</f>
        <v/>
      </c>
      <c r="B2014">
        <f>ROW('Final Building Profile'!C31)</f>
        <v>31</v>
      </c>
      <c r="C2014">
        <f t="shared" ca="1" si="662"/>
        <v>28</v>
      </c>
      <c r="D2014" t="str">
        <f>ADDRESS(B2014, 3,4  )</f>
        <v>C31</v>
      </c>
      <c r="E2014" s="52">
        <f ca="1">H2014+I2014</f>
        <v>0</v>
      </c>
      <c r="F2014" t="str">
        <f ca="1">CONCATENATE("Based upon the number of buildings specified, information for  building ", C2014, " required for a final application in row ", B2014, ".", CHAR(10))</f>
        <v xml:space="preserve">Based upon the number of buildings specified, information for  building 28 required for a final application in row 31.
</v>
      </c>
      <c r="G2014" s="9" t="str">
        <f t="shared" ca="1" si="660"/>
        <v xml:space="preserve">Enter a value for 'Number of Floors in the Tallest Building' in cell B58.
</v>
      </c>
      <c r="H2014" s="52">
        <f ca="1">SUMPRODUCT(--ISTEXT(INDIRECT(J2014)))</f>
        <v>0</v>
      </c>
      <c r="I2014" s="52">
        <f ca="1">SUMPRODUCT(--ISNUMBER(INDIRECT(J2014)))</f>
        <v>0</v>
      </c>
      <c r="J2014" s="52" t="str">
        <f>$F$1564&amp; ADDRESS(B2014,3,4) &amp; ":" &amp; ADDRESS(B2014,15,4)</f>
        <v>'Final Building Profile'!C31:O31</v>
      </c>
    </row>
    <row r="2015" spans="1:10" ht="15" customHeight="1">
      <c r="A2015" t="str">
        <f t="shared" ref="A2015:A2024" ca="1" si="681">IF(AND(OFFSET(A2015, -I2015 + 2, 4) &gt;  0, E2015=""), F2015, "")</f>
        <v/>
      </c>
      <c r="B2015">
        <f t="shared" ref="B2015:B2029" si="682">B2014</f>
        <v>31</v>
      </c>
      <c r="C2015">
        <f t="shared" ca="1" si="662"/>
        <v>28</v>
      </c>
      <c r="D2015" t="str">
        <f t="shared" ref="D2015:D2029" si="683">ADDRESS(B2015, I2015,4  )</f>
        <v>C31</v>
      </c>
      <c r="E2015" t="str">
        <f t="shared" ref="E2015:E2029" ca="1" si="684">IF(ISBLANK( INDIRECT($F$1564 &amp; D2015)),"", INDIRECT($F$1564 &amp; D2015))</f>
        <v/>
      </c>
      <c r="F2015" t="str">
        <f t="shared" ref="F2015:F2029" ca="1" si="685">CONCATENATE("Enter a '"&amp; H2015 &amp;"' for  building ", C2015, " in cell ", D2015, ".", CHAR(10))</f>
        <v xml:space="preserve">Enter a 'Building Street Address Only 
(DO NOT ENTER CITY, STATE, OR ZIP)' for  building 28 in cell C31.
</v>
      </c>
      <c r="G2015" s="9" t="str">
        <f t="shared" ref="G2015:G2078" ca="1" si="686">OFFSET(G2015, -1, 0) &amp; A2015</f>
        <v xml:space="preserve">Enter a value for 'Number of Floors in the Tallest Building' in cell B58.
</v>
      </c>
      <c r="H2015" s="52" t="str">
        <f t="shared" ref="H2015:H2029" ca="1" si="687">OFFSET(INDIRECT($F$1564 &amp; D2015), -B2015 + 3, 0)</f>
        <v>Building Street Address Only 
(DO NOT ENTER CITY, STATE, OR ZIP)</v>
      </c>
      <c r="I2015" s="52">
        <v>3</v>
      </c>
    </row>
    <row r="2016" spans="1:10" ht="15" customHeight="1">
      <c r="A2016" t="str">
        <f t="shared" ca="1" si="681"/>
        <v/>
      </c>
      <c r="B2016">
        <f t="shared" si="682"/>
        <v>31</v>
      </c>
      <c r="C2016">
        <f t="shared" ca="1" si="662"/>
        <v>28</v>
      </c>
      <c r="D2016" t="str">
        <f t="shared" si="683"/>
        <v>D31</v>
      </c>
      <c r="E2016" t="str">
        <f t="shared" ca="1" si="684"/>
        <v/>
      </c>
      <c r="F2016" t="str">
        <f t="shared" ca="1" si="685"/>
        <v xml:space="preserve">Enter a 'Total Units in Building*' for  building 28 in cell D31.
</v>
      </c>
      <c r="G2016" s="9" t="str">
        <f t="shared" ca="1" si="686"/>
        <v xml:space="preserve">Enter a value for 'Number of Floors in the Tallest Building' in cell B58.
</v>
      </c>
      <c r="H2016" s="52" t="str">
        <f t="shared" ca="1" si="687"/>
        <v>Total Units in Building*</v>
      </c>
      <c r="I2016" s="52">
        <v>4</v>
      </c>
    </row>
    <row r="2017" spans="1:10" ht="15" customHeight="1">
      <c r="A2017" t="str">
        <f t="shared" ca="1" si="681"/>
        <v/>
      </c>
      <c r="B2017">
        <f t="shared" si="682"/>
        <v>31</v>
      </c>
      <c r="C2017">
        <f t="shared" ca="1" si="662"/>
        <v>28</v>
      </c>
      <c r="D2017" t="str">
        <f t="shared" si="683"/>
        <v>E31</v>
      </c>
      <c r="E2017" t="str">
        <f t="shared" ca="1" si="684"/>
        <v/>
      </c>
      <c r="F2017" t="str">
        <f t="shared" ca="1" si="685"/>
        <v xml:space="preserve">Enter a 'Employee Units' for  building 28 in cell E31.
</v>
      </c>
      <c r="G2017" s="9" t="str">
        <f t="shared" ca="1" si="686"/>
        <v xml:space="preserve">Enter a value for 'Number of Floors in the Tallest Building' in cell B58.
</v>
      </c>
      <c r="H2017" s="52" t="str">
        <f t="shared" ca="1" si="687"/>
        <v>Employee Units</v>
      </c>
      <c r="I2017" s="52">
        <v>5</v>
      </c>
    </row>
    <row r="2018" spans="1:10" ht="15" customHeight="1">
      <c r="A2018" t="str">
        <f t="shared" ca="1" si="681"/>
        <v/>
      </c>
      <c r="B2018">
        <f t="shared" si="682"/>
        <v>31</v>
      </c>
      <c r="C2018">
        <f t="shared" ca="1" si="662"/>
        <v>28</v>
      </c>
      <c r="D2018" t="str">
        <f t="shared" si="683"/>
        <v>F31</v>
      </c>
      <c r="E2018" t="str">
        <f t="shared" ca="1" si="684"/>
        <v/>
      </c>
      <c r="F2018" t="str">
        <f t="shared" ca="1" si="685"/>
        <v xml:space="preserve">Enter a 'Low-Income Units' for  building 28 in cell F31.
</v>
      </c>
      <c r="G2018" s="9" t="str">
        <f t="shared" ca="1" si="686"/>
        <v xml:space="preserve">Enter a value for 'Number of Floors in the Tallest Building' in cell B58.
</v>
      </c>
      <c r="H2018" s="52" t="str">
        <f t="shared" ca="1" si="687"/>
        <v>Low-Income Units</v>
      </c>
      <c r="I2018" s="52">
        <v>6</v>
      </c>
    </row>
    <row r="2019" spans="1:10" ht="15" customHeight="1">
      <c r="A2019" t="str">
        <f t="shared" ca="1" si="681"/>
        <v/>
      </c>
      <c r="B2019">
        <f t="shared" si="682"/>
        <v>31</v>
      </c>
      <c r="C2019">
        <f t="shared" ca="1" si="662"/>
        <v>28</v>
      </c>
      <c r="D2019" t="str">
        <f t="shared" si="683"/>
        <v>G31</v>
      </c>
      <c r="E2019" t="str">
        <f t="shared" ca="1" si="684"/>
        <v/>
      </c>
      <c r="F2019" t="str">
        <f t="shared" ca="1" si="685"/>
        <v xml:space="preserve">Enter a 'Residential Square Footage**' for  building 28 in cell G31.
</v>
      </c>
      <c r="G2019" s="9" t="str">
        <f t="shared" ca="1" si="686"/>
        <v xml:space="preserve">Enter a value for 'Number of Floors in the Tallest Building' in cell B58.
</v>
      </c>
      <c r="H2019" s="52" t="str">
        <f t="shared" ca="1" si="687"/>
        <v>Residential Square Footage**</v>
      </c>
      <c r="I2019" s="52">
        <v>7</v>
      </c>
    </row>
    <row r="2020" spans="1:10" ht="15" customHeight="1">
      <c r="A2020" t="str">
        <f t="shared" ca="1" si="681"/>
        <v/>
      </c>
      <c r="B2020">
        <f t="shared" si="682"/>
        <v>31</v>
      </c>
      <c r="C2020">
        <f t="shared" ca="1" si="662"/>
        <v>28</v>
      </c>
      <c r="D2020" t="str">
        <f t="shared" si="683"/>
        <v>H31</v>
      </c>
      <c r="E2020" t="str">
        <f t="shared" ca="1" si="684"/>
        <v/>
      </c>
      <c r="F2020" t="str">
        <f t="shared" ca="1" si="685"/>
        <v xml:space="preserve">Enter a 'Square Footage of Employee Units' for  building 28 in cell H31.
</v>
      </c>
      <c r="G2020" s="9" t="str">
        <f t="shared" ca="1" si="686"/>
        <v xml:space="preserve">Enter a value for 'Number of Floors in the Tallest Building' in cell B58.
</v>
      </c>
      <c r="H2020" s="52" t="str">
        <f t="shared" ca="1" si="687"/>
        <v>Square Footage of Employee Units</v>
      </c>
      <c r="I2020" s="52">
        <v>8</v>
      </c>
    </row>
    <row r="2021" spans="1:10" ht="15" customHeight="1">
      <c r="A2021" t="str">
        <f t="shared" ca="1" si="681"/>
        <v/>
      </c>
      <c r="B2021">
        <f t="shared" si="682"/>
        <v>31</v>
      </c>
      <c r="C2021">
        <f t="shared" ca="1" si="662"/>
        <v>28</v>
      </c>
      <c r="D2021" t="str">
        <f t="shared" si="683"/>
        <v>I31</v>
      </c>
      <c r="E2021" t="str">
        <f t="shared" ca="1" si="684"/>
        <v/>
      </c>
      <c r="F2021" t="str">
        <f t="shared" ca="1" si="685"/>
        <v xml:space="preserve">Enter a 'Square Footage of Low-Income Units' for  building 28 in cell I31.
</v>
      </c>
      <c r="G2021" s="9" t="str">
        <f t="shared" ca="1" si="686"/>
        <v xml:space="preserve">Enter a value for 'Number of Floors in the Tallest Building' in cell B58.
</v>
      </c>
      <c r="H2021" s="52" t="str">
        <f t="shared" ca="1" si="687"/>
        <v>Square Footage of Low-Income Units</v>
      </c>
      <c r="I2021" s="52">
        <v>9</v>
      </c>
    </row>
    <row r="2022" spans="1:10" ht="15" customHeight="1">
      <c r="A2022" t="str">
        <f t="shared" ca="1" si="681"/>
        <v/>
      </c>
      <c r="B2022">
        <f t="shared" si="682"/>
        <v>31</v>
      </c>
      <c r="C2022">
        <f t="shared" ca="1" si="662"/>
        <v>28</v>
      </c>
      <c r="D2022" t="str">
        <f t="shared" si="683"/>
        <v>J31</v>
      </c>
      <c r="E2022" t="str">
        <f t="shared" ca="1" si="684"/>
        <v/>
      </c>
      <c r="F2022" t="str">
        <f t="shared" ca="1" si="685"/>
        <v xml:space="preserve">Enter a 'Placed-In-Service Date' for  building 28 in cell J31.
</v>
      </c>
      <c r="G2022" s="9" t="str">
        <f t="shared" ca="1" si="686"/>
        <v xml:space="preserve">Enter a value for 'Number of Floors in the Tallest Building' in cell B58.
</v>
      </c>
      <c r="H2022" s="52" t="str">
        <f t="shared" ca="1" si="687"/>
        <v>Placed-In-Service Date</v>
      </c>
      <c r="I2022" s="52">
        <v>10</v>
      </c>
    </row>
    <row r="2023" spans="1:10" ht="15" customHeight="1">
      <c r="A2023" t="str">
        <f t="shared" ca="1" si="681"/>
        <v/>
      </c>
      <c r="B2023">
        <f t="shared" si="682"/>
        <v>31</v>
      </c>
      <c r="C2023">
        <f t="shared" ca="1" si="662"/>
        <v>28</v>
      </c>
      <c r="D2023" t="str">
        <f t="shared" si="683"/>
        <v>K31</v>
      </c>
      <c r="E2023" t="str">
        <f t="shared" ca="1" si="684"/>
        <v/>
      </c>
      <c r="F2023" t="str">
        <f t="shared" ca="1" si="685"/>
        <v xml:space="preserve">Enter a 'New Construction/ Rehab APR' for  building 28 in cell K31.
</v>
      </c>
      <c r="G2023" s="9" t="str">
        <f t="shared" ca="1" si="686"/>
        <v xml:space="preserve">Enter a value for 'Number of Floors in the Tallest Building' in cell B58.
</v>
      </c>
      <c r="H2023" s="52" t="str">
        <f t="shared" ca="1" si="687"/>
        <v>New Construction/ Rehab APR</v>
      </c>
      <c r="I2023" s="52">
        <v>11</v>
      </c>
    </row>
    <row r="2024" spans="1:10" ht="15" customHeight="1">
      <c r="A2024" t="str">
        <f t="shared" ca="1" si="681"/>
        <v/>
      </c>
      <c r="B2024">
        <f t="shared" si="682"/>
        <v>31</v>
      </c>
      <c r="C2024">
        <f t="shared" ca="1" si="662"/>
        <v>28</v>
      </c>
      <c r="D2024" t="str">
        <f t="shared" si="683"/>
        <v>L31</v>
      </c>
      <c r="E2024" t="str">
        <f t="shared" ca="1" si="684"/>
        <v/>
      </c>
      <c r="F2024" t="str">
        <f t="shared" ca="1" si="685"/>
        <v xml:space="preserve">Enter a 'New Construction Eligible Basis' for  building 28 in cell L31.
</v>
      </c>
      <c r="G2024" s="9" t="str">
        <f t="shared" ca="1" si="686"/>
        <v xml:space="preserve">Enter a value for 'Number of Floors in the Tallest Building' in cell B58.
</v>
      </c>
      <c r="H2024" s="52" t="str">
        <f t="shared" ca="1" si="687"/>
        <v>New Construction Eligible Basis</v>
      </c>
      <c r="I2024" s="52">
        <v>12</v>
      </c>
    </row>
    <row r="2025" spans="1:10" ht="15" customHeight="1">
      <c r="A2025" t="str">
        <f ca="1">IF(AND(OFFSET(A2025, -I2025 + 2, 4) &gt;  0, E2025="", Calculations!$B$7), F2025, "")</f>
        <v/>
      </c>
      <c r="B2025">
        <f t="shared" si="682"/>
        <v>31</v>
      </c>
      <c r="C2025">
        <f t="shared" ca="1" si="662"/>
        <v>28</v>
      </c>
      <c r="D2025" t="str">
        <f t="shared" si="683"/>
        <v>M31</v>
      </c>
      <c r="E2025" t="str">
        <f t="shared" ca="1" si="684"/>
        <v/>
      </c>
      <c r="F2025" t="str">
        <f t="shared" ca="1" si="685"/>
        <v xml:space="preserve">Enter a 'Eligible Basis for Rehab' for  building 28 in cell M31.
</v>
      </c>
      <c r="G2025" s="9" t="str">
        <f t="shared" ca="1" si="686"/>
        <v xml:space="preserve">Enter a value for 'Number of Floors in the Tallest Building' in cell B58.
</v>
      </c>
      <c r="H2025" s="52" t="str">
        <f t="shared" ca="1" si="687"/>
        <v>Eligible Basis for Rehab</v>
      </c>
      <c r="I2025" s="52">
        <v>13</v>
      </c>
    </row>
    <row r="2026" spans="1:10" ht="15" customHeight="1">
      <c r="A2026" t="str">
        <f ca="1">IF(AND(OFFSET(A2026, -I2026 + 2, 4) &gt;  0, E2026="", Calculations!$B$7), F2026, "")</f>
        <v/>
      </c>
      <c r="B2026">
        <f t="shared" si="682"/>
        <v>31</v>
      </c>
      <c r="C2026">
        <f t="shared" ca="1" si="662"/>
        <v>28</v>
      </c>
      <c r="D2026" t="str">
        <f t="shared" si="683"/>
        <v>N31</v>
      </c>
      <c r="E2026" t="str">
        <f t="shared" ca="1" si="684"/>
        <v/>
      </c>
      <c r="F2026" t="str">
        <f t="shared" ca="1" si="685"/>
        <v xml:space="preserve">Enter a 'Cost of Acquiring the Building***' for  building 28 in cell N31.
</v>
      </c>
      <c r="G2026" s="9" t="str">
        <f t="shared" ca="1" si="686"/>
        <v xml:space="preserve">Enter a value for 'Number of Floors in the Tallest Building' in cell B58.
</v>
      </c>
      <c r="H2026" s="52" t="str">
        <f t="shared" ca="1" si="687"/>
        <v>Cost of Acquiring the Building***</v>
      </c>
      <c r="I2026" s="52">
        <v>14</v>
      </c>
    </row>
    <row r="2027" spans="1:10" ht="15" customHeight="1">
      <c r="A2027" t="str">
        <f ca="1">IF(AND(OFFSET(A2027, -I2027 + 2, 4) &gt;  0, E2027="", Calculations!$B$7), F2027, "")</f>
        <v/>
      </c>
      <c r="B2027">
        <f t="shared" si="682"/>
        <v>31</v>
      </c>
      <c r="C2027">
        <f t="shared" ca="1" si="662"/>
        <v>28</v>
      </c>
      <c r="D2027" t="str">
        <f t="shared" si="683"/>
        <v>O31</v>
      </c>
      <c r="E2027" t="str">
        <f t="shared" ca="1" si="684"/>
        <v/>
      </c>
      <c r="F2027" t="str">
        <f t="shared" ca="1" si="685"/>
        <v xml:space="preserve">Enter a 'Higher of Land Purchase Price or Land Appraised Value****' for  building 28 in cell O31.
</v>
      </c>
      <c r="G2027" s="9" t="str">
        <f t="shared" ca="1" si="686"/>
        <v xml:space="preserve">Enter a value for 'Number of Floors in the Tallest Building' in cell B58.
</v>
      </c>
      <c r="H2027" s="52" t="str">
        <f t="shared" ca="1" si="687"/>
        <v>Higher of Land Purchase Price or Land Appraised Value****</v>
      </c>
      <c r="I2027" s="52">
        <v>15</v>
      </c>
    </row>
    <row r="2028" spans="1:10" ht="15" customHeight="1">
      <c r="A2028" t="str">
        <f ca="1">IF(AND(OFFSET(A2028, -I2028 + 2, 4) &gt;  0, E2028="", Calculations!$B$7), F2028, "")</f>
        <v/>
      </c>
      <c r="B2028">
        <f t="shared" si="682"/>
        <v>31</v>
      </c>
      <c r="C2028">
        <f t="shared" ca="1" si="662"/>
        <v>28</v>
      </c>
      <c r="D2028" t="str">
        <f t="shared" si="683"/>
        <v>P31</v>
      </c>
      <c r="E2028" t="str">
        <f t="shared" ca="1" si="684"/>
        <v/>
      </c>
      <c r="F2028" t="str">
        <f t="shared" ca="1" si="685"/>
        <v xml:space="preserve">Enter a 'Acquisition Placed-in-Service Date' for  building 28 in cell P31.
</v>
      </c>
      <c r="G2028" s="9" t="str">
        <f t="shared" ca="1" si="686"/>
        <v xml:space="preserve">Enter a value for 'Number of Floors in the Tallest Building' in cell B58.
</v>
      </c>
      <c r="H2028" s="52" t="str">
        <f t="shared" ca="1" si="687"/>
        <v>Acquisition Placed-in-Service Date</v>
      </c>
      <c r="I2028" s="52">
        <v>16</v>
      </c>
    </row>
    <row r="2029" spans="1:10" ht="15" customHeight="1">
      <c r="A2029" t="str">
        <f ca="1">IF(AND(OFFSET(A2029, -I2029 + 2, 4) &gt;  0, E2029="", Calculations!$B$7), F2029, "")</f>
        <v/>
      </c>
      <c r="B2029">
        <f t="shared" si="682"/>
        <v>31</v>
      </c>
      <c r="C2029">
        <f t="shared" ca="1" si="662"/>
        <v>28</v>
      </c>
      <c r="D2029" t="str">
        <f t="shared" si="683"/>
        <v>Q31</v>
      </c>
      <c r="E2029" t="str">
        <f t="shared" ca="1" si="684"/>
        <v/>
      </c>
      <c r="F2029" t="str">
        <f t="shared" ca="1" si="685"/>
        <v xml:space="preserve">Enter a 'Acquisition APR' for  building 28 in cell Q31.
</v>
      </c>
      <c r="G2029" s="9" t="str">
        <f t="shared" ca="1" si="686"/>
        <v xml:space="preserve">Enter a value for 'Number of Floors in the Tallest Building' in cell B58.
</v>
      </c>
      <c r="H2029" s="52" t="str">
        <f t="shared" ca="1" si="687"/>
        <v>Acquisition APR</v>
      </c>
      <c r="I2029" s="52">
        <v>17</v>
      </c>
    </row>
    <row r="2030" spans="1:10" ht="15" customHeight="1">
      <c r="A2030" t="str">
        <f ca="1">IF(AND(Calculations!$B$4,Calculations!$B$28&gt;=C2030, E2030 &lt;&gt; 13),F2030,"")</f>
        <v/>
      </c>
      <c r="B2030">
        <f>ROW('Final Building Profile'!C32)</f>
        <v>32</v>
      </c>
      <c r="C2030">
        <f t="shared" ref="C2030:C2093" ca="1" si="688">INDIRECT($F$1564 &amp; ADDRESS(B2030, 1,4  ))</f>
        <v>29</v>
      </c>
      <c r="D2030" t="str">
        <f>ADDRESS(B2030, 3,4  )</f>
        <v>C32</v>
      </c>
      <c r="E2030" s="52">
        <f ca="1">H2030+I2030</f>
        <v>0</v>
      </c>
      <c r="F2030" t="str">
        <f ca="1">CONCATENATE("Based upon the number of buildings specified, information for  building ", C2030, " required for a final application in row ", B2030, ".", CHAR(10))</f>
        <v xml:space="preserve">Based upon the number of buildings specified, information for  building 29 required for a final application in row 32.
</v>
      </c>
      <c r="G2030" s="9" t="str">
        <f t="shared" ca="1" si="686"/>
        <v xml:space="preserve">Enter a value for 'Number of Floors in the Tallest Building' in cell B58.
</v>
      </c>
      <c r="H2030" s="52">
        <f ca="1">SUMPRODUCT(--ISTEXT(INDIRECT(J2030)))</f>
        <v>0</v>
      </c>
      <c r="I2030" s="52">
        <f ca="1">SUMPRODUCT(--ISNUMBER(INDIRECT(J2030)))</f>
        <v>0</v>
      </c>
      <c r="J2030" s="52" t="str">
        <f>$F$1564&amp; ADDRESS(B2030,3,4) &amp; ":" &amp; ADDRESS(B2030,15,4)</f>
        <v>'Final Building Profile'!C32:O32</v>
      </c>
    </row>
    <row r="2031" spans="1:10" ht="15" customHeight="1">
      <c r="A2031" t="str">
        <f t="shared" ref="A2031:A2040" ca="1" si="689">IF(AND(OFFSET(A2031, -I2031 + 2, 4) &gt;  0, E2031=""), F2031, "")</f>
        <v/>
      </c>
      <c r="B2031">
        <f t="shared" ref="B2031:B2045" si="690">B2030</f>
        <v>32</v>
      </c>
      <c r="C2031">
        <f t="shared" ca="1" si="688"/>
        <v>29</v>
      </c>
      <c r="D2031" t="str">
        <f t="shared" ref="D2031:D2045" si="691">ADDRESS(B2031, I2031,4  )</f>
        <v>C32</v>
      </c>
      <c r="E2031" t="str">
        <f t="shared" ref="E2031:E2045" ca="1" si="692">IF(ISBLANK( INDIRECT($F$1564 &amp; D2031)),"", INDIRECT($F$1564 &amp; D2031))</f>
        <v/>
      </c>
      <c r="F2031" t="str">
        <f t="shared" ref="F2031:F2045" ca="1" si="693">CONCATENATE("Enter a '"&amp; H2031 &amp;"' for  building ", C2031, " in cell ", D2031, ".", CHAR(10))</f>
        <v xml:space="preserve">Enter a 'Building Street Address Only 
(DO NOT ENTER CITY, STATE, OR ZIP)' for  building 29 in cell C32.
</v>
      </c>
      <c r="G2031" s="9" t="str">
        <f t="shared" ca="1" si="686"/>
        <v xml:space="preserve">Enter a value for 'Number of Floors in the Tallest Building' in cell B58.
</v>
      </c>
      <c r="H2031" s="52" t="str">
        <f t="shared" ref="H2031:H2045" ca="1" si="694">OFFSET(INDIRECT($F$1564 &amp; D2031), -B2031 + 3, 0)</f>
        <v>Building Street Address Only 
(DO NOT ENTER CITY, STATE, OR ZIP)</v>
      </c>
      <c r="I2031" s="52">
        <v>3</v>
      </c>
    </row>
    <row r="2032" spans="1:10" ht="15" customHeight="1">
      <c r="A2032" t="str">
        <f t="shared" ca="1" si="689"/>
        <v/>
      </c>
      <c r="B2032">
        <f t="shared" si="690"/>
        <v>32</v>
      </c>
      <c r="C2032">
        <f t="shared" ca="1" si="688"/>
        <v>29</v>
      </c>
      <c r="D2032" t="str">
        <f t="shared" si="691"/>
        <v>D32</v>
      </c>
      <c r="E2032" t="str">
        <f t="shared" ca="1" si="692"/>
        <v/>
      </c>
      <c r="F2032" t="str">
        <f t="shared" ca="1" si="693"/>
        <v xml:space="preserve">Enter a 'Total Units in Building*' for  building 29 in cell D32.
</v>
      </c>
      <c r="G2032" s="9" t="str">
        <f t="shared" ca="1" si="686"/>
        <v xml:space="preserve">Enter a value for 'Number of Floors in the Tallest Building' in cell B58.
</v>
      </c>
      <c r="H2032" s="52" t="str">
        <f t="shared" ca="1" si="694"/>
        <v>Total Units in Building*</v>
      </c>
      <c r="I2032" s="52">
        <v>4</v>
      </c>
    </row>
    <row r="2033" spans="1:10" ht="15" customHeight="1">
      <c r="A2033" t="str">
        <f t="shared" ca="1" si="689"/>
        <v/>
      </c>
      <c r="B2033">
        <f t="shared" si="690"/>
        <v>32</v>
      </c>
      <c r="C2033">
        <f t="shared" ca="1" si="688"/>
        <v>29</v>
      </c>
      <c r="D2033" t="str">
        <f t="shared" si="691"/>
        <v>E32</v>
      </c>
      <c r="E2033" t="str">
        <f t="shared" ca="1" si="692"/>
        <v/>
      </c>
      <c r="F2033" t="str">
        <f t="shared" ca="1" si="693"/>
        <v xml:space="preserve">Enter a 'Employee Units' for  building 29 in cell E32.
</v>
      </c>
      <c r="G2033" s="9" t="str">
        <f t="shared" ca="1" si="686"/>
        <v xml:space="preserve">Enter a value for 'Number of Floors in the Tallest Building' in cell B58.
</v>
      </c>
      <c r="H2033" s="52" t="str">
        <f t="shared" ca="1" si="694"/>
        <v>Employee Units</v>
      </c>
      <c r="I2033" s="52">
        <v>5</v>
      </c>
    </row>
    <row r="2034" spans="1:10" ht="15" customHeight="1">
      <c r="A2034" t="str">
        <f t="shared" ca="1" si="689"/>
        <v/>
      </c>
      <c r="B2034">
        <f t="shared" si="690"/>
        <v>32</v>
      </c>
      <c r="C2034">
        <f t="shared" ca="1" si="688"/>
        <v>29</v>
      </c>
      <c r="D2034" t="str">
        <f t="shared" si="691"/>
        <v>F32</v>
      </c>
      <c r="E2034" t="str">
        <f t="shared" ca="1" si="692"/>
        <v/>
      </c>
      <c r="F2034" t="str">
        <f t="shared" ca="1" si="693"/>
        <v xml:space="preserve">Enter a 'Low-Income Units' for  building 29 in cell F32.
</v>
      </c>
      <c r="G2034" s="9" t="str">
        <f t="shared" ca="1" si="686"/>
        <v xml:space="preserve">Enter a value for 'Number of Floors in the Tallest Building' in cell B58.
</v>
      </c>
      <c r="H2034" s="52" t="str">
        <f t="shared" ca="1" si="694"/>
        <v>Low-Income Units</v>
      </c>
      <c r="I2034" s="52">
        <v>6</v>
      </c>
    </row>
    <row r="2035" spans="1:10" ht="15" customHeight="1">
      <c r="A2035" t="str">
        <f t="shared" ca="1" si="689"/>
        <v/>
      </c>
      <c r="B2035">
        <f t="shared" si="690"/>
        <v>32</v>
      </c>
      <c r="C2035">
        <f t="shared" ca="1" si="688"/>
        <v>29</v>
      </c>
      <c r="D2035" t="str">
        <f t="shared" si="691"/>
        <v>G32</v>
      </c>
      <c r="E2035" t="str">
        <f t="shared" ca="1" si="692"/>
        <v/>
      </c>
      <c r="F2035" t="str">
        <f t="shared" ca="1" si="693"/>
        <v xml:space="preserve">Enter a 'Residential Square Footage**' for  building 29 in cell G32.
</v>
      </c>
      <c r="G2035" s="9" t="str">
        <f t="shared" ca="1" si="686"/>
        <v xml:space="preserve">Enter a value for 'Number of Floors in the Tallest Building' in cell B58.
</v>
      </c>
      <c r="H2035" s="52" t="str">
        <f t="shared" ca="1" si="694"/>
        <v>Residential Square Footage**</v>
      </c>
      <c r="I2035" s="52">
        <v>7</v>
      </c>
    </row>
    <row r="2036" spans="1:10" ht="15" customHeight="1">
      <c r="A2036" t="str">
        <f t="shared" ca="1" si="689"/>
        <v/>
      </c>
      <c r="B2036">
        <f t="shared" si="690"/>
        <v>32</v>
      </c>
      <c r="C2036">
        <f t="shared" ca="1" si="688"/>
        <v>29</v>
      </c>
      <c r="D2036" t="str">
        <f t="shared" si="691"/>
        <v>H32</v>
      </c>
      <c r="E2036" t="str">
        <f t="shared" ca="1" si="692"/>
        <v/>
      </c>
      <c r="F2036" t="str">
        <f t="shared" ca="1" si="693"/>
        <v xml:space="preserve">Enter a 'Square Footage of Employee Units' for  building 29 in cell H32.
</v>
      </c>
      <c r="G2036" s="9" t="str">
        <f t="shared" ca="1" si="686"/>
        <v xml:space="preserve">Enter a value for 'Number of Floors in the Tallest Building' in cell B58.
</v>
      </c>
      <c r="H2036" s="52" t="str">
        <f t="shared" ca="1" si="694"/>
        <v>Square Footage of Employee Units</v>
      </c>
      <c r="I2036" s="52">
        <v>8</v>
      </c>
    </row>
    <row r="2037" spans="1:10" ht="15" customHeight="1">
      <c r="A2037" t="str">
        <f t="shared" ca="1" si="689"/>
        <v/>
      </c>
      <c r="B2037">
        <f t="shared" si="690"/>
        <v>32</v>
      </c>
      <c r="C2037">
        <f t="shared" ca="1" si="688"/>
        <v>29</v>
      </c>
      <c r="D2037" t="str">
        <f t="shared" si="691"/>
        <v>I32</v>
      </c>
      <c r="E2037" t="str">
        <f t="shared" ca="1" si="692"/>
        <v/>
      </c>
      <c r="F2037" t="str">
        <f t="shared" ca="1" si="693"/>
        <v xml:space="preserve">Enter a 'Square Footage of Low-Income Units' for  building 29 in cell I32.
</v>
      </c>
      <c r="G2037" s="9" t="str">
        <f t="shared" ca="1" si="686"/>
        <v xml:space="preserve">Enter a value for 'Number of Floors in the Tallest Building' in cell B58.
</v>
      </c>
      <c r="H2037" s="52" t="str">
        <f t="shared" ca="1" si="694"/>
        <v>Square Footage of Low-Income Units</v>
      </c>
      <c r="I2037" s="52">
        <v>9</v>
      </c>
    </row>
    <row r="2038" spans="1:10" ht="15" customHeight="1">
      <c r="A2038" t="str">
        <f t="shared" ca="1" si="689"/>
        <v/>
      </c>
      <c r="B2038">
        <f t="shared" si="690"/>
        <v>32</v>
      </c>
      <c r="C2038">
        <f t="shared" ca="1" si="688"/>
        <v>29</v>
      </c>
      <c r="D2038" t="str">
        <f t="shared" si="691"/>
        <v>J32</v>
      </c>
      <c r="E2038" t="str">
        <f t="shared" ca="1" si="692"/>
        <v/>
      </c>
      <c r="F2038" t="str">
        <f t="shared" ca="1" si="693"/>
        <v xml:space="preserve">Enter a 'Placed-In-Service Date' for  building 29 in cell J32.
</v>
      </c>
      <c r="G2038" s="9" t="str">
        <f t="shared" ca="1" si="686"/>
        <v xml:space="preserve">Enter a value for 'Number of Floors in the Tallest Building' in cell B58.
</v>
      </c>
      <c r="H2038" s="52" t="str">
        <f t="shared" ca="1" si="694"/>
        <v>Placed-In-Service Date</v>
      </c>
      <c r="I2038" s="52">
        <v>10</v>
      </c>
    </row>
    <row r="2039" spans="1:10" ht="15" customHeight="1">
      <c r="A2039" t="str">
        <f t="shared" ca="1" si="689"/>
        <v/>
      </c>
      <c r="B2039">
        <f t="shared" si="690"/>
        <v>32</v>
      </c>
      <c r="C2039">
        <f t="shared" ca="1" si="688"/>
        <v>29</v>
      </c>
      <c r="D2039" t="str">
        <f t="shared" si="691"/>
        <v>K32</v>
      </c>
      <c r="E2039" t="str">
        <f t="shared" ca="1" si="692"/>
        <v/>
      </c>
      <c r="F2039" t="str">
        <f t="shared" ca="1" si="693"/>
        <v xml:space="preserve">Enter a 'New Construction/ Rehab APR' for  building 29 in cell K32.
</v>
      </c>
      <c r="G2039" s="9" t="str">
        <f t="shared" ca="1" si="686"/>
        <v xml:space="preserve">Enter a value for 'Number of Floors in the Tallest Building' in cell B58.
</v>
      </c>
      <c r="H2039" s="52" t="str">
        <f t="shared" ca="1" si="694"/>
        <v>New Construction/ Rehab APR</v>
      </c>
      <c r="I2039" s="52">
        <v>11</v>
      </c>
    </row>
    <row r="2040" spans="1:10" ht="15" customHeight="1">
      <c r="A2040" t="str">
        <f t="shared" ca="1" si="689"/>
        <v/>
      </c>
      <c r="B2040">
        <f t="shared" si="690"/>
        <v>32</v>
      </c>
      <c r="C2040">
        <f t="shared" ca="1" si="688"/>
        <v>29</v>
      </c>
      <c r="D2040" t="str">
        <f t="shared" si="691"/>
        <v>L32</v>
      </c>
      <c r="E2040" t="str">
        <f t="shared" ca="1" si="692"/>
        <v/>
      </c>
      <c r="F2040" t="str">
        <f t="shared" ca="1" si="693"/>
        <v xml:space="preserve">Enter a 'New Construction Eligible Basis' for  building 29 in cell L32.
</v>
      </c>
      <c r="G2040" s="9" t="str">
        <f t="shared" ca="1" si="686"/>
        <v xml:space="preserve">Enter a value for 'Number of Floors in the Tallest Building' in cell B58.
</v>
      </c>
      <c r="H2040" s="52" t="str">
        <f t="shared" ca="1" si="694"/>
        <v>New Construction Eligible Basis</v>
      </c>
      <c r="I2040" s="52">
        <v>12</v>
      </c>
    </row>
    <row r="2041" spans="1:10" ht="15" customHeight="1">
      <c r="A2041" t="str">
        <f ca="1">IF(AND(OFFSET(A2041, -I2041 + 2, 4) &gt;  0, E2041="", Calculations!$B$7), F2041, "")</f>
        <v/>
      </c>
      <c r="B2041">
        <f t="shared" si="690"/>
        <v>32</v>
      </c>
      <c r="C2041">
        <f t="shared" ca="1" si="688"/>
        <v>29</v>
      </c>
      <c r="D2041" t="str">
        <f t="shared" si="691"/>
        <v>M32</v>
      </c>
      <c r="E2041" t="str">
        <f t="shared" ca="1" si="692"/>
        <v/>
      </c>
      <c r="F2041" t="str">
        <f t="shared" ca="1" si="693"/>
        <v xml:space="preserve">Enter a 'Eligible Basis for Rehab' for  building 29 in cell M32.
</v>
      </c>
      <c r="G2041" s="9" t="str">
        <f t="shared" ca="1" si="686"/>
        <v xml:space="preserve">Enter a value for 'Number of Floors in the Tallest Building' in cell B58.
</v>
      </c>
      <c r="H2041" s="52" t="str">
        <f t="shared" ca="1" si="694"/>
        <v>Eligible Basis for Rehab</v>
      </c>
      <c r="I2041" s="52">
        <v>13</v>
      </c>
    </row>
    <row r="2042" spans="1:10" ht="15" customHeight="1">
      <c r="A2042" t="str">
        <f ca="1">IF(AND(OFFSET(A2042, -I2042 + 2, 4) &gt;  0, E2042="", Calculations!$B$7), F2042, "")</f>
        <v/>
      </c>
      <c r="B2042">
        <f t="shared" si="690"/>
        <v>32</v>
      </c>
      <c r="C2042">
        <f t="shared" ca="1" si="688"/>
        <v>29</v>
      </c>
      <c r="D2042" t="str">
        <f t="shared" si="691"/>
        <v>N32</v>
      </c>
      <c r="E2042" t="str">
        <f t="shared" ca="1" si="692"/>
        <v/>
      </c>
      <c r="F2042" t="str">
        <f t="shared" ca="1" si="693"/>
        <v xml:space="preserve">Enter a 'Cost of Acquiring the Building***' for  building 29 in cell N32.
</v>
      </c>
      <c r="G2042" s="9" t="str">
        <f t="shared" ca="1" si="686"/>
        <v xml:space="preserve">Enter a value for 'Number of Floors in the Tallest Building' in cell B58.
</v>
      </c>
      <c r="H2042" s="52" t="str">
        <f t="shared" ca="1" si="694"/>
        <v>Cost of Acquiring the Building***</v>
      </c>
      <c r="I2042" s="52">
        <v>14</v>
      </c>
    </row>
    <row r="2043" spans="1:10" ht="15" customHeight="1">
      <c r="A2043" t="str">
        <f ca="1">IF(AND(OFFSET(A2043, -I2043 + 2, 4) &gt;  0, E2043="", Calculations!$B$7), F2043, "")</f>
        <v/>
      </c>
      <c r="B2043">
        <f t="shared" si="690"/>
        <v>32</v>
      </c>
      <c r="C2043">
        <f t="shared" ca="1" si="688"/>
        <v>29</v>
      </c>
      <c r="D2043" t="str">
        <f t="shared" si="691"/>
        <v>O32</v>
      </c>
      <c r="E2043" t="str">
        <f t="shared" ca="1" si="692"/>
        <v/>
      </c>
      <c r="F2043" t="str">
        <f t="shared" ca="1" si="693"/>
        <v xml:space="preserve">Enter a 'Higher of Land Purchase Price or Land Appraised Value****' for  building 29 in cell O32.
</v>
      </c>
      <c r="G2043" s="9" t="str">
        <f t="shared" ca="1" si="686"/>
        <v xml:space="preserve">Enter a value for 'Number of Floors in the Tallest Building' in cell B58.
</v>
      </c>
      <c r="H2043" s="52" t="str">
        <f t="shared" ca="1" si="694"/>
        <v>Higher of Land Purchase Price or Land Appraised Value****</v>
      </c>
      <c r="I2043" s="52">
        <v>15</v>
      </c>
    </row>
    <row r="2044" spans="1:10" ht="15" customHeight="1">
      <c r="A2044" t="str">
        <f ca="1">IF(AND(OFFSET(A2044, -I2044 + 2, 4) &gt;  0, E2044="", Calculations!$B$7), F2044, "")</f>
        <v/>
      </c>
      <c r="B2044">
        <f t="shared" si="690"/>
        <v>32</v>
      </c>
      <c r="C2044">
        <f t="shared" ca="1" si="688"/>
        <v>29</v>
      </c>
      <c r="D2044" t="str">
        <f t="shared" si="691"/>
        <v>P32</v>
      </c>
      <c r="E2044" t="str">
        <f t="shared" ca="1" si="692"/>
        <v/>
      </c>
      <c r="F2044" t="str">
        <f t="shared" ca="1" si="693"/>
        <v xml:space="preserve">Enter a 'Acquisition Placed-in-Service Date' for  building 29 in cell P32.
</v>
      </c>
      <c r="G2044" s="9" t="str">
        <f t="shared" ca="1" si="686"/>
        <v xml:space="preserve">Enter a value for 'Number of Floors in the Tallest Building' in cell B58.
</v>
      </c>
      <c r="H2044" s="52" t="str">
        <f t="shared" ca="1" si="694"/>
        <v>Acquisition Placed-in-Service Date</v>
      </c>
      <c r="I2044" s="52">
        <v>16</v>
      </c>
    </row>
    <row r="2045" spans="1:10" ht="15" customHeight="1">
      <c r="A2045" t="str">
        <f ca="1">IF(AND(OFFSET(A2045, -I2045 + 2, 4) &gt;  0, E2045="", Calculations!$B$7), F2045, "")</f>
        <v/>
      </c>
      <c r="B2045">
        <f t="shared" si="690"/>
        <v>32</v>
      </c>
      <c r="C2045">
        <f t="shared" ca="1" si="688"/>
        <v>29</v>
      </c>
      <c r="D2045" t="str">
        <f t="shared" si="691"/>
        <v>Q32</v>
      </c>
      <c r="E2045" t="str">
        <f t="shared" ca="1" si="692"/>
        <v/>
      </c>
      <c r="F2045" t="str">
        <f t="shared" ca="1" si="693"/>
        <v xml:space="preserve">Enter a 'Acquisition APR' for  building 29 in cell Q32.
</v>
      </c>
      <c r="G2045" s="9" t="str">
        <f t="shared" ca="1" si="686"/>
        <v xml:space="preserve">Enter a value for 'Number of Floors in the Tallest Building' in cell B58.
</v>
      </c>
      <c r="H2045" s="52" t="str">
        <f t="shared" ca="1" si="694"/>
        <v>Acquisition APR</v>
      </c>
      <c r="I2045" s="52">
        <v>17</v>
      </c>
    </row>
    <row r="2046" spans="1:10" ht="15" customHeight="1">
      <c r="A2046" t="str">
        <f ca="1">IF(AND(Calculations!$B$4,Calculations!$B$28&gt;=C2046, E2046 &lt;&gt; 13),F2046,"")</f>
        <v/>
      </c>
      <c r="B2046">
        <f>ROW('Final Building Profile'!C33)</f>
        <v>33</v>
      </c>
      <c r="C2046">
        <f t="shared" ca="1" si="688"/>
        <v>30</v>
      </c>
      <c r="D2046" t="str">
        <f>ADDRESS(B2046, 3,4  )</f>
        <v>C33</v>
      </c>
      <c r="E2046" s="52">
        <f ca="1">H2046+I2046</f>
        <v>0</v>
      </c>
      <c r="F2046" t="str">
        <f ca="1">CONCATENATE("Based upon the number of buildings specified, information for  building ", C2046, " required for a final application in row ", B2046, ".", CHAR(10))</f>
        <v xml:space="preserve">Based upon the number of buildings specified, information for  building 30 required for a final application in row 33.
</v>
      </c>
      <c r="G2046" s="9" t="str">
        <f t="shared" ca="1" si="686"/>
        <v xml:space="preserve">Enter a value for 'Number of Floors in the Tallest Building' in cell B58.
</v>
      </c>
      <c r="H2046" s="52">
        <f ca="1">SUMPRODUCT(--ISTEXT(INDIRECT(J2046)))</f>
        <v>0</v>
      </c>
      <c r="I2046" s="52">
        <f ca="1">SUMPRODUCT(--ISNUMBER(INDIRECT(J2046)))</f>
        <v>0</v>
      </c>
      <c r="J2046" s="52" t="str">
        <f>$F$1564&amp; ADDRESS(B2046,3,4) &amp; ":" &amp; ADDRESS(B2046,15,4)</f>
        <v>'Final Building Profile'!C33:O33</v>
      </c>
    </row>
    <row r="2047" spans="1:10" ht="15" customHeight="1">
      <c r="A2047" t="str">
        <f t="shared" ref="A2047:A2056" ca="1" si="695">IF(AND(OFFSET(A2047, -I2047 + 2, 4) &gt;  0, E2047=""), F2047, "")</f>
        <v/>
      </c>
      <c r="B2047">
        <f t="shared" ref="B2047:B2061" si="696">B2046</f>
        <v>33</v>
      </c>
      <c r="C2047">
        <f t="shared" ca="1" si="688"/>
        <v>30</v>
      </c>
      <c r="D2047" t="str">
        <f t="shared" ref="D2047:D2061" si="697">ADDRESS(B2047, I2047,4  )</f>
        <v>C33</v>
      </c>
      <c r="E2047" t="str">
        <f t="shared" ref="E2047:E2061" ca="1" si="698">IF(ISBLANK( INDIRECT($F$1564 &amp; D2047)),"", INDIRECT($F$1564 &amp; D2047))</f>
        <v/>
      </c>
      <c r="F2047" t="str">
        <f t="shared" ref="F2047:F2061" ca="1" si="699">CONCATENATE("Enter a '"&amp; H2047 &amp;"' for  building ", C2047, " in cell ", D2047, ".", CHAR(10))</f>
        <v xml:space="preserve">Enter a 'Building Street Address Only 
(DO NOT ENTER CITY, STATE, OR ZIP)' for  building 30 in cell C33.
</v>
      </c>
      <c r="G2047" s="9" t="str">
        <f t="shared" ca="1" si="686"/>
        <v xml:space="preserve">Enter a value for 'Number of Floors in the Tallest Building' in cell B58.
</v>
      </c>
      <c r="H2047" s="52" t="str">
        <f t="shared" ref="H2047:H2061" ca="1" si="700">OFFSET(INDIRECT($F$1564 &amp; D2047), -B2047 + 3, 0)</f>
        <v>Building Street Address Only 
(DO NOT ENTER CITY, STATE, OR ZIP)</v>
      </c>
      <c r="I2047" s="52">
        <v>3</v>
      </c>
    </row>
    <row r="2048" spans="1:10" ht="15" customHeight="1">
      <c r="A2048" t="str">
        <f t="shared" ca="1" si="695"/>
        <v/>
      </c>
      <c r="B2048">
        <f t="shared" si="696"/>
        <v>33</v>
      </c>
      <c r="C2048">
        <f t="shared" ca="1" si="688"/>
        <v>30</v>
      </c>
      <c r="D2048" t="str">
        <f t="shared" si="697"/>
        <v>D33</v>
      </c>
      <c r="E2048" t="str">
        <f t="shared" ca="1" si="698"/>
        <v/>
      </c>
      <c r="F2048" t="str">
        <f t="shared" ca="1" si="699"/>
        <v xml:space="preserve">Enter a 'Total Units in Building*' for  building 30 in cell D33.
</v>
      </c>
      <c r="G2048" s="9" t="str">
        <f t="shared" ca="1" si="686"/>
        <v xml:space="preserve">Enter a value for 'Number of Floors in the Tallest Building' in cell B58.
</v>
      </c>
      <c r="H2048" s="52" t="str">
        <f t="shared" ca="1" si="700"/>
        <v>Total Units in Building*</v>
      </c>
      <c r="I2048" s="52">
        <v>4</v>
      </c>
    </row>
    <row r="2049" spans="1:10" ht="15" customHeight="1">
      <c r="A2049" t="str">
        <f t="shared" ca="1" si="695"/>
        <v/>
      </c>
      <c r="B2049">
        <f t="shared" si="696"/>
        <v>33</v>
      </c>
      <c r="C2049">
        <f t="shared" ca="1" si="688"/>
        <v>30</v>
      </c>
      <c r="D2049" t="str">
        <f t="shared" si="697"/>
        <v>E33</v>
      </c>
      <c r="E2049" t="str">
        <f t="shared" ca="1" si="698"/>
        <v/>
      </c>
      <c r="F2049" t="str">
        <f t="shared" ca="1" si="699"/>
        <v xml:space="preserve">Enter a 'Employee Units' for  building 30 in cell E33.
</v>
      </c>
      <c r="G2049" s="9" t="str">
        <f t="shared" ca="1" si="686"/>
        <v xml:space="preserve">Enter a value for 'Number of Floors in the Tallest Building' in cell B58.
</v>
      </c>
      <c r="H2049" s="52" t="str">
        <f t="shared" ca="1" si="700"/>
        <v>Employee Units</v>
      </c>
      <c r="I2049" s="52">
        <v>5</v>
      </c>
    </row>
    <row r="2050" spans="1:10" ht="15" customHeight="1">
      <c r="A2050" t="str">
        <f t="shared" ca="1" si="695"/>
        <v/>
      </c>
      <c r="B2050">
        <f t="shared" si="696"/>
        <v>33</v>
      </c>
      <c r="C2050">
        <f t="shared" ca="1" si="688"/>
        <v>30</v>
      </c>
      <c r="D2050" t="str">
        <f t="shared" si="697"/>
        <v>F33</v>
      </c>
      <c r="E2050" t="str">
        <f t="shared" ca="1" si="698"/>
        <v/>
      </c>
      <c r="F2050" t="str">
        <f t="shared" ca="1" si="699"/>
        <v xml:space="preserve">Enter a 'Low-Income Units' for  building 30 in cell F33.
</v>
      </c>
      <c r="G2050" s="9" t="str">
        <f t="shared" ca="1" si="686"/>
        <v xml:space="preserve">Enter a value for 'Number of Floors in the Tallest Building' in cell B58.
</v>
      </c>
      <c r="H2050" s="52" t="str">
        <f t="shared" ca="1" si="700"/>
        <v>Low-Income Units</v>
      </c>
      <c r="I2050" s="52">
        <v>6</v>
      </c>
    </row>
    <row r="2051" spans="1:10" ht="15" customHeight="1">
      <c r="A2051" t="str">
        <f t="shared" ca="1" si="695"/>
        <v/>
      </c>
      <c r="B2051">
        <f t="shared" si="696"/>
        <v>33</v>
      </c>
      <c r="C2051">
        <f t="shared" ca="1" si="688"/>
        <v>30</v>
      </c>
      <c r="D2051" t="str">
        <f t="shared" si="697"/>
        <v>G33</v>
      </c>
      <c r="E2051" t="str">
        <f t="shared" ca="1" si="698"/>
        <v/>
      </c>
      <c r="F2051" t="str">
        <f t="shared" ca="1" si="699"/>
        <v xml:space="preserve">Enter a 'Residential Square Footage**' for  building 30 in cell G33.
</v>
      </c>
      <c r="G2051" s="9" t="str">
        <f t="shared" ca="1" si="686"/>
        <v xml:space="preserve">Enter a value for 'Number of Floors in the Tallest Building' in cell B58.
</v>
      </c>
      <c r="H2051" s="52" t="str">
        <f t="shared" ca="1" si="700"/>
        <v>Residential Square Footage**</v>
      </c>
      <c r="I2051" s="52">
        <v>7</v>
      </c>
    </row>
    <row r="2052" spans="1:10" ht="15" customHeight="1">
      <c r="A2052" t="str">
        <f t="shared" ca="1" si="695"/>
        <v/>
      </c>
      <c r="B2052">
        <f t="shared" si="696"/>
        <v>33</v>
      </c>
      <c r="C2052">
        <f t="shared" ca="1" si="688"/>
        <v>30</v>
      </c>
      <c r="D2052" t="str">
        <f t="shared" si="697"/>
        <v>H33</v>
      </c>
      <c r="E2052" t="str">
        <f t="shared" ca="1" si="698"/>
        <v/>
      </c>
      <c r="F2052" t="str">
        <f t="shared" ca="1" si="699"/>
        <v xml:space="preserve">Enter a 'Square Footage of Employee Units' for  building 30 in cell H33.
</v>
      </c>
      <c r="G2052" s="9" t="str">
        <f t="shared" ca="1" si="686"/>
        <v xml:space="preserve">Enter a value for 'Number of Floors in the Tallest Building' in cell B58.
</v>
      </c>
      <c r="H2052" s="52" t="str">
        <f t="shared" ca="1" si="700"/>
        <v>Square Footage of Employee Units</v>
      </c>
      <c r="I2052" s="52">
        <v>8</v>
      </c>
    </row>
    <row r="2053" spans="1:10" ht="15" customHeight="1">
      <c r="A2053" t="str">
        <f t="shared" ca="1" si="695"/>
        <v/>
      </c>
      <c r="B2053">
        <f t="shared" si="696"/>
        <v>33</v>
      </c>
      <c r="C2053">
        <f t="shared" ca="1" si="688"/>
        <v>30</v>
      </c>
      <c r="D2053" t="str">
        <f t="shared" si="697"/>
        <v>I33</v>
      </c>
      <c r="E2053" t="str">
        <f t="shared" ca="1" si="698"/>
        <v/>
      </c>
      <c r="F2053" t="str">
        <f t="shared" ca="1" si="699"/>
        <v xml:space="preserve">Enter a 'Square Footage of Low-Income Units' for  building 30 in cell I33.
</v>
      </c>
      <c r="G2053" s="9" t="str">
        <f t="shared" ca="1" si="686"/>
        <v xml:space="preserve">Enter a value for 'Number of Floors in the Tallest Building' in cell B58.
</v>
      </c>
      <c r="H2053" s="52" t="str">
        <f t="shared" ca="1" si="700"/>
        <v>Square Footage of Low-Income Units</v>
      </c>
      <c r="I2053" s="52">
        <v>9</v>
      </c>
    </row>
    <row r="2054" spans="1:10" ht="15" customHeight="1">
      <c r="A2054" t="str">
        <f t="shared" ca="1" si="695"/>
        <v/>
      </c>
      <c r="B2054">
        <f t="shared" si="696"/>
        <v>33</v>
      </c>
      <c r="C2054">
        <f t="shared" ca="1" si="688"/>
        <v>30</v>
      </c>
      <c r="D2054" t="str">
        <f t="shared" si="697"/>
        <v>J33</v>
      </c>
      <c r="E2054" t="str">
        <f t="shared" ca="1" si="698"/>
        <v/>
      </c>
      <c r="F2054" t="str">
        <f t="shared" ca="1" si="699"/>
        <v xml:space="preserve">Enter a 'Placed-In-Service Date' for  building 30 in cell J33.
</v>
      </c>
      <c r="G2054" s="9" t="str">
        <f t="shared" ca="1" si="686"/>
        <v xml:space="preserve">Enter a value for 'Number of Floors in the Tallest Building' in cell B58.
</v>
      </c>
      <c r="H2054" s="52" t="str">
        <f t="shared" ca="1" si="700"/>
        <v>Placed-In-Service Date</v>
      </c>
      <c r="I2054" s="52">
        <v>10</v>
      </c>
    </row>
    <row r="2055" spans="1:10" ht="15" customHeight="1">
      <c r="A2055" t="str">
        <f t="shared" ca="1" si="695"/>
        <v/>
      </c>
      <c r="B2055">
        <f t="shared" si="696"/>
        <v>33</v>
      </c>
      <c r="C2055">
        <f t="shared" ca="1" si="688"/>
        <v>30</v>
      </c>
      <c r="D2055" t="str">
        <f t="shared" si="697"/>
        <v>K33</v>
      </c>
      <c r="E2055" t="str">
        <f t="shared" ca="1" si="698"/>
        <v/>
      </c>
      <c r="F2055" t="str">
        <f t="shared" ca="1" si="699"/>
        <v xml:space="preserve">Enter a 'New Construction/ Rehab APR' for  building 30 in cell K33.
</v>
      </c>
      <c r="G2055" s="9" t="str">
        <f t="shared" ca="1" si="686"/>
        <v xml:space="preserve">Enter a value for 'Number of Floors in the Tallest Building' in cell B58.
</v>
      </c>
      <c r="H2055" s="52" t="str">
        <f t="shared" ca="1" si="700"/>
        <v>New Construction/ Rehab APR</v>
      </c>
      <c r="I2055" s="52">
        <v>11</v>
      </c>
    </row>
    <row r="2056" spans="1:10" ht="15" customHeight="1">
      <c r="A2056" t="str">
        <f t="shared" ca="1" si="695"/>
        <v/>
      </c>
      <c r="B2056">
        <f t="shared" si="696"/>
        <v>33</v>
      </c>
      <c r="C2056">
        <f t="shared" ca="1" si="688"/>
        <v>30</v>
      </c>
      <c r="D2056" t="str">
        <f t="shared" si="697"/>
        <v>L33</v>
      </c>
      <c r="E2056" t="str">
        <f t="shared" ca="1" si="698"/>
        <v/>
      </c>
      <c r="F2056" t="str">
        <f t="shared" ca="1" si="699"/>
        <v xml:space="preserve">Enter a 'New Construction Eligible Basis' for  building 30 in cell L33.
</v>
      </c>
      <c r="G2056" s="9" t="str">
        <f t="shared" ca="1" si="686"/>
        <v xml:space="preserve">Enter a value for 'Number of Floors in the Tallest Building' in cell B58.
</v>
      </c>
      <c r="H2056" s="52" t="str">
        <f t="shared" ca="1" si="700"/>
        <v>New Construction Eligible Basis</v>
      </c>
      <c r="I2056" s="52">
        <v>12</v>
      </c>
    </row>
    <row r="2057" spans="1:10" ht="15" customHeight="1">
      <c r="A2057" t="str">
        <f ca="1">IF(AND(OFFSET(A2057, -I2057 + 2, 4) &gt;  0, E2057="", Calculations!$B$7), F2057, "")</f>
        <v/>
      </c>
      <c r="B2057">
        <f t="shared" si="696"/>
        <v>33</v>
      </c>
      <c r="C2057">
        <f t="shared" ca="1" si="688"/>
        <v>30</v>
      </c>
      <c r="D2057" t="str">
        <f t="shared" si="697"/>
        <v>M33</v>
      </c>
      <c r="E2057" t="str">
        <f t="shared" ca="1" si="698"/>
        <v/>
      </c>
      <c r="F2057" t="str">
        <f t="shared" ca="1" si="699"/>
        <v xml:space="preserve">Enter a 'Eligible Basis for Rehab' for  building 30 in cell M33.
</v>
      </c>
      <c r="G2057" s="9" t="str">
        <f t="shared" ca="1" si="686"/>
        <v xml:space="preserve">Enter a value for 'Number of Floors in the Tallest Building' in cell B58.
</v>
      </c>
      <c r="H2057" s="52" t="str">
        <f t="shared" ca="1" si="700"/>
        <v>Eligible Basis for Rehab</v>
      </c>
      <c r="I2057" s="52">
        <v>13</v>
      </c>
    </row>
    <row r="2058" spans="1:10" ht="15" customHeight="1">
      <c r="A2058" t="str">
        <f ca="1">IF(AND(OFFSET(A2058, -I2058 + 2, 4) &gt;  0, E2058="", Calculations!$B$7), F2058, "")</f>
        <v/>
      </c>
      <c r="B2058">
        <f t="shared" si="696"/>
        <v>33</v>
      </c>
      <c r="C2058">
        <f t="shared" ca="1" si="688"/>
        <v>30</v>
      </c>
      <c r="D2058" t="str">
        <f t="shared" si="697"/>
        <v>N33</v>
      </c>
      <c r="E2058" t="str">
        <f t="shared" ca="1" si="698"/>
        <v/>
      </c>
      <c r="F2058" t="str">
        <f t="shared" ca="1" si="699"/>
        <v xml:space="preserve">Enter a 'Cost of Acquiring the Building***' for  building 30 in cell N33.
</v>
      </c>
      <c r="G2058" s="9" t="str">
        <f t="shared" ca="1" si="686"/>
        <v xml:space="preserve">Enter a value for 'Number of Floors in the Tallest Building' in cell B58.
</v>
      </c>
      <c r="H2058" s="52" t="str">
        <f t="shared" ca="1" si="700"/>
        <v>Cost of Acquiring the Building***</v>
      </c>
      <c r="I2058" s="52">
        <v>14</v>
      </c>
    </row>
    <row r="2059" spans="1:10" ht="15" customHeight="1">
      <c r="A2059" t="str">
        <f ca="1">IF(AND(OFFSET(A2059, -I2059 + 2, 4) &gt;  0, E2059="", Calculations!$B$7), F2059, "")</f>
        <v/>
      </c>
      <c r="B2059">
        <f t="shared" si="696"/>
        <v>33</v>
      </c>
      <c r="C2059">
        <f t="shared" ca="1" si="688"/>
        <v>30</v>
      </c>
      <c r="D2059" t="str">
        <f t="shared" si="697"/>
        <v>O33</v>
      </c>
      <c r="E2059" t="str">
        <f t="shared" ca="1" si="698"/>
        <v/>
      </c>
      <c r="F2059" t="str">
        <f t="shared" ca="1" si="699"/>
        <v xml:space="preserve">Enter a 'Higher of Land Purchase Price or Land Appraised Value****' for  building 30 in cell O33.
</v>
      </c>
      <c r="G2059" s="9" t="str">
        <f t="shared" ca="1" si="686"/>
        <v xml:space="preserve">Enter a value for 'Number of Floors in the Tallest Building' in cell B58.
</v>
      </c>
      <c r="H2059" s="52" t="str">
        <f t="shared" ca="1" si="700"/>
        <v>Higher of Land Purchase Price or Land Appraised Value****</v>
      </c>
      <c r="I2059" s="52">
        <v>15</v>
      </c>
    </row>
    <row r="2060" spans="1:10" ht="15" customHeight="1">
      <c r="A2060" t="str">
        <f ca="1">IF(AND(OFFSET(A2060, -I2060 + 2, 4) &gt;  0, E2060="", Calculations!$B$7), F2060, "")</f>
        <v/>
      </c>
      <c r="B2060">
        <f t="shared" si="696"/>
        <v>33</v>
      </c>
      <c r="C2060">
        <f t="shared" ca="1" si="688"/>
        <v>30</v>
      </c>
      <c r="D2060" t="str">
        <f t="shared" si="697"/>
        <v>P33</v>
      </c>
      <c r="E2060" t="str">
        <f t="shared" ca="1" si="698"/>
        <v/>
      </c>
      <c r="F2060" t="str">
        <f t="shared" ca="1" si="699"/>
        <v xml:space="preserve">Enter a 'Acquisition Placed-in-Service Date' for  building 30 in cell P33.
</v>
      </c>
      <c r="G2060" s="9" t="str">
        <f t="shared" ca="1" si="686"/>
        <v xml:space="preserve">Enter a value for 'Number of Floors in the Tallest Building' in cell B58.
</v>
      </c>
      <c r="H2060" s="52" t="str">
        <f t="shared" ca="1" si="700"/>
        <v>Acquisition Placed-in-Service Date</v>
      </c>
      <c r="I2060" s="52">
        <v>16</v>
      </c>
    </row>
    <row r="2061" spans="1:10" ht="15" customHeight="1">
      <c r="A2061" t="str">
        <f ca="1">IF(AND(OFFSET(A2061, -I2061 + 2, 4) &gt;  0, E2061="", Calculations!$B$7), F2061, "")</f>
        <v/>
      </c>
      <c r="B2061">
        <f t="shared" si="696"/>
        <v>33</v>
      </c>
      <c r="C2061">
        <f t="shared" ca="1" si="688"/>
        <v>30</v>
      </c>
      <c r="D2061" t="str">
        <f t="shared" si="697"/>
        <v>Q33</v>
      </c>
      <c r="E2061" t="str">
        <f t="shared" ca="1" si="698"/>
        <v/>
      </c>
      <c r="F2061" t="str">
        <f t="shared" ca="1" si="699"/>
        <v xml:space="preserve">Enter a 'Acquisition APR' for  building 30 in cell Q33.
</v>
      </c>
      <c r="G2061" s="9" t="str">
        <f t="shared" ca="1" si="686"/>
        <v xml:space="preserve">Enter a value for 'Number of Floors in the Tallest Building' in cell B58.
</v>
      </c>
      <c r="H2061" s="52" t="str">
        <f t="shared" ca="1" si="700"/>
        <v>Acquisition APR</v>
      </c>
      <c r="I2061" s="52">
        <v>17</v>
      </c>
    </row>
    <row r="2062" spans="1:10" ht="15" customHeight="1">
      <c r="A2062" t="str">
        <f ca="1">IF(AND(Calculations!$B$4,Calculations!$B$28&gt;=C2062, E2062 &lt;&gt; 13),F2062,"")</f>
        <v/>
      </c>
      <c r="B2062">
        <f>ROW('Final Building Profile'!C34)</f>
        <v>34</v>
      </c>
      <c r="C2062">
        <f t="shared" ca="1" si="688"/>
        <v>31</v>
      </c>
      <c r="D2062" t="str">
        <f>ADDRESS(B2062, 3,4  )</f>
        <v>C34</v>
      </c>
      <c r="E2062" s="52">
        <f ca="1">H2062+I2062</f>
        <v>0</v>
      </c>
      <c r="F2062" t="str">
        <f ca="1">CONCATENATE("Based upon the number of buildings specified, information for  building ", C2062, " required for a final application in row ", B2062, ".", CHAR(10))</f>
        <v xml:space="preserve">Based upon the number of buildings specified, information for  building 31 required for a final application in row 34.
</v>
      </c>
      <c r="G2062" s="9" t="str">
        <f t="shared" ca="1" si="686"/>
        <v xml:space="preserve">Enter a value for 'Number of Floors in the Tallest Building' in cell B58.
</v>
      </c>
      <c r="H2062" s="52">
        <f ca="1">SUMPRODUCT(--ISTEXT(INDIRECT(J2062)))</f>
        <v>0</v>
      </c>
      <c r="I2062" s="52">
        <f ca="1">SUMPRODUCT(--ISNUMBER(INDIRECT(J2062)))</f>
        <v>0</v>
      </c>
      <c r="J2062" s="52" t="str">
        <f>$F$1564&amp; ADDRESS(B2062,3,4) &amp; ":" &amp; ADDRESS(B2062,15,4)</f>
        <v>'Final Building Profile'!C34:O34</v>
      </c>
    </row>
    <row r="2063" spans="1:10" ht="15" customHeight="1">
      <c r="A2063" t="str">
        <f t="shared" ref="A2063:A2072" ca="1" si="701">IF(AND(OFFSET(A2063, -I2063 + 2, 4) &gt;  0, E2063=""), F2063, "")</f>
        <v/>
      </c>
      <c r="B2063">
        <f t="shared" ref="B2063:B2077" si="702">B2062</f>
        <v>34</v>
      </c>
      <c r="C2063">
        <f t="shared" ca="1" si="688"/>
        <v>31</v>
      </c>
      <c r="D2063" t="str">
        <f t="shared" ref="D2063:D2077" si="703">ADDRESS(B2063, I2063,4  )</f>
        <v>C34</v>
      </c>
      <c r="E2063" t="str">
        <f t="shared" ref="E2063:E2077" ca="1" si="704">IF(ISBLANK( INDIRECT($F$1564 &amp; D2063)),"", INDIRECT($F$1564 &amp; D2063))</f>
        <v/>
      </c>
      <c r="F2063" t="str">
        <f t="shared" ref="F2063:F2077" ca="1" si="705">CONCATENATE("Enter a '"&amp; H2063 &amp;"' for  building ", C2063, " in cell ", D2063, ".", CHAR(10))</f>
        <v xml:space="preserve">Enter a 'Building Street Address Only 
(DO NOT ENTER CITY, STATE, OR ZIP)' for  building 31 in cell C34.
</v>
      </c>
      <c r="G2063" s="9" t="str">
        <f t="shared" ca="1" si="686"/>
        <v xml:space="preserve">Enter a value for 'Number of Floors in the Tallest Building' in cell B58.
</v>
      </c>
      <c r="H2063" s="52" t="str">
        <f t="shared" ref="H2063:H2077" ca="1" si="706">OFFSET(INDIRECT($F$1564 &amp; D2063), -B2063 + 3, 0)</f>
        <v>Building Street Address Only 
(DO NOT ENTER CITY, STATE, OR ZIP)</v>
      </c>
      <c r="I2063" s="52">
        <v>3</v>
      </c>
    </row>
    <row r="2064" spans="1:10" ht="15" customHeight="1">
      <c r="A2064" t="str">
        <f t="shared" ca="1" si="701"/>
        <v/>
      </c>
      <c r="B2064">
        <f t="shared" si="702"/>
        <v>34</v>
      </c>
      <c r="C2064">
        <f t="shared" ca="1" si="688"/>
        <v>31</v>
      </c>
      <c r="D2064" t="str">
        <f t="shared" si="703"/>
        <v>D34</v>
      </c>
      <c r="E2064" t="str">
        <f t="shared" ca="1" si="704"/>
        <v/>
      </c>
      <c r="F2064" t="str">
        <f t="shared" ca="1" si="705"/>
        <v xml:space="preserve">Enter a 'Total Units in Building*' for  building 31 in cell D34.
</v>
      </c>
      <c r="G2064" s="9" t="str">
        <f t="shared" ca="1" si="686"/>
        <v xml:space="preserve">Enter a value for 'Number of Floors in the Tallest Building' in cell B58.
</v>
      </c>
      <c r="H2064" s="52" t="str">
        <f t="shared" ca="1" si="706"/>
        <v>Total Units in Building*</v>
      </c>
      <c r="I2064" s="52">
        <v>4</v>
      </c>
    </row>
    <row r="2065" spans="1:10" ht="15" customHeight="1">
      <c r="A2065" t="str">
        <f t="shared" ca="1" si="701"/>
        <v/>
      </c>
      <c r="B2065">
        <f t="shared" si="702"/>
        <v>34</v>
      </c>
      <c r="C2065">
        <f t="shared" ca="1" si="688"/>
        <v>31</v>
      </c>
      <c r="D2065" t="str">
        <f t="shared" si="703"/>
        <v>E34</v>
      </c>
      <c r="E2065" t="str">
        <f t="shared" ca="1" si="704"/>
        <v/>
      </c>
      <c r="F2065" t="str">
        <f t="shared" ca="1" si="705"/>
        <v xml:space="preserve">Enter a 'Employee Units' for  building 31 in cell E34.
</v>
      </c>
      <c r="G2065" s="9" t="str">
        <f t="shared" ca="1" si="686"/>
        <v xml:space="preserve">Enter a value for 'Number of Floors in the Tallest Building' in cell B58.
</v>
      </c>
      <c r="H2065" s="52" t="str">
        <f t="shared" ca="1" si="706"/>
        <v>Employee Units</v>
      </c>
      <c r="I2065" s="52">
        <v>5</v>
      </c>
    </row>
    <row r="2066" spans="1:10" ht="15" customHeight="1">
      <c r="A2066" t="str">
        <f t="shared" ca="1" si="701"/>
        <v/>
      </c>
      <c r="B2066">
        <f t="shared" si="702"/>
        <v>34</v>
      </c>
      <c r="C2066">
        <f t="shared" ca="1" si="688"/>
        <v>31</v>
      </c>
      <c r="D2066" t="str">
        <f t="shared" si="703"/>
        <v>F34</v>
      </c>
      <c r="E2066" t="str">
        <f t="shared" ca="1" si="704"/>
        <v/>
      </c>
      <c r="F2066" t="str">
        <f t="shared" ca="1" si="705"/>
        <v xml:space="preserve">Enter a 'Low-Income Units' for  building 31 in cell F34.
</v>
      </c>
      <c r="G2066" s="9" t="str">
        <f t="shared" ca="1" si="686"/>
        <v xml:space="preserve">Enter a value for 'Number of Floors in the Tallest Building' in cell B58.
</v>
      </c>
      <c r="H2066" s="52" t="str">
        <f t="shared" ca="1" si="706"/>
        <v>Low-Income Units</v>
      </c>
      <c r="I2066" s="52">
        <v>6</v>
      </c>
    </row>
    <row r="2067" spans="1:10" ht="15" customHeight="1">
      <c r="A2067" t="str">
        <f t="shared" ca="1" si="701"/>
        <v/>
      </c>
      <c r="B2067">
        <f t="shared" si="702"/>
        <v>34</v>
      </c>
      <c r="C2067">
        <f t="shared" ca="1" si="688"/>
        <v>31</v>
      </c>
      <c r="D2067" t="str">
        <f t="shared" si="703"/>
        <v>G34</v>
      </c>
      <c r="E2067" t="str">
        <f t="shared" ca="1" si="704"/>
        <v/>
      </c>
      <c r="F2067" t="str">
        <f t="shared" ca="1" si="705"/>
        <v xml:space="preserve">Enter a 'Residential Square Footage**' for  building 31 in cell G34.
</v>
      </c>
      <c r="G2067" s="9" t="str">
        <f t="shared" ca="1" si="686"/>
        <v xml:space="preserve">Enter a value for 'Number of Floors in the Tallest Building' in cell B58.
</v>
      </c>
      <c r="H2067" s="52" t="str">
        <f t="shared" ca="1" si="706"/>
        <v>Residential Square Footage**</v>
      </c>
      <c r="I2067" s="52">
        <v>7</v>
      </c>
    </row>
    <row r="2068" spans="1:10" ht="15" customHeight="1">
      <c r="A2068" t="str">
        <f t="shared" ca="1" si="701"/>
        <v/>
      </c>
      <c r="B2068">
        <f t="shared" si="702"/>
        <v>34</v>
      </c>
      <c r="C2068">
        <f t="shared" ca="1" si="688"/>
        <v>31</v>
      </c>
      <c r="D2068" t="str">
        <f t="shared" si="703"/>
        <v>H34</v>
      </c>
      <c r="E2068" t="str">
        <f t="shared" ca="1" si="704"/>
        <v/>
      </c>
      <c r="F2068" t="str">
        <f t="shared" ca="1" si="705"/>
        <v xml:space="preserve">Enter a 'Square Footage of Employee Units' for  building 31 in cell H34.
</v>
      </c>
      <c r="G2068" s="9" t="str">
        <f t="shared" ca="1" si="686"/>
        <v xml:space="preserve">Enter a value for 'Number of Floors in the Tallest Building' in cell B58.
</v>
      </c>
      <c r="H2068" s="52" t="str">
        <f t="shared" ca="1" si="706"/>
        <v>Square Footage of Employee Units</v>
      </c>
      <c r="I2068" s="52">
        <v>8</v>
      </c>
    </row>
    <row r="2069" spans="1:10" ht="15" customHeight="1">
      <c r="A2069" t="str">
        <f t="shared" ca="1" si="701"/>
        <v/>
      </c>
      <c r="B2069">
        <f t="shared" si="702"/>
        <v>34</v>
      </c>
      <c r="C2069">
        <f t="shared" ca="1" si="688"/>
        <v>31</v>
      </c>
      <c r="D2069" t="str">
        <f t="shared" si="703"/>
        <v>I34</v>
      </c>
      <c r="E2069" t="str">
        <f t="shared" ca="1" si="704"/>
        <v/>
      </c>
      <c r="F2069" t="str">
        <f t="shared" ca="1" si="705"/>
        <v xml:space="preserve">Enter a 'Square Footage of Low-Income Units' for  building 31 in cell I34.
</v>
      </c>
      <c r="G2069" s="9" t="str">
        <f t="shared" ca="1" si="686"/>
        <v xml:space="preserve">Enter a value for 'Number of Floors in the Tallest Building' in cell B58.
</v>
      </c>
      <c r="H2069" s="52" t="str">
        <f t="shared" ca="1" si="706"/>
        <v>Square Footage of Low-Income Units</v>
      </c>
      <c r="I2069" s="52">
        <v>9</v>
      </c>
    </row>
    <row r="2070" spans="1:10" ht="15" customHeight="1">
      <c r="A2070" t="str">
        <f t="shared" ca="1" si="701"/>
        <v/>
      </c>
      <c r="B2070">
        <f t="shared" si="702"/>
        <v>34</v>
      </c>
      <c r="C2070">
        <f t="shared" ca="1" si="688"/>
        <v>31</v>
      </c>
      <c r="D2070" t="str">
        <f t="shared" si="703"/>
        <v>J34</v>
      </c>
      <c r="E2070" t="str">
        <f t="shared" ca="1" si="704"/>
        <v/>
      </c>
      <c r="F2070" t="str">
        <f t="shared" ca="1" si="705"/>
        <v xml:space="preserve">Enter a 'Placed-In-Service Date' for  building 31 in cell J34.
</v>
      </c>
      <c r="G2070" s="9" t="str">
        <f t="shared" ca="1" si="686"/>
        <v xml:space="preserve">Enter a value for 'Number of Floors in the Tallest Building' in cell B58.
</v>
      </c>
      <c r="H2070" s="52" t="str">
        <f t="shared" ca="1" si="706"/>
        <v>Placed-In-Service Date</v>
      </c>
      <c r="I2070" s="52">
        <v>10</v>
      </c>
    </row>
    <row r="2071" spans="1:10" ht="15" customHeight="1">
      <c r="A2071" t="str">
        <f t="shared" ca="1" si="701"/>
        <v/>
      </c>
      <c r="B2071">
        <f t="shared" si="702"/>
        <v>34</v>
      </c>
      <c r="C2071">
        <f t="shared" ca="1" si="688"/>
        <v>31</v>
      </c>
      <c r="D2071" t="str">
        <f t="shared" si="703"/>
        <v>K34</v>
      </c>
      <c r="E2071" t="str">
        <f t="shared" ca="1" si="704"/>
        <v/>
      </c>
      <c r="F2071" t="str">
        <f t="shared" ca="1" si="705"/>
        <v xml:space="preserve">Enter a 'New Construction/ Rehab APR' for  building 31 in cell K34.
</v>
      </c>
      <c r="G2071" s="9" t="str">
        <f t="shared" ca="1" si="686"/>
        <v xml:space="preserve">Enter a value for 'Number of Floors in the Tallest Building' in cell B58.
</v>
      </c>
      <c r="H2071" s="52" t="str">
        <f t="shared" ca="1" si="706"/>
        <v>New Construction/ Rehab APR</v>
      </c>
      <c r="I2071" s="52">
        <v>11</v>
      </c>
    </row>
    <row r="2072" spans="1:10" ht="15" customHeight="1">
      <c r="A2072" t="str">
        <f t="shared" ca="1" si="701"/>
        <v/>
      </c>
      <c r="B2072">
        <f t="shared" si="702"/>
        <v>34</v>
      </c>
      <c r="C2072">
        <f t="shared" ca="1" si="688"/>
        <v>31</v>
      </c>
      <c r="D2072" t="str">
        <f t="shared" si="703"/>
        <v>L34</v>
      </c>
      <c r="E2072" t="str">
        <f t="shared" ca="1" si="704"/>
        <v/>
      </c>
      <c r="F2072" t="str">
        <f t="shared" ca="1" si="705"/>
        <v xml:space="preserve">Enter a 'New Construction Eligible Basis' for  building 31 in cell L34.
</v>
      </c>
      <c r="G2072" s="9" t="str">
        <f t="shared" ca="1" si="686"/>
        <v xml:space="preserve">Enter a value for 'Number of Floors in the Tallest Building' in cell B58.
</v>
      </c>
      <c r="H2072" s="52" t="str">
        <f t="shared" ca="1" si="706"/>
        <v>New Construction Eligible Basis</v>
      </c>
      <c r="I2072" s="52">
        <v>12</v>
      </c>
    </row>
    <row r="2073" spans="1:10" ht="15" customHeight="1">
      <c r="A2073" t="str">
        <f ca="1">IF(AND(OFFSET(A2073, -I2073 + 2, 4) &gt;  0, E2073="", Calculations!$B$7), F2073, "")</f>
        <v/>
      </c>
      <c r="B2073">
        <f t="shared" si="702"/>
        <v>34</v>
      </c>
      <c r="C2073">
        <f t="shared" ca="1" si="688"/>
        <v>31</v>
      </c>
      <c r="D2073" t="str">
        <f t="shared" si="703"/>
        <v>M34</v>
      </c>
      <c r="E2073" t="str">
        <f t="shared" ca="1" si="704"/>
        <v/>
      </c>
      <c r="F2073" t="str">
        <f t="shared" ca="1" si="705"/>
        <v xml:space="preserve">Enter a 'Eligible Basis for Rehab' for  building 31 in cell M34.
</v>
      </c>
      <c r="G2073" s="9" t="str">
        <f t="shared" ca="1" si="686"/>
        <v xml:space="preserve">Enter a value for 'Number of Floors in the Tallest Building' in cell B58.
</v>
      </c>
      <c r="H2073" s="52" t="str">
        <f t="shared" ca="1" si="706"/>
        <v>Eligible Basis for Rehab</v>
      </c>
      <c r="I2073" s="52">
        <v>13</v>
      </c>
    </row>
    <row r="2074" spans="1:10" ht="15" customHeight="1">
      <c r="A2074" t="str">
        <f ca="1">IF(AND(OFFSET(A2074, -I2074 + 2, 4) &gt;  0, E2074="", Calculations!$B$7), F2074, "")</f>
        <v/>
      </c>
      <c r="B2074">
        <f t="shared" si="702"/>
        <v>34</v>
      </c>
      <c r="C2074">
        <f t="shared" ca="1" si="688"/>
        <v>31</v>
      </c>
      <c r="D2074" t="str">
        <f t="shared" si="703"/>
        <v>N34</v>
      </c>
      <c r="E2074" t="str">
        <f t="shared" ca="1" si="704"/>
        <v/>
      </c>
      <c r="F2074" t="str">
        <f t="shared" ca="1" si="705"/>
        <v xml:space="preserve">Enter a 'Cost of Acquiring the Building***' for  building 31 in cell N34.
</v>
      </c>
      <c r="G2074" s="9" t="str">
        <f t="shared" ca="1" si="686"/>
        <v xml:space="preserve">Enter a value for 'Number of Floors in the Tallest Building' in cell B58.
</v>
      </c>
      <c r="H2074" s="52" t="str">
        <f t="shared" ca="1" si="706"/>
        <v>Cost of Acquiring the Building***</v>
      </c>
      <c r="I2074" s="52">
        <v>14</v>
      </c>
    </row>
    <row r="2075" spans="1:10" ht="15" customHeight="1">
      <c r="A2075" t="str">
        <f ca="1">IF(AND(OFFSET(A2075, -I2075 + 2, 4) &gt;  0, E2075="", Calculations!$B$7), F2075, "")</f>
        <v/>
      </c>
      <c r="B2075">
        <f t="shared" si="702"/>
        <v>34</v>
      </c>
      <c r="C2075">
        <f t="shared" ca="1" si="688"/>
        <v>31</v>
      </c>
      <c r="D2075" t="str">
        <f t="shared" si="703"/>
        <v>O34</v>
      </c>
      <c r="E2075" t="str">
        <f t="shared" ca="1" si="704"/>
        <v/>
      </c>
      <c r="F2075" t="str">
        <f t="shared" ca="1" si="705"/>
        <v xml:space="preserve">Enter a 'Higher of Land Purchase Price or Land Appraised Value****' for  building 31 in cell O34.
</v>
      </c>
      <c r="G2075" s="9" t="str">
        <f t="shared" ca="1" si="686"/>
        <v xml:space="preserve">Enter a value for 'Number of Floors in the Tallest Building' in cell B58.
</v>
      </c>
      <c r="H2075" s="52" t="str">
        <f t="shared" ca="1" si="706"/>
        <v>Higher of Land Purchase Price or Land Appraised Value****</v>
      </c>
      <c r="I2075" s="52">
        <v>15</v>
      </c>
    </row>
    <row r="2076" spans="1:10" ht="15" customHeight="1">
      <c r="A2076" t="str">
        <f ca="1">IF(AND(OFFSET(A2076, -I2076 + 2, 4) &gt;  0, E2076="", Calculations!$B$7), F2076, "")</f>
        <v/>
      </c>
      <c r="B2076">
        <f t="shared" si="702"/>
        <v>34</v>
      </c>
      <c r="C2076">
        <f t="shared" ca="1" si="688"/>
        <v>31</v>
      </c>
      <c r="D2076" t="str">
        <f t="shared" si="703"/>
        <v>P34</v>
      </c>
      <c r="E2076" t="str">
        <f t="shared" ca="1" si="704"/>
        <v/>
      </c>
      <c r="F2076" t="str">
        <f t="shared" ca="1" si="705"/>
        <v xml:space="preserve">Enter a 'Acquisition Placed-in-Service Date' for  building 31 in cell P34.
</v>
      </c>
      <c r="G2076" s="9" t="str">
        <f t="shared" ca="1" si="686"/>
        <v xml:space="preserve">Enter a value for 'Number of Floors in the Tallest Building' in cell B58.
</v>
      </c>
      <c r="H2076" s="52" t="str">
        <f t="shared" ca="1" si="706"/>
        <v>Acquisition Placed-in-Service Date</v>
      </c>
      <c r="I2076" s="52">
        <v>16</v>
      </c>
    </row>
    <row r="2077" spans="1:10" ht="15" customHeight="1">
      <c r="A2077" t="str">
        <f ca="1">IF(AND(OFFSET(A2077, -I2077 + 2, 4) &gt;  0, E2077="", Calculations!$B$7), F2077, "")</f>
        <v/>
      </c>
      <c r="B2077">
        <f t="shared" si="702"/>
        <v>34</v>
      </c>
      <c r="C2077">
        <f t="shared" ca="1" si="688"/>
        <v>31</v>
      </c>
      <c r="D2077" t="str">
        <f t="shared" si="703"/>
        <v>Q34</v>
      </c>
      <c r="E2077" t="str">
        <f t="shared" ca="1" si="704"/>
        <v/>
      </c>
      <c r="F2077" t="str">
        <f t="shared" ca="1" si="705"/>
        <v xml:space="preserve">Enter a 'Acquisition APR' for  building 31 in cell Q34.
</v>
      </c>
      <c r="G2077" s="9" t="str">
        <f t="shared" ca="1" si="686"/>
        <v xml:space="preserve">Enter a value for 'Number of Floors in the Tallest Building' in cell B58.
</v>
      </c>
      <c r="H2077" s="52" t="str">
        <f t="shared" ca="1" si="706"/>
        <v>Acquisition APR</v>
      </c>
      <c r="I2077" s="52">
        <v>17</v>
      </c>
    </row>
    <row r="2078" spans="1:10" ht="15" customHeight="1">
      <c r="A2078" t="str">
        <f ca="1">IF(AND(Calculations!$B$4,Calculations!$B$28&gt;=C2078, E2078 &lt;&gt; 13),F2078,"")</f>
        <v/>
      </c>
      <c r="B2078">
        <f>ROW('Final Building Profile'!C35)</f>
        <v>35</v>
      </c>
      <c r="C2078">
        <f t="shared" ca="1" si="688"/>
        <v>32</v>
      </c>
      <c r="D2078" t="str">
        <f>ADDRESS(B2078, 3,4  )</f>
        <v>C35</v>
      </c>
      <c r="E2078" s="52">
        <f ca="1">H2078+I2078</f>
        <v>0</v>
      </c>
      <c r="F2078" t="str">
        <f ca="1">CONCATENATE("Based upon the number of buildings specified, information for  building ", C2078, " required for a final application in row ", B2078, ".", CHAR(10))</f>
        <v xml:space="preserve">Based upon the number of buildings specified, information for  building 32 required for a final application in row 35.
</v>
      </c>
      <c r="G2078" s="9" t="str">
        <f t="shared" ca="1" si="686"/>
        <v xml:space="preserve">Enter a value for 'Number of Floors in the Tallest Building' in cell B58.
</v>
      </c>
      <c r="H2078" s="52">
        <f ca="1">SUMPRODUCT(--ISTEXT(INDIRECT(J2078)))</f>
        <v>0</v>
      </c>
      <c r="I2078" s="52">
        <f ca="1">SUMPRODUCT(--ISNUMBER(INDIRECT(J2078)))</f>
        <v>0</v>
      </c>
      <c r="J2078" s="52" t="str">
        <f>$F$1564&amp; ADDRESS(B2078,3,4) &amp; ":" &amp; ADDRESS(B2078,15,4)</f>
        <v>'Final Building Profile'!C35:O35</v>
      </c>
    </row>
    <row r="2079" spans="1:10" ht="15" customHeight="1">
      <c r="A2079" t="str">
        <f t="shared" ref="A2079:A2088" ca="1" si="707">IF(AND(OFFSET(A2079, -I2079 + 2, 4) &gt;  0, E2079=""), F2079, "")</f>
        <v/>
      </c>
      <c r="B2079">
        <f t="shared" ref="B2079:B2093" si="708">B2078</f>
        <v>35</v>
      </c>
      <c r="C2079">
        <f t="shared" ca="1" si="688"/>
        <v>32</v>
      </c>
      <c r="D2079" t="str">
        <f t="shared" ref="D2079:D2093" si="709">ADDRESS(B2079, I2079,4  )</f>
        <v>C35</v>
      </c>
      <c r="E2079" t="str">
        <f t="shared" ref="E2079:E2093" ca="1" si="710">IF(ISBLANK( INDIRECT($F$1564 &amp; D2079)),"", INDIRECT($F$1564 &amp; D2079))</f>
        <v/>
      </c>
      <c r="F2079" t="str">
        <f t="shared" ref="F2079:F2093" ca="1" si="711">CONCATENATE("Enter a '"&amp; H2079 &amp;"' for  building ", C2079, " in cell ", D2079, ".", CHAR(10))</f>
        <v xml:space="preserve">Enter a 'Building Street Address Only 
(DO NOT ENTER CITY, STATE, OR ZIP)' for  building 32 in cell C35.
</v>
      </c>
      <c r="G2079" s="9" t="str">
        <f t="shared" ref="G2079:G2142" ca="1" si="712">OFFSET(G2079, -1, 0) &amp; A2079</f>
        <v xml:space="preserve">Enter a value for 'Number of Floors in the Tallest Building' in cell B58.
</v>
      </c>
      <c r="H2079" s="52" t="str">
        <f t="shared" ref="H2079:H2093" ca="1" si="713">OFFSET(INDIRECT($F$1564 &amp; D2079), -B2079 + 3, 0)</f>
        <v>Building Street Address Only 
(DO NOT ENTER CITY, STATE, OR ZIP)</v>
      </c>
      <c r="I2079" s="52">
        <v>3</v>
      </c>
    </row>
    <row r="2080" spans="1:10" ht="15" customHeight="1">
      <c r="A2080" t="str">
        <f t="shared" ca="1" si="707"/>
        <v/>
      </c>
      <c r="B2080">
        <f t="shared" si="708"/>
        <v>35</v>
      </c>
      <c r="C2080">
        <f t="shared" ca="1" si="688"/>
        <v>32</v>
      </c>
      <c r="D2080" t="str">
        <f t="shared" si="709"/>
        <v>D35</v>
      </c>
      <c r="E2080" t="str">
        <f t="shared" ca="1" si="710"/>
        <v/>
      </c>
      <c r="F2080" t="str">
        <f t="shared" ca="1" si="711"/>
        <v xml:space="preserve">Enter a 'Total Units in Building*' for  building 32 in cell D35.
</v>
      </c>
      <c r="G2080" s="9" t="str">
        <f t="shared" ca="1" si="712"/>
        <v xml:space="preserve">Enter a value for 'Number of Floors in the Tallest Building' in cell B58.
</v>
      </c>
      <c r="H2080" s="52" t="str">
        <f t="shared" ca="1" si="713"/>
        <v>Total Units in Building*</v>
      </c>
      <c r="I2080" s="52">
        <v>4</v>
      </c>
    </row>
    <row r="2081" spans="1:10" ht="15" customHeight="1">
      <c r="A2081" t="str">
        <f t="shared" ca="1" si="707"/>
        <v/>
      </c>
      <c r="B2081">
        <f t="shared" si="708"/>
        <v>35</v>
      </c>
      <c r="C2081">
        <f t="shared" ca="1" si="688"/>
        <v>32</v>
      </c>
      <c r="D2081" t="str">
        <f t="shared" si="709"/>
        <v>E35</v>
      </c>
      <c r="E2081" t="str">
        <f t="shared" ca="1" si="710"/>
        <v/>
      </c>
      <c r="F2081" t="str">
        <f t="shared" ca="1" si="711"/>
        <v xml:space="preserve">Enter a 'Employee Units' for  building 32 in cell E35.
</v>
      </c>
      <c r="G2081" s="9" t="str">
        <f t="shared" ca="1" si="712"/>
        <v xml:space="preserve">Enter a value for 'Number of Floors in the Tallest Building' in cell B58.
</v>
      </c>
      <c r="H2081" s="52" t="str">
        <f t="shared" ca="1" si="713"/>
        <v>Employee Units</v>
      </c>
      <c r="I2081" s="52">
        <v>5</v>
      </c>
    </row>
    <row r="2082" spans="1:10" ht="15" customHeight="1">
      <c r="A2082" t="str">
        <f t="shared" ca="1" si="707"/>
        <v/>
      </c>
      <c r="B2082">
        <f t="shared" si="708"/>
        <v>35</v>
      </c>
      <c r="C2082">
        <f t="shared" ca="1" si="688"/>
        <v>32</v>
      </c>
      <c r="D2082" t="str">
        <f t="shared" si="709"/>
        <v>F35</v>
      </c>
      <c r="E2082" t="str">
        <f t="shared" ca="1" si="710"/>
        <v/>
      </c>
      <c r="F2082" t="str">
        <f t="shared" ca="1" si="711"/>
        <v xml:space="preserve">Enter a 'Low-Income Units' for  building 32 in cell F35.
</v>
      </c>
      <c r="G2082" s="9" t="str">
        <f t="shared" ca="1" si="712"/>
        <v xml:space="preserve">Enter a value for 'Number of Floors in the Tallest Building' in cell B58.
</v>
      </c>
      <c r="H2082" s="52" t="str">
        <f t="shared" ca="1" si="713"/>
        <v>Low-Income Units</v>
      </c>
      <c r="I2082" s="52">
        <v>6</v>
      </c>
    </row>
    <row r="2083" spans="1:10" ht="15" customHeight="1">
      <c r="A2083" t="str">
        <f t="shared" ca="1" si="707"/>
        <v/>
      </c>
      <c r="B2083">
        <f t="shared" si="708"/>
        <v>35</v>
      </c>
      <c r="C2083">
        <f t="shared" ca="1" si="688"/>
        <v>32</v>
      </c>
      <c r="D2083" t="str">
        <f t="shared" si="709"/>
        <v>G35</v>
      </c>
      <c r="E2083" t="str">
        <f t="shared" ca="1" si="710"/>
        <v/>
      </c>
      <c r="F2083" t="str">
        <f t="shared" ca="1" si="711"/>
        <v xml:space="preserve">Enter a 'Residential Square Footage**' for  building 32 in cell G35.
</v>
      </c>
      <c r="G2083" s="9" t="str">
        <f t="shared" ca="1" si="712"/>
        <v xml:space="preserve">Enter a value for 'Number of Floors in the Tallest Building' in cell B58.
</v>
      </c>
      <c r="H2083" s="52" t="str">
        <f t="shared" ca="1" si="713"/>
        <v>Residential Square Footage**</v>
      </c>
      <c r="I2083" s="52">
        <v>7</v>
      </c>
    </row>
    <row r="2084" spans="1:10" ht="15" customHeight="1">
      <c r="A2084" t="str">
        <f t="shared" ca="1" si="707"/>
        <v/>
      </c>
      <c r="B2084">
        <f t="shared" si="708"/>
        <v>35</v>
      </c>
      <c r="C2084">
        <f t="shared" ca="1" si="688"/>
        <v>32</v>
      </c>
      <c r="D2084" t="str">
        <f t="shared" si="709"/>
        <v>H35</v>
      </c>
      <c r="E2084" t="str">
        <f t="shared" ca="1" si="710"/>
        <v/>
      </c>
      <c r="F2084" t="str">
        <f t="shared" ca="1" si="711"/>
        <v xml:space="preserve">Enter a 'Square Footage of Employee Units' for  building 32 in cell H35.
</v>
      </c>
      <c r="G2084" s="9" t="str">
        <f t="shared" ca="1" si="712"/>
        <v xml:space="preserve">Enter a value for 'Number of Floors in the Tallest Building' in cell B58.
</v>
      </c>
      <c r="H2084" s="52" t="str">
        <f t="shared" ca="1" si="713"/>
        <v>Square Footage of Employee Units</v>
      </c>
      <c r="I2084" s="52">
        <v>8</v>
      </c>
    </row>
    <row r="2085" spans="1:10" ht="15" customHeight="1">
      <c r="A2085" t="str">
        <f t="shared" ca="1" si="707"/>
        <v/>
      </c>
      <c r="B2085">
        <f t="shared" si="708"/>
        <v>35</v>
      </c>
      <c r="C2085">
        <f t="shared" ca="1" si="688"/>
        <v>32</v>
      </c>
      <c r="D2085" t="str">
        <f t="shared" si="709"/>
        <v>I35</v>
      </c>
      <c r="E2085" t="str">
        <f t="shared" ca="1" si="710"/>
        <v/>
      </c>
      <c r="F2085" t="str">
        <f t="shared" ca="1" si="711"/>
        <v xml:space="preserve">Enter a 'Square Footage of Low-Income Units' for  building 32 in cell I35.
</v>
      </c>
      <c r="G2085" s="9" t="str">
        <f t="shared" ca="1" si="712"/>
        <v xml:space="preserve">Enter a value for 'Number of Floors in the Tallest Building' in cell B58.
</v>
      </c>
      <c r="H2085" s="52" t="str">
        <f t="shared" ca="1" si="713"/>
        <v>Square Footage of Low-Income Units</v>
      </c>
      <c r="I2085" s="52">
        <v>9</v>
      </c>
    </row>
    <row r="2086" spans="1:10" ht="15" customHeight="1">
      <c r="A2086" t="str">
        <f t="shared" ca="1" si="707"/>
        <v/>
      </c>
      <c r="B2086">
        <f t="shared" si="708"/>
        <v>35</v>
      </c>
      <c r="C2086">
        <f t="shared" ca="1" si="688"/>
        <v>32</v>
      </c>
      <c r="D2086" t="str">
        <f t="shared" si="709"/>
        <v>J35</v>
      </c>
      <c r="E2086" t="str">
        <f t="shared" ca="1" si="710"/>
        <v/>
      </c>
      <c r="F2086" t="str">
        <f t="shared" ca="1" si="711"/>
        <v xml:space="preserve">Enter a 'Placed-In-Service Date' for  building 32 in cell J35.
</v>
      </c>
      <c r="G2086" s="9" t="str">
        <f t="shared" ca="1" si="712"/>
        <v xml:space="preserve">Enter a value for 'Number of Floors in the Tallest Building' in cell B58.
</v>
      </c>
      <c r="H2086" s="52" t="str">
        <f t="shared" ca="1" si="713"/>
        <v>Placed-In-Service Date</v>
      </c>
      <c r="I2086" s="52">
        <v>10</v>
      </c>
    </row>
    <row r="2087" spans="1:10" ht="15" customHeight="1">
      <c r="A2087" t="str">
        <f t="shared" ca="1" si="707"/>
        <v/>
      </c>
      <c r="B2087">
        <f t="shared" si="708"/>
        <v>35</v>
      </c>
      <c r="C2087">
        <f t="shared" ca="1" si="688"/>
        <v>32</v>
      </c>
      <c r="D2087" t="str">
        <f t="shared" si="709"/>
        <v>K35</v>
      </c>
      <c r="E2087" t="str">
        <f t="shared" ca="1" si="710"/>
        <v/>
      </c>
      <c r="F2087" t="str">
        <f t="shared" ca="1" si="711"/>
        <v xml:space="preserve">Enter a 'New Construction/ Rehab APR' for  building 32 in cell K35.
</v>
      </c>
      <c r="G2087" s="9" t="str">
        <f t="shared" ca="1" si="712"/>
        <v xml:space="preserve">Enter a value for 'Number of Floors in the Tallest Building' in cell B58.
</v>
      </c>
      <c r="H2087" s="52" t="str">
        <f t="shared" ca="1" si="713"/>
        <v>New Construction/ Rehab APR</v>
      </c>
      <c r="I2087" s="52">
        <v>11</v>
      </c>
    </row>
    <row r="2088" spans="1:10" ht="15" customHeight="1">
      <c r="A2088" t="str">
        <f t="shared" ca="1" si="707"/>
        <v/>
      </c>
      <c r="B2088">
        <f t="shared" si="708"/>
        <v>35</v>
      </c>
      <c r="C2088">
        <f t="shared" ca="1" si="688"/>
        <v>32</v>
      </c>
      <c r="D2088" t="str">
        <f t="shared" si="709"/>
        <v>L35</v>
      </c>
      <c r="E2088" t="str">
        <f t="shared" ca="1" si="710"/>
        <v/>
      </c>
      <c r="F2088" t="str">
        <f t="shared" ca="1" si="711"/>
        <v xml:space="preserve">Enter a 'New Construction Eligible Basis' for  building 32 in cell L35.
</v>
      </c>
      <c r="G2088" s="9" t="str">
        <f t="shared" ca="1" si="712"/>
        <v xml:space="preserve">Enter a value for 'Number of Floors in the Tallest Building' in cell B58.
</v>
      </c>
      <c r="H2088" s="52" t="str">
        <f t="shared" ca="1" si="713"/>
        <v>New Construction Eligible Basis</v>
      </c>
      <c r="I2088" s="52">
        <v>12</v>
      </c>
    </row>
    <row r="2089" spans="1:10" ht="15" customHeight="1">
      <c r="A2089" t="str">
        <f ca="1">IF(AND(OFFSET(A2089, -I2089 + 2, 4) &gt;  0, E2089="", Calculations!$B$7), F2089, "")</f>
        <v/>
      </c>
      <c r="B2089">
        <f t="shared" si="708"/>
        <v>35</v>
      </c>
      <c r="C2089">
        <f t="shared" ca="1" si="688"/>
        <v>32</v>
      </c>
      <c r="D2089" t="str">
        <f t="shared" si="709"/>
        <v>M35</v>
      </c>
      <c r="E2089" t="str">
        <f t="shared" ca="1" si="710"/>
        <v/>
      </c>
      <c r="F2089" t="str">
        <f t="shared" ca="1" si="711"/>
        <v xml:space="preserve">Enter a 'Eligible Basis for Rehab' for  building 32 in cell M35.
</v>
      </c>
      <c r="G2089" s="9" t="str">
        <f t="shared" ca="1" si="712"/>
        <v xml:space="preserve">Enter a value for 'Number of Floors in the Tallest Building' in cell B58.
</v>
      </c>
      <c r="H2089" s="52" t="str">
        <f t="shared" ca="1" si="713"/>
        <v>Eligible Basis for Rehab</v>
      </c>
      <c r="I2089" s="52">
        <v>13</v>
      </c>
    </row>
    <row r="2090" spans="1:10" ht="15" customHeight="1">
      <c r="A2090" t="str">
        <f ca="1">IF(AND(OFFSET(A2090, -I2090 + 2, 4) &gt;  0, E2090="", Calculations!$B$7), F2090, "")</f>
        <v/>
      </c>
      <c r="B2090">
        <f t="shared" si="708"/>
        <v>35</v>
      </c>
      <c r="C2090">
        <f t="shared" ca="1" si="688"/>
        <v>32</v>
      </c>
      <c r="D2090" t="str">
        <f t="shared" si="709"/>
        <v>N35</v>
      </c>
      <c r="E2090" t="str">
        <f t="shared" ca="1" si="710"/>
        <v/>
      </c>
      <c r="F2090" t="str">
        <f t="shared" ca="1" si="711"/>
        <v xml:space="preserve">Enter a 'Cost of Acquiring the Building***' for  building 32 in cell N35.
</v>
      </c>
      <c r="G2090" s="9" t="str">
        <f t="shared" ca="1" si="712"/>
        <v xml:space="preserve">Enter a value for 'Number of Floors in the Tallest Building' in cell B58.
</v>
      </c>
      <c r="H2090" s="52" t="str">
        <f t="shared" ca="1" si="713"/>
        <v>Cost of Acquiring the Building***</v>
      </c>
      <c r="I2090" s="52">
        <v>14</v>
      </c>
    </row>
    <row r="2091" spans="1:10" ht="15" customHeight="1">
      <c r="A2091" t="str">
        <f ca="1">IF(AND(OFFSET(A2091, -I2091 + 2, 4) &gt;  0, E2091="", Calculations!$B$7), F2091, "")</f>
        <v/>
      </c>
      <c r="B2091">
        <f t="shared" si="708"/>
        <v>35</v>
      </c>
      <c r="C2091">
        <f t="shared" ca="1" si="688"/>
        <v>32</v>
      </c>
      <c r="D2091" t="str">
        <f t="shared" si="709"/>
        <v>O35</v>
      </c>
      <c r="E2091" t="str">
        <f t="shared" ca="1" si="710"/>
        <v/>
      </c>
      <c r="F2091" t="str">
        <f t="shared" ca="1" si="711"/>
        <v xml:space="preserve">Enter a 'Higher of Land Purchase Price or Land Appraised Value****' for  building 32 in cell O35.
</v>
      </c>
      <c r="G2091" s="9" t="str">
        <f t="shared" ca="1" si="712"/>
        <v xml:space="preserve">Enter a value for 'Number of Floors in the Tallest Building' in cell B58.
</v>
      </c>
      <c r="H2091" s="52" t="str">
        <f t="shared" ca="1" si="713"/>
        <v>Higher of Land Purchase Price or Land Appraised Value****</v>
      </c>
      <c r="I2091" s="52">
        <v>15</v>
      </c>
    </row>
    <row r="2092" spans="1:10" ht="15" customHeight="1">
      <c r="A2092" t="str">
        <f ca="1">IF(AND(OFFSET(A2092, -I2092 + 2, 4) &gt;  0, E2092="", Calculations!$B$7), F2092, "")</f>
        <v/>
      </c>
      <c r="B2092">
        <f t="shared" si="708"/>
        <v>35</v>
      </c>
      <c r="C2092">
        <f t="shared" ca="1" si="688"/>
        <v>32</v>
      </c>
      <c r="D2092" t="str">
        <f t="shared" si="709"/>
        <v>P35</v>
      </c>
      <c r="E2092" t="str">
        <f t="shared" ca="1" si="710"/>
        <v/>
      </c>
      <c r="F2092" t="str">
        <f t="shared" ca="1" si="711"/>
        <v xml:space="preserve">Enter a 'Acquisition Placed-in-Service Date' for  building 32 in cell P35.
</v>
      </c>
      <c r="G2092" s="9" t="str">
        <f t="shared" ca="1" si="712"/>
        <v xml:space="preserve">Enter a value for 'Number of Floors in the Tallest Building' in cell B58.
</v>
      </c>
      <c r="H2092" s="52" t="str">
        <f t="shared" ca="1" si="713"/>
        <v>Acquisition Placed-in-Service Date</v>
      </c>
      <c r="I2092" s="52">
        <v>16</v>
      </c>
    </row>
    <row r="2093" spans="1:10" ht="15" customHeight="1">
      <c r="A2093" t="str">
        <f ca="1">IF(AND(OFFSET(A2093, -I2093 + 2, 4) &gt;  0, E2093="", Calculations!$B$7), F2093, "")</f>
        <v/>
      </c>
      <c r="B2093">
        <f t="shared" si="708"/>
        <v>35</v>
      </c>
      <c r="C2093">
        <f t="shared" ca="1" si="688"/>
        <v>32</v>
      </c>
      <c r="D2093" t="str">
        <f t="shared" si="709"/>
        <v>Q35</v>
      </c>
      <c r="E2093" t="str">
        <f t="shared" ca="1" si="710"/>
        <v/>
      </c>
      <c r="F2093" t="str">
        <f t="shared" ca="1" si="711"/>
        <v xml:space="preserve">Enter a 'Acquisition APR' for  building 32 in cell Q35.
</v>
      </c>
      <c r="G2093" s="9" t="str">
        <f t="shared" ca="1" si="712"/>
        <v xml:space="preserve">Enter a value for 'Number of Floors in the Tallest Building' in cell B58.
</v>
      </c>
      <c r="H2093" s="52" t="str">
        <f t="shared" ca="1" si="713"/>
        <v>Acquisition APR</v>
      </c>
      <c r="I2093" s="52">
        <v>17</v>
      </c>
    </row>
    <row r="2094" spans="1:10" ht="15" customHeight="1">
      <c r="A2094" t="str">
        <f ca="1">IF(AND(Calculations!$B$4,Calculations!$B$28&gt;=C2094, E2094 &lt;&gt; 13),F2094,"")</f>
        <v/>
      </c>
      <c r="B2094">
        <f>ROW('Final Building Profile'!C36)</f>
        <v>36</v>
      </c>
      <c r="C2094">
        <f t="shared" ref="C2094:C2157" ca="1" si="714">INDIRECT($F$1564 &amp; ADDRESS(B2094, 1,4  ))</f>
        <v>33</v>
      </c>
      <c r="D2094" t="str">
        <f>ADDRESS(B2094, 3,4  )</f>
        <v>C36</v>
      </c>
      <c r="E2094" s="52">
        <f ca="1">H2094+I2094</f>
        <v>0</v>
      </c>
      <c r="F2094" t="str">
        <f ca="1">CONCATENATE("Based upon the number of buildings specified, information for  building ", C2094, " required for a final application in row ", B2094, ".", CHAR(10))</f>
        <v xml:space="preserve">Based upon the number of buildings specified, information for  building 33 required for a final application in row 36.
</v>
      </c>
      <c r="G2094" s="9" t="str">
        <f t="shared" ca="1" si="712"/>
        <v xml:space="preserve">Enter a value for 'Number of Floors in the Tallest Building' in cell B58.
</v>
      </c>
      <c r="H2094" s="52">
        <f ca="1">SUMPRODUCT(--ISTEXT(INDIRECT(J2094)))</f>
        <v>0</v>
      </c>
      <c r="I2094" s="52">
        <f ca="1">SUMPRODUCT(--ISNUMBER(INDIRECT(J2094)))</f>
        <v>0</v>
      </c>
      <c r="J2094" s="52" t="str">
        <f>$F$1564&amp; ADDRESS(B2094,3,4) &amp; ":" &amp; ADDRESS(B2094,15,4)</f>
        <v>'Final Building Profile'!C36:O36</v>
      </c>
    </row>
    <row r="2095" spans="1:10" ht="15" customHeight="1">
      <c r="A2095" t="str">
        <f t="shared" ref="A2095:A2104" ca="1" si="715">IF(AND(OFFSET(A2095, -I2095 + 2, 4) &gt;  0, E2095=""), F2095, "")</f>
        <v/>
      </c>
      <c r="B2095">
        <f t="shared" ref="B2095:B2109" si="716">B2094</f>
        <v>36</v>
      </c>
      <c r="C2095">
        <f t="shared" ca="1" si="714"/>
        <v>33</v>
      </c>
      <c r="D2095" t="str">
        <f t="shared" ref="D2095:D2109" si="717">ADDRESS(B2095, I2095,4  )</f>
        <v>C36</v>
      </c>
      <c r="E2095" t="str">
        <f t="shared" ref="E2095:E2109" ca="1" si="718">IF(ISBLANK( INDIRECT($F$1564 &amp; D2095)),"", INDIRECT($F$1564 &amp; D2095))</f>
        <v/>
      </c>
      <c r="F2095" t="str">
        <f t="shared" ref="F2095:F2109" ca="1" si="719">CONCATENATE("Enter a '"&amp; H2095 &amp;"' for  building ", C2095, " in cell ", D2095, ".", CHAR(10))</f>
        <v xml:space="preserve">Enter a 'Building Street Address Only 
(DO NOT ENTER CITY, STATE, OR ZIP)' for  building 33 in cell C36.
</v>
      </c>
      <c r="G2095" s="9" t="str">
        <f t="shared" ca="1" si="712"/>
        <v xml:space="preserve">Enter a value for 'Number of Floors in the Tallest Building' in cell B58.
</v>
      </c>
      <c r="H2095" s="52" t="str">
        <f t="shared" ref="H2095:H2109" ca="1" si="720">OFFSET(INDIRECT($F$1564 &amp; D2095), -B2095 + 3, 0)</f>
        <v>Building Street Address Only 
(DO NOT ENTER CITY, STATE, OR ZIP)</v>
      </c>
      <c r="I2095" s="52">
        <v>3</v>
      </c>
    </row>
    <row r="2096" spans="1:10" ht="15" customHeight="1">
      <c r="A2096" t="str">
        <f t="shared" ca="1" si="715"/>
        <v/>
      </c>
      <c r="B2096">
        <f t="shared" si="716"/>
        <v>36</v>
      </c>
      <c r="C2096">
        <f t="shared" ca="1" si="714"/>
        <v>33</v>
      </c>
      <c r="D2096" t="str">
        <f t="shared" si="717"/>
        <v>D36</v>
      </c>
      <c r="E2096" t="str">
        <f t="shared" ca="1" si="718"/>
        <v/>
      </c>
      <c r="F2096" t="str">
        <f t="shared" ca="1" si="719"/>
        <v xml:space="preserve">Enter a 'Total Units in Building*' for  building 33 in cell D36.
</v>
      </c>
      <c r="G2096" s="9" t="str">
        <f t="shared" ca="1" si="712"/>
        <v xml:space="preserve">Enter a value for 'Number of Floors in the Tallest Building' in cell B58.
</v>
      </c>
      <c r="H2096" s="52" t="str">
        <f t="shared" ca="1" si="720"/>
        <v>Total Units in Building*</v>
      </c>
      <c r="I2096" s="52">
        <v>4</v>
      </c>
    </row>
    <row r="2097" spans="1:10" ht="15" customHeight="1">
      <c r="A2097" t="str">
        <f t="shared" ca="1" si="715"/>
        <v/>
      </c>
      <c r="B2097">
        <f t="shared" si="716"/>
        <v>36</v>
      </c>
      <c r="C2097">
        <f t="shared" ca="1" si="714"/>
        <v>33</v>
      </c>
      <c r="D2097" t="str">
        <f t="shared" si="717"/>
        <v>E36</v>
      </c>
      <c r="E2097" t="str">
        <f t="shared" ca="1" si="718"/>
        <v/>
      </c>
      <c r="F2097" t="str">
        <f t="shared" ca="1" si="719"/>
        <v xml:space="preserve">Enter a 'Employee Units' for  building 33 in cell E36.
</v>
      </c>
      <c r="G2097" s="9" t="str">
        <f t="shared" ca="1" si="712"/>
        <v xml:space="preserve">Enter a value for 'Number of Floors in the Tallest Building' in cell B58.
</v>
      </c>
      <c r="H2097" s="52" t="str">
        <f t="shared" ca="1" si="720"/>
        <v>Employee Units</v>
      </c>
      <c r="I2097" s="52">
        <v>5</v>
      </c>
    </row>
    <row r="2098" spans="1:10" ht="15" customHeight="1">
      <c r="A2098" t="str">
        <f t="shared" ca="1" si="715"/>
        <v/>
      </c>
      <c r="B2098">
        <f t="shared" si="716"/>
        <v>36</v>
      </c>
      <c r="C2098">
        <f t="shared" ca="1" si="714"/>
        <v>33</v>
      </c>
      <c r="D2098" t="str">
        <f t="shared" si="717"/>
        <v>F36</v>
      </c>
      <c r="E2098" t="str">
        <f t="shared" ca="1" si="718"/>
        <v/>
      </c>
      <c r="F2098" t="str">
        <f t="shared" ca="1" si="719"/>
        <v xml:space="preserve">Enter a 'Low-Income Units' for  building 33 in cell F36.
</v>
      </c>
      <c r="G2098" s="9" t="str">
        <f t="shared" ca="1" si="712"/>
        <v xml:space="preserve">Enter a value for 'Number of Floors in the Tallest Building' in cell B58.
</v>
      </c>
      <c r="H2098" s="52" t="str">
        <f t="shared" ca="1" si="720"/>
        <v>Low-Income Units</v>
      </c>
      <c r="I2098" s="52">
        <v>6</v>
      </c>
    </row>
    <row r="2099" spans="1:10" ht="15" customHeight="1">
      <c r="A2099" t="str">
        <f t="shared" ca="1" si="715"/>
        <v/>
      </c>
      <c r="B2099">
        <f t="shared" si="716"/>
        <v>36</v>
      </c>
      <c r="C2099">
        <f t="shared" ca="1" si="714"/>
        <v>33</v>
      </c>
      <c r="D2099" t="str">
        <f t="shared" si="717"/>
        <v>G36</v>
      </c>
      <c r="E2099" t="str">
        <f t="shared" ca="1" si="718"/>
        <v/>
      </c>
      <c r="F2099" t="str">
        <f t="shared" ca="1" si="719"/>
        <v xml:space="preserve">Enter a 'Residential Square Footage**' for  building 33 in cell G36.
</v>
      </c>
      <c r="G2099" s="9" t="str">
        <f t="shared" ca="1" si="712"/>
        <v xml:space="preserve">Enter a value for 'Number of Floors in the Tallest Building' in cell B58.
</v>
      </c>
      <c r="H2099" s="52" t="str">
        <f t="shared" ca="1" si="720"/>
        <v>Residential Square Footage**</v>
      </c>
      <c r="I2099" s="52">
        <v>7</v>
      </c>
    </row>
    <row r="2100" spans="1:10" ht="15" customHeight="1">
      <c r="A2100" t="str">
        <f t="shared" ca="1" si="715"/>
        <v/>
      </c>
      <c r="B2100">
        <f t="shared" si="716"/>
        <v>36</v>
      </c>
      <c r="C2100">
        <f t="shared" ca="1" si="714"/>
        <v>33</v>
      </c>
      <c r="D2100" t="str">
        <f t="shared" si="717"/>
        <v>H36</v>
      </c>
      <c r="E2100" t="str">
        <f t="shared" ca="1" si="718"/>
        <v/>
      </c>
      <c r="F2100" t="str">
        <f t="shared" ca="1" si="719"/>
        <v xml:space="preserve">Enter a 'Square Footage of Employee Units' for  building 33 in cell H36.
</v>
      </c>
      <c r="G2100" s="9" t="str">
        <f t="shared" ca="1" si="712"/>
        <v xml:space="preserve">Enter a value for 'Number of Floors in the Tallest Building' in cell B58.
</v>
      </c>
      <c r="H2100" s="52" t="str">
        <f t="shared" ca="1" si="720"/>
        <v>Square Footage of Employee Units</v>
      </c>
      <c r="I2100" s="52">
        <v>8</v>
      </c>
    </row>
    <row r="2101" spans="1:10" ht="15" customHeight="1">
      <c r="A2101" t="str">
        <f t="shared" ca="1" si="715"/>
        <v/>
      </c>
      <c r="B2101">
        <f t="shared" si="716"/>
        <v>36</v>
      </c>
      <c r="C2101">
        <f t="shared" ca="1" si="714"/>
        <v>33</v>
      </c>
      <c r="D2101" t="str">
        <f t="shared" si="717"/>
        <v>I36</v>
      </c>
      <c r="E2101" t="str">
        <f t="shared" ca="1" si="718"/>
        <v/>
      </c>
      <c r="F2101" t="str">
        <f t="shared" ca="1" si="719"/>
        <v xml:space="preserve">Enter a 'Square Footage of Low-Income Units' for  building 33 in cell I36.
</v>
      </c>
      <c r="G2101" s="9" t="str">
        <f t="shared" ca="1" si="712"/>
        <v xml:space="preserve">Enter a value for 'Number of Floors in the Tallest Building' in cell B58.
</v>
      </c>
      <c r="H2101" s="52" t="str">
        <f t="shared" ca="1" si="720"/>
        <v>Square Footage of Low-Income Units</v>
      </c>
      <c r="I2101" s="52">
        <v>9</v>
      </c>
    </row>
    <row r="2102" spans="1:10" ht="15" customHeight="1">
      <c r="A2102" t="str">
        <f t="shared" ca="1" si="715"/>
        <v/>
      </c>
      <c r="B2102">
        <f t="shared" si="716"/>
        <v>36</v>
      </c>
      <c r="C2102">
        <f t="shared" ca="1" si="714"/>
        <v>33</v>
      </c>
      <c r="D2102" t="str">
        <f t="shared" si="717"/>
        <v>J36</v>
      </c>
      <c r="E2102" t="str">
        <f t="shared" ca="1" si="718"/>
        <v/>
      </c>
      <c r="F2102" t="str">
        <f t="shared" ca="1" si="719"/>
        <v xml:space="preserve">Enter a 'Placed-In-Service Date' for  building 33 in cell J36.
</v>
      </c>
      <c r="G2102" s="9" t="str">
        <f t="shared" ca="1" si="712"/>
        <v xml:space="preserve">Enter a value for 'Number of Floors in the Tallest Building' in cell B58.
</v>
      </c>
      <c r="H2102" s="52" t="str">
        <f t="shared" ca="1" si="720"/>
        <v>Placed-In-Service Date</v>
      </c>
      <c r="I2102" s="52">
        <v>10</v>
      </c>
    </row>
    <row r="2103" spans="1:10" ht="15" customHeight="1">
      <c r="A2103" t="str">
        <f t="shared" ca="1" si="715"/>
        <v/>
      </c>
      <c r="B2103">
        <f t="shared" si="716"/>
        <v>36</v>
      </c>
      <c r="C2103">
        <f t="shared" ca="1" si="714"/>
        <v>33</v>
      </c>
      <c r="D2103" t="str">
        <f t="shared" si="717"/>
        <v>K36</v>
      </c>
      <c r="E2103" t="str">
        <f t="shared" ca="1" si="718"/>
        <v/>
      </c>
      <c r="F2103" t="str">
        <f t="shared" ca="1" si="719"/>
        <v xml:space="preserve">Enter a 'New Construction/ Rehab APR' for  building 33 in cell K36.
</v>
      </c>
      <c r="G2103" s="9" t="str">
        <f t="shared" ca="1" si="712"/>
        <v xml:space="preserve">Enter a value for 'Number of Floors in the Tallest Building' in cell B58.
</v>
      </c>
      <c r="H2103" s="52" t="str">
        <f t="shared" ca="1" si="720"/>
        <v>New Construction/ Rehab APR</v>
      </c>
      <c r="I2103" s="52">
        <v>11</v>
      </c>
    </row>
    <row r="2104" spans="1:10" ht="15" customHeight="1">
      <c r="A2104" t="str">
        <f t="shared" ca="1" si="715"/>
        <v/>
      </c>
      <c r="B2104">
        <f t="shared" si="716"/>
        <v>36</v>
      </c>
      <c r="C2104">
        <f t="shared" ca="1" si="714"/>
        <v>33</v>
      </c>
      <c r="D2104" t="str">
        <f t="shared" si="717"/>
        <v>L36</v>
      </c>
      <c r="E2104" t="str">
        <f t="shared" ca="1" si="718"/>
        <v/>
      </c>
      <c r="F2104" t="str">
        <f t="shared" ca="1" si="719"/>
        <v xml:space="preserve">Enter a 'New Construction Eligible Basis' for  building 33 in cell L36.
</v>
      </c>
      <c r="G2104" s="9" t="str">
        <f t="shared" ca="1" si="712"/>
        <v xml:space="preserve">Enter a value for 'Number of Floors in the Tallest Building' in cell B58.
</v>
      </c>
      <c r="H2104" s="52" t="str">
        <f t="shared" ca="1" si="720"/>
        <v>New Construction Eligible Basis</v>
      </c>
      <c r="I2104" s="52">
        <v>12</v>
      </c>
    </row>
    <row r="2105" spans="1:10" ht="15" customHeight="1">
      <c r="A2105" t="str">
        <f ca="1">IF(AND(OFFSET(A2105, -I2105 + 2, 4) &gt;  0, E2105="", Calculations!$B$7), F2105, "")</f>
        <v/>
      </c>
      <c r="B2105">
        <f t="shared" si="716"/>
        <v>36</v>
      </c>
      <c r="C2105">
        <f t="shared" ca="1" si="714"/>
        <v>33</v>
      </c>
      <c r="D2105" t="str">
        <f t="shared" si="717"/>
        <v>M36</v>
      </c>
      <c r="E2105" t="str">
        <f t="shared" ca="1" si="718"/>
        <v/>
      </c>
      <c r="F2105" t="str">
        <f t="shared" ca="1" si="719"/>
        <v xml:space="preserve">Enter a 'Eligible Basis for Rehab' for  building 33 in cell M36.
</v>
      </c>
      <c r="G2105" s="9" t="str">
        <f t="shared" ca="1" si="712"/>
        <v xml:space="preserve">Enter a value for 'Number of Floors in the Tallest Building' in cell B58.
</v>
      </c>
      <c r="H2105" s="52" t="str">
        <f t="shared" ca="1" si="720"/>
        <v>Eligible Basis for Rehab</v>
      </c>
      <c r="I2105" s="52">
        <v>13</v>
      </c>
    </row>
    <row r="2106" spans="1:10" ht="15" customHeight="1">
      <c r="A2106" t="str">
        <f ca="1">IF(AND(OFFSET(A2106, -I2106 + 2, 4) &gt;  0, E2106="", Calculations!$B$7), F2106, "")</f>
        <v/>
      </c>
      <c r="B2106">
        <f t="shared" si="716"/>
        <v>36</v>
      </c>
      <c r="C2106">
        <f t="shared" ca="1" si="714"/>
        <v>33</v>
      </c>
      <c r="D2106" t="str">
        <f t="shared" si="717"/>
        <v>N36</v>
      </c>
      <c r="E2106" t="str">
        <f t="shared" ca="1" si="718"/>
        <v/>
      </c>
      <c r="F2106" t="str">
        <f t="shared" ca="1" si="719"/>
        <v xml:space="preserve">Enter a 'Cost of Acquiring the Building***' for  building 33 in cell N36.
</v>
      </c>
      <c r="G2106" s="9" t="str">
        <f t="shared" ca="1" si="712"/>
        <v xml:space="preserve">Enter a value for 'Number of Floors in the Tallest Building' in cell B58.
</v>
      </c>
      <c r="H2106" s="52" t="str">
        <f t="shared" ca="1" si="720"/>
        <v>Cost of Acquiring the Building***</v>
      </c>
      <c r="I2106" s="52">
        <v>14</v>
      </c>
    </row>
    <row r="2107" spans="1:10" ht="15" customHeight="1">
      <c r="A2107" t="str">
        <f ca="1">IF(AND(OFFSET(A2107, -I2107 + 2, 4) &gt;  0, E2107="", Calculations!$B$7), F2107, "")</f>
        <v/>
      </c>
      <c r="B2107">
        <f t="shared" si="716"/>
        <v>36</v>
      </c>
      <c r="C2107">
        <f t="shared" ca="1" si="714"/>
        <v>33</v>
      </c>
      <c r="D2107" t="str">
        <f t="shared" si="717"/>
        <v>O36</v>
      </c>
      <c r="E2107" t="str">
        <f t="shared" ca="1" si="718"/>
        <v/>
      </c>
      <c r="F2107" t="str">
        <f t="shared" ca="1" si="719"/>
        <v xml:space="preserve">Enter a 'Higher of Land Purchase Price or Land Appraised Value****' for  building 33 in cell O36.
</v>
      </c>
      <c r="G2107" s="9" t="str">
        <f t="shared" ca="1" si="712"/>
        <v xml:space="preserve">Enter a value for 'Number of Floors in the Tallest Building' in cell B58.
</v>
      </c>
      <c r="H2107" s="52" t="str">
        <f t="shared" ca="1" si="720"/>
        <v>Higher of Land Purchase Price or Land Appraised Value****</v>
      </c>
      <c r="I2107" s="52">
        <v>15</v>
      </c>
    </row>
    <row r="2108" spans="1:10" ht="15" customHeight="1">
      <c r="A2108" t="str">
        <f ca="1">IF(AND(OFFSET(A2108, -I2108 + 2, 4) &gt;  0, E2108="", Calculations!$B$7), F2108, "")</f>
        <v/>
      </c>
      <c r="B2108">
        <f t="shared" si="716"/>
        <v>36</v>
      </c>
      <c r="C2108">
        <f t="shared" ca="1" si="714"/>
        <v>33</v>
      </c>
      <c r="D2108" t="str">
        <f t="shared" si="717"/>
        <v>P36</v>
      </c>
      <c r="E2108" t="str">
        <f t="shared" ca="1" si="718"/>
        <v/>
      </c>
      <c r="F2108" t="str">
        <f t="shared" ca="1" si="719"/>
        <v xml:space="preserve">Enter a 'Acquisition Placed-in-Service Date' for  building 33 in cell P36.
</v>
      </c>
      <c r="G2108" s="9" t="str">
        <f t="shared" ca="1" si="712"/>
        <v xml:space="preserve">Enter a value for 'Number of Floors in the Tallest Building' in cell B58.
</v>
      </c>
      <c r="H2108" s="52" t="str">
        <f t="shared" ca="1" si="720"/>
        <v>Acquisition Placed-in-Service Date</v>
      </c>
      <c r="I2108" s="52">
        <v>16</v>
      </c>
    </row>
    <row r="2109" spans="1:10" ht="15" customHeight="1">
      <c r="A2109" t="str">
        <f ca="1">IF(AND(OFFSET(A2109, -I2109 + 2, 4) &gt;  0, E2109="", Calculations!$B$7), F2109, "")</f>
        <v/>
      </c>
      <c r="B2109">
        <f t="shared" si="716"/>
        <v>36</v>
      </c>
      <c r="C2109">
        <f t="shared" ca="1" si="714"/>
        <v>33</v>
      </c>
      <c r="D2109" t="str">
        <f t="shared" si="717"/>
        <v>Q36</v>
      </c>
      <c r="E2109" t="str">
        <f t="shared" ca="1" si="718"/>
        <v/>
      </c>
      <c r="F2109" t="str">
        <f t="shared" ca="1" si="719"/>
        <v xml:space="preserve">Enter a 'Acquisition APR' for  building 33 in cell Q36.
</v>
      </c>
      <c r="G2109" s="9" t="str">
        <f t="shared" ca="1" si="712"/>
        <v xml:space="preserve">Enter a value for 'Number of Floors in the Tallest Building' in cell B58.
</v>
      </c>
      <c r="H2109" s="52" t="str">
        <f t="shared" ca="1" si="720"/>
        <v>Acquisition APR</v>
      </c>
      <c r="I2109" s="52">
        <v>17</v>
      </c>
    </row>
    <row r="2110" spans="1:10" ht="15" customHeight="1">
      <c r="A2110" t="str">
        <f ca="1">IF(AND(Calculations!$B$4,Calculations!$B$28&gt;=C2110, E2110 &lt;&gt; 13),F2110,"")</f>
        <v/>
      </c>
      <c r="B2110">
        <f>ROW('Final Building Profile'!C37)</f>
        <v>37</v>
      </c>
      <c r="C2110">
        <f t="shared" ca="1" si="714"/>
        <v>34</v>
      </c>
      <c r="D2110" t="str">
        <f>ADDRESS(B2110, 3,4  )</f>
        <v>C37</v>
      </c>
      <c r="E2110" s="52">
        <f ca="1">H2110+I2110</f>
        <v>0</v>
      </c>
      <c r="F2110" t="str">
        <f ca="1">CONCATENATE("Based upon the number of buildings specified, information for  building ", C2110, " required for a final application in row ", B2110, ".", CHAR(10))</f>
        <v xml:space="preserve">Based upon the number of buildings specified, information for  building 34 required for a final application in row 37.
</v>
      </c>
      <c r="G2110" s="9" t="str">
        <f t="shared" ca="1" si="712"/>
        <v xml:space="preserve">Enter a value for 'Number of Floors in the Tallest Building' in cell B58.
</v>
      </c>
      <c r="H2110" s="52">
        <f ca="1">SUMPRODUCT(--ISTEXT(INDIRECT(J2110)))</f>
        <v>0</v>
      </c>
      <c r="I2110" s="52">
        <f ca="1">SUMPRODUCT(--ISNUMBER(INDIRECT(J2110)))</f>
        <v>0</v>
      </c>
      <c r="J2110" s="52" t="str">
        <f>$F$1564&amp; ADDRESS(B2110,3,4) &amp; ":" &amp; ADDRESS(B2110,15,4)</f>
        <v>'Final Building Profile'!C37:O37</v>
      </c>
    </row>
    <row r="2111" spans="1:10" ht="15" customHeight="1">
      <c r="A2111" t="str">
        <f t="shared" ref="A2111:A2120" ca="1" si="721">IF(AND(OFFSET(A2111, -I2111 + 2, 4) &gt;  0, E2111=""), F2111, "")</f>
        <v/>
      </c>
      <c r="B2111">
        <f t="shared" ref="B2111:B2125" si="722">B2110</f>
        <v>37</v>
      </c>
      <c r="C2111">
        <f t="shared" ca="1" si="714"/>
        <v>34</v>
      </c>
      <c r="D2111" t="str">
        <f t="shared" ref="D2111:D2125" si="723">ADDRESS(B2111, I2111,4  )</f>
        <v>C37</v>
      </c>
      <c r="E2111" t="str">
        <f t="shared" ref="E2111:E2125" ca="1" si="724">IF(ISBLANK( INDIRECT($F$1564 &amp; D2111)),"", INDIRECT($F$1564 &amp; D2111))</f>
        <v/>
      </c>
      <c r="F2111" t="str">
        <f t="shared" ref="F2111:F2125" ca="1" si="725">CONCATENATE("Enter a '"&amp; H2111 &amp;"' for  building ", C2111, " in cell ", D2111, ".", CHAR(10))</f>
        <v xml:space="preserve">Enter a 'Building Street Address Only 
(DO NOT ENTER CITY, STATE, OR ZIP)' for  building 34 in cell C37.
</v>
      </c>
      <c r="G2111" s="9" t="str">
        <f t="shared" ca="1" si="712"/>
        <v xml:space="preserve">Enter a value for 'Number of Floors in the Tallest Building' in cell B58.
</v>
      </c>
      <c r="H2111" s="52" t="str">
        <f t="shared" ref="H2111:H2125" ca="1" si="726">OFFSET(INDIRECT($F$1564 &amp; D2111), -B2111 + 3, 0)</f>
        <v>Building Street Address Only 
(DO NOT ENTER CITY, STATE, OR ZIP)</v>
      </c>
      <c r="I2111" s="52">
        <v>3</v>
      </c>
    </row>
    <row r="2112" spans="1:10" ht="15" customHeight="1">
      <c r="A2112" t="str">
        <f t="shared" ca="1" si="721"/>
        <v/>
      </c>
      <c r="B2112">
        <f t="shared" si="722"/>
        <v>37</v>
      </c>
      <c r="C2112">
        <f t="shared" ca="1" si="714"/>
        <v>34</v>
      </c>
      <c r="D2112" t="str">
        <f t="shared" si="723"/>
        <v>D37</v>
      </c>
      <c r="E2112" t="str">
        <f t="shared" ca="1" si="724"/>
        <v/>
      </c>
      <c r="F2112" t="str">
        <f t="shared" ca="1" si="725"/>
        <v xml:space="preserve">Enter a 'Total Units in Building*' for  building 34 in cell D37.
</v>
      </c>
      <c r="G2112" s="9" t="str">
        <f t="shared" ca="1" si="712"/>
        <v xml:space="preserve">Enter a value for 'Number of Floors in the Tallest Building' in cell B58.
</v>
      </c>
      <c r="H2112" s="52" t="str">
        <f t="shared" ca="1" si="726"/>
        <v>Total Units in Building*</v>
      </c>
      <c r="I2112" s="52">
        <v>4</v>
      </c>
    </row>
    <row r="2113" spans="1:10" ht="15" customHeight="1">
      <c r="A2113" t="str">
        <f t="shared" ca="1" si="721"/>
        <v/>
      </c>
      <c r="B2113">
        <f t="shared" si="722"/>
        <v>37</v>
      </c>
      <c r="C2113">
        <f t="shared" ca="1" si="714"/>
        <v>34</v>
      </c>
      <c r="D2113" t="str">
        <f t="shared" si="723"/>
        <v>E37</v>
      </c>
      <c r="E2113" t="str">
        <f t="shared" ca="1" si="724"/>
        <v/>
      </c>
      <c r="F2113" t="str">
        <f t="shared" ca="1" si="725"/>
        <v xml:space="preserve">Enter a 'Employee Units' for  building 34 in cell E37.
</v>
      </c>
      <c r="G2113" s="9" t="str">
        <f t="shared" ca="1" si="712"/>
        <v xml:space="preserve">Enter a value for 'Number of Floors in the Tallest Building' in cell B58.
</v>
      </c>
      <c r="H2113" s="52" t="str">
        <f t="shared" ca="1" si="726"/>
        <v>Employee Units</v>
      </c>
      <c r="I2113" s="52">
        <v>5</v>
      </c>
    </row>
    <row r="2114" spans="1:10" ht="15" customHeight="1">
      <c r="A2114" t="str">
        <f t="shared" ca="1" si="721"/>
        <v/>
      </c>
      <c r="B2114">
        <f t="shared" si="722"/>
        <v>37</v>
      </c>
      <c r="C2114">
        <f t="shared" ca="1" si="714"/>
        <v>34</v>
      </c>
      <c r="D2114" t="str">
        <f t="shared" si="723"/>
        <v>F37</v>
      </c>
      <c r="E2114" t="str">
        <f t="shared" ca="1" si="724"/>
        <v/>
      </c>
      <c r="F2114" t="str">
        <f t="shared" ca="1" si="725"/>
        <v xml:space="preserve">Enter a 'Low-Income Units' for  building 34 in cell F37.
</v>
      </c>
      <c r="G2114" s="9" t="str">
        <f t="shared" ca="1" si="712"/>
        <v xml:space="preserve">Enter a value for 'Number of Floors in the Tallest Building' in cell B58.
</v>
      </c>
      <c r="H2114" s="52" t="str">
        <f t="shared" ca="1" si="726"/>
        <v>Low-Income Units</v>
      </c>
      <c r="I2114" s="52">
        <v>6</v>
      </c>
    </row>
    <row r="2115" spans="1:10" ht="15" customHeight="1">
      <c r="A2115" t="str">
        <f t="shared" ca="1" si="721"/>
        <v/>
      </c>
      <c r="B2115">
        <f t="shared" si="722"/>
        <v>37</v>
      </c>
      <c r="C2115">
        <f t="shared" ca="1" si="714"/>
        <v>34</v>
      </c>
      <c r="D2115" t="str">
        <f t="shared" si="723"/>
        <v>G37</v>
      </c>
      <c r="E2115" t="str">
        <f t="shared" ca="1" si="724"/>
        <v/>
      </c>
      <c r="F2115" t="str">
        <f t="shared" ca="1" si="725"/>
        <v xml:space="preserve">Enter a 'Residential Square Footage**' for  building 34 in cell G37.
</v>
      </c>
      <c r="G2115" s="9" t="str">
        <f t="shared" ca="1" si="712"/>
        <v xml:space="preserve">Enter a value for 'Number of Floors in the Tallest Building' in cell B58.
</v>
      </c>
      <c r="H2115" s="52" t="str">
        <f t="shared" ca="1" si="726"/>
        <v>Residential Square Footage**</v>
      </c>
      <c r="I2115" s="52">
        <v>7</v>
      </c>
    </row>
    <row r="2116" spans="1:10" ht="15" customHeight="1">
      <c r="A2116" t="str">
        <f t="shared" ca="1" si="721"/>
        <v/>
      </c>
      <c r="B2116">
        <f t="shared" si="722"/>
        <v>37</v>
      </c>
      <c r="C2116">
        <f t="shared" ca="1" si="714"/>
        <v>34</v>
      </c>
      <c r="D2116" t="str">
        <f t="shared" si="723"/>
        <v>H37</v>
      </c>
      <c r="E2116" t="str">
        <f t="shared" ca="1" si="724"/>
        <v/>
      </c>
      <c r="F2116" t="str">
        <f t="shared" ca="1" si="725"/>
        <v xml:space="preserve">Enter a 'Square Footage of Employee Units' for  building 34 in cell H37.
</v>
      </c>
      <c r="G2116" s="9" t="str">
        <f t="shared" ca="1" si="712"/>
        <v xml:space="preserve">Enter a value for 'Number of Floors in the Tallest Building' in cell B58.
</v>
      </c>
      <c r="H2116" s="52" t="str">
        <f t="shared" ca="1" si="726"/>
        <v>Square Footage of Employee Units</v>
      </c>
      <c r="I2116" s="52">
        <v>8</v>
      </c>
    </row>
    <row r="2117" spans="1:10" ht="15" customHeight="1">
      <c r="A2117" t="str">
        <f t="shared" ca="1" si="721"/>
        <v/>
      </c>
      <c r="B2117">
        <f t="shared" si="722"/>
        <v>37</v>
      </c>
      <c r="C2117">
        <f t="shared" ca="1" si="714"/>
        <v>34</v>
      </c>
      <c r="D2117" t="str">
        <f t="shared" si="723"/>
        <v>I37</v>
      </c>
      <c r="E2117" t="str">
        <f t="shared" ca="1" si="724"/>
        <v/>
      </c>
      <c r="F2117" t="str">
        <f t="shared" ca="1" si="725"/>
        <v xml:space="preserve">Enter a 'Square Footage of Low-Income Units' for  building 34 in cell I37.
</v>
      </c>
      <c r="G2117" s="9" t="str">
        <f t="shared" ca="1" si="712"/>
        <v xml:space="preserve">Enter a value for 'Number of Floors in the Tallest Building' in cell B58.
</v>
      </c>
      <c r="H2117" s="52" t="str">
        <f t="shared" ca="1" si="726"/>
        <v>Square Footage of Low-Income Units</v>
      </c>
      <c r="I2117" s="52">
        <v>9</v>
      </c>
    </row>
    <row r="2118" spans="1:10" ht="15" customHeight="1">
      <c r="A2118" t="str">
        <f t="shared" ca="1" si="721"/>
        <v/>
      </c>
      <c r="B2118">
        <f t="shared" si="722"/>
        <v>37</v>
      </c>
      <c r="C2118">
        <f t="shared" ca="1" si="714"/>
        <v>34</v>
      </c>
      <c r="D2118" t="str">
        <f t="shared" si="723"/>
        <v>J37</v>
      </c>
      <c r="E2118" t="str">
        <f t="shared" ca="1" si="724"/>
        <v/>
      </c>
      <c r="F2118" t="str">
        <f t="shared" ca="1" si="725"/>
        <v xml:space="preserve">Enter a 'Placed-In-Service Date' for  building 34 in cell J37.
</v>
      </c>
      <c r="G2118" s="9" t="str">
        <f t="shared" ca="1" si="712"/>
        <v xml:space="preserve">Enter a value for 'Number of Floors in the Tallest Building' in cell B58.
</v>
      </c>
      <c r="H2118" s="52" t="str">
        <f t="shared" ca="1" si="726"/>
        <v>Placed-In-Service Date</v>
      </c>
      <c r="I2118" s="52">
        <v>10</v>
      </c>
    </row>
    <row r="2119" spans="1:10" ht="15" customHeight="1">
      <c r="A2119" t="str">
        <f t="shared" ca="1" si="721"/>
        <v/>
      </c>
      <c r="B2119">
        <f t="shared" si="722"/>
        <v>37</v>
      </c>
      <c r="C2119">
        <f t="shared" ca="1" si="714"/>
        <v>34</v>
      </c>
      <c r="D2119" t="str">
        <f t="shared" si="723"/>
        <v>K37</v>
      </c>
      <c r="E2119" t="str">
        <f t="shared" ca="1" si="724"/>
        <v/>
      </c>
      <c r="F2119" t="str">
        <f t="shared" ca="1" si="725"/>
        <v xml:space="preserve">Enter a 'New Construction/ Rehab APR' for  building 34 in cell K37.
</v>
      </c>
      <c r="G2119" s="9" t="str">
        <f t="shared" ca="1" si="712"/>
        <v xml:space="preserve">Enter a value for 'Number of Floors in the Tallest Building' in cell B58.
</v>
      </c>
      <c r="H2119" s="52" t="str">
        <f t="shared" ca="1" si="726"/>
        <v>New Construction/ Rehab APR</v>
      </c>
      <c r="I2119" s="52">
        <v>11</v>
      </c>
    </row>
    <row r="2120" spans="1:10" ht="15" customHeight="1">
      <c r="A2120" t="str">
        <f t="shared" ca="1" si="721"/>
        <v/>
      </c>
      <c r="B2120">
        <f t="shared" si="722"/>
        <v>37</v>
      </c>
      <c r="C2120">
        <f t="shared" ca="1" si="714"/>
        <v>34</v>
      </c>
      <c r="D2120" t="str">
        <f t="shared" si="723"/>
        <v>L37</v>
      </c>
      <c r="E2120" t="str">
        <f t="shared" ca="1" si="724"/>
        <v/>
      </c>
      <c r="F2120" t="str">
        <f t="shared" ca="1" si="725"/>
        <v xml:space="preserve">Enter a 'New Construction Eligible Basis' for  building 34 in cell L37.
</v>
      </c>
      <c r="G2120" s="9" t="str">
        <f t="shared" ca="1" si="712"/>
        <v xml:space="preserve">Enter a value for 'Number of Floors in the Tallest Building' in cell B58.
</v>
      </c>
      <c r="H2120" s="52" t="str">
        <f t="shared" ca="1" si="726"/>
        <v>New Construction Eligible Basis</v>
      </c>
      <c r="I2120" s="52">
        <v>12</v>
      </c>
    </row>
    <row r="2121" spans="1:10" ht="15" customHeight="1">
      <c r="A2121" t="str">
        <f ca="1">IF(AND(OFFSET(A2121, -I2121 + 2, 4) &gt;  0, E2121="", Calculations!$B$7), F2121, "")</f>
        <v/>
      </c>
      <c r="B2121">
        <f t="shared" si="722"/>
        <v>37</v>
      </c>
      <c r="C2121">
        <f t="shared" ca="1" si="714"/>
        <v>34</v>
      </c>
      <c r="D2121" t="str">
        <f t="shared" si="723"/>
        <v>M37</v>
      </c>
      <c r="E2121" t="str">
        <f t="shared" ca="1" si="724"/>
        <v/>
      </c>
      <c r="F2121" t="str">
        <f t="shared" ca="1" si="725"/>
        <v xml:space="preserve">Enter a 'Eligible Basis for Rehab' for  building 34 in cell M37.
</v>
      </c>
      <c r="G2121" s="9" t="str">
        <f t="shared" ca="1" si="712"/>
        <v xml:space="preserve">Enter a value for 'Number of Floors in the Tallest Building' in cell B58.
</v>
      </c>
      <c r="H2121" s="52" t="str">
        <f t="shared" ca="1" si="726"/>
        <v>Eligible Basis for Rehab</v>
      </c>
      <c r="I2121" s="52">
        <v>13</v>
      </c>
    </row>
    <row r="2122" spans="1:10" ht="15" customHeight="1">
      <c r="A2122" t="str">
        <f ca="1">IF(AND(OFFSET(A2122, -I2122 + 2, 4) &gt;  0, E2122="", Calculations!$B$7), F2122, "")</f>
        <v/>
      </c>
      <c r="B2122">
        <f t="shared" si="722"/>
        <v>37</v>
      </c>
      <c r="C2122">
        <f t="shared" ca="1" si="714"/>
        <v>34</v>
      </c>
      <c r="D2122" t="str">
        <f t="shared" si="723"/>
        <v>N37</v>
      </c>
      <c r="E2122" t="str">
        <f t="shared" ca="1" si="724"/>
        <v/>
      </c>
      <c r="F2122" t="str">
        <f t="shared" ca="1" si="725"/>
        <v xml:space="preserve">Enter a 'Cost of Acquiring the Building***' for  building 34 in cell N37.
</v>
      </c>
      <c r="G2122" s="9" t="str">
        <f t="shared" ca="1" si="712"/>
        <v xml:space="preserve">Enter a value for 'Number of Floors in the Tallest Building' in cell B58.
</v>
      </c>
      <c r="H2122" s="52" t="str">
        <f t="shared" ca="1" si="726"/>
        <v>Cost of Acquiring the Building***</v>
      </c>
      <c r="I2122" s="52">
        <v>14</v>
      </c>
    </row>
    <row r="2123" spans="1:10" ht="15" customHeight="1">
      <c r="A2123" t="str">
        <f ca="1">IF(AND(OFFSET(A2123, -I2123 + 2, 4) &gt;  0, E2123="", Calculations!$B$7), F2123, "")</f>
        <v/>
      </c>
      <c r="B2123">
        <f t="shared" si="722"/>
        <v>37</v>
      </c>
      <c r="C2123">
        <f t="shared" ca="1" si="714"/>
        <v>34</v>
      </c>
      <c r="D2123" t="str">
        <f t="shared" si="723"/>
        <v>O37</v>
      </c>
      <c r="E2123" t="str">
        <f t="shared" ca="1" si="724"/>
        <v/>
      </c>
      <c r="F2123" t="str">
        <f t="shared" ca="1" si="725"/>
        <v xml:space="preserve">Enter a 'Higher of Land Purchase Price or Land Appraised Value****' for  building 34 in cell O37.
</v>
      </c>
      <c r="G2123" s="9" t="str">
        <f t="shared" ca="1" si="712"/>
        <v xml:space="preserve">Enter a value for 'Number of Floors in the Tallest Building' in cell B58.
</v>
      </c>
      <c r="H2123" s="52" t="str">
        <f t="shared" ca="1" si="726"/>
        <v>Higher of Land Purchase Price or Land Appraised Value****</v>
      </c>
      <c r="I2123" s="52">
        <v>15</v>
      </c>
    </row>
    <row r="2124" spans="1:10" ht="15" customHeight="1">
      <c r="A2124" t="str">
        <f ca="1">IF(AND(OFFSET(A2124, -I2124 + 2, 4) &gt;  0, E2124="", Calculations!$B$7), F2124, "")</f>
        <v/>
      </c>
      <c r="B2124">
        <f t="shared" si="722"/>
        <v>37</v>
      </c>
      <c r="C2124">
        <f t="shared" ca="1" si="714"/>
        <v>34</v>
      </c>
      <c r="D2124" t="str">
        <f t="shared" si="723"/>
        <v>P37</v>
      </c>
      <c r="E2124" t="str">
        <f t="shared" ca="1" si="724"/>
        <v/>
      </c>
      <c r="F2124" t="str">
        <f t="shared" ca="1" si="725"/>
        <v xml:space="preserve">Enter a 'Acquisition Placed-in-Service Date' for  building 34 in cell P37.
</v>
      </c>
      <c r="G2124" s="9" t="str">
        <f t="shared" ca="1" si="712"/>
        <v xml:space="preserve">Enter a value for 'Number of Floors in the Tallest Building' in cell B58.
</v>
      </c>
      <c r="H2124" s="52" t="str">
        <f t="shared" ca="1" si="726"/>
        <v>Acquisition Placed-in-Service Date</v>
      </c>
      <c r="I2124" s="52">
        <v>16</v>
      </c>
    </row>
    <row r="2125" spans="1:10" ht="15" customHeight="1">
      <c r="A2125" t="str">
        <f ca="1">IF(AND(OFFSET(A2125, -I2125 + 2, 4) &gt;  0, E2125="", Calculations!$B$7), F2125, "")</f>
        <v/>
      </c>
      <c r="B2125">
        <f t="shared" si="722"/>
        <v>37</v>
      </c>
      <c r="C2125">
        <f t="shared" ca="1" si="714"/>
        <v>34</v>
      </c>
      <c r="D2125" t="str">
        <f t="shared" si="723"/>
        <v>Q37</v>
      </c>
      <c r="E2125" t="str">
        <f t="shared" ca="1" si="724"/>
        <v/>
      </c>
      <c r="F2125" t="str">
        <f t="shared" ca="1" si="725"/>
        <v xml:space="preserve">Enter a 'Acquisition APR' for  building 34 in cell Q37.
</v>
      </c>
      <c r="G2125" s="9" t="str">
        <f t="shared" ca="1" si="712"/>
        <v xml:space="preserve">Enter a value for 'Number of Floors in the Tallest Building' in cell B58.
</v>
      </c>
      <c r="H2125" s="52" t="str">
        <f t="shared" ca="1" si="726"/>
        <v>Acquisition APR</v>
      </c>
      <c r="I2125" s="52">
        <v>17</v>
      </c>
    </row>
    <row r="2126" spans="1:10" ht="15" customHeight="1">
      <c r="A2126" t="str">
        <f ca="1">IF(AND(Calculations!$B$4,Calculations!$B$28&gt;=C2126, E2126 &lt;&gt; 13),F2126,"")</f>
        <v/>
      </c>
      <c r="B2126">
        <f>ROW('Final Building Profile'!C38)</f>
        <v>38</v>
      </c>
      <c r="C2126">
        <f t="shared" ca="1" si="714"/>
        <v>35</v>
      </c>
      <c r="D2126" t="str">
        <f>ADDRESS(B2126, 3,4  )</f>
        <v>C38</v>
      </c>
      <c r="E2126" s="52">
        <f ca="1">H2126+I2126</f>
        <v>0</v>
      </c>
      <c r="F2126" t="str">
        <f ca="1">CONCATENATE("Based upon the number of buildings specified, information for  building ", C2126, " required for a final application in row ", B2126, ".", CHAR(10))</f>
        <v xml:space="preserve">Based upon the number of buildings specified, information for  building 35 required for a final application in row 38.
</v>
      </c>
      <c r="G2126" s="9" t="str">
        <f t="shared" ca="1" si="712"/>
        <v xml:space="preserve">Enter a value for 'Number of Floors in the Tallest Building' in cell B58.
</v>
      </c>
      <c r="H2126" s="52">
        <f ca="1">SUMPRODUCT(--ISTEXT(INDIRECT(J2126)))</f>
        <v>0</v>
      </c>
      <c r="I2126" s="52">
        <f ca="1">SUMPRODUCT(--ISNUMBER(INDIRECT(J2126)))</f>
        <v>0</v>
      </c>
      <c r="J2126" s="52" t="str">
        <f>$F$1564&amp; ADDRESS(B2126,3,4) &amp; ":" &amp; ADDRESS(B2126,15,4)</f>
        <v>'Final Building Profile'!C38:O38</v>
      </c>
    </row>
    <row r="2127" spans="1:10" ht="15" customHeight="1">
      <c r="A2127" t="str">
        <f t="shared" ref="A2127:A2136" ca="1" si="727">IF(AND(OFFSET(A2127, -I2127 + 2, 4) &gt;  0, E2127=""), F2127, "")</f>
        <v/>
      </c>
      <c r="B2127">
        <f t="shared" ref="B2127:B2141" si="728">B2126</f>
        <v>38</v>
      </c>
      <c r="C2127">
        <f t="shared" ca="1" si="714"/>
        <v>35</v>
      </c>
      <c r="D2127" t="str">
        <f t="shared" ref="D2127:D2141" si="729">ADDRESS(B2127, I2127,4  )</f>
        <v>C38</v>
      </c>
      <c r="E2127" t="str">
        <f t="shared" ref="E2127:E2141" ca="1" si="730">IF(ISBLANK( INDIRECT($F$1564 &amp; D2127)),"", INDIRECT($F$1564 &amp; D2127))</f>
        <v/>
      </c>
      <c r="F2127" t="str">
        <f t="shared" ref="F2127:F2141" ca="1" si="731">CONCATENATE("Enter a '"&amp; H2127 &amp;"' for  building ", C2127, " in cell ", D2127, ".", CHAR(10))</f>
        <v xml:space="preserve">Enter a 'Building Street Address Only 
(DO NOT ENTER CITY, STATE, OR ZIP)' for  building 35 in cell C38.
</v>
      </c>
      <c r="G2127" s="9" t="str">
        <f t="shared" ca="1" si="712"/>
        <v xml:space="preserve">Enter a value for 'Number of Floors in the Tallest Building' in cell B58.
</v>
      </c>
      <c r="H2127" s="52" t="str">
        <f t="shared" ref="H2127:H2141" ca="1" si="732">OFFSET(INDIRECT($F$1564 &amp; D2127), -B2127 + 3, 0)</f>
        <v>Building Street Address Only 
(DO NOT ENTER CITY, STATE, OR ZIP)</v>
      </c>
      <c r="I2127" s="52">
        <v>3</v>
      </c>
    </row>
    <row r="2128" spans="1:10" ht="15" customHeight="1">
      <c r="A2128" t="str">
        <f t="shared" ca="1" si="727"/>
        <v/>
      </c>
      <c r="B2128">
        <f t="shared" si="728"/>
        <v>38</v>
      </c>
      <c r="C2128">
        <f t="shared" ca="1" si="714"/>
        <v>35</v>
      </c>
      <c r="D2128" t="str">
        <f t="shared" si="729"/>
        <v>D38</v>
      </c>
      <c r="E2128" t="str">
        <f t="shared" ca="1" si="730"/>
        <v/>
      </c>
      <c r="F2128" t="str">
        <f t="shared" ca="1" si="731"/>
        <v xml:space="preserve">Enter a 'Total Units in Building*' for  building 35 in cell D38.
</v>
      </c>
      <c r="G2128" s="9" t="str">
        <f t="shared" ca="1" si="712"/>
        <v xml:space="preserve">Enter a value for 'Number of Floors in the Tallest Building' in cell B58.
</v>
      </c>
      <c r="H2128" s="52" t="str">
        <f t="shared" ca="1" si="732"/>
        <v>Total Units in Building*</v>
      </c>
      <c r="I2128" s="52">
        <v>4</v>
      </c>
    </row>
    <row r="2129" spans="1:10" ht="15" customHeight="1">
      <c r="A2129" t="str">
        <f t="shared" ca="1" si="727"/>
        <v/>
      </c>
      <c r="B2129">
        <f t="shared" si="728"/>
        <v>38</v>
      </c>
      <c r="C2129">
        <f t="shared" ca="1" si="714"/>
        <v>35</v>
      </c>
      <c r="D2129" t="str">
        <f t="shared" si="729"/>
        <v>E38</v>
      </c>
      <c r="E2129" t="str">
        <f t="shared" ca="1" si="730"/>
        <v/>
      </c>
      <c r="F2129" t="str">
        <f t="shared" ca="1" si="731"/>
        <v xml:space="preserve">Enter a 'Employee Units' for  building 35 in cell E38.
</v>
      </c>
      <c r="G2129" s="9" t="str">
        <f t="shared" ca="1" si="712"/>
        <v xml:space="preserve">Enter a value for 'Number of Floors in the Tallest Building' in cell B58.
</v>
      </c>
      <c r="H2129" s="52" t="str">
        <f t="shared" ca="1" si="732"/>
        <v>Employee Units</v>
      </c>
      <c r="I2129" s="52">
        <v>5</v>
      </c>
    </row>
    <row r="2130" spans="1:10" ht="15" customHeight="1">
      <c r="A2130" t="str">
        <f t="shared" ca="1" si="727"/>
        <v/>
      </c>
      <c r="B2130">
        <f t="shared" si="728"/>
        <v>38</v>
      </c>
      <c r="C2130">
        <f t="shared" ca="1" si="714"/>
        <v>35</v>
      </c>
      <c r="D2130" t="str">
        <f t="shared" si="729"/>
        <v>F38</v>
      </c>
      <c r="E2130" t="str">
        <f t="shared" ca="1" si="730"/>
        <v/>
      </c>
      <c r="F2130" t="str">
        <f t="shared" ca="1" si="731"/>
        <v xml:space="preserve">Enter a 'Low-Income Units' for  building 35 in cell F38.
</v>
      </c>
      <c r="G2130" s="9" t="str">
        <f t="shared" ca="1" si="712"/>
        <v xml:space="preserve">Enter a value for 'Number of Floors in the Tallest Building' in cell B58.
</v>
      </c>
      <c r="H2130" s="52" t="str">
        <f t="shared" ca="1" si="732"/>
        <v>Low-Income Units</v>
      </c>
      <c r="I2130" s="52">
        <v>6</v>
      </c>
    </row>
    <row r="2131" spans="1:10" ht="15" customHeight="1">
      <c r="A2131" t="str">
        <f t="shared" ca="1" si="727"/>
        <v/>
      </c>
      <c r="B2131">
        <f t="shared" si="728"/>
        <v>38</v>
      </c>
      <c r="C2131">
        <f t="shared" ca="1" si="714"/>
        <v>35</v>
      </c>
      <c r="D2131" t="str">
        <f t="shared" si="729"/>
        <v>G38</v>
      </c>
      <c r="E2131" t="str">
        <f t="shared" ca="1" si="730"/>
        <v/>
      </c>
      <c r="F2131" t="str">
        <f t="shared" ca="1" si="731"/>
        <v xml:space="preserve">Enter a 'Residential Square Footage**' for  building 35 in cell G38.
</v>
      </c>
      <c r="G2131" s="9" t="str">
        <f t="shared" ca="1" si="712"/>
        <v xml:space="preserve">Enter a value for 'Number of Floors in the Tallest Building' in cell B58.
</v>
      </c>
      <c r="H2131" s="52" t="str">
        <f t="shared" ca="1" si="732"/>
        <v>Residential Square Footage**</v>
      </c>
      <c r="I2131" s="52">
        <v>7</v>
      </c>
    </row>
    <row r="2132" spans="1:10" ht="15" customHeight="1">
      <c r="A2132" t="str">
        <f t="shared" ca="1" si="727"/>
        <v/>
      </c>
      <c r="B2132">
        <f t="shared" si="728"/>
        <v>38</v>
      </c>
      <c r="C2132">
        <f t="shared" ca="1" si="714"/>
        <v>35</v>
      </c>
      <c r="D2132" t="str">
        <f t="shared" si="729"/>
        <v>H38</v>
      </c>
      <c r="E2132" t="str">
        <f t="shared" ca="1" si="730"/>
        <v/>
      </c>
      <c r="F2132" t="str">
        <f t="shared" ca="1" si="731"/>
        <v xml:space="preserve">Enter a 'Square Footage of Employee Units' for  building 35 in cell H38.
</v>
      </c>
      <c r="G2132" s="9" t="str">
        <f t="shared" ca="1" si="712"/>
        <v xml:space="preserve">Enter a value for 'Number of Floors in the Tallest Building' in cell B58.
</v>
      </c>
      <c r="H2132" s="52" t="str">
        <f t="shared" ca="1" si="732"/>
        <v>Square Footage of Employee Units</v>
      </c>
      <c r="I2132" s="52">
        <v>8</v>
      </c>
    </row>
    <row r="2133" spans="1:10" ht="15" customHeight="1">
      <c r="A2133" t="str">
        <f t="shared" ca="1" si="727"/>
        <v/>
      </c>
      <c r="B2133">
        <f t="shared" si="728"/>
        <v>38</v>
      </c>
      <c r="C2133">
        <f t="shared" ca="1" si="714"/>
        <v>35</v>
      </c>
      <c r="D2133" t="str">
        <f t="shared" si="729"/>
        <v>I38</v>
      </c>
      <c r="E2133" t="str">
        <f t="shared" ca="1" si="730"/>
        <v/>
      </c>
      <c r="F2133" t="str">
        <f t="shared" ca="1" si="731"/>
        <v xml:space="preserve">Enter a 'Square Footage of Low-Income Units' for  building 35 in cell I38.
</v>
      </c>
      <c r="G2133" s="9" t="str">
        <f t="shared" ca="1" si="712"/>
        <v xml:space="preserve">Enter a value for 'Number of Floors in the Tallest Building' in cell B58.
</v>
      </c>
      <c r="H2133" s="52" t="str">
        <f t="shared" ca="1" si="732"/>
        <v>Square Footage of Low-Income Units</v>
      </c>
      <c r="I2133" s="52">
        <v>9</v>
      </c>
    </row>
    <row r="2134" spans="1:10" ht="15" customHeight="1">
      <c r="A2134" t="str">
        <f t="shared" ca="1" si="727"/>
        <v/>
      </c>
      <c r="B2134">
        <f t="shared" si="728"/>
        <v>38</v>
      </c>
      <c r="C2134">
        <f t="shared" ca="1" si="714"/>
        <v>35</v>
      </c>
      <c r="D2134" t="str">
        <f t="shared" si="729"/>
        <v>J38</v>
      </c>
      <c r="E2134" t="str">
        <f t="shared" ca="1" si="730"/>
        <v/>
      </c>
      <c r="F2134" t="str">
        <f t="shared" ca="1" si="731"/>
        <v xml:space="preserve">Enter a 'Placed-In-Service Date' for  building 35 in cell J38.
</v>
      </c>
      <c r="G2134" s="9" t="str">
        <f t="shared" ca="1" si="712"/>
        <v xml:space="preserve">Enter a value for 'Number of Floors in the Tallest Building' in cell B58.
</v>
      </c>
      <c r="H2134" s="52" t="str">
        <f t="shared" ca="1" si="732"/>
        <v>Placed-In-Service Date</v>
      </c>
      <c r="I2134" s="52">
        <v>10</v>
      </c>
    </row>
    <row r="2135" spans="1:10" ht="15" customHeight="1">
      <c r="A2135" t="str">
        <f t="shared" ca="1" si="727"/>
        <v/>
      </c>
      <c r="B2135">
        <f t="shared" si="728"/>
        <v>38</v>
      </c>
      <c r="C2135">
        <f t="shared" ca="1" si="714"/>
        <v>35</v>
      </c>
      <c r="D2135" t="str">
        <f t="shared" si="729"/>
        <v>K38</v>
      </c>
      <c r="E2135" t="str">
        <f t="shared" ca="1" si="730"/>
        <v/>
      </c>
      <c r="F2135" t="str">
        <f t="shared" ca="1" si="731"/>
        <v xml:space="preserve">Enter a 'New Construction/ Rehab APR' for  building 35 in cell K38.
</v>
      </c>
      <c r="G2135" s="9" t="str">
        <f t="shared" ca="1" si="712"/>
        <v xml:space="preserve">Enter a value for 'Number of Floors in the Tallest Building' in cell B58.
</v>
      </c>
      <c r="H2135" s="52" t="str">
        <f t="shared" ca="1" si="732"/>
        <v>New Construction/ Rehab APR</v>
      </c>
      <c r="I2135" s="52">
        <v>11</v>
      </c>
    </row>
    <row r="2136" spans="1:10" ht="15" customHeight="1">
      <c r="A2136" t="str">
        <f t="shared" ca="1" si="727"/>
        <v/>
      </c>
      <c r="B2136">
        <f t="shared" si="728"/>
        <v>38</v>
      </c>
      <c r="C2136">
        <f t="shared" ca="1" si="714"/>
        <v>35</v>
      </c>
      <c r="D2136" t="str">
        <f t="shared" si="729"/>
        <v>L38</v>
      </c>
      <c r="E2136" t="str">
        <f t="shared" ca="1" si="730"/>
        <v/>
      </c>
      <c r="F2136" t="str">
        <f t="shared" ca="1" si="731"/>
        <v xml:space="preserve">Enter a 'New Construction Eligible Basis' for  building 35 in cell L38.
</v>
      </c>
      <c r="G2136" s="9" t="str">
        <f t="shared" ca="1" si="712"/>
        <v xml:space="preserve">Enter a value for 'Number of Floors in the Tallest Building' in cell B58.
</v>
      </c>
      <c r="H2136" s="52" t="str">
        <f t="shared" ca="1" si="732"/>
        <v>New Construction Eligible Basis</v>
      </c>
      <c r="I2136" s="52">
        <v>12</v>
      </c>
    </row>
    <row r="2137" spans="1:10" ht="15" customHeight="1">
      <c r="A2137" t="str">
        <f ca="1">IF(AND(OFFSET(A2137, -I2137 + 2, 4) &gt;  0, E2137="", Calculations!$B$7), F2137, "")</f>
        <v/>
      </c>
      <c r="B2137">
        <f t="shared" si="728"/>
        <v>38</v>
      </c>
      <c r="C2137">
        <f t="shared" ca="1" si="714"/>
        <v>35</v>
      </c>
      <c r="D2137" t="str">
        <f t="shared" si="729"/>
        <v>M38</v>
      </c>
      <c r="E2137" t="str">
        <f t="shared" ca="1" si="730"/>
        <v/>
      </c>
      <c r="F2137" t="str">
        <f t="shared" ca="1" si="731"/>
        <v xml:space="preserve">Enter a 'Eligible Basis for Rehab' for  building 35 in cell M38.
</v>
      </c>
      <c r="G2137" s="9" t="str">
        <f t="shared" ca="1" si="712"/>
        <v xml:space="preserve">Enter a value for 'Number of Floors in the Tallest Building' in cell B58.
</v>
      </c>
      <c r="H2137" s="52" t="str">
        <f t="shared" ca="1" si="732"/>
        <v>Eligible Basis for Rehab</v>
      </c>
      <c r="I2137" s="52">
        <v>13</v>
      </c>
    </row>
    <row r="2138" spans="1:10" ht="15" customHeight="1">
      <c r="A2138" t="str">
        <f ca="1">IF(AND(OFFSET(A2138, -I2138 + 2, 4) &gt;  0, E2138="", Calculations!$B$7), F2138, "")</f>
        <v/>
      </c>
      <c r="B2138">
        <f t="shared" si="728"/>
        <v>38</v>
      </c>
      <c r="C2138">
        <f t="shared" ca="1" si="714"/>
        <v>35</v>
      </c>
      <c r="D2138" t="str">
        <f t="shared" si="729"/>
        <v>N38</v>
      </c>
      <c r="E2138" t="str">
        <f t="shared" ca="1" si="730"/>
        <v/>
      </c>
      <c r="F2138" t="str">
        <f t="shared" ca="1" si="731"/>
        <v xml:space="preserve">Enter a 'Cost of Acquiring the Building***' for  building 35 in cell N38.
</v>
      </c>
      <c r="G2138" s="9" t="str">
        <f t="shared" ca="1" si="712"/>
        <v xml:space="preserve">Enter a value for 'Number of Floors in the Tallest Building' in cell B58.
</v>
      </c>
      <c r="H2138" s="52" t="str">
        <f t="shared" ca="1" si="732"/>
        <v>Cost of Acquiring the Building***</v>
      </c>
      <c r="I2138" s="52">
        <v>14</v>
      </c>
    </row>
    <row r="2139" spans="1:10" ht="15" customHeight="1">
      <c r="A2139" t="str">
        <f ca="1">IF(AND(OFFSET(A2139, -I2139 + 2, 4) &gt;  0, E2139="", Calculations!$B$7), F2139, "")</f>
        <v/>
      </c>
      <c r="B2139">
        <f t="shared" si="728"/>
        <v>38</v>
      </c>
      <c r="C2139">
        <f t="shared" ca="1" si="714"/>
        <v>35</v>
      </c>
      <c r="D2139" t="str">
        <f t="shared" si="729"/>
        <v>O38</v>
      </c>
      <c r="E2139" t="str">
        <f t="shared" ca="1" si="730"/>
        <v/>
      </c>
      <c r="F2139" t="str">
        <f t="shared" ca="1" si="731"/>
        <v xml:space="preserve">Enter a 'Higher of Land Purchase Price or Land Appraised Value****' for  building 35 in cell O38.
</v>
      </c>
      <c r="G2139" s="9" t="str">
        <f t="shared" ca="1" si="712"/>
        <v xml:space="preserve">Enter a value for 'Number of Floors in the Tallest Building' in cell B58.
</v>
      </c>
      <c r="H2139" s="52" t="str">
        <f t="shared" ca="1" si="732"/>
        <v>Higher of Land Purchase Price or Land Appraised Value****</v>
      </c>
      <c r="I2139" s="52">
        <v>15</v>
      </c>
    </row>
    <row r="2140" spans="1:10" ht="15" customHeight="1">
      <c r="A2140" t="str">
        <f ca="1">IF(AND(OFFSET(A2140, -I2140 + 2, 4) &gt;  0, E2140="", Calculations!$B$7), F2140, "")</f>
        <v/>
      </c>
      <c r="B2140">
        <f t="shared" si="728"/>
        <v>38</v>
      </c>
      <c r="C2140">
        <f t="shared" ca="1" si="714"/>
        <v>35</v>
      </c>
      <c r="D2140" t="str">
        <f t="shared" si="729"/>
        <v>P38</v>
      </c>
      <c r="E2140" t="str">
        <f t="shared" ca="1" si="730"/>
        <v/>
      </c>
      <c r="F2140" t="str">
        <f t="shared" ca="1" si="731"/>
        <v xml:space="preserve">Enter a 'Acquisition Placed-in-Service Date' for  building 35 in cell P38.
</v>
      </c>
      <c r="G2140" s="9" t="str">
        <f t="shared" ca="1" si="712"/>
        <v xml:space="preserve">Enter a value for 'Number of Floors in the Tallest Building' in cell B58.
</v>
      </c>
      <c r="H2140" s="52" t="str">
        <f t="shared" ca="1" si="732"/>
        <v>Acquisition Placed-in-Service Date</v>
      </c>
      <c r="I2140" s="52">
        <v>16</v>
      </c>
    </row>
    <row r="2141" spans="1:10" ht="15" customHeight="1">
      <c r="A2141" t="str">
        <f ca="1">IF(AND(OFFSET(A2141, -I2141 + 2, 4) &gt;  0, E2141="", Calculations!$B$7), F2141, "")</f>
        <v/>
      </c>
      <c r="B2141">
        <f t="shared" si="728"/>
        <v>38</v>
      </c>
      <c r="C2141">
        <f t="shared" ca="1" si="714"/>
        <v>35</v>
      </c>
      <c r="D2141" t="str">
        <f t="shared" si="729"/>
        <v>Q38</v>
      </c>
      <c r="E2141" t="str">
        <f t="shared" ca="1" si="730"/>
        <v/>
      </c>
      <c r="F2141" t="str">
        <f t="shared" ca="1" si="731"/>
        <v xml:space="preserve">Enter a 'Acquisition APR' for  building 35 in cell Q38.
</v>
      </c>
      <c r="G2141" s="9" t="str">
        <f t="shared" ca="1" si="712"/>
        <v xml:space="preserve">Enter a value for 'Number of Floors in the Tallest Building' in cell B58.
</v>
      </c>
      <c r="H2141" s="52" t="str">
        <f t="shared" ca="1" si="732"/>
        <v>Acquisition APR</v>
      </c>
      <c r="I2141" s="52">
        <v>17</v>
      </c>
    </row>
    <row r="2142" spans="1:10" ht="15" customHeight="1">
      <c r="A2142" t="str">
        <f ca="1">IF(AND(Calculations!$B$4,Calculations!$B$28&gt;=C2142, E2142 &lt;&gt; 13),F2142,"")</f>
        <v/>
      </c>
      <c r="B2142">
        <f>ROW('Final Building Profile'!C39)</f>
        <v>39</v>
      </c>
      <c r="C2142">
        <f t="shared" ca="1" si="714"/>
        <v>36</v>
      </c>
      <c r="D2142" t="str">
        <f>ADDRESS(B2142, 3,4  )</f>
        <v>C39</v>
      </c>
      <c r="E2142" s="52">
        <f ca="1">H2142+I2142</f>
        <v>0</v>
      </c>
      <c r="F2142" t="str">
        <f ca="1">CONCATENATE("Based upon the number of buildings specified, information for  building ", C2142, " required for a final application in row ", B2142, ".", CHAR(10))</f>
        <v xml:space="preserve">Based upon the number of buildings specified, information for  building 36 required for a final application in row 39.
</v>
      </c>
      <c r="G2142" s="9" t="str">
        <f t="shared" ca="1" si="712"/>
        <v xml:space="preserve">Enter a value for 'Number of Floors in the Tallest Building' in cell B58.
</v>
      </c>
      <c r="H2142" s="52">
        <f ca="1">SUMPRODUCT(--ISTEXT(INDIRECT(J2142)))</f>
        <v>0</v>
      </c>
      <c r="I2142" s="52">
        <f ca="1">SUMPRODUCT(--ISNUMBER(INDIRECT(J2142)))</f>
        <v>0</v>
      </c>
      <c r="J2142" s="52" t="str">
        <f>$F$1564&amp; ADDRESS(B2142,3,4) &amp; ":" &amp; ADDRESS(B2142,15,4)</f>
        <v>'Final Building Profile'!C39:O39</v>
      </c>
    </row>
    <row r="2143" spans="1:10" ht="15" customHeight="1">
      <c r="A2143" t="str">
        <f t="shared" ref="A2143:A2152" ca="1" si="733">IF(AND(OFFSET(A2143, -I2143 + 2, 4) &gt;  0, E2143=""), F2143, "")</f>
        <v/>
      </c>
      <c r="B2143">
        <f t="shared" ref="B2143:B2157" si="734">B2142</f>
        <v>39</v>
      </c>
      <c r="C2143">
        <f t="shared" ca="1" si="714"/>
        <v>36</v>
      </c>
      <c r="D2143" t="str">
        <f t="shared" ref="D2143:D2157" si="735">ADDRESS(B2143, I2143,4  )</f>
        <v>C39</v>
      </c>
      <c r="E2143" t="str">
        <f t="shared" ref="E2143:E2157" ca="1" si="736">IF(ISBLANK( INDIRECT($F$1564 &amp; D2143)),"", INDIRECT($F$1564 &amp; D2143))</f>
        <v/>
      </c>
      <c r="F2143" t="str">
        <f t="shared" ref="F2143:F2157" ca="1" si="737">CONCATENATE("Enter a '"&amp; H2143 &amp;"' for  building ", C2143, " in cell ", D2143, ".", CHAR(10))</f>
        <v xml:space="preserve">Enter a 'Building Street Address Only 
(DO NOT ENTER CITY, STATE, OR ZIP)' for  building 36 in cell C39.
</v>
      </c>
      <c r="G2143" s="9" t="str">
        <f t="shared" ref="G2143:G2206" ca="1" si="738">OFFSET(G2143, -1, 0) &amp; A2143</f>
        <v xml:space="preserve">Enter a value for 'Number of Floors in the Tallest Building' in cell B58.
</v>
      </c>
      <c r="H2143" s="52" t="str">
        <f t="shared" ref="H2143:H2157" ca="1" si="739">OFFSET(INDIRECT($F$1564 &amp; D2143), -B2143 + 3, 0)</f>
        <v>Building Street Address Only 
(DO NOT ENTER CITY, STATE, OR ZIP)</v>
      </c>
      <c r="I2143" s="52">
        <v>3</v>
      </c>
    </row>
    <row r="2144" spans="1:10" ht="15" customHeight="1">
      <c r="A2144" t="str">
        <f t="shared" ca="1" si="733"/>
        <v/>
      </c>
      <c r="B2144">
        <f t="shared" si="734"/>
        <v>39</v>
      </c>
      <c r="C2144">
        <f t="shared" ca="1" si="714"/>
        <v>36</v>
      </c>
      <c r="D2144" t="str">
        <f t="shared" si="735"/>
        <v>D39</v>
      </c>
      <c r="E2144" t="str">
        <f t="shared" ca="1" si="736"/>
        <v/>
      </c>
      <c r="F2144" t="str">
        <f t="shared" ca="1" si="737"/>
        <v xml:space="preserve">Enter a 'Total Units in Building*' for  building 36 in cell D39.
</v>
      </c>
      <c r="G2144" s="9" t="str">
        <f t="shared" ca="1" si="738"/>
        <v xml:space="preserve">Enter a value for 'Number of Floors in the Tallest Building' in cell B58.
</v>
      </c>
      <c r="H2144" s="52" t="str">
        <f t="shared" ca="1" si="739"/>
        <v>Total Units in Building*</v>
      </c>
      <c r="I2144" s="52">
        <v>4</v>
      </c>
    </row>
    <row r="2145" spans="1:10" ht="15" customHeight="1">
      <c r="A2145" t="str">
        <f t="shared" ca="1" si="733"/>
        <v/>
      </c>
      <c r="B2145">
        <f t="shared" si="734"/>
        <v>39</v>
      </c>
      <c r="C2145">
        <f t="shared" ca="1" si="714"/>
        <v>36</v>
      </c>
      <c r="D2145" t="str">
        <f t="shared" si="735"/>
        <v>E39</v>
      </c>
      <c r="E2145" t="str">
        <f t="shared" ca="1" si="736"/>
        <v/>
      </c>
      <c r="F2145" t="str">
        <f t="shared" ca="1" si="737"/>
        <v xml:space="preserve">Enter a 'Employee Units' for  building 36 in cell E39.
</v>
      </c>
      <c r="G2145" s="9" t="str">
        <f t="shared" ca="1" si="738"/>
        <v xml:space="preserve">Enter a value for 'Number of Floors in the Tallest Building' in cell B58.
</v>
      </c>
      <c r="H2145" s="52" t="str">
        <f t="shared" ca="1" si="739"/>
        <v>Employee Units</v>
      </c>
      <c r="I2145" s="52">
        <v>5</v>
      </c>
    </row>
    <row r="2146" spans="1:10" ht="15" customHeight="1">
      <c r="A2146" t="str">
        <f t="shared" ca="1" si="733"/>
        <v/>
      </c>
      <c r="B2146">
        <f t="shared" si="734"/>
        <v>39</v>
      </c>
      <c r="C2146">
        <f t="shared" ca="1" si="714"/>
        <v>36</v>
      </c>
      <c r="D2146" t="str">
        <f t="shared" si="735"/>
        <v>F39</v>
      </c>
      <c r="E2146" t="str">
        <f t="shared" ca="1" si="736"/>
        <v/>
      </c>
      <c r="F2146" t="str">
        <f t="shared" ca="1" si="737"/>
        <v xml:space="preserve">Enter a 'Low-Income Units' for  building 36 in cell F39.
</v>
      </c>
      <c r="G2146" s="9" t="str">
        <f t="shared" ca="1" si="738"/>
        <v xml:space="preserve">Enter a value for 'Number of Floors in the Tallest Building' in cell B58.
</v>
      </c>
      <c r="H2146" s="52" t="str">
        <f t="shared" ca="1" si="739"/>
        <v>Low-Income Units</v>
      </c>
      <c r="I2146" s="52">
        <v>6</v>
      </c>
    </row>
    <row r="2147" spans="1:10" ht="15" customHeight="1">
      <c r="A2147" t="str">
        <f t="shared" ca="1" si="733"/>
        <v/>
      </c>
      <c r="B2147">
        <f t="shared" si="734"/>
        <v>39</v>
      </c>
      <c r="C2147">
        <f t="shared" ca="1" si="714"/>
        <v>36</v>
      </c>
      <c r="D2147" t="str">
        <f t="shared" si="735"/>
        <v>G39</v>
      </c>
      <c r="E2147" t="str">
        <f t="shared" ca="1" si="736"/>
        <v/>
      </c>
      <c r="F2147" t="str">
        <f t="shared" ca="1" si="737"/>
        <v xml:space="preserve">Enter a 'Residential Square Footage**' for  building 36 in cell G39.
</v>
      </c>
      <c r="G2147" s="9" t="str">
        <f t="shared" ca="1" si="738"/>
        <v xml:space="preserve">Enter a value for 'Number of Floors in the Tallest Building' in cell B58.
</v>
      </c>
      <c r="H2147" s="52" t="str">
        <f t="shared" ca="1" si="739"/>
        <v>Residential Square Footage**</v>
      </c>
      <c r="I2147" s="52">
        <v>7</v>
      </c>
    </row>
    <row r="2148" spans="1:10" ht="15" customHeight="1">
      <c r="A2148" t="str">
        <f t="shared" ca="1" si="733"/>
        <v/>
      </c>
      <c r="B2148">
        <f t="shared" si="734"/>
        <v>39</v>
      </c>
      <c r="C2148">
        <f t="shared" ca="1" si="714"/>
        <v>36</v>
      </c>
      <c r="D2148" t="str">
        <f t="shared" si="735"/>
        <v>H39</v>
      </c>
      <c r="E2148" t="str">
        <f t="shared" ca="1" si="736"/>
        <v/>
      </c>
      <c r="F2148" t="str">
        <f t="shared" ca="1" si="737"/>
        <v xml:space="preserve">Enter a 'Square Footage of Employee Units' for  building 36 in cell H39.
</v>
      </c>
      <c r="G2148" s="9" t="str">
        <f t="shared" ca="1" si="738"/>
        <v xml:space="preserve">Enter a value for 'Number of Floors in the Tallest Building' in cell B58.
</v>
      </c>
      <c r="H2148" s="52" t="str">
        <f t="shared" ca="1" si="739"/>
        <v>Square Footage of Employee Units</v>
      </c>
      <c r="I2148" s="52">
        <v>8</v>
      </c>
    </row>
    <row r="2149" spans="1:10" ht="15" customHeight="1">
      <c r="A2149" t="str">
        <f t="shared" ca="1" si="733"/>
        <v/>
      </c>
      <c r="B2149">
        <f t="shared" si="734"/>
        <v>39</v>
      </c>
      <c r="C2149">
        <f t="shared" ca="1" si="714"/>
        <v>36</v>
      </c>
      <c r="D2149" t="str">
        <f t="shared" si="735"/>
        <v>I39</v>
      </c>
      <c r="E2149" t="str">
        <f t="shared" ca="1" si="736"/>
        <v/>
      </c>
      <c r="F2149" t="str">
        <f t="shared" ca="1" si="737"/>
        <v xml:space="preserve">Enter a 'Square Footage of Low-Income Units' for  building 36 in cell I39.
</v>
      </c>
      <c r="G2149" s="9" t="str">
        <f t="shared" ca="1" si="738"/>
        <v xml:space="preserve">Enter a value for 'Number of Floors in the Tallest Building' in cell B58.
</v>
      </c>
      <c r="H2149" s="52" t="str">
        <f t="shared" ca="1" si="739"/>
        <v>Square Footage of Low-Income Units</v>
      </c>
      <c r="I2149" s="52">
        <v>9</v>
      </c>
    </row>
    <row r="2150" spans="1:10" ht="15" customHeight="1">
      <c r="A2150" t="str">
        <f t="shared" ca="1" si="733"/>
        <v/>
      </c>
      <c r="B2150">
        <f t="shared" si="734"/>
        <v>39</v>
      </c>
      <c r="C2150">
        <f t="shared" ca="1" si="714"/>
        <v>36</v>
      </c>
      <c r="D2150" t="str">
        <f t="shared" si="735"/>
        <v>J39</v>
      </c>
      <c r="E2150" t="str">
        <f t="shared" ca="1" si="736"/>
        <v/>
      </c>
      <c r="F2150" t="str">
        <f t="shared" ca="1" si="737"/>
        <v xml:space="preserve">Enter a 'Placed-In-Service Date' for  building 36 in cell J39.
</v>
      </c>
      <c r="G2150" s="9" t="str">
        <f t="shared" ca="1" si="738"/>
        <v xml:space="preserve">Enter a value for 'Number of Floors in the Tallest Building' in cell B58.
</v>
      </c>
      <c r="H2150" s="52" t="str">
        <f t="shared" ca="1" si="739"/>
        <v>Placed-In-Service Date</v>
      </c>
      <c r="I2150" s="52">
        <v>10</v>
      </c>
    </row>
    <row r="2151" spans="1:10" ht="15" customHeight="1">
      <c r="A2151" t="str">
        <f t="shared" ca="1" si="733"/>
        <v/>
      </c>
      <c r="B2151">
        <f t="shared" si="734"/>
        <v>39</v>
      </c>
      <c r="C2151">
        <f t="shared" ca="1" si="714"/>
        <v>36</v>
      </c>
      <c r="D2151" t="str">
        <f t="shared" si="735"/>
        <v>K39</v>
      </c>
      <c r="E2151" t="str">
        <f t="shared" ca="1" si="736"/>
        <v/>
      </c>
      <c r="F2151" t="str">
        <f t="shared" ca="1" si="737"/>
        <v xml:space="preserve">Enter a 'New Construction/ Rehab APR' for  building 36 in cell K39.
</v>
      </c>
      <c r="G2151" s="9" t="str">
        <f t="shared" ca="1" si="738"/>
        <v xml:space="preserve">Enter a value for 'Number of Floors in the Tallest Building' in cell B58.
</v>
      </c>
      <c r="H2151" s="52" t="str">
        <f t="shared" ca="1" si="739"/>
        <v>New Construction/ Rehab APR</v>
      </c>
      <c r="I2151" s="52">
        <v>11</v>
      </c>
    </row>
    <row r="2152" spans="1:10" ht="15" customHeight="1">
      <c r="A2152" t="str">
        <f t="shared" ca="1" si="733"/>
        <v/>
      </c>
      <c r="B2152">
        <f t="shared" si="734"/>
        <v>39</v>
      </c>
      <c r="C2152">
        <f t="shared" ca="1" si="714"/>
        <v>36</v>
      </c>
      <c r="D2152" t="str">
        <f t="shared" si="735"/>
        <v>L39</v>
      </c>
      <c r="E2152" t="str">
        <f t="shared" ca="1" si="736"/>
        <v/>
      </c>
      <c r="F2152" t="str">
        <f t="shared" ca="1" si="737"/>
        <v xml:space="preserve">Enter a 'New Construction Eligible Basis' for  building 36 in cell L39.
</v>
      </c>
      <c r="G2152" s="9" t="str">
        <f t="shared" ca="1" si="738"/>
        <v xml:space="preserve">Enter a value for 'Number of Floors in the Tallest Building' in cell B58.
</v>
      </c>
      <c r="H2152" s="52" t="str">
        <f t="shared" ca="1" si="739"/>
        <v>New Construction Eligible Basis</v>
      </c>
      <c r="I2152" s="52">
        <v>12</v>
      </c>
    </row>
    <row r="2153" spans="1:10" ht="15" customHeight="1">
      <c r="A2153" t="str">
        <f ca="1">IF(AND(OFFSET(A2153, -I2153 + 2, 4) &gt;  0, E2153="", Calculations!$B$7), F2153, "")</f>
        <v/>
      </c>
      <c r="B2153">
        <f t="shared" si="734"/>
        <v>39</v>
      </c>
      <c r="C2153">
        <f t="shared" ca="1" si="714"/>
        <v>36</v>
      </c>
      <c r="D2153" t="str">
        <f t="shared" si="735"/>
        <v>M39</v>
      </c>
      <c r="E2153" t="str">
        <f t="shared" ca="1" si="736"/>
        <v/>
      </c>
      <c r="F2153" t="str">
        <f t="shared" ca="1" si="737"/>
        <v xml:space="preserve">Enter a 'Eligible Basis for Rehab' for  building 36 in cell M39.
</v>
      </c>
      <c r="G2153" s="9" t="str">
        <f t="shared" ca="1" si="738"/>
        <v xml:space="preserve">Enter a value for 'Number of Floors in the Tallest Building' in cell B58.
</v>
      </c>
      <c r="H2153" s="52" t="str">
        <f t="shared" ca="1" si="739"/>
        <v>Eligible Basis for Rehab</v>
      </c>
      <c r="I2153" s="52">
        <v>13</v>
      </c>
    </row>
    <row r="2154" spans="1:10" ht="15" customHeight="1">
      <c r="A2154" t="str">
        <f ca="1">IF(AND(OFFSET(A2154, -I2154 + 2, 4) &gt;  0, E2154="", Calculations!$B$7), F2154, "")</f>
        <v/>
      </c>
      <c r="B2154">
        <f t="shared" si="734"/>
        <v>39</v>
      </c>
      <c r="C2154">
        <f t="shared" ca="1" si="714"/>
        <v>36</v>
      </c>
      <c r="D2154" t="str">
        <f t="shared" si="735"/>
        <v>N39</v>
      </c>
      <c r="E2154" t="str">
        <f t="shared" ca="1" si="736"/>
        <v/>
      </c>
      <c r="F2154" t="str">
        <f t="shared" ca="1" si="737"/>
        <v xml:space="preserve">Enter a 'Cost of Acquiring the Building***' for  building 36 in cell N39.
</v>
      </c>
      <c r="G2154" s="9" t="str">
        <f t="shared" ca="1" si="738"/>
        <v xml:space="preserve">Enter a value for 'Number of Floors in the Tallest Building' in cell B58.
</v>
      </c>
      <c r="H2154" s="52" t="str">
        <f t="shared" ca="1" si="739"/>
        <v>Cost of Acquiring the Building***</v>
      </c>
      <c r="I2154" s="52">
        <v>14</v>
      </c>
    </row>
    <row r="2155" spans="1:10" ht="15" customHeight="1">
      <c r="A2155" t="str">
        <f ca="1">IF(AND(OFFSET(A2155, -I2155 + 2, 4) &gt;  0, E2155="", Calculations!$B$7), F2155, "")</f>
        <v/>
      </c>
      <c r="B2155">
        <f t="shared" si="734"/>
        <v>39</v>
      </c>
      <c r="C2155">
        <f t="shared" ca="1" si="714"/>
        <v>36</v>
      </c>
      <c r="D2155" t="str">
        <f t="shared" si="735"/>
        <v>O39</v>
      </c>
      <c r="E2155" t="str">
        <f t="shared" ca="1" si="736"/>
        <v/>
      </c>
      <c r="F2155" t="str">
        <f t="shared" ca="1" si="737"/>
        <v xml:space="preserve">Enter a 'Higher of Land Purchase Price or Land Appraised Value****' for  building 36 in cell O39.
</v>
      </c>
      <c r="G2155" s="9" t="str">
        <f t="shared" ca="1" si="738"/>
        <v xml:space="preserve">Enter a value for 'Number of Floors in the Tallest Building' in cell B58.
</v>
      </c>
      <c r="H2155" s="52" t="str">
        <f t="shared" ca="1" si="739"/>
        <v>Higher of Land Purchase Price or Land Appraised Value****</v>
      </c>
      <c r="I2155" s="52">
        <v>15</v>
      </c>
    </row>
    <row r="2156" spans="1:10" ht="15" customHeight="1">
      <c r="A2156" t="str">
        <f ca="1">IF(AND(OFFSET(A2156, -I2156 + 2, 4) &gt;  0, E2156="", Calculations!$B$7), F2156, "")</f>
        <v/>
      </c>
      <c r="B2156">
        <f t="shared" si="734"/>
        <v>39</v>
      </c>
      <c r="C2156">
        <f t="shared" ca="1" si="714"/>
        <v>36</v>
      </c>
      <c r="D2156" t="str">
        <f t="shared" si="735"/>
        <v>P39</v>
      </c>
      <c r="E2156" t="str">
        <f t="shared" ca="1" si="736"/>
        <v/>
      </c>
      <c r="F2156" t="str">
        <f t="shared" ca="1" si="737"/>
        <v xml:space="preserve">Enter a 'Acquisition Placed-in-Service Date' for  building 36 in cell P39.
</v>
      </c>
      <c r="G2156" s="9" t="str">
        <f t="shared" ca="1" si="738"/>
        <v xml:space="preserve">Enter a value for 'Number of Floors in the Tallest Building' in cell B58.
</v>
      </c>
      <c r="H2156" s="52" t="str">
        <f t="shared" ca="1" si="739"/>
        <v>Acquisition Placed-in-Service Date</v>
      </c>
      <c r="I2156" s="52">
        <v>16</v>
      </c>
    </row>
    <row r="2157" spans="1:10" ht="15" customHeight="1">
      <c r="A2157" t="str">
        <f ca="1">IF(AND(OFFSET(A2157, -I2157 + 2, 4) &gt;  0, E2157="", Calculations!$B$7), F2157, "")</f>
        <v/>
      </c>
      <c r="B2157">
        <f t="shared" si="734"/>
        <v>39</v>
      </c>
      <c r="C2157">
        <f t="shared" ca="1" si="714"/>
        <v>36</v>
      </c>
      <c r="D2157" t="str">
        <f t="shared" si="735"/>
        <v>Q39</v>
      </c>
      <c r="E2157" t="str">
        <f t="shared" ca="1" si="736"/>
        <v/>
      </c>
      <c r="F2157" t="str">
        <f t="shared" ca="1" si="737"/>
        <v xml:space="preserve">Enter a 'Acquisition APR' for  building 36 in cell Q39.
</v>
      </c>
      <c r="G2157" s="9" t="str">
        <f t="shared" ca="1" si="738"/>
        <v xml:space="preserve">Enter a value for 'Number of Floors in the Tallest Building' in cell B58.
</v>
      </c>
      <c r="H2157" s="52" t="str">
        <f t="shared" ca="1" si="739"/>
        <v>Acquisition APR</v>
      </c>
      <c r="I2157" s="52">
        <v>17</v>
      </c>
    </row>
    <row r="2158" spans="1:10" ht="15" customHeight="1">
      <c r="A2158" t="str">
        <f ca="1">IF(AND(Calculations!$B$4,Calculations!$B$28&gt;=C2158, E2158&lt;&gt; 13),F2158,"")</f>
        <v/>
      </c>
      <c r="B2158">
        <f>ROW('Final Building Profile'!C40)</f>
        <v>40</v>
      </c>
      <c r="C2158">
        <f t="shared" ref="C2158:C2221" ca="1" si="740">INDIRECT($F$1564 &amp; ADDRESS(B2158, 1,4  ))</f>
        <v>37</v>
      </c>
      <c r="D2158" t="str">
        <f>ADDRESS(B2158, 3,4  )</f>
        <v>C40</v>
      </c>
      <c r="E2158" s="52">
        <f ca="1">H2158+I2158</f>
        <v>0</v>
      </c>
      <c r="F2158" t="str">
        <f ca="1">CONCATENATE("Based upon the number of buildings specified, information for  building ", C2158, " required for a final application in row ", B2158, ".", CHAR(10))</f>
        <v xml:space="preserve">Based upon the number of buildings specified, information for  building 37 required for a final application in row 40.
</v>
      </c>
      <c r="G2158" s="9" t="str">
        <f t="shared" ca="1" si="738"/>
        <v xml:space="preserve">Enter a value for 'Number of Floors in the Tallest Building' in cell B58.
</v>
      </c>
      <c r="H2158" s="52">
        <f ca="1">SUMPRODUCT(--ISTEXT(INDIRECT(J2158)))</f>
        <v>0</v>
      </c>
      <c r="I2158" s="52">
        <f ca="1">SUMPRODUCT(--ISNUMBER(INDIRECT(J2158)))</f>
        <v>0</v>
      </c>
      <c r="J2158" s="52" t="str">
        <f>$F$1564&amp; ADDRESS(B2158,3,4) &amp; ":" &amp; ADDRESS(B2158,15,4)</f>
        <v>'Final Building Profile'!C40:O40</v>
      </c>
    </row>
    <row r="2159" spans="1:10" ht="15" customHeight="1">
      <c r="A2159" t="str">
        <f t="shared" ref="A2159:A2168" ca="1" si="741">IF(AND(OFFSET(A2159, -I2159 + 2, 4) &gt;  0, E2159=""), F2159, "")</f>
        <v/>
      </c>
      <c r="B2159">
        <f t="shared" ref="B2159:B2173" si="742">B2158</f>
        <v>40</v>
      </c>
      <c r="C2159">
        <f t="shared" ca="1" si="740"/>
        <v>37</v>
      </c>
      <c r="D2159" t="str">
        <f t="shared" ref="D2159:D2173" si="743">ADDRESS(B2159, I2159,4  )</f>
        <v>C40</v>
      </c>
      <c r="E2159" t="str">
        <f t="shared" ref="E2159:E2173" ca="1" si="744">IF(ISBLANK( INDIRECT($F$1564 &amp; D2159)),"", INDIRECT($F$1564 &amp; D2159))</f>
        <v/>
      </c>
      <c r="F2159" t="str">
        <f t="shared" ref="F2159:F2173" ca="1" si="745">CONCATENATE("Enter a '"&amp; H2159 &amp;"' for  building ", C2159, " in cell ", D2159, ".", CHAR(10))</f>
        <v xml:space="preserve">Enter a 'Building Street Address Only 
(DO NOT ENTER CITY, STATE, OR ZIP)' for  building 37 in cell C40.
</v>
      </c>
      <c r="G2159" s="9" t="str">
        <f t="shared" ca="1" si="738"/>
        <v xml:space="preserve">Enter a value for 'Number of Floors in the Tallest Building' in cell B58.
</v>
      </c>
      <c r="H2159" s="52" t="str">
        <f t="shared" ref="H2159:H2173" ca="1" si="746">OFFSET(INDIRECT($F$1564 &amp; D2159), -B2159 + 3, 0)</f>
        <v>Building Street Address Only 
(DO NOT ENTER CITY, STATE, OR ZIP)</v>
      </c>
      <c r="I2159" s="52">
        <v>3</v>
      </c>
    </row>
    <row r="2160" spans="1:10" ht="15" customHeight="1">
      <c r="A2160" t="str">
        <f t="shared" ca="1" si="741"/>
        <v/>
      </c>
      <c r="B2160">
        <f t="shared" si="742"/>
        <v>40</v>
      </c>
      <c r="C2160">
        <f t="shared" ca="1" si="740"/>
        <v>37</v>
      </c>
      <c r="D2160" t="str">
        <f t="shared" si="743"/>
        <v>D40</v>
      </c>
      <c r="E2160" t="str">
        <f t="shared" ca="1" si="744"/>
        <v/>
      </c>
      <c r="F2160" t="str">
        <f t="shared" ca="1" si="745"/>
        <v xml:space="preserve">Enter a 'Total Units in Building*' for  building 37 in cell D40.
</v>
      </c>
      <c r="G2160" s="9" t="str">
        <f t="shared" ca="1" si="738"/>
        <v xml:space="preserve">Enter a value for 'Number of Floors in the Tallest Building' in cell B58.
</v>
      </c>
      <c r="H2160" s="52" t="str">
        <f t="shared" ca="1" si="746"/>
        <v>Total Units in Building*</v>
      </c>
      <c r="I2160" s="52">
        <v>4</v>
      </c>
    </row>
    <row r="2161" spans="1:10" ht="15" customHeight="1">
      <c r="A2161" t="str">
        <f t="shared" ca="1" si="741"/>
        <v/>
      </c>
      <c r="B2161">
        <f t="shared" si="742"/>
        <v>40</v>
      </c>
      <c r="C2161">
        <f t="shared" ca="1" si="740"/>
        <v>37</v>
      </c>
      <c r="D2161" t="str">
        <f t="shared" si="743"/>
        <v>E40</v>
      </c>
      <c r="E2161" t="str">
        <f t="shared" ca="1" si="744"/>
        <v/>
      </c>
      <c r="F2161" t="str">
        <f t="shared" ca="1" si="745"/>
        <v xml:space="preserve">Enter a 'Employee Units' for  building 37 in cell E40.
</v>
      </c>
      <c r="G2161" s="9" t="str">
        <f t="shared" ca="1" si="738"/>
        <v xml:space="preserve">Enter a value for 'Number of Floors in the Tallest Building' in cell B58.
</v>
      </c>
      <c r="H2161" s="52" t="str">
        <f t="shared" ca="1" si="746"/>
        <v>Employee Units</v>
      </c>
      <c r="I2161" s="52">
        <v>5</v>
      </c>
    </row>
    <row r="2162" spans="1:10" ht="15" customHeight="1">
      <c r="A2162" t="str">
        <f t="shared" ca="1" si="741"/>
        <v/>
      </c>
      <c r="B2162">
        <f t="shared" si="742"/>
        <v>40</v>
      </c>
      <c r="C2162">
        <f t="shared" ca="1" si="740"/>
        <v>37</v>
      </c>
      <c r="D2162" t="str">
        <f t="shared" si="743"/>
        <v>F40</v>
      </c>
      <c r="E2162" t="str">
        <f t="shared" ca="1" si="744"/>
        <v/>
      </c>
      <c r="F2162" t="str">
        <f t="shared" ca="1" si="745"/>
        <v xml:space="preserve">Enter a 'Low-Income Units' for  building 37 in cell F40.
</v>
      </c>
      <c r="G2162" s="9" t="str">
        <f t="shared" ca="1" si="738"/>
        <v xml:space="preserve">Enter a value for 'Number of Floors in the Tallest Building' in cell B58.
</v>
      </c>
      <c r="H2162" s="52" t="str">
        <f t="shared" ca="1" si="746"/>
        <v>Low-Income Units</v>
      </c>
      <c r="I2162" s="52">
        <v>6</v>
      </c>
    </row>
    <row r="2163" spans="1:10" ht="15" customHeight="1">
      <c r="A2163" t="str">
        <f t="shared" ca="1" si="741"/>
        <v/>
      </c>
      <c r="B2163">
        <f t="shared" si="742"/>
        <v>40</v>
      </c>
      <c r="C2163">
        <f t="shared" ca="1" si="740"/>
        <v>37</v>
      </c>
      <c r="D2163" t="str">
        <f t="shared" si="743"/>
        <v>G40</v>
      </c>
      <c r="E2163" t="str">
        <f t="shared" ca="1" si="744"/>
        <v/>
      </c>
      <c r="F2163" t="str">
        <f t="shared" ca="1" si="745"/>
        <v xml:space="preserve">Enter a 'Residential Square Footage**' for  building 37 in cell G40.
</v>
      </c>
      <c r="G2163" s="9" t="str">
        <f t="shared" ca="1" si="738"/>
        <v xml:space="preserve">Enter a value for 'Number of Floors in the Tallest Building' in cell B58.
</v>
      </c>
      <c r="H2163" s="52" t="str">
        <f t="shared" ca="1" si="746"/>
        <v>Residential Square Footage**</v>
      </c>
      <c r="I2163" s="52">
        <v>7</v>
      </c>
    </row>
    <row r="2164" spans="1:10" ht="15" customHeight="1">
      <c r="A2164" t="str">
        <f t="shared" ca="1" si="741"/>
        <v/>
      </c>
      <c r="B2164">
        <f t="shared" si="742"/>
        <v>40</v>
      </c>
      <c r="C2164">
        <f t="shared" ca="1" si="740"/>
        <v>37</v>
      </c>
      <c r="D2164" t="str">
        <f t="shared" si="743"/>
        <v>H40</v>
      </c>
      <c r="E2164" t="str">
        <f t="shared" ca="1" si="744"/>
        <v/>
      </c>
      <c r="F2164" t="str">
        <f t="shared" ca="1" si="745"/>
        <v xml:space="preserve">Enter a 'Square Footage of Employee Units' for  building 37 in cell H40.
</v>
      </c>
      <c r="G2164" s="9" t="str">
        <f t="shared" ca="1" si="738"/>
        <v xml:space="preserve">Enter a value for 'Number of Floors in the Tallest Building' in cell B58.
</v>
      </c>
      <c r="H2164" s="52" t="str">
        <f t="shared" ca="1" si="746"/>
        <v>Square Footage of Employee Units</v>
      </c>
      <c r="I2164" s="52">
        <v>8</v>
      </c>
    </row>
    <row r="2165" spans="1:10" ht="15" customHeight="1">
      <c r="A2165" t="str">
        <f t="shared" ca="1" si="741"/>
        <v/>
      </c>
      <c r="B2165">
        <f t="shared" si="742"/>
        <v>40</v>
      </c>
      <c r="C2165">
        <f t="shared" ca="1" si="740"/>
        <v>37</v>
      </c>
      <c r="D2165" t="str">
        <f t="shared" si="743"/>
        <v>I40</v>
      </c>
      <c r="E2165" t="str">
        <f t="shared" ca="1" si="744"/>
        <v/>
      </c>
      <c r="F2165" t="str">
        <f t="shared" ca="1" si="745"/>
        <v xml:space="preserve">Enter a 'Square Footage of Low-Income Units' for  building 37 in cell I40.
</v>
      </c>
      <c r="G2165" s="9" t="str">
        <f t="shared" ca="1" si="738"/>
        <v xml:space="preserve">Enter a value for 'Number of Floors in the Tallest Building' in cell B58.
</v>
      </c>
      <c r="H2165" s="52" t="str">
        <f t="shared" ca="1" si="746"/>
        <v>Square Footage of Low-Income Units</v>
      </c>
      <c r="I2165" s="52">
        <v>9</v>
      </c>
    </row>
    <row r="2166" spans="1:10" ht="15" customHeight="1">
      <c r="A2166" t="str">
        <f t="shared" ca="1" si="741"/>
        <v/>
      </c>
      <c r="B2166">
        <f t="shared" si="742"/>
        <v>40</v>
      </c>
      <c r="C2166">
        <f t="shared" ca="1" si="740"/>
        <v>37</v>
      </c>
      <c r="D2166" t="str">
        <f t="shared" si="743"/>
        <v>J40</v>
      </c>
      <c r="E2166" t="str">
        <f t="shared" ca="1" si="744"/>
        <v/>
      </c>
      <c r="F2166" t="str">
        <f t="shared" ca="1" si="745"/>
        <v xml:space="preserve">Enter a 'Placed-In-Service Date' for  building 37 in cell J40.
</v>
      </c>
      <c r="G2166" s="9" t="str">
        <f t="shared" ca="1" si="738"/>
        <v xml:space="preserve">Enter a value for 'Number of Floors in the Tallest Building' in cell B58.
</v>
      </c>
      <c r="H2166" s="52" t="str">
        <f t="shared" ca="1" si="746"/>
        <v>Placed-In-Service Date</v>
      </c>
      <c r="I2166" s="52">
        <v>10</v>
      </c>
    </row>
    <row r="2167" spans="1:10" ht="15" customHeight="1">
      <c r="A2167" t="str">
        <f t="shared" ca="1" si="741"/>
        <v/>
      </c>
      <c r="B2167">
        <f t="shared" si="742"/>
        <v>40</v>
      </c>
      <c r="C2167">
        <f t="shared" ca="1" si="740"/>
        <v>37</v>
      </c>
      <c r="D2167" t="str">
        <f t="shared" si="743"/>
        <v>K40</v>
      </c>
      <c r="E2167" t="str">
        <f t="shared" ca="1" si="744"/>
        <v/>
      </c>
      <c r="F2167" t="str">
        <f t="shared" ca="1" si="745"/>
        <v xml:space="preserve">Enter a 'New Construction/ Rehab APR' for  building 37 in cell K40.
</v>
      </c>
      <c r="G2167" s="9" t="str">
        <f t="shared" ca="1" si="738"/>
        <v xml:space="preserve">Enter a value for 'Number of Floors in the Tallest Building' in cell B58.
</v>
      </c>
      <c r="H2167" s="52" t="str">
        <f t="shared" ca="1" si="746"/>
        <v>New Construction/ Rehab APR</v>
      </c>
      <c r="I2167" s="52">
        <v>11</v>
      </c>
    </row>
    <row r="2168" spans="1:10" ht="15" customHeight="1">
      <c r="A2168" t="str">
        <f t="shared" ca="1" si="741"/>
        <v/>
      </c>
      <c r="B2168">
        <f t="shared" si="742"/>
        <v>40</v>
      </c>
      <c r="C2168">
        <f t="shared" ca="1" si="740"/>
        <v>37</v>
      </c>
      <c r="D2168" t="str">
        <f t="shared" si="743"/>
        <v>L40</v>
      </c>
      <c r="E2168" t="str">
        <f t="shared" ca="1" si="744"/>
        <v/>
      </c>
      <c r="F2168" t="str">
        <f t="shared" ca="1" si="745"/>
        <v xml:space="preserve">Enter a 'New Construction Eligible Basis' for  building 37 in cell L40.
</v>
      </c>
      <c r="G2168" s="9" t="str">
        <f t="shared" ca="1" si="738"/>
        <v xml:space="preserve">Enter a value for 'Number of Floors in the Tallest Building' in cell B58.
</v>
      </c>
      <c r="H2168" s="52" t="str">
        <f t="shared" ca="1" si="746"/>
        <v>New Construction Eligible Basis</v>
      </c>
      <c r="I2168" s="52">
        <v>12</v>
      </c>
    </row>
    <row r="2169" spans="1:10" ht="15" customHeight="1">
      <c r="A2169" t="str">
        <f ca="1">IF(AND(OFFSET(A2169, -I2169 + 2, 4) &gt;  0, E2169="", Calculations!$B$7), F2169, "")</f>
        <v/>
      </c>
      <c r="B2169">
        <f t="shared" si="742"/>
        <v>40</v>
      </c>
      <c r="C2169">
        <f t="shared" ca="1" si="740"/>
        <v>37</v>
      </c>
      <c r="D2169" t="str">
        <f t="shared" si="743"/>
        <v>M40</v>
      </c>
      <c r="E2169" t="str">
        <f t="shared" ca="1" si="744"/>
        <v/>
      </c>
      <c r="F2169" t="str">
        <f t="shared" ca="1" si="745"/>
        <v xml:space="preserve">Enter a 'Eligible Basis for Rehab' for  building 37 in cell M40.
</v>
      </c>
      <c r="G2169" s="9" t="str">
        <f t="shared" ca="1" si="738"/>
        <v xml:space="preserve">Enter a value for 'Number of Floors in the Tallest Building' in cell B58.
</v>
      </c>
      <c r="H2169" s="52" t="str">
        <f t="shared" ca="1" si="746"/>
        <v>Eligible Basis for Rehab</v>
      </c>
      <c r="I2169" s="52">
        <v>13</v>
      </c>
    </row>
    <row r="2170" spans="1:10" ht="15" customHeight="1">
      <c r="A2170" t="str">
        <f ca="1">IF(AND(OFFSET(A2170, -I2170 + 2, 4) &gt;  0, E2170="", Calculations!$B$7), F2170, "")</f>
        <v/>
      </c>
      <c r="B2170">
        <f t="shared" si="742"/>
        <v>40</v>
      </c>
      <c r="C2170">
        <f t="shared" ca="1" si="740"/>
        <v>37</v>
      </c>
      <c r="D2170" t="str">
        <f t="shared" si="743"/>
        <v>N40</v>
      </c>
      <c r="E2170" t="str">
        <f t="shared" ca="1" si="744"/>
        <v/>
      </c>
      <c r="F2170" t="str">
        <f t="shared" ca="1" si="745"/>
        <v xml:space="preserve">Enter a 'Cost of Acquiring the Building***' for  building 37 in cell N40.
</v>
      </c>
      <c r="G2170" s="9" t="str">
        <f t="shared" ca="1" si="738"/>
        <v xml:space="preserve">Enter a value for 'Number of Floors in the Tallest Building' in cell B58.
</v>
      </c>
      <c r="H2170" s="52" t="str">
        <f t="shared" ca="1" si="746"/>
        <v>Cost of Acquiring the Building***</v>
      </c>
      <c r="I2170" s="52">
        <v>14</v>
      </c>
    </row>
    <row r="2171" spans="1:10" ht="15" customHeight="1">
      <c r="A2171" t="str">
        <f ca="1">IF(AND(OFFSET(A2171, -I2171 + 2, 4) &gt;  0, E2171="", Calculations!$B$7), F2171, "")</f>
        <v/>
      </c>
      <c r="B2171">
        <f t="shared" si="742"/>
        <v>40</v>
      </c>
      <c r="C2171">
        <f t="shared" ca="1" si="740"/>
        <v>37</v>
      </c>
      <c r="D2171" t="str">
        <f t="shared" si="743"/>
        <v>O40</v>
      </c>
      <c r="E2171" t="str">
        <f t="shared" ca="1" si="744"/>
        <v/>
      </c>
      <c r="F2171" t="str">
        <f t="shared" ca="1" si="745"/>
        <v xml:space="preserve">Enter a 'Higher of Land Purchase Price or Land Appraised Value****' for  building 37 in cell O40.
</v>
      </c>
      <c r="G2171" s="9" t="str">
        <f t="shared" ca="1" si="738"/>
        <v xml:space="preserve">Enter a value for 'Number of Floors in the Tallest Building' in cell B58.
</v>
      </c>
      <c r="H2171" s="52" t="str">
        <f t="shared" ca="1" si="746"/>
        <v>Higher of Land Purchase Price or Land Appraised Value****</v>
      </c>
      <c r="I2171" s="52">
        <v>15</v>
      </c>
    </row>
    <row r="2172" spans="1:10" ht="15" customHeight="1">
      <c r="A2172" t="str">
        <f ca="1">IF(AND(OFFSET(A2172, -I2172 + 2, 4) &gt;  0, E2172="", Calculations!$B$7), F2172, "")</f>
        <v/>
      </c>
      <c r="B2172">
        <f t="shared" si="742"/>
        <v>40</v>
      </c>
      <c r="C2172">
        <f t="shared" ca="1" si="740"/>
        <v>37</v>
      </c>
      <c r="D2172" t="str">
        <f t="shared" si="743"/>
        <v>P40</v>
      </c>
      <c r="E2172" t="str">
        <f t="shared" ca="1" si="744"/>
        <v/>
      </c>
      <c r="F2172" t="str">
        <f t="shared" ca="1" si="745"/>
        <v xml:space="preserve">Enter a 'Acquisition Placed-in-Service Date' for  building 37 in cell P40.
</v>
      </c>
      <c r="G2172" s="9" t="str">
        <f t="shared" ca="1" si="738"/>
        <v xml:space="preserve">Enter a value for 'Number of Floors in the Tallest Building' in cell B58.
</v>
      </c>
      <c r="H2172" s="52" t="str">
        <f t="shared" ca="1" si="746"/>
        <v>Acquisition Placed-in-Service Date</v>
      </c>
      <c r="I2172" s="52">
        <v>16</v>
      </c>
    </row>
    <row r="2173" spans="1:10" ht="15" customHeight="1">
      <c r="A2173" t="str">
        <f ca="1">IF(AND(OFFSET(A2173, -I2173 + 2, 4) &gt;  0, E2173="", Calculations!$B$7), F2173, "")</f>
        <v/>
      </c>
      <c r="B2173">
        <f t="shared" si="742"/>
        <v>40</v>
      </c>
      <c r="C2173">
        <f t="shared" ca="1" si="740"/>
        <v>37</v>
      </c>
      <c r="D2173" t="str">
        <f t="shared" si="743"/>
        <v>Q40</v>
      </c>
      <c r="E2173" t="str">
        <f t="shared" ca="1" si="744"/>
        <v/>
      </c>
      <c r="F2173" t="str">
        <f t="shared" ca="1" si="745"/>
        <v xml:space="preserve">Enter a 'Acquisition APR' for  building 37 in cell Q40.
</v>
      </c>
      <c r="G2173" s="9" t="str">
        <f t="shared" ca="1" si="738"/>
        <v xml:space="preserve">Enter a value for 'Number of Floors in the Tallest Building' in cell B58.
</v>
      </c>
      <c r="H2173" s="52" t="str">
        <f t="shared" ca="1" si="746"/>
        <v>Acquisition APR</v>
      </c>
      <c r="I2173" s="52">
        <v>17</v>
      </c>
    </row>
    <row r="2174" spans="1:10" ht="15" customHeight="1">
      <c r="A2174" t="str">
        <f ca="1">IF(AND(Calculations!$B$4,Calculations!$B$28&gt;=C2174, E2174 &lt;&gt; 13),F2174,"")</f>
        <v/>
      </c>
      <c r="B2174">
        <f>ROW('Final Building Profile'!C41)</f>
        <v>41</v>
      </c>
      <c r="C2174">
        <f t="shared" ca="1" si="740"/>
        <v>38</v>
      </c>
      <c r="D2174" t="str">
        <f>ADDRESS(B2174, 3,4  )</f>
        <v>C41</v>
      </c>
      <c r="E2174" s="52">
        <f ca="1">H2174+I2174</f>
        <v>0</v>
      </c>
      <c r="F2174" t="str">
        <f ca="1">CONCATENATE("Based upon the number of buildings specified, information for  building ", C2174, " required for a final application in row ", B2174, ".", CHAR(10))</f>
        <v xml:space="preserve">Based upon the number of buildings specified, information for  building 38 required for a final application in row 41.
</v>
      </c>
      <c r="G2174" s="9" t="str">
        <f t="shared" ca="1" si="738"/>
        <v xml:space="preserve">Enter a value for 'Number of Floors in the Tallest Building' in cell B58.
</v>
      </c>
      <c r="H2174" s="52">
        <f ca="1">SUMPRODUCT(--ISTEXT(INDIRECT(J2174)))</f>
        <v>0</v>
      </c>
      <c r="I2174" s="52">
        <f ca="1">SUMPRODUCT(--ISNUMBER(INDIRECT(J2174)))</f>
        <v>0</v>
      </c>
      <c r="J2174" s="52" t="str">
        <f>$F$1564&amp; ADDRESS(B2174,3,4) &amp; ":" &amp; ADDRESS(B2174,15,4)</f>
        <v>'Final Building Profile'!C41:O41</v>
      </c>
    </row>
    <row r="2175" spans="1:10" ht="15" customHeight="1">
      <c r="A2175" t="str">
        <f t="shared" ref="A2175:A2184" ca="1" si="747">IF(AND(OFFSET(A2175, -I2175 + 2, 4) &gt;  0, E2175=""), F2175, "")</f>
        <v/>
      </c>
      <c r="B2175">
        <f t="shared" ref="B2175:B2189" si="748">B2174</f>
        <v>41</v>
      </c>
      <c r="C2175">
        <f t="shared" ca="1" si="740"/>
        <v>38</v>
      </c>
      <c r="D2175" t="str">
        <f t="shared" ref="D2175:D2189" si="749">ADDRESS(B2175, I2175,4  )</f>
        <v>C41</v>
      </c>
      <c r="E2175" t="str">
        <f t="shared" ref="E2175:E2189" ca="1" si="750">IF(ISBLANK( INDIRECT($F$1564 &amp; D2175)),"", INDIRECT($F$1564 &amp; D2175))</f>
        <v/>
      </c>
      <c r="F2175" t="str">
        <f t="shared" ref="F2175:F2189" ca="1" si="751">CONCATENATE("Enter a '"&amp; H2175 &amp;"' for  building ", C2175, " in cell ", D2175, ".", CHAR(10))</f>
        <v xml:space="preserve">Enter a 'Building Street Address Only 
(DO NOT ENTER CITY, STATE, OR ZIP)' for  building 38 in cell C41.
</v>
      </c>
      <c r="G2175" s="9" t="str">
        <f t="shared" ca="1" si="738"/>
        <v xml:space="preserve">Enter a value for 'Number of Floors in the Tallest Building' in cell B58.
</v>
      </c>
      <c r="H2175" s="52" t="str">
        <f t="shared" ref="H2175:H2189" ca="1" si="752">OFFSET(INDIRECT($F$1564 &amp; D2175), -B2175 + 3, 0)</f>
        <v>Building Street Address Only 
(DO NOT ENTER CITY, STATE, OR ZIP)</v>
      </c>
      <c r="I2175" s="52">
        <v>3</v>
      </c>
    </row>
    <row r="2176" spans="1:10" ht="15" customHeight="1">
      <c r="A2176" t="str">
        <f t="shared" ca="1" si="747"/>
        <v/>
      </c>
      <c r="B2176">
        <f t="shared" si="748"/>
        <v>41</v>
      </c>
      <c r="C2176">
        <f t="shared" ca="1" si="740"/>
        <v>38</v>
      </c>
      <c r="D2176" t="str">
        <f t="shared" si="749"/>
        <v>D41</v>
      </c>
      <c r="E2176" t="str">
        <f t="shared" ca="1" si="750"/>
        <v/>
      </c>
      <c r="F2176" t="str">
        <f t="shared" ca="1" si="751"/>
        <v xml:space="preserve">Enter a 'Total Units in Building*' for  building 38 in cell D41.
</v>
      </c>
      <c r="G2176" s="9" t="str">
        <f t="shared" ca="1" si="738"/>
        <v xml:space="preserve">Enter a value for 'Number of Floors in the Tallest Building' in cell B58.
</v>
      </c>
      <c r="H2176" s="52" t="str">
        <f t="shared" ca="1" si="752"/>
        <v>Total Units in Building*</v>
      </c>
      <c r="I2176" s="52">
        <v>4</v>
      </c>
    </row>
    <row r="2177" spans="1:10" ht="15" customHeight="1">
      <c r="A2177" t="str">
        <f t="shared" ca="1" si="747"/>
        <v/>
      </c>
      <c r="B2177">
        <f t="shared" si="748"/>
        <v>41</v>
      </c>
      <c r="C2177">
        <f t="shared" ca="1" si="740"/>
        <v>38</v>
      </c>
      <c r="D2177" t="str">
        <f t="shared" si="749"/>
        <v>E41</v>
      </c>
      <c r="E2177" t="str">
        <f t="shared" ca="1" si="750"/>
        <v/>
      </c>
      <c r="F2177" t="str">
        <f t="shared" ca="1" si="751"/>
        <v xml:space="preserve">Enter a 'Employee Units' for  building 38 in cell E41.
</v>
      </c>
      <c r="G2177" s="9" t="str">
        <f t="shared" ca="1" si="738"/>
        <v xml:space="preserve">Enter a value for 'Number of Floors in the Tallest Building' in cell B58.
</v>
      </c>
      <c r="H2177" s="52" t="str">
        <f t="shared" ca="1" si="752"/>
        <v>Employee Units</v>
      </c>
      <c r="I2177" s="52">
        <v>5</v>
      </c>
    </row>
    <row r="2178" spans="1:10" ht="15" customHeight="1">
      <c r="A2178" t="str">
        <f t="shared" ca="1" si="747"/>
        <v/>
      </c>
      <c r="B2178">
        <f t="shared" si="748"/>
        <v>41</v>
      </c>
      <c r="C2178">
        <f t="shared" ca="1" si="740"/>
        <v>38</v>
      </c>
      <c r="D2178" t="str">
        <f t="shared" si="749"/>
        <v>F41</v>
      </c>
      <c r="E2178" t="str">
        <f t="shared" ca="1" si="750"/>
        <v/>
      </c>
      <c r="F2178" t="str">
        <f t="shared" ca="1" si="751"/>
        <v xml:space="preserve">Enter a 'Low-Income Units' for  building 38 in cell F41.
</v>
      </c>
      <c r="G2178" s="9" t="str">
        <f t="shared" ca="1" si="738"/>
        <v xml:space="preserve">Enter a value for 'Number of Floors in the Tallest Building' in cell B58.
</v>
      </c>
      <c r="H2178" s="52" t="str">
        <f t="shared" ca="1" si="752"/>
        <v>Low-Income Units</v>
      </c>
      <c r="I2178" s="52">
        <v>6</v>
      </c>
    </row>
    <row r="2179" spans="1:10" ht="15" customHeight="1">
      <c r="A2179" t="str">
        <f t="shared" ca="1" si="747"/>
        <v/>
      </c>
      <c r="B2179">
        <f t="shared" si="748"/>
        <v>41</v>
      </c>
      <c r="C2179">
        <f t="shared" ca="1" si="740"/>
        <v>38</v>
      </c>
      <c r="D2179" t="str">
        <f t="shared" si="749"/>
        <v>G41</v>
      </c>
      <c r="E2179" t="str">
        <f t="shared" ca="1" si="750"/>
        <v/>
      </c>
      <c r="F2179" t="str">
        <f t="shared" ca="1" si="751"/>
        <v xml:space="preserve">Enter a 'Residential Square Footage**' for  building 38 in cell G41.
</v>
      </c>
      <c r="G2179" s="9" t="str">
        <f t="shared" ca="1" si="738"/>
        <v xml:space="preserve">Enter a value for 'Number of Floors in the Tallest Building' in cell B58.
</v>
      </c>
      <c r="H2179" s="52" t="str">
        <f t="shared" ca="1" si="752"/>
        <v>Residential Square Footage**</v>
      </c>
      <c r="I2179" s="52">
        <v>7</v>
      </c>
    </row>
    <row r="2180" spans="1:10" ht="15" customHeight="1">
      <c r="A2180" t="str">
        <f t="shared" ca="1" si="747"/>
        <v/>
      </c>
      <c r="B2180">
        <f t="shared" si="748"/>
        <v>41</v>
      </c>
      <c r="C2180">
        <f t="shared" ca="1" si="740"/>
        <v>38</v>
      </c>
      <c r="D2180" t="str">
        <f t="shared" si="749"/>
        <v>H41</v>
      </c>
      <c r="E2180" t="str">
        <f t="shared" ca="1" si="750"/>
        <v/>
      </c>
      <c r="F2180" t="str">
        <f t="shared" ca="1" si="751"/>
        <v xml:space="preserve">Enter a 'Square Footage of Employee Units' for  building 38 in cell H41.
</v>
      </c>
      <c r="G2180" s="9" t="str">
        <f t="shared" ca="1" si="738"/>
        <v xml:space="preserve">Enter a value for 'Number of Floors in the Tallest Building' in cell B58.
</v>
      </c>
      <c r="H2180" s="52" t="str">
        <f t="shared" ca="1" si="752"/>
        <v>Square Footage of Employee Units</v>
      </c>
      <c r="I2180" s="52">
        <v>8</v>
      </c>
    </row>
    <row r="2181" spans="1:10" ht="15" customHeight="1">
      <c r="A2181" t="str">
        <f t="shared" ca="1" si="747"/>
        <v/>
      </c>
      <c r="B2181">
        <f t="shared" si="748"/>
        <v>41</v>
      </c>
      <c r="C2181">
        <f t="shared" ca="1" si="740"/>
        <v>38</v>
      </c>
      <c r="D2181" t="str">
        <f t="shared" si="749"/>
        <v>I41</v>
      </c>
      <c r="E2181" t="str">
        <f t="shared" ca="1" si="750"/>
        <v/>
      </c>
      <c r="F2181" t="str">
        <f t="shared" ca="1" si="751"/>
        <v xml:space="preserve">Enter a 'Square Footage of Low-Income Units' for  building 38 in cell I41.
</v>
      </c>
      <c r="G2181" s="9" t="str">
        <f t="shared" ca="1" si="738"/>
        <v xml:space="preserve">Enter a value for 'Number of Floors in the Tallest Building' in cell B58.
</v>
      </c>
      <c r="H2181" s="52" t="str">
        <f t="shared" ca="1" si="752"/>
        <v>Square Footage of Low-Income Units</v>
      </c>
      <c r="I2181" s="52">
        <v>9</v>
      </c>
    </row>
    <row r="2182" spans="1:10" ht="15" customHeight="1">
      <c r="A2182" t="str">
        <f t="shared" ca="1" si="747"/>
        <v/>
      </c>
      <c r="B2182">
        <f t="shared" si="748"/>
        <v>41</v>
      </c>
      <c r="C2182">
        <f t="shared" ca="1" si="740"/>
        <v>38</v>
      </c>
      <c r="D2182" t="str">
        <f t="shared" si="749"/>
        <v>J41</v>
      </c>
      <c r="E2182" t="str">
        <f t="shared" ca="1" si="750"/>
        <v/>
      </c>
      <c r="F2182" t="str">
        <f t="shared" ca="1" si="751"/>
        <v xml:space="preserve">Enter a 'Placed-In-Service Date' for  building 38 in cell J41.
</v>
      </c>
      <c r="G2182" s="9" t="str">
        <f t="shared" ca="1" si="738"/>
        <v xml:space="preserve">Enter a value for 'Number of Floors in the Tallest Building' in cell B58.
</v>
      </c>
      <c r="H2182" s="52" t="str">
        <f t="shared" ca="1" si="752"/>
        <v>Placed-In-Service Date</v>
      </c>
      <c r="I2182" s="52">
        <v>10</v>
      </c>
    </row>
    <row r="2183" spans="1:10" ht="15" customHeight="1">
      <c r="A2183" t="str">
        <f t="shared" ca="1" si="747"/>
        <v/>
      </c>
      <c r="B2183">
        <f t="shared" si="748"/>
        <v>41</v>
      </c>
      <c r="C2183">
        <f t="shared" ca="1" si="740"/>
        <v>38</v>
      </c>
      <c r="D2183" t="str">
        <f t="shared" si="749"/>
        <v>K41</v>
      </c>
      <c r="E2183" t="str">
        <f t="shared" ca="1" si="750"/>
        <v/>
      </c>
      <c r="F2183" t="str">
        <f t="shared" ca="1" si="751"/>
        <v xml:space="preserve">Enter a 'New Construction/ Rehab APR' for  building 38 in cell K41.
</v>
      </c>
      <c r="G2183" s="9" t="str">
        <f t="shared" ca="1" si="738"/>
        <v xml:space="preserve">Enter a value for 'Number of Floors in the Tallest Building' in cell B58.
</v>
      </c>
      <c r="H2183" s="52" t="str">
        <f t="shared" ca="1" si="752"/>
        <v>New Construction/ Rehab APR</v>
      </c>
      <c r="I2183" s="52">
        <v>11</v>
      </c>
    </row>
    <row r="2184" spans="1:10" ht="15" customHeight="1">
      <c r="A2184" t="str">
        <f t="shared" ca="1" si="747"/>
        <v/>
      </c>
      <c r="B2184">
        <f t="shared" si="748"/>
        <v>41</v>
      </c>
      <c r="C2184">
        <f t="shared" ca="1" si="740"/>
        <v>38</v>
      </c>
      <c r="D2184" t="str">
        <f t="shared" si="749"/>
        <v>L41</v>
      </c>
      <c r="E2184" t="str">
        <f t="shared" ca="1" si="750"/>
        <v/>
      </c>
      <c r="F2184" t="str">
        <f t="shared" ca="1" si="751"/>
        <v xml:space="preserve">Enter a 'New Construction Eligible Basis' for  building 38 in cell L41.
</v>
      </c>
      <c r="G2184" s="9" t="str">
        <f t="shared" ca="1" si="738"/>
        <v xml:space="preserve">Enter a value for 'Number of Floors in the Tallest Building' in cell B58.
</v>
      </c>
      <c r="H2184" s="52" t="str">
        <f t="shared" ca="1" si="752"/>
        <v>New Construction Eligible Basis</v>
      </c>
      <c r="I2184" s="52">
        <v>12</v>
      </c>
    </row>
    <row r="2185" spans="1:10" ht="15" customHeight="1">
      <c r="A2185" t="str">
        <f ca="1">IF(AND(OFFSET(A2185, -I2185 + 2, 4) &gt;  0, E2185="", Calculations!$B$7), F2185, "")</f>
        <v/>
      </c>
      <c r="B2185">
        <f t="shared" si="748"/>
        <v>41</v>
      </c>
      <c r="C2185">
        <f t="shared" ca="1" si="740"/>
        <v>38</v>
      </c>
      <c r="D2185" t="str">
        <f t="shared" si="749"/>
        <v>M41</v>
      </c>
      <c r="E2185" t="str">
        <f t="shared" ca="1" si="750"/>
        <v/>
      </c>
      <c r="F2185" t="str">
        <f t="shared" ca="1" si="751"/>
        <v xml:space="preserve">Enter a 'Eligible Basis for Rehab' for  building 38 in cell M41.
</v>
      </c>
      <c r="G2185" s="9" t="str">
        <f t="shared" ca="1" si="738"/>
        <v xml:space="preserve">Enter a value for 'Number of Floors in the Tallest Building' in cell B58.
</v>
      </c>
      <c r="H2185" s="52" t="str">
        <f t="shared" ca="1" si="752"/>
        <v>Eligible Basis for Rehab</v>
      </c>
      <c r="I2185" s="52">
        <v>13</v>
      </c>
    </row>
    <row r="2186" spans="1:10" ht="15" customHeight="1">
      <c r="A2186" t="str">
        <f ca="1">IF(AND(OFFSET(A2186, -I2186 + 2, 4) &gt;  0, E2186="", Calculations!$B$7), F2186, "")</f>
        <v/>
      </c>
      <c r="B2186">
        <f t="shared" si="748"/>
        <v>41</v>
      </c>
      <c r="C2186">
        <f t="shared" ca="1" si="740"/>
        <v>38</v>
      </c>
      <c r="D2186" t="str">
        <f t="shared" si="749"/>
        <v>N41</v>
      </c>
      <c r="E2186" t="str">
        <f t="shared" ca="1" si="750"/>
        <v/>
      </c>
      <c r="F2186" t="str">
        <f t="shared" ca="1" si="751"/>
        <v xml:space="preserve">Enter a 'Cost of Acquiring the Building***' for  building 38 in cell N41.
</v>
      </c>
      <c r="G2186" s="9" t="str">
        <f t="shared" ca="1" si="738"/>
        <v xml:space="preserve">Enter a value for 'Number of Floors in the Tallest Building' in cell B58.
</v>
      </c>
      <c r="H2186" s="52" t="str">
        <f t="shared" ca="1" si="752"/>
        <v>Cost of Acquiring the Building***</v>
      </c>
      <c r="I2186" s="52">
        <v>14</v>
      </c>
    </row>
    <row r="2187" spans="1:10" ht="15" customHeight="1">
      <c r="A2187" t="str">
        <f ca="1">IF(AND(OFFSET(A2187, -I2187 + 2, 4) &gt;  0, E2187="", Calculations!$B$7), F2187, "")</f>
        <v/>
      </c>
      <c r="B2187">
        <f t="shared" si="748"/>
        <v>41</v>
      </c>
      <c r="C2187">
        <f t="shared" ca="1" si="740"/>
        <v>38</v>
      </c>
      <c r="D2187" t="str">
        <f t="shared" si="749"/>
        <v>O41</v>
      </c>
      <c r="E2187" t="str">
        <f t="shared" ca="1" si="750"/>
        <v/>
      </c>
      <c r="F2187" t="str">
        <f t="shared" ca="1" si="751"/>
        <v xml:space="preserve">Enter a 'Higher of Land Purchase Price or Land Appraised Value****' for  building 38 in cell O41.
</v>
      </c>
      <c r="G2187" s="9" t="str">
        <f t="shared" ca="1" si="738"/>
        <v xml:space="preserve">Enter a value for 'Number of Floors in the Tallest Building' in cell B58.
</v>
      </c>
      <c r="H2187" s="52" t="str">
        <f t="shared" ca="1" si="752"/>
        <v>Higher of Land Purchase Price or Land Appraised Value****</v>
      </c>
      <c r="I2187" s="52">
        <v>15</v>
      </c>
    </row>
    <row r="2188" spans="1:10" ht="15" customHeight="1">
      <c r="A2188" t="str">
        <f ca="1">IF(AND(OFFSET(A2188, -I2188 + 2, 4) &gt;  0, E2188="", Calculations!$B$7), F2188, "")</f>
        <v/>
      </c>
      <c r="B2188">
        <f t="shared" si="748"/>
        <v>41</v>
      </c>
      <c r="C2188">
        <f t="shared" ca="1" si="740"/>
        <v>38</v>
      </c>
      <c r="D2188" t="str">
        <f t="shared" si="749"/>
        <v>P41</v>
      </c>
      <c r="E2188" t="str">
        <f t="shared" ca="1" si="750"/>
        <v/>
      </c>
      <c r="F2188" t="str">
        <f t="shared" ca="1" si="751"/>
        <v xml:space="preserve">Enter a 'Acquisition Placed-in-Service Date' for  building 38 in cell P41.
</v>
      </c>
      <c r="G2188" s="9" t="str">
        <f t="shared" ca="1" si="738"/>
        <v xml:space="preserve">Enter a value for 'Number of Floors in the Tallest Building' in cell B58.
</v>
      </c>
      <c r="H2188" s="52" t="str">
        <f t="shared" ca="1" si="752"/>
        <v>Acquisition Placed-in-Service Date</v>
      </c>
      <c r="I2188" s="52">
        <v>16</v>
      </c>
    </row>
    <row r="2189" spans="1:10" ht="15" customHeight="1">
      <c r="A2189" t="str">
        <f ca="1">IF(AND(OFFSET(A2189, -I2189 + 2, 4) &gt;  0, E2189="", Calculations!$B$7), F2189, "")</f>
        <v/>
      </c>
      <c r="B2189">
        <f t="shared" si="748"/>
        <v>41</v>
      </c>
      <c r="C2189">
        <f t="shared" ca="1" si="740"/>
        <v>38</v>
      </c>
      <c r="D2189" t="str">
        <f t="shared" si="749"/>
        <v>Q41</v>
      </c>
      <c r="E2189" t="str">
        <f t="shared" ca="1" si="750"/>
        <v/>
      </c>
      <c r="F2189" t="str">
        <f t="shared" ca="1" si="751"/>
        <v xml:space="preserve">Enter a 'Acquisition APR' for  building 38 in cell Q41.
</v>
      </c>
      <c r="G2189" s="9" t="str">
        <f t="shared" ca="1" si="738"/>
        <v xml:space="preserve">Enter a value for 'Number of Floors in the Tallest Building' in cell B58.
</v>
      </c>
      <c r="H2189" s="52" t="str">
        <f t="shared" ca="1" si="752"/>
        <v>Acquisition APR</v>
      </c>
      <c r="I2189" s="52">
        <v>17</v>
      </c>
    </row>
    <row r="2190" spans="1:10" ht="15" customHeight="1">
      <c r="A2190" t="str">
        <f ca="1">IF(AND(Calculations!$B$4,Calculations!$B$28&gt;=C2190, E2190 &lt;&gt; 13),F2190,"")</f>
        <v/>
      </c>
      <c r="B2190">
        <f>ROW('Final Building Profile'!C42)</f>
        <v>42</v>
      </c>
      <c r="C2190">
        <f t="shared" ca="1" si="740"/>
        <v>39</v>
      </c>
      <c r="D2190" t="str">
        <f>ADDRESS(B2190, 3,4  )</f>
        <v>C42</v>
      </c>
      <c r="E2190" s="52">
        <f ca="1">H2190+I2190</f>
        <v>0</v>
      </c>
      <c r="F2190" t="str">
        <f ca="1">CONCATENATE("Based upon the number of buildings specified, information for  building ", C2190, " required for a final application in row ", B2190, ".", CHAR(10))</f>
        <v xml:space="preserve">Based upon the number of buildings specified, information for  building 39 required for a final application in row 42.
</v>
      </c>
      <c r="G2190" s="9" t="str">
        <f t="shared" ca="1" si="738"/>
        <v xml:space="preserve">Enter a value for 'Number of Floors in the Tallest Building' in cell B58.
</v>
      </c>
      <c r="H2190" s="52">
        <f ca="1">SUMPRODUCT(--ISTEXT(INDIRECT(J2190)))</f>
        <v>0</v>
      </c>
      <c r="I2190" s="52">
        <f ca="1">SUMPRODUCT(--ISNUMBER(INDIRECT(J2190)))</f>
        <v>0</v>
      </c>
      <c r="J2190" s="52" t="str">
        <f>$F$1564&amp; ADDRESS(B2190,3,4) &amp; ":" &amp; ADDRESS(B2190,15,4)</f>
        <v>'Final Building Profile'!C42:O42</v>
      </c>
    </row>
    <row r="2191" spans="1:10" ht="15" customHeight="1">
      <c r="A2191" t="str">
        <f t="shared" ref="A2191:A2200" ca="1" si="753">IF(AND(OFFSET(A2191, -I2191 + 2, 4) &gt;  0, E2191=""), F2191, "")</f>
        <v/>
      </c>
      <c r="B2191">
        <f t="shared" ref="B2191:B2205" si="754">B2190</f>
        <v>42</v>
      </c>
      <c r="C2191">
        <f t="shared" ca="1" si="740"/>
        <v>39</v>
      </c>
      <c r="D2191" t="str">
        <f t="shared" ref="D2191:D2205" si="755">ADDRESS(B2191, I2191,4  )</f>
        <v>C42</v>
      </c>
      <c r="E2191" t="str">
        <f t="shared" ref="E2191:E2205" ca="1" si="756">IF(ISBLANK( INDIRECT($F$1564 &amp; D2191)),"", INDIRECT($F$1564 &amp; D2191))</f>
        <v/>
      </c>
      <c r="F2191" t="str">
        <f t="shared" ref="F2191:F2205" ca="1" si="757">CONCATENATE("Enter a '"&amp; H2191 &amp;"' for  building ", C2191, " in cell ", D2191, ".", CHAR(10))</f>
        <v xml:space="preserve">Enter a 'Building Street Address Only 
(DO NOT ENTER CITY, STATE, OR ZIP)' for  building 39 in cell C42.
</v>
      </c>
      <c r="G2191" s="9" t="str">
        <f t="shared" ca="1" si="738"/>
        <v xml:space="preserve">Enter a value for 'Number of Floors in the Tallest Building' in cell B58.
</v>
      </c>
      <c r="H2191" s="52" t="str">
        <f t="shared" ref="H2191:H2205" ca="1" si="758">OFFSET(INDIRECT($F$1564 &amp; D2191), -B2191 + 3, 0)</f>
        <v>Building Street Address Only 
(DO NOT ENTER CITY, STATE, OR ZIP)</v>
      </c>
      <c r="I2191" s="52">
        <v>3</v>
      </c>
    </row>
    <row r="2192" spans="1:10" ht="15" customHeight="1">
      <c r="A2192" t="str">
        <f t="shared" ca="1" si="753"/>
        <v/>
      </c>
      <c r="B2192">
        <f t="shared" si="754"/>
        <v>42</v>
      </c>
      <c r="C2192">
        <f t="shared" ca="1" si="740"/>
        <v>39</v>
      </c>
      <c r="D2192" t="str">
        <f t="shared" si="755"/>
        <v>D42</v>
      </c>
      <c r="E2192" t="str">
        <f t="shared" ca="1" si="756"/>
        <v/>
      </c>
      <c r="F2192" t="str">
        <f t="shared" ca="1" si="757"/>
        <v xml:space="preserve">Enter a 'Total Units in Building*' for  building 39 in cell D42.
</v>
      </c>
      <c r="G2192" s="9" t="str">
        <f t="shared" ca="1" si="738"/>
        <v xml:space="preserve">Enter a value for 'Number of Floors in the Tallest Building' in cell B58.
</v>
      </c>
      <c r="H2192" s="52" t="str">
        <f t="shared" ca="1" si="758"/>
        <v>Total Units in Building*</v>
      </c>
      <c r="I2192" s="52">
        <v>4</v>
      </c>
    </row>
    <row r="2193" spans="1:10" ht="15" customHeight="1">
      <c r="A2193" t="str">
        <f t="shared" ca="1" si="753"/>
        <v/>
      </c>
      <c r="B2193">
        <f t="shared" si="754"/>
        <v>42</v>
      </c>
      <c r="C2193">
        <f t="shared" ca="1" si="740"/>
        <v>39</v>
      </c>
      <c r="D2193" t="str">
        <f t="shared" si="755"/>
        <v>E42</v>
      </c>
      <c r="E2193" t="str">
        <f t="shared" ca="1" si="756"/>
        <v/>
      </c>
      <c r="F2193" t="str">
        <f t="shared" ca="1" si="757"/>
        <v xml:space="preserve">Enter a 'Employee Units' for  building 39 in cell E42.
</v>
      </c>
      <c r="G2193" s="9" t="str">
        <f t="shared" ca="1" si="738"/>
        <v xml:space="preserve">Enter a value for 'Number of Floors in the Tallest Building' in cell B58.
</v>
      </c>
      <c r="H2193" s="52" t="str">
        <f t="shared" ca="1" si="758"/>
        <v>Employee Units</v>
      </c>
      <c r="I2193" s="52">
        <v>5</v>
      </c>
    </row>
    <row r="2194" spans="1:10" ht="15" customHeight="1">
      <c r="A2194" t="str">
        <f t="shared" ca="1" si="753"/>
        <v/>
      </c>
      <c r="B2194">
        <f t="shared" si="754"/>
        <v>42</v>
      </c>
      <c r="C2194">
        <f t="shared" ca="1" si="740"/>
        <v>39</v>
      </c>
      <c r="D2194" t="str">
        <f t="shared" si="755"/>
        <v>F42</v>
      </c>
      <c r="E2194" t="str">
        <f t="shared" ca="1" si="756"/>
        <v/>
      </c>
      <c r="F2194" t="str">
        <f t="shared" ca="1" si="757"/>
        <v xml:space="preserve">Enter a 'Low-Income Units' for  building 39 in cell F42.
</v>
      </c>
      <c r="G2194" s="9" t="str">
        <f t="shared" ca="1" si="738"/>
        <v xml:space="preserve">Enter a value for 'Number of Floors in the Tallest Building' in cell B58.
</v>
      </c>
      <c r="H2194" s="52" t="str">
        <f t="shared" ca="1" si="758"/>
        <v>Low-Income Units</v>
      </c>
      <c r="I2194" s="52">
        <v>6</v>
      </c>
    </row>
    <row r="2195" spans="1:10" ht="15" customHeight="1">
      <c r="A2195" t="str">
        <f t="shared" ca="1" si="753"/>
        <v/>
      </c>
      <c r="B2195">
        <f t="shared" si="754"/>
        <v>42</v>
      </c>
      <c r="C2195">
        <f t="shared" ca="1" si="740"/>
        <v>39</v>
      </c>
      <c r="D2195" t="str">
        <f t="shared" si="755"/>
        <v>G42</v>
      </c>
      <c r="E2195" t="str">
        <f t="shared" ca="1" si="756"/>
        <v/>
      </c>
      <c r="F2195" t="str">
        <f t="shared" ca="1" si="757"/>
        <v xml:space="preserve">Enter a 'Residential Square Footage**' for  building 39 in cell G42.
</v>
      </c>
      <c r="G2195" s="9" t="str">
        <f t="shared" ca="1" si="738"/>
        <v xml:space="preserve">Enter a value for 'Number of Floors in the Tallest Building' in cell B58.
</v>
      </c>
      <c r="H2195" s="52" t="str">
        <f t="shared" ca="1" si="758"/>
        <v>Residential Square Footage**</v>
      </c>
      <c r="I2195" s="52">
        <v>7</v>
      </c>
    </row>
    <row r="2196" spans="1:10" ht="15" customHeight="1">
      <c r="A2196" t="str">
        <f t="shared" ca="1" si="753"/>
        <v/>
      </c>
      <c r="B2196">
        <f t="shared" si="754"/>
        <v>42</v>
      </c>
      <c r="C2196">
        <f t="shared" ca="1" si="740"/>
        <v>39</v>
      </c>
      <c r="D2196" t="str">
        <f t="shared" si="755"/>
        <v>H42</v>
      </c>
      <c r="E2196" t="str">
        <f t="shared" ca="1" si="756"/>
        <v/>
      </c>
      <c r="F2196" t="str">
        <f t="shared" ca="1" si="757"/>
        <v xml:space="preserve">Enter a 'Square Footage of Employee Units' for  building 39 in cell H42.
</v>
      </c>
      <c r="G2196" s="9" t="str">
        <f t="shared" ca="1" si="738"/>
        <v xml:space="preserve">Enter a value for 'Number of Floors in the Tallest Building' in cell B58.
</v>
      </c>
      <c r="H2196" s="52" t="str">
        <f t="shared" ca="1" si="758"/>
        <v>Square Footage of Employee Units</v>
      </c>
      <c r="I2196" s="52">
        <v>8</v>
      </c>
    </row>
    <row r="2197" spans="1:10" ht="15" customHeight="1">
      <c r="A2197" t="str">
        <f t="shared" ca="1" si="753"/>
        <v/>
      </c>
      <c r="B2197">
        <f t="shared" si="754"/>
        <v>42</v>
      </c>
      <c r="C2197">
        <f t="shared" ca="1" si="740"/>
        <v>39</v>
      </c>
      <c r="D2197" t="str">
        <f t="shared" si="755"/>
        <v>I42</v>
      </c>
      <c r="E2197" t="str">
        <f t="shared" ca="1" si="756"/>
        <v/>
      </c>
      <c r="F2197" t="str">
        <f t="shared" ca="1" si="757"/>
        <v xml:space="preserve">Enter a 'Square Footage of Low-Income Units' for  building 39 in cell I42.
</v>
      </c>
      <c r="G2197" s="9" t="str">
        <f t="shared" ca="1" si="738"/>
        <v xml:space="preserve">Enter a value for 'Number of Floors in the Tallest Building' in cell B58.
</v>
      </c>
      <c r="H2197" s="52" t="str">
        <f t="shared" ca="1" si="758"/>
        <v>Square Footage of Low-Income Units</v>
      </c>
      <c r="I2197" s="52">
        <v>9</v>
      </c>
    </row>
    <row r="2198" spans="1:10" ht="15" customHeight="1">
      <c r="A2198" t="str">
        <f t="shared" ca="1" si="753"/>
        <v/>
      </c>
      <c r="B2198">
        <f t="shared" si="754"/>
        <v>42</v>
      </c>
      <c r="C2198">
        <f t="shared" ca="1" si="740"/>
        <v>39</v>
      </c>
      <c r="D2198" t="str">
        <f t="shared" si="755"/>
        <v>J42</v>
      </c>
      <c r="E2198" t="str">
        <f t="shared" ca="1" si="756"/>
        <v/>
      </c>
      <c r="F2198" t="str">
        <f t="shared" ca="1" si="757"/>
        <v xml:space="preserve">Enter a 'Placed-In-Service Date' for  building 39 in cell J42.
</v>
      </c>
      <c r="G2198" s="9" t="str">
        <f t="shared" ca="1" si="738"/>
        <v xml:space="preserve">Enter a value for 'Number of Floors in the Tallest Building' in cell B58.
</v>
      </c>
      <c r="H2198" s="52" t="str">
        <f t="shared" ca="1" si="758"/>
        <v>Placed-In-Service Date</v>
      </c>
      <c r="I2198" s="52">
        <v>10</v>
      </c>
    </row>
    <row r="2199" spans="1:10" ht="15" customHeight="1">
      <c r="A2199" t="str">
        <f t="shared" ca="1" si="753"/>
        <v/>
      </c>
      <c r="B2199">
        <f t="shared" si="754"/>
        <v>42</v>
      </c>
      <c r="C2199">
        <f t="shared" ca="1" si="740"/>
        <v>39</v>
      </c>
      <c r="D2199" t="str">
        <f t="shared" si="755"/>
        <v>K42</v>
      </c>
      <c r="E2199" t="str">
        <f t="shared" ca="1" si="756"/>
        <v/>
      </c>
      <c r="F2199" t="str">
        <f t="shared" ca="1" si="757"/>
        <v xml:space="preserve">Enter a 'New Construction/ Rehab APR' for  building 39 in cell K42.
</v>
      </c>
      <c r="G2199" s="9" t="str">
        <f t="shared" ca="1" si="738"/>
        <v xml:space="preserve">Enter a value for 'Number of Floors in the Tallest Building' in cell B58.
</v>
      </c>
      <c r="H2199" s="52" t="str">
        <f t="shared" ca="1" si="758"/>
        <v>New Construction/ Rehab APR</v>
      </c>
      <c r="I2199" s="52">
        <v>11</v>
      </c>
    </row>
    <row r="2200" spans="1:10" ht="15" customHeight="1">
      <c r="A2200" t="str">
        <f t="shared" ca="1" si="753"/>
        <v/>
      </c>
      <c r="B2200">
        <f t="shared" si="754"/>
        <v>42</v>
      </c>
      <c r="C2200">
        <f t="shared" ca="1" si="740"/>
        <v>39</v>
      </c>
      <c r="D2200" t="str">
        <f t="shared" si="755"/>
        <v>L42</v>
      </c>
      <c r="E2200" t="str">
        <f t="shared" ca="1" si="756"/>
        <v/>
      </c>
      <c r="F2200" t="str">
        <f t="shared" ca="1" si="757"/>
        <v xml:space="preserve">Enter a 'New Construction Eligible Basis' for  building 39 in cell L42.
</v>
      </c>
      <c r="G2200" s="9" t="str">
        <f t="shared" ca="1" si="738"/>
        <v xml:space="preserve">Enter a value for 'Number of Floors in the Tallest Building' in cell B58.
</v>
      </c>
      <c r="H2200" s="52" t="str">
        <f t="shared" ca="1" si="758"/>
        <v>New Construction Eligible Basis</v>
      </c>
      <c r="I2200" s="52">
        <v>12</v>
      </c>
    </row>
    <row r="2201" spans="1:10" ht="15" customHeight="1">
      <c r="A2201" t="str">
        <f ca="1">IF(AND(OFFSET(A2201, -I2201 + 2, 4) &gt;  0, E2201="", Calculations!$B$7), F2201, "")</f>
        <v/>
      </c>
      <c r="B2201">
        <f t="shared" si="754"/>
        <v>42</v>
      </c>
      <c r="C2201">
        <f t="shared" ca="1" si="740"/>
        <v>39</v>
      </c>
      <c r="D2201" t="str">
        <f t="shared" si="755"/>
        <v>M42</v>
      </c>
      <c r="E2201" t="str">
        <f t="shared" ca="1" si="756"/>
        <v/>
      </c>
      <c r="F2201" t="str">
        <f t="shared" ca="1" si="757"/>
        <v xml:space="preserve">Enter a 'Eligible Basis for Rehab' for  building 39 in cell M42.
</v>
      </c>
      <c r="G2201" s="9" t="str">
        <f t="shared" ca="1" si="738"/>
        <v xml:space="preserve">Enter a value for 'Number of Floors in the Tallest Building' in cell B58.
</v>
      </c>
      <c r="H2201" s="52" t="str">
        <f t="shared" ca="1" si="758"/>
        <v>Eligible Basis for Rehab</v>
      </c>
      <c r="I2201" s="52">
        <v>13</v>
      </c>
    </row>
    <row r="2202" spans="1:10" ht="15" customHeight="1">
      <c r="A2202" t="str">
        <f ca="1">IF(AND(OFFSET(A2202, -I2202 + 2, 4) &gt;  0, E2202="", Calculations!$B$7), F2202, "")</f>
        <v/>
      </c>
      <c r="B2202">
        <f t="shared" si="754"/>
        <v>42</v>
      </c>
      <c r="C2202">
        <f t="shared" ca="1" si="740"/>
        <v>39</v>
      </c>
      <c r="D2202" t="str">
        <f t="shared" si="755"/>
        <v>N42</v>
      </c>
      <c r="E2202" t="str">
        <f t="shared" ca="1" si="756"/>
        <v/>
      </c>
      <c r="F2202" t="str">
        <f t="shared" ca="1" si="757"/>
        <v xml:space="preserve">Enter a 'Cost of Acquiring the Building***' for  building 39 in cell N42.
</v>
      </c>
      <c r="G2202" s="9" t="str">
        <f t="shared" ca="1" si="738"/>
        <v xml:space="preserve">Enter a value for 'Number of Floors in the Tallest Building' in cell B58.
</v>
      </c>
      <c r="H2202" s="52" t="str">
        <f t="shared" ca="1" si="758"/>
        <v>Cost of Acquiring the Building***</v>
      </c>
      <c r="I2202" s="52">
        <v>14</v>
      </c>
    </row>
    <row r="2203" spans="1:10" ht="15" customHeight="1">
      <c r="A2203" t="str">
        <f ca="1">IF(AND(OFFSET(A2203, -I2203 + 2, 4) &gt;  0, E2203="", Calculations!$B$7), F2203, "")</f>
        <v/>
      </c>
      <c r="B2203">
        <f t="shared" si="754"/>
        <v>42</v>
      </c>
      <c r="C2203">
        <f t="shared" ca="1" si="740"/>
        <v>39</v>
      </c>
      <c r="D2203" t="str">
        <f t="shared" si="755"/>
        <v>O42</v>
      </c>
      <c r="E2203" t="str">
        <f t="shared" ca="1" si="756"/>
        <v/>
      </c>
      <c r="F2203" t="str">
        <f t="shared" ca="1" si="757"/>
        <v xml:space="preserve">Enter a 'Higher of Land Purchase Price or Land Appraised Value****' for  building 39 in cell O42.
</v>
      </c>
      <c r="G2203" s="9" t="str">
        <f t="shared" ca="1" si="738"/>
        <v xml:space="preserve">Enter a value for 'Number of Floors in the Tallest Building' in cell B58.
</v>
      </c>
      <c r="H2203" s="52" t="str">
        <f t="shared" ca="1" si="758"/>
        <v>Higher of Land Purchase Price or Land Appraised Value****</v>
      </c>
      <c r="I2203" s="52">
        <v>15</v>
      </c>
    </row>
    <row r="2204" spans="1:10" ht="15" customHeight="1">
      <c r="A2204" t="str">
        <f ca="1">IF(AND(OFFSET(A2204, -I2204 + 2, 4) &gt;  0, E2204="", Calculations!$B$7), F2204, "")</f>
        <v/>
      </c>
      <c r="B2204">
        <f t="shared" si="754"/>
        <v>42</v>
      </c>
      <c r="C2204">
        <f t="shared" ca="1" si="740"/>
        <v>39</v>
      </c>
      <c r="D2204" t="str">
        <f t="shared" si="755"/>
        <v>P42</v>
      </c>
      <c r="E2204" t="str">
        <f t="shared" ca="1" si="756"/>
        <v/>
      </c>
      <c r="F2204" t="str">
        <f t="shared" ca="1" si="757"/>
        <v xml:space="preserve">Enter a 'Acquisition Placed-in-Service Date' for  building 39 in cell P42.
</v>
      </c>
      <c r="G2204" s="9" t="str">
        <f t="shared" ca="1" si="738"/>
        <v xml:space="preserve">Enter a value for 'Number of Floors in the Tallest Building' in cell B58.
</v>
      </c>
      <c r="H2204" s="52" t="str">
        <f t="shared" ca="1" si="758"/>
        <v>Acquisition Placed-in-Service Date</v>
      </c>
      <c r="I2204" s="52">
        <v>16</v>
      </c>
    </row>
    <row r="2205" spans="1:10" ht="15" customHeight="1">
      <c r="A2205" t="str">
        <f ca="1">IF(AND(OFFSET(A2205, -I2205 + 2, 4) &gt;  0, E2205="", Calculations!$B$7), F2205, "")</f>
        <v/>
      </c>
      <c r="B2205">
        <f t="shared" si="754"/>
        <v>42</v>
      </c>
      <c r="C2205">
        <f t="shared" ca="1" si="740"/>
        <v>39</v>
      </c>
      <c r="D2205" t="str">
        <f t="shared" si="755"/>
        <v>Q42</v>
      </c>
      <c r="E2205" t="str">
        <f t="shared" ca="1" si="756"/>
        <v/>
      </c>
      <c r="F2205" t="str">
        <f t="shared" ca="1" si="757"/>
        <v xml:space="preserve">Enter a 'Acquisition APR' for  building 39 in cell Q42.
</v>
      </c>
      <c r="G2205" s="9" t="str">
        <f t="shared" ca="1" si="738"/>
        <v xml:space="preserve">Enter a value for 'Number of Floors in the Tallest Building' in cell B58.
</v>
      </c>
      <c r="H2205" s="52" t="str">
        <f t="shared" ca="1" si="758"/>
        <v>Acquisition APR</v>
      </c>
      <c r="I2205" s="52">
        <v>17</v>
      </c>
    </row>
    <row r="2206" spans="1:10" ht="15" customHeight="1">
      <c r="A2206" t="str">
        <f ca="1">IF(AND(Calculations!$B$4,Calculations!$B$28&gt;=C2206, E2206 &lt;&gt; 13),F2206,"")</f>
        <v/>
      </c>
      <c r="B2206">
        <f>ROW('Final Building Profile'!C43)</f>
        <v>43</v>
      </c>
      <c r="C2206">
        <f t="shared" ca="1" si="740"/>
        <v>40</v>
      </c>
      <c r="D2206" t="str">
        <f>ADDRESS(B2206, 3,4  )</f>
        <v>C43</v>
      </c>
      <c r="E2206" s="52">
        <f ca="1">H2206+I2206</f>
        <v>0</v>
      </c>
      <c r="F2206" t="str">
        <f ca="1">CONCATENATE("Based upon the number of buildings specified, information for  building ", C2206, " required for a final application in row ", B2206, ".", CHAR(10))</f>
        <v xml:space="preserve">Based upon the number of buildings specified, information for  building 40 required for a final application in row 43.
</v>
      </c>
      <c r="G2206" s="9" t="str">
        <f t="shared" ca="1" si="738"/>
        <v xml:space="preserve">Enter a value for 'Number of Floors in the Tallest Building' in cell B58.
</v>
      </c>
      <c r="H2206" s="52">
        <f ca="1">SUMPRODUCT(--ISTEXT(INDIRECT(J2206)))</f>
        <v>0</v>
      </c>
      <c r="I2206" s="52">
        <f ca="1">SUMPRODUCT(--ISNUMBER(INDIRECT(J2206)))</f>
        <v>0</v>
      </c>
      <c r="J2206" s="52" t="str">
        <f>$F$1564&amp; ADDRESS(B2206,3,4) &amp; ":" &amp; ADDRESS(B2206,15,4)</f>
        <v>'Final Building Profile'!C43:O43</v>
      </c>
    </row>
    <row r="2207" spans="1:10" ht="15" customHeight="1">
      <c r="A2207" t="str">
        <f t="shared" ref="A2207:A2216" ca="1" si="759">IF(AND(OFFSET(A2207, -I2207 + 2, 4) &gt;  0, E2207=""), F2207, "")</f>
        <v/>
      </c>
      <c r="B2207">
        <f t="shared" ref="B2207:B2221" si="760">B2206</f>
        <v>43</v>
      </c>
      <c r="C2207">
        <f t="shared" ca="1" si="740"/>
        <v>40</v>
      </c>
      <c r="D2207" t="str">
        <f t="shared" ref="D2207:D2221" si="761">ADDRESS(B2207, I2207,4  )</f>
        <v>C43</v>
      </c>
      <c r="E2207" t="str">
        <f t="shared" ref="E2207:E2221" ca="1" si="762">IF(ISBLANK( INDIRECT($F$1564 &amp; D2207)),"", INDIRECT($F$1564 &amp; D2207))</f>
        <v/>
      </c>
      <c r="F2207" t="str">
        <f t="shared" ref="F2207:F2221" ca="1" si="763">CONCATENATE("Enter a '"&amp; H2207 &amp;"' for  building ", C2207, " in cell ", D2207, ".", CHAR(10))</f>
        <v xml:space="preserve">Enter a 'Building Street Address Only 
(DO NOT ENTER CITY, STATE, OR ZIP)' for  building 40 in cell C43.
</v>
      </c>
      <c r="G2207" s="9" t="str">
        <f t="shared" ref="G2207:G2270" ca="1" si="764">OFFSET(G2207, -1, 0) &amp; A2207</f>
        <v xml:space="preserve">Enter a value for 'Number of Floors in the Tallest Building' in cell B58.
</v>
      </c>
      <c r="H2207" s="52" t="str">
        <f t="shared" ref="H2207:H2221" ca="1" si="765">OFFSET(INDIRECT($F$1564 &amp; D2207), -B2207 + 3, 0)</f>
        <v>Building Street Address Only 
(DO NOT ENTER CITY, STATE, OR ZIP)</v>
      </c>
      <c r="I2207" s="52">
        <v>3</v>
      </c>
    </row>
    <row r="2208" spans="1:10" ht="15" customHeight="1">
      <c r="A2208" t="str">
        <f t="shared" ca="1" si="759"/>
        <v/>
      </c>
      <c r="B2208">
        <f t="shared" si="760"/>
        <v>43</v>
      </c>
      <c r="C2208">
        <f t="shared" ca="1" si="740"/>
        <v>40</v>
      </c>
      <c r="D2208" t="str">
        <f t="shared" si="761"/>
        <v>D43</v>
      </c>
      <c r="E2208" t="str">
        <f t="shared" ca="1" si="762"/>
        <v/>
      </c>
      <c r="F2208" t="str">
        <f t="shared" ca="1" si="763"/>
        <v xml:space="preserve">Enter a 'Total Units in Building*' for  building 40 in cell D43.
</v>
      </c>
      <c r="G2208" s="9" t="str">
        <f t="shared" ca="1" si="764"/>
        <v xml:space="preserve">Enter a value for 'Number of Floors in the Tallest Building' in cell B58.
</v>
      </c>
      <c r="H2208" s="52" t="str">
        <f t="shared" ca="1" si="765"/>
        <v>Total Units in Building*</v>
      </c>
      <c r="I2208" s="52">
        <v>4</v>
      </c>
    </row>
    <row r="2209" spans="1:10" ht="15" customHeight="1">
      <c r="A2209" t="str">
        <f t="shared" ca="1" si="759"/>
        <v/>
      </c>
      <c r="B2209">
        <f t="shared" si="760"/>
        <v>43</v>
      </c>
      <c r="C2209">
        <f t="shared" ca="1" si="740"/>
        <v>40</v>
      </c>
      <c r="D2209" t="str">
        <f t="shared" si="761"/>
        <v>E43</v>
      </c>
      <c r="E2209" t="str">
        <f t="shared" ca="1" si="762"/>
        <v/>
      </c>
      <c r="F2209" t="str">
        <f t="shared" ca="1" si="763"/>
        <v xml:space="preserve">Enter a 'Employee Units' for  building 40 in cell E43.
</v>
      </c>
      <c r="G2209" s="9" t="str">
        <f t="shared" ca="1" si="764"/>
        <v xml:space="preserve">Enter a value for 'Number of Floors in the Tallest Building' in cell B58.
</v>
      </c>
      <c r="H2209" s="52" t="str">
        <f t="shared" ca="1" si="765"/>
        <v>Employee Units</v>
      </c>
      <c r="I2209" s="52">
        <v>5</v>
      </c>
    </row>
    <row r="2210" spans="1:10" ht="15" customHeight="1">
      <c r="A2210" t="str">
        <f t="shared" ca="1" si="759"/>
        <v/>
      </c>
      <c r="B2210">
        <f t="shared" si="760"/>
        <v>43</v>
      </c>
      <c r="C2210">
        <f t="shared" ca="1" si="740"/>
        <v>40</v>
      </c>
      <c r="D2210" t="str">
        <f t="shared" si="761"/>
        <v>F43</v>
      </c>
      <c r="E2210" t="str">
        <f t="shared" ca="1" si="762"/>
        <v/>
      </c>
      <c r="F2210" t="str">
        <f t="shared" ca="1" si="763"/>
        <v xml:space="preserve">Enter a 'Low-Income Units' for  building 40 in cell F43.
</v>
      </c>
      <c r="G2210" s="9" t="str">
        <f t="shared" ca="1" si="764"/>
        <v xml:space="preserve">Enter a value for 'Number of Floors in the Tallest Building' in cell B58.
</v>
      </c>
      <c r="H2210" s="52" t="str">
        <f t="shared" ca="1" si="765"/>
        <v>Low-Income Units</v>
      </c>
      <c r="I2210" s="52">
        <v>6</v>
      </c>
    </row>
    <row r="2211" spans="1:10" ht="15" customHeight="1">
      <c r="A2211" t="str">
        <f t="shared" ca="1" si="759"/>
        <v/>
      </c>
      <c r="B2211">
        <f t="shared" si="760"/>
        <v>43</v>
      </c>
      <c r="C2211">
        <f t="shared" ca="1" si="740"/>
        <v>40</v>
      </c>
      <c r="D2211" t="str">
        <f t="shared" si="761"/>
        <v>G43</v>
      </c>
      <c r="E2211" t="str">
        <f t="shared" ca="1" si="762"/>
        <v/>
      </c>
      <c r="F2211" t="str">
        <f t="shared" ca="1" si="763"/>
        <v xml:space="preserve">Enter a 'Residential Square Footage**' for  building 40 in cell G43.
</v>
      </c>
      <c r="G2211" s="9" t="str">
        <f t="shared" ca="1" si="764"/>
        <v xml:space="preserve">Enter a value for 'Number of Floors in the Tallest Building' in cell B58.
</v>
      </c>
      <c r="H2211" s="52" t="str">
        <f t="shared" ca="1" si="765"/>
        <v>Residential Square Footage**</v>
      </c>
      <c r="I2211" s="52">
        <v>7</v>
      </c>
    </row>
    <row r="2212" spans="1:10" ht="15" customHeight="1">
      <c r="A2212" t="str">
        <f t="shared" ca="1" si="759"/>
        <v/>
      </c>
      <c r="B2212">
        <f t="shared" si="760"/>
        <v>43</v>
      </c>
      <c r="C2212">
        <f t="shared" ca="1" si="740"/>
        <v>40</v>
      </c>
      <c r="D2212" t="str">
        <f t="shared" si="761"/>
        <v>H43</v>
      </c>
      <c r="E2212" t="str">
        <f t="shared" ca="1" si="762"/>
        <v/>
      </c>
      <c r="F2212" t="str">
        <f t="shared" ca="1" si="763"/>
        <v xml:space="preserve">Enter a 'Square Footage of Employee Units' for  building 40 in cell H43.
</v>
      </c>
      <c r="G2212" s="9" t="str">
        <f t="shared" ca="1" si="764"/>
        <v xml:space="preserve">Enter a value for 'Number of Floors in the Tallest Building' in cell B58.
</v>
      </c>
      <c r="H2212" s="52" t="str">
        <f t="shared" ca="1" si="765"/>
        <v>Square Footage of Employee Units</v>
      </c>
      <c r="I2212" s="52">
        <v>8</v>
      </c>
    </row>
    <row r="2213" spans="1:10" ht="15" customHeight="1">
      <c r="A2213" t="str">
        <f t="shared" ca="1" si="759"/>
        <v/>
      </c>
      <c r="B2213">
        <f t="shared" si="760"/>
        <v>43</v>
      </c>
      <c r="C2213">
        <f t="shared" ca="1" si="740"/>
        <v>40</v>
      </c>
      <c r="D2213" t="str">
        <f t="shared" si="761"/>
        <v>I43</v>
      </c>
      <c r="E2213" t="str">
        <f t="shared" ca="1" si="762"/>
        <v/>
      </c>
      <c r="F2213" t="str">
        <f t="shared" ca="1" si="763"/>
        <v xml:space="preserve">Enter a 'Square Footage of Low-Income Units' for  building 40 in cell I43.
</v>
      </c>
      <c r="G2213" s="9" t="str">
        <f t="shared" ca="1" si="764"/>
        <v xml:space="preserve">Enter a value for 'Number of Floors in the Tallest Building' in cell B58.
</v>
      </c>
      <c r="H2213" s="52" t="str">
        <f t="shared" ca="1" si="765"/>
        <v>Square Footage of Low-Income Units</v>
      </c>
      <c r="I2213" s="52">
        <v>9</v>
      </c>
    </row>
    <row r="2214" spans="1:10" ht="15" customHeight="1">
      <c r="A2214" t="str">
        <f t="shared" ca="1" si="759"/>
        <v/>
      </c>
      <c r="B2214">
        <f t="shared" si="760"/>
        <v>43</v>
      </c>
      <c r="C2214">
        <f t="shared" ca="1" si="740"/>
        <v>40</v>
      </c>
      <c r="D2214" t="str">
        <f t="shared" si="761"/>
        <v>J43</v>
      </c>
      <c r="E2214" t="str">
        <f t="shared" ca="1" si="762"/>
        <v/>
      </c>
      <c r="F2214" t="str">
        <f t="shared" ca="1" si="763"/>
        <v xml:space="preserve">Enter a 'Placed-In-Service Date' for  building 40 in cell J43.
</v>
      </c>
      <c r="G2214" s="9" t="str">
        <f t="shared" ca="1" si="764"/>
        <v xml:space="preserve">Enter a value for 'Number of Floors in the Tallest Building' in cell B58.
</v>
      </c>
      <c r="H2214" s="52" t="str">
        <f t="shared" ca="1" si="765"/>
        <v>Placed-In-Service Date</v>
      </c>
      <c r="I2214" s="52">
        <v>10</v>
      </c>
    </row>
    <row r="2215" spans="1:10" ht="15" customHeight="1">
      <c r="A2215" t="str">
        <f t="shared" ca="1" si="759"/>
        <v/>
      </c>
      <c r="B2215">
        <f t="shared" si="760"/>
        <v>43</v>
      </c>
      <c r="C2215">
        <f t="shared" ca="1" si="740"/>
        <v>40</v>
      </c>
      <c r="D2215" t="str">
        <f t="shared" si="761"/>
        <v>K43</v>
      </c>
      <c r="E2215" t="str">
        <f t="shared" ca="1" si="762"/>
        <v/>
      </c>
      <c r="F2215" t="str">
        <f t="shared" ca="1" si="763"/>
        <v xml:space="preserve">Enter a 'New Construction/ Rehab APR' for  building 40 in cell K43.
</v>
      </c>
      <c r="G2215" s="9" t="str">
        <f t="shared" ca="1" si="764"/>
        <v xml:space="preserve">Enter a value for 'Number of Floors in the Tallest Building' in cell B58.
</v>
      </c>
      <c r="H2215" s="52" t="str">
        <f t="shared" ca="1" si="765"/>
        <v>New Construction/ Rehab APR</v>
      </c>
      <c r="I2215" s="52">
        <v>11</v>
      </c>
    </row>
    <row r="2216" spans="1:10" ht="15" customHeight="1">
      <c r="A2216" t="str">
        <f t="shared" ca="1" si="759"/>
        <v/>
      </c>
      <c r="B2216">
        <f t="shared" si="760"/>
        <v>43</v>
      </c>
      <c r="C2216">
        <f t="shared" ca="1" si="740"/>
        <v>40</v>
      </c>
      <c r="D2216" t="str">
        <f t="shared" si="761"/>
        <v>L43</v>
      </c>
      <c r="E2216" t="str">
        <f t="shared" ca="1" si="762"/>
        <v/>
      </c>
      <c r="F2216" t="str">
        <f t="shared" ca="1" si="763"/>
        <v xml:space="preserve">Enter a 'New Construction Eligible Basis' for  building 40 in cell L43.
</v>
      </c>
      <c r="G2216" s="9" t="str">
        <f t="shared" ca="1" si="764"/>
        <v xml:space="preserve">Enter a value for 'Number of Floors in the Tallest Building' in cell B58.
</v>
      </c>
      <c r="H2216" s="52" t="str">
        <f t="shared" ca="1" si="765"/>
        <v>New Construction Eligible Basis</v>
      </c>
      <c r="I2216" s="52">
        <v>12</v>
      </c>
    </row>
    <row r="2217" spans="1:10" ht="15" customHeight="1">
      <c r="A2217" t="str">
        <f ca="1">IF(AND(OFFSET(A2217, -I2217 + 2, 4) &gt;  0, E2217="", Calculations!$B$7), F2217, "")</f>
        <v/>
      </c>
      <c r="B2217">
        <f t="shared" si="760"/>
        <v>43</v>
      </c>
      <c r="C2217">
        <f t="shared" ca="1" si="740"/>
        <v>40</v>
      </c>
      <c r="D2217" t="str">
        <f t="shared" si="761"/>
        <v>M43</v>
      </c>
      <c r="E2217" t="str">
        <f t="shared" ca="1" si="762"/>
        <v/>
      </c>
      <c r="F2217" t="str">
        <f t="shared" ca="1" si="763"/>
        <v xml:space="preserve">Enter a 'Eligible Basis for Rehab' for  building 40 in cell M43.
</v>
      </c>
      <c r="G2217" s="9" t="str">
        <f t="shared" ca="1" si="764"/>
        <v xml:space="preserve">Enter a value for 'Number of Floors in the Tallest Building' in cell B58.
</v>
      </c>
      <c r="H2217" s="52" t="str">
        <f t="shared" ca="1" si="765"/>
        <v>Eligible Basis for Rehab</v>
      </c>
      <c r="I2217" s="52">
        <v>13</v>
      </c>
    </row>
    <row r="2218" spans="1:10" ht="15" customHeight="1">
      <c r="A2218" t="str">
        <f ca="1">IF(AND(OFFSET(A2218, -I2218 + 2, 4) &gt;  0, E2218="", Calculations!$B$7), F2218, "")</f>
        <v/>
      </c>
      <c r="B2218">
        <f t="shared" si="760"/>
        <v>43</v>
      </c>
      <c r="C2218">
        <f t="shared" ca="1" si="740"/>
        <v>40</v>
      </c>
      <c r="D2218" t="str">
        <f t="shared" si="761"/>
        <v>N43</v>
      </c>
      <c r="E2218" t="str">
        <f t="shared" ca="1" si="762"/>
        <v/>
      </c>
      <c r="F2218" t="str">
        <f t="shared" ca="1" si="763"/>
        <v xml:space="preserve">Enter a 'Cost of Acquiring the Building***' for  building 40 in cell N43.
</v>
      </c>
      <c r="G2218" s="9" t="str">
        <f t="shared" ca="1" si="764"/>
        <v xml:space="preserve">Enter a value for 'Number of Floors in the Tallest Building' in cell B58.
</v>
      </c>
      <c r="H2218" s="52" t="str">
        <f t="shared" ca="1" si="765"/>
        <v>Cost of Acquiring the Building***</v>
      </c>
      <c r="I2218" s="52">
        <v>14</v>
      </c>
    </row>
    <row r="2219" spans="1:10" ht="15" customHeight="1">
      <c r="A2219" t="str">
        <f ca="1">IF(AND(OFFSET(A2219, -I2219 + 2, 4) &gt;  0, E2219="", Calculations!$B$7), F2219, "")</f>
        <v/>
      </c>
      <c r="B2219">
        <f t="shared" si="760"/>
        <v>43</v>
      </c>
      <c r="C2219">
        <f t="shared" ca="1" si="740"/>
        <v>40</v>
      </c>
      <c r="D2219" t="str">
        <f t="shared" si="761"/>
        <v>O43</v>
      </c>
      <c r="E2219" t="str">
        <f t="shared" ca="1" si="762"/>
        <v/>
      </c>
      <c r="F2219" t="str">
        <f t="shared" ca="1" si="763"/>
        <v xml:space="preserve">Enter a 'Higher of Land Purchase Price or Land Appraised Value****' for  building 40 in cell O43.
</v>
      </c>
      <c r="G2219" s="9" t="str">
        <f t="shared" ca="1" si="764"/>
        <v xml:space="preserve">Enter a value for 'Number of Floors in the Tallest Building' in cell B58.
</v>
      </c>
      <c r="H2219" s="52" t="str">
        <f t="shared" ca="1" si="765"/>
        <v>Higher of Land Purchase Price or Land Appraised Value****</v>
      </c>
      <c r="I2219" s="52">
        <v>15</v>
      </c>
    </row>
    <row r="2220" spans="1:10" ht="15" customHeight="1">
      <c r="A2220" t="str">
        <f ca="1">IF(AND(OFFSET(A2220, -I2220 + 2, 4) &gt;  0, E2220="", Calculations!$B$7), F2220, "")</f>
        <v/>
      </c>
      <c r="B2220">
        <f t="shared" si="760"/>
        <v>43</v>
      </c>
      <c r="C2220">
        <f t="shared" ca="1" si="740"/>
        <v>40</v>
      </c>
      <c r="D2220" t="str">
        <f t="shared" si="761"/>
        <v>P43</v>
      </c>
      <c r="E2220" t="str">
        <f t="shared" ca="1" si="762"/>
        <v/>
      </c>
      <c r="F2220" t="str">
        <f t="shared" ca="1" si="763"/>
        <v xml:space="preserve">Enter a 'Acquisition Placed-in-Service Date' for  building 40 in cell P43.
</v>
      </c>
      <c r="G2220" s="9" t="str">
        <f t="shared" ca="1" si="764"/>
        <v xml:space="preserve">Enter a value for 'Number of Floors in the Tallest Building' in cell B58.
</v>
      </c>
      <c r="H2220" s="52" t="str">
        <f t="shared" ca="1" si="765"/>
        <v>Acquisition Placed-in-Service Date</v>
      </c>
      <c r="I2220" s="52">
        <v>16</v>
      </c>
    </row>
    <row r="2221" spans="1:10" ht="15" customHeight="1">
      <c r="A2221" t="str">
        <f ca="1">IF(AND(OFFSET(A2221, -I2221 + 2, 4) &gt;  0, E2221="", Calculations!$B$7), F2221, "")</f>
        <v/>
      </c>
      <c r="B2221">
        <f t="shared" si="760"/>
        <v>43</v>
      </c>
      <c r="C2221">
        <f t="shared" ca="1" si="740"/>
        <v>40</v>
      </c>
      <c r="D2221" t="str">
        <f t="shared" si="761"/>
        <v>Q43</v>
      </c>
      <c r="E2221" t="str">
        <f t="shared" ca="1" si="762"/>
        <v/>
      </c>
      <c r="F2221" t="str">
        <f t="shared" ca="1" si="763"/>
        <v xml:space="preserve">Enter a 'Acquisition APR' for  building 40 in cell Q43.
</v>
      </c>
      <c r="G2221" s="9" t="str">
        <f t="shared" ca="1" si="764"/>
        <v xml:space="preserve">Enter a value for 'Number of Floors in the Tallest Building' in cell B58.
</v>
      </c>
      <c r="H2221" s="52" t="str">
        <f t="shared" ca="1" si="765"/>
        <v>Acquisition APR</v>
      </c>
      <c r="I2221" s="52">
        <v>17</v>
      </c>
    </row>
    <row r="2222" spans="1:10" ht="15" customHeight="1">
      <c r="A2222" t="str">
        <f ca="1">IF(AND(Calculations!$B$4,Calculations!$B$28&gt;=C2222, E2222 &lt;&gt; 13),F2222,"")</f>
        <v/>
      </c>
      <c r="B2222">
        <f>ROW('Final Building Profile'!C44)</f>
        <v>44</v>
      </c>
      <c r="C2222">
        <f t="shared" ref="C2222:C2285" ca="1" si="766">INDIRECT($F$1564 &amp; ADDRESS(B2222, 1,4  ))</f>
        <v>41</v>
      </c>
      <c r="D2222" t="str">
        <f>ADDRESS(B2222, 3,4  )</f>
        <v>C44</v>
      </c>
      <c r="E2222" s="52">
        <f ca="1">H2222+I2222</f>
        <v>0</v>
      </c>
      <c r="F2222" t="str">
        <f ca="1">CONCATENATE("Based upon the number of buildings specified, information for  building ", C2222, " required for a final application in row ", B2222, ".", CHAR(10))</f>
        <v xml:space="preserve">Based upon the number of buildings specified, information for  building 41 required for a final application in row 44.
</v>
      </c>
      <c r="G2222" s="9" t="str">
        <f t="shared" ca="1" si="764"/>
        <v xml:space="preserve">Enter a value for 'Number of Floors in the Tallest Building' in cell B58.
</v>
      </c>
      <c r="H2222" s="52">
        <f ca="1">SUMPRODUCT(--ISTEXT(INDIRECT(J2222)))</f>
        <v>0</v>
      </c>
      <c r="I2222" s="52">
        <f ca="1">SUMPRODUCT(--ISNUMBER(INDIRECT(J2222)))</f>
        <v>0</v>
      </c>
      <c r="J2222" s="52" t="str">
        <f>$F$1564&amp; ADDRESS(B2222,3,4) &amp; ":" &amp; ADDRESS(B2222,15,4)</f>
        <v>'Final Building Profile'!C44:O44</v>
      </c>
    </row>
    <row r="2223" spans="1:10" ht="15" customHeight="1">
      <c r="A2223" t="str">
        <f t="shared" ref="A2223:A2232" ca="1" si="767">IF(AND(OFFSET(A2223, -I2223 + 2, 4) &gt;  0, E2223=""), F2223, "")</f>
        <v/>
      </c>
      <c r="B2223">
        <f t="shared" ref="B2223:B2237" si="768">B2222</f>
        <v>44</v>
      </c>
      <c r="C2223">
        <f t="shared" ca="1" si="766"/>
        <v>41</v>
      </c>
      <c r="D2223" t="str">
        <f t="shared" ref="D2223:D2237" si="769">ADDRESS(B2223, I2223,4  )</f>
        <v>C44</v>
      </c>
      <c r="E2223" t="str">
        <f t="shared" ref="E2223:E2237" ca="1" si="770">IF(ISBLANK( INDIRECT($F$1564 &amp; D2223)),"", INDIRECT($F$1564 &amp; D2223))</f>
        <v/>
      </c>
      <c r="F2223" t="str">
        <f t="shared" ref="F2223:F2237" ca="1" si="771">CONCATENATE("Enter a '"&amp; H2223 &amp;"' for  building ", C2223, " in cell ", D2223, ".", CHAR(10))</f>
        <v xml:space="preserve">Enter a 'Building Street Address Only 
(DO NOT ENTER CITY, STATE, OR ZIP)' for  building 41 in cell C44.
</v>
      </c>
      <c r="G2223" s="9" t="str">
        <f t="shared" ca="1" si="764"/>
        <v xml:space="preserve">Enter a value for 'Number of Floors in the Tallest Building' in cell B58.
</v>
      </c>
      <c r="H2223" s="52" t="str">
        <f t="shared" ref="H2223:H2237" ca="1" si="772">OFFSET(INDIRECT($F$1564 &amp; D2223), -B2223 + 3, 0)</f>
        <v>Building Street Address Only 
(DO NOT ENTER CITY, STATE, OR ZIP)</v>
      </c>
      <c r="I2223" s="52">
        <v>3</v>
      </c>
    </row>
    <row r="2224" spans="1:10" ht="15" customHeight="1">
      <c r="A2224" t="str">
        <f t="shared" ca="1" si="767"/>
        <v/>
      </c>
      <c r="B2224">
        <f t="shared" si="768"/>
        <v>44</v>
      </c>
      <c r="C2224">
        <f t="shared" ca="1" si="766"/>
        <v>41</v>
      </c>
      <c r="D2224" t="str">
        <f t="shared" si="769"/>
        <v>D44</v>
      </c>
      <c r="E2224" t="str">
        <f t="shared" ca="1" si="770"/>
        <v/>
      </c>
      <c r="F2224" t="str">
        <f t="shared" ca="1" si="771"/>
        <v xml:space="preserve">Enter a 'Total Units in Building*' for  building 41 in cell D44.
</v>
      </c>
      <c r="G2224" s="9" t="str">
        <f t="shared" ca="1" si="764"/>
        <v xml:space="preserve">Enter a value for 'Number of Floors in the Tallest Building' in cell B58.
</v>
      </c>
      <c r="H2224" s="52" t="str">
        <f t="shared" ca="1" si="772"/>
        <v>Total Units in Building*</v>
      </c>
      <c r="I2224" s="52">
        <v>4</v>
      </c>
    </row>
    <row r="2225" spans="1:10" ht="15" customHeight="1">
      <c r="A2225" t="str">
        <f t="shared" ca="1" si="767"/>
        <v/>
      </c>
      <c r="B2225">
        <f t="shared" si="768"/>
        <v>44</v>
      </c>
      <c r="C2225">
        <f t="shared" ca="1" si="766"/>
        <v>41</v>
      </c>
      <c r="D2225" t="str">
        <f t="shared" si="769"/>
        <v>E44</v>
      </c>
      <c r="E2225" t="str">
        <f t="shared" ca="1" si="770"/>
        <v/>
      </c>
      <c r="F2225" t="str">
        <f t="shared" ca="1" si="771"/>
        <v xml:space="preserve">Enter a 'Employee Units' for  building 41 in cell E44.
</v>
      </c>
      <c r="G2225" s="9" t="str">
        <f t="shared" ca="1" si="764"/>
        <v xml:space="preserve">Enter a value for 'Number of Floors in the Tallest Building' in cell B58.
</v>
      </c>
      <c r="H2225" s="52" t="str">
        <f t="shared" ca="1" si="772"/>
        <v>Employee Units</v>
      </c>
      <c r="I2225" s="52">
        <v>5</v>
      </c>
    </row>
    <row r="2226" spans="1:10" ht="15" customHeight="1">
      <c r="A2226" t="str">
        <f t="shared" ca="1" si="767"/>
        <v/>
      </c>
      <c r="B2226">
        <f t="shared" si="768"/>
        <v>44</v>
      </c>
      <c r="C2226">
        <f t="shared" ca="1" si="766"/>
        <v>41</v>
      </c>
      <c r="D2226" t="str">
        <f t="shared" si="769"/>
        <v>F44</v>
      </c>
      <c r="E2226" t="str">
        <f t="shared" ca="1" si="770"/>
        <v/>
      </c>
      <c r="F2226" t="str">
        <f t="shared" ca="1" si="771"/>
        <v xml:space="preserve">Enter a 'Low-Income Units' for  building 41 in cell F44.
</v>
      </c>
      <c r="G2226" s="9" t="str">
        <f t="shared" ca="1" si="764"/>
        <v xml:space="preserve">Enter a value for 'Number of Floors in the Tallest Building' in cell B58.
</v>
      </c>
      <c r="H2226" s="52" t="str">
        <f t="shared" ca="1" si="772"/>
        <v>Low-Income Units</v>
      </c>
      <c r="I2226" s="52">
        <v>6</v>
      </c>
    </row>
    <row r="2227" spans="1:10" ht="15" customHeight="1">
      <c r="A2227" t="str">
        <f t="shared" ca="1" si="767"/>
        <v/>
      </c>
      <c r="B2227">
        <f t="shared" si="768"/>
        <v>44</v>
      </c>
      <c r="C2227">
        <f t="shared" ca="1" si="766"/>
        <v>41</v>
      </c>
      <c r="D2227" t="str">
        <f t="shared" si="769"/>
        <v>G44</v>
      </c>
      <c r="E2227" t="str">
        <f t="shared" ca="1" si="770"/>
        <v/>
      </c>
      <c r="F2227" t="str">
        <f t="shared" ca="1" si="771"/>
        <v xml:space="preserve">Enter a 'Residential Square Footage**' for  building 41 in cell G44.
</v>
      </c>
      <c r="G2227" s="9" t="str">
        <f t="shared" ca="1" si="764"/>
        <v xml:space="preserve">Enter a value for 'Number of Floors in the Tallest Building' in cell B58.
</v>
      </c>
      <c r="H2227" s="52" t="str">
        <f t="shared" ca="1" si="772"/>
        <v>Residential Square Footage**</v>
      </c>
      <c r="I2227" s="52">
        <v>7</v>
      </c>
    </row>
    <row r="2228" spans="1:10" ht="15" customHeight="1">
      <c r="A2228" t="str">
        <f t="shared" ca="1" si="767"/>
        <v/>
      </c>
      <c r="B2228">
        <f t="shared" si="768"/>
        <v>44</v>
      </c>
      <c r="C2228">
        <f t="shared" ca="1" si="766"/>
        <v>41</v>
      </c>
      <c r="D2228" t="str">
        <f t="shared" si="769"/>
        <v>H44</v>
      </c>
      <c r="E2228" t="str">
        <f t="shared" ca="1" si="770"/>
        <v/>
      </c>
      <c r="F2228" t="str">
        <f t="shared" ca="1" si="771"/>
        <v xml:space="preserve">Enter a 'Square Footage of Employee Units' for  building 41 in cell H44.
</v>
      </c>
      <c r="G2228" s="9" t="str">
        <f t="shared" ca="1" si="764"/>
        <v xml:space="preserve">Enter a value for 'Number of Floors in the Tallest Building' in cell B58.
</v>
      </c>
      <c r="H2228" s="52" t="str">
        <f t="shared" ca="1" si="772"/>
        <v>Square Footage of Employee Units</v>
      </c>
      <c r="I2228" s="52">
        <v>8</v>
      </c>
    </row>
    <row r="2229" spans="1:10" ht="15" customHeight="1">
      <c r="A2229" t="str">
        <f t="shared" ca="1" si="767"/>
        <v/>
      </c>
      <c r="B2229">
        <f t="shared" si="768"/>
        <v>44</v>
      </c>
      <c r="C2229">
        <f t="shared" ca="1" si="766"/>
        <v>41</v>
      </c>
      <c r="D2229" t="str">
        <f t="shared" si="769"/>
        <v>I44</v>
      </c>
      <c r="E2229" t="str">
        <f t="shared" ca="1" si="770"/>
        <v/>
      </c>
      <c r="F2229" t="str">
        <f t="shared" ca="1" si="771"/>
        <v xml:space="preserve">Enter a 'Square Footage of Low-Income Units' for  building 41 in cell I44.
</v>
      </c>
      <c r="G2229" s="9" t="str">
        <f t="shared" ca="1" si="764"/>
        <v xml:space="preserve">Enter a value for 'Number of Floors in the Tallest Building' in cell B58.
</v>
      </c>
      <c r="H2229" s="52" t="str">
        <f t="shared" ca="1" si="772"/>
        <v>Square Footage of Low-Income Units</v>
      </c>
      <c r="I2229" s="52">
        <v>9</v>
      </c>
    </row>
    <row r="2230" spans="1:10" ht="15" customHeight="1">
      <c r="A2230" t="str">
        <f t="shared" ca="1" si="767"/>
        <v/>
      </c>
      <c r="B2230">
        <f t="shared" si="768"/>
        <v>44</v>
      </c>
      <c r="C2230">
        <f t="shared" ca="1" si="766"/>
        <v>41</v>
      </c>
      <c r="D2230" t="str">
        <f t="shared" si="769"/>
        <v>J44</v>
      </c>
      <c r="E2230" t="str">
        <f t="shared" ca="1" si="770"/>
        <v/>
      </c>
      <c r="F2230" t="str">
        <f t="shared" ca="1" si="771"/>
        <v xml:space="preserve">Enter a 'Placed-In-Service Date' for  building 41 in cell J44.
</v>
      </c>
      <c r="G2230" s="9" t="str">
        <f t="shared" ca="1" si="764"/>
        <v xml:space="preserve">Enter a value for 'Number of Floors in the Tallest Building' in cell B58.
</v>
      </c>
      <c r="H2230" s="52" t="str">
        <f t="shared" ca="1" si="772"/>
        <v>Placed-In-Service Date</v>
      </c>
      <c r="I2230" s="52">
        <v>10</v>
      </c>
    </row>
    <row r="2231" spans="1:10" ht="15" customHeight="1">
      <c r="A2231" t="str">
        <f t="shared" ca="1" si="767"/>
        <v/>
      </c>
      <c r="B2231">
        <f t="shared" si="768"/>
        <v>44</v>
      </c>
      <c r="C2231">
        <f t="shared" ca="1" si="766"/>
        <v>41</v>
      </c>
      <c r="D2231" t="str">
        <f t="shared" si="769"/>
        <v>K44</v>
      </c>
      <c r="E2231" t="str">
        <f t="shared" ca="1" si="770"/>
        <v/>
      </c>
      <c r="F2231" t="str">
        <f t="shared" ca="1" si="771"/>
        <v xml:space="preserve">Enter a 'New Construction/ Rehab APR' for  building 41 in cell K44.
</v>
      </c>
      <c r="G2231" s="9" t="str">
        <f t="shared" ca="1" si="764"/>
        <v xml:space="preserve">Enter a value for 'Number of Floors in the Tallest Building' in cell B58.
</v>
      </c>
      <c r="H2231" s="52" t="str">
        <f t="shared" ca="1" si="772"/>
        <v>New Construction/ Rehab APR</v>
      </c>
      <c r="I2231" s="52">
        <v>11</v>
      </c>
    </row>
    <row r="2232" spans="1:10" ht="15" customHeight="1">
      <c r="A2232" t="str">
        <f t="shared" ca="1" si="767"/>
        <v/>
      </c>
      <c r="B2232">
        <f t="shared" si="768"/>
        <v>44</v>
      </c>
      <c r="C2232">
        <f t="shared" ca="1" si="766"/>
        <v>41</v>
      </c>
      <c r="D2232" t="str">
        <f t="shared" si="769"/>
        <v>L44</v>
      </c>
      <c r="E2232" t="str">
        <f t="shared" ca="1" si="770"/>
        <v/>
      </c>
      <c r="F2232" t="str">
        <f t="shared" ca="1" si="771"/>
        <v xml:space="preserve">Enter a 'New Construction Eligible Basis' for  building 41 in cell L44.
</v>
      </c>
      <c r="G2232" s="9" t="str">
        <f t="shared" ca="1" si="764"/>
        <v xml:space="preserve">Enter a value for 'Number of Floors in the Tallest Building' in cell B58.
</v>
      </c>
      <c r="H2232" s="52" t="str">
        <f t="shared" ca="1" si="772"/>
        <v>New Construction Eligible Basis</v>
      </c>
      <c r="I2232" s="52">
        <v>12</v>
      </c>
    </row>
    <row r="2233" spans="1:10" ht="15" customHeight="1">
      <c r="A2233" t="str">
        <f ca="1">IF(AND(OFFSET(A2233, -I2233 + 2, 4) &gt;  0, E2233="", Calculations!$B$7), F2233, "")</f>
        <v/>
      </c>
      <c r="B2233">
        <f t="shared" si="768"/>
        <v>44</v>
      </c>
      <c r="C2233">
        <f t="shared" ca="1" si="766"/>
        <v>41</v>
      </c>
      <c r="D2233" t="str">
        <f t="shared" si="769"/>
        <v>M44</v>
      </c>
      <c r="E2233" t="str">
        <f t="shared" ca="1" si="770"/>
        <v/>
      </c>
      <c r="F2233" t="str">
        <f t="shared" ca="1" si="771"/>
        <v xml:space="preserve">Enter a 'Eligible Basis for Rehab' for  building 41 in cell M44.
</v>
      </c>
      <c r="G2233" s="9" t="str">
        <f t="shared" ca="1" si="764"/>
        <v xml:space="preserve">Enter a value for 'Number of Floors in the Tallest Building' in cell B58.
</v>
      </c>
      <c r="H2233" s="52" t="str">
        <f t="shared" ca="1" si="772"/>
        <v>Eligible Basis for Rehab</v>
      </c>
      <c r="I2233" s="52">
        <v>13</v>
      </c>
    </row>
    <row r="2234" spans="1:10" ht="15" customHeight="1">
      <c r="A2234" t="str">
        <f ca="1">IF(AND(OFFSET(A2234, -I2234 + 2, 4) &gt;  0, E2234="", Calculations!$B$7), F2234, "")</f>
        <v/>
      </c>
      <c r="B2234">
        <f t="shared" si="768"/>
        <v>44</v>
      </c>
      <c r="C2234">
        <f t="shared" ca="1" si="766"/>
        <v>41</v>
      </c>
      <c r="D2234" t="str">
        <f t="shared" si="769"/>
        <v>N44</v>
      </c>
      <c r="E2234" t="str">
        <f t="shared" ca="1" si="770"/>
        <v/>
      </c>
      <c r="F2234" t="str">
        <f t="shared" ca="1" si="771"/>
        <v xml:space="preserve">Enter a 'Cost of Acquiring the Building***' for  building 41 in cell N44.
</v>
      </c>
      <c r="G2234" s="9" t="str">
        <f t="shared" ca="1" si="764"/>
        <v xml:space="preserve">Enter a value for 'Number of Floors in the Tallest Building' in cell B58.
</v>
      </c>
      <c r="H2234" s="52" t="str">
        <f t="shared" ca="1" si="772"/>
        <v>Cost of Acquiring the Building***</v>
      </c>
      <c r="I2234" s="52">
        <v>14</v>
      </c>
    </row>
    <row r="2235" spans="1:10" ht="15" customHeight="1">
      <c r="A2235" t="str">
        <f ca="1">IF(AND(OFFSET(A2235, -I2235 + 2, 4) &gt;  0, E2235="", Calculations!$B$7), F2235, "")</f>
        <v/>
      </c>
      <c r="B2235">
        <f t="shared" si="768"/>
        <v>44</v>
      </c>
      <c r="C2235">
        <f t="shared" ca="1" si="766"/>
        <v>41</v>
      </c>
      <c r="D2235" t="str">
        <f t="shared" si="769"/>
        <v>O44</v>
      </c>
      <c r="E2235" t="str">
        <f t="shared" ca="1" si="770"/>
        <v/>
      </c>
      <c r="F2235" t="str">
        <f t="shared" ca="1" si="771"/>
        <v xml:space="preserve">Enter a 'Higher of Land Purchase Price or Land Appraised Value****' for  building 41 in cell O44.
</v>
      </c>
      <c r="G2235" s="9" t="str">
        <f t="shared" ca="1" si="764"/>
        <v xml:space="preserve">Enter a value for 'Number of Floors in the Tallest Building' in cell B58.
</v>
      </c>
      <c r="H2235" s="52" t="str">
        <f t="shared" ca="1" si="772"/>
        <v>Higher of Land Purchase Price or Land Appraised Value****</v>
      </c>
      <c r="I2235" s="52">
        <v>15</v>
      </c>
    </row>
    <row r="2236" spans="1:10" ht="15" customHeight="1">
      <c r="A2236" t="str">
        <f ca="1">IF(AND(OFFSET(A2236, -I2236 + 2, 4) &gt;  0, E2236="", Calculations!$B$7), F2236, "")</f>
        <v/>
      </c>
      <c r="B2236">
        <f t="shared" si="768"/>
        <v>44</v>
      </c>
      <c r="C2236">
        <f t="shared" ca="1" si="766"/>
        <v>41</v>
      </c>
      <c r="D2236" t="str">
        <f t="shared" si="769"/>
        <v>P44</v>
      </c>
      <c r="E2236" t="str">
        <f t="shared" ca="1" si="770"/>
        <v/>
      </c>
      <c r="F2236" t="str">
        <f t="shared" ca="1" si="771"/>
        <v xml:space="preserve">Enter a 'Acquisition Placed-in-Service Date' for  building 41 in cell P44.
</v>
      </c>
      <c r="G2236" s="9" t="str">
        <f t="shared" ca="1" si="764"/>
        <v xml:space="preserve">Enter a value for 'Number of Floors in the Tallest Building' in cell B58.
</v>
      </c>
      <c r="H2236" s="52" t="str">
        <f t="shared" ca="1" si="772"/>
        <v>Acquisition Placed-in-Service Date</v>
      </c>
      <c r="I2236" s="52">
        <v>16</v>
      </c>
    </row>
    <row r="2237" spans="1:10" ht="15" customHeight="1">
      <c r="A2237" t="str">
        <f ca="1">IF(AND(OFFSET(A2237, -I2237 + 2, 4) &gt;  0, E2237="", Calculations!$B$7), F2237, "")</f>
        <v/>
      </c>
      <c r="B2237">
        <f t="shared" si="768"/>
        <v>44</v>
      </c>
      <c r="C2237">
        <f t="shared" ca="1" si="766"/>
        <v>41</v>
      </c>
      <c r="D2237" t="str">
        <f t="shared" si="769"/>
        <v>Q44</v>
      </c>
      <c r="E2237" t="str">
        <f t="shared" ca="1" si="770"/>
        <v/>
      </c>
      <c r="F2237" t="str">
        <f t="shared" ca="1" si="771"/>
        <v xml:space="preserve">Enter a 'Acquisition APR' for  building 41 in cell Q44.
</v>
      </c>
      <c r="G2237" s="9" t="str">
        <f t="shared" ca="1" si="764"/>
        <v xml:space="preserve">Enter a value for 'Number of Floors in the Tallest Building' in cell B58.
</v>
      </c>
      <c r="H2237" s="52" t="str">
        <f t="shared" ca="1" si="772"/>
        <v>Acquisition APR</v>
      </c>
      <c r="I2237" s="52">
        <v>17</v>
      </c>
    </row>
    <row r="2238" spans="1:10" ht="15" customHeight="1">
      <c r="A2238" t="str">
        <f ca="1">IF(AND(Calculations!$B$4,Calculations!$B$28&gt;=C2238, E2238 &lt;&gt; 13),F2238,"")</f>
        <v/>
      </c>
      <c r="B2238">
        <f>ROW('Final Building Profile'!C45)</f>
        <v>45</v>
      </c>
      <c r="C2238">
        <f t="shared" ca="1" si="766"/>
        <v>42</v>
      </c>
      <c r="D2238" t="str">
        <f>ADDRESS(B2238, 3,4  )</f>
        <v>C45</v>
      </c>
      <c r="E2238" s="52">
        <f ca="1">H2238+I2238</f>
        <v>0</v>
      </c>
      <c r="F2238" t="str">
        <f ca="1">CONCATENATE("Based upon the number of buildings specified, information for  building ", C2238, " required for a final application in row ", B2238, ".", CHAR(10))</f>
        <v xml:space="preserve">Based upon the number of buildings specified, information for  building 42 required for a final application in row 45.
</v>
      </c>
      <c r="G2238" s="9" t="str">
        <f t="shared" ca="1" si="764"/>
        <v xml:space="preserve">Enter a value for 'Number of Floors in the Tallest Building' in cell B58.
</v>
      </c>
      <c r="H2238" s="52">
        <f ca="1">SUMPRODUCT(--ISTEXT(INDIRECT(J2238)))</f>
        <v>0</v>
      </c>
      <c r="I2238" s="52">
        <f ca="1">SUMPRODUCT(--ISNUMBER(INDIRECT(J2238)))</f>
        <v>0</v>
      </c>
      <c r="J2238" s="52" t="str">
        <f>$F$1564&amp; ADDRESS(B2238,3,4) &amp; ":" &amp; ADDRESS(B2238,15,4)</f>
        <v>'Final Building Profile'!C45:O45</v>
      </c>
    </row>
    <row r="2239" spans="1:10" ht="15" customHeight="1">
      <c r="A2239" t="str">
        <f t="shared" ref="A2239:A2248" ca="1" si="773">IF(AND(OFFSET(A2239, -I2239 + 2, 4) &gt;  0, E2239=""), F2239, "")</f>
        <v/>
      </c>
      <c r="B2239">
        <f t="shared" ref="B2239:B2253" si="774">B2238</f>
        <v>45</v>
      </c>
      <c r="C2239">
        <f t="shared" ca="1" si="766"/>
        <v>42</v>
      </c>
      <c r="D2239" t="str">
        <f t="shared" ref="D2239:D2253" si="775">ADDRESS(B2239, I2239,4  )</f>
        <v>C45</v>
      </c>
      <c r="E2239" t="str">
        <f t="shared" ref="E2239:E2253" ca="1" si="776">IF(ISBLANK( INDIRECT($F$1564 &amp; D2239)),"", INDIRECT($F$1564 &amp; D2239))</f>
        <v/>
      </c>
      <c r="F2239" t="str">
        <f t="shared" ref="F2239:F2253" ca="1" si="777">CONCATENATE("Enter a '"&amp; H2239 &amp;"' for  building ", C2239, " in cell ", D2239, ".", CHAR(10))</f>
        <v xml:space="preserve">Enter a 'Building Street Address Only 
(DO NOT ENTER CITY, STATE, OR ZIP)' for  building 42 in cell C45.
</v>
      </c>
      <c r="G2239" s="9" t="str">
        <f t="shared" ca="1" si="764"/>
        <v xml:space="preserve">Enter a value for 'Number of Floors in the Tallest Building' in cell B58.
</v>
      </c>
      <c r="H2239" s="52" t="str">
        <f t="shared" ref="H2239:H2253" ca="1" si="778">OFFSET(INDIRECT($F$1564 &amp; D2239), -B2239 + 3, 0)</f>
        <v>Building Street Address Only 
(DO NOT ENTER CITY, STATE, OR ZIP)</v>
      </c>
      <c r="I2239" s="52">
        <v>3</v>
      </c>
    </row>
    <row r="2240" spans="1:10" ht="15" customHeight="1">
      <c r="A2240" t="str">
        <f t="shared" ca="1" si="773"/>
        <v/>
      </c>
      <c r="B2240">
        <f t="shared" si="774"/>
        <v>45</v>
      </c>
      <c r="C2240">
        <f t="shared" ca="1" si="766"/>
        <v>42</v>
      </c>
      <c r="D2240" t="str">
        <f t="shared" si="775"/>
        <v>D45</v>
      </c>
      <c r="E2240" t="str">
        <f t="shared" ca="1" si="776"/>
        <v/>
      </c>
      <c r="F2240" t="str">
        <f t="shared" ca="1" si="777"/>
        <v xml:space="preserve">Enter a 'Total Units in Building*' for  building 42 in cell D45.
</v>
      </c>
      <c r="G2240" s="9" t="str">
        <f t="shared" ca="1" si="764"/>
        <v xml:space="preserve">Enter a value for 'Number of Floors in the Tallest Building' in cell B58.
</v>
      </c>
      <c r="H2240" s="52" t="str">
        <f t="shared" ca="1" si="778"/>
        <v>Total Units in Building*</v>
      </c>
      <c r="I2240" s="52">
        <v>4</v>
      </c>
    </row>
    <row r="2241" spans="1:10" ht="15" customHeight="1">
      <c r="A2241" t="str">
        <f t="shared" ca="1" si="773"/>
        <v/>
      </c>
      <c r="B2241">
        <f t="shared" si="774"/>
        <v>45</v>
      </c>
      <c r="C2241">
        <f t="shared" ca="1" si="766"/>
        <v>42</v>
      </c>
      <c r="D2241" t="str">
        <f t="shared" si="775"/>
        <v>E45</v>
      </c>
      <c r="E2241" t="str">
        <f t="shared" ca="1" si="776"/>
        <v/>
      </c>
      <c r="F2241" t="str">
        <f t="shared" ca="1" si="777"/>
        <v xml:space="preserve">Enter a 'Employee Units' for  building 42 in cell E45.
</v>
      </c>
      <c r="G2241" s="9" t="str">
        <f t="shared" ca="1" si="764"/>
        <v xml:space="preserve">Enter a value for 'Number of Floors in the Tallest Building' in cell B58.
</v>
      </c>
      <c r="H2241" s="52" t="str">
        <f t="shared" ca="1" si="778"/>
        <v>Employee Units</v>
      </c>
      <c r="I2241" s="52">
        <v>5</v>
      </c>
    </row>
    <row r="2242" spans="1:10" ht="15" customHeight="1">
      <c r="A2242" t="str">
        <f t="shared" ca="1" si="773"/>
        <v/>
      </c>
      <c r="B2242">
        <f t="shared" si="774"/>
        <v>45</v>
      </c>
      <c r="C2242">
        <f t="shared" ca="1" si="766"/>
        <v>42</v>
      </c>
      <c r="D2242" t="str">
        <f t="shared" si="775"/>
        <v>F45</v>
      </c>
      <c r="E2242" t="str">
        <f t="shared" ca="1" si="776"/>
        <v/>
      </c>
      <c r="F2242" t="str">
        <f t="shared" ca="1" si="777"/>
        <v xml:space="preserve">Enter a 'Low-Income Units' for  building 42 in cell F45.
</v>
      </c>
      <c r="G2242" s="9" t="str">
        <f t="shared" ca="1" si="764"/>
        <v xml:space="preserve">Enter a value for 'Number of Floors in the Tallest Building' in cell B58.
</v>
      </c>
      <c r="H2242" s="52" t="str">
        <f t="shared" ca="1" si="778"/>
        <v>Low-Income Units</v>
      </c>
      <c r="I2242" s="52">
        <v>6</v>
      </c>
    </row>
    <row r="2243" spans="1:10" ht="15" customHeight="1">
      <c r="A2243" t="str">
        <f t="shared" ca="1" si="773"/>
        <v/>
      </c>
      <c r="B2243">
        <f t="shared" si="774"/>
        <v>45</v>
      </c>
      <c r="C2243">
        <f t="shared" ca="1" si="766"/>
        <v>42</v>
      </c>
      <c r="D2243" t="str">
        <f t="shared" si="775"/>
        <v>G45</v>
      </c>
      <c r="E2243" t="str">
        <f t="shared" ca="1" si="776"/>
        <v/>
      </c>
      <c r="F2243" t="str">
        <f t="shared" ca="1" si="777"/>
        <v xml:space="preserve">Enter a 'Residential Square Footage**' for  building 42 in cell G45.
</v>
      </c>
      <c r="G2243" s="9" t="str">
        <f t="shared" ca="1" si="764"/>
        <v xml:space="preserve">Enter a value for 'Number of Floors in the Tallest Building' in cell B58.
</v>
      </c>
      <c r="H2243" s="52" t="str">
        <f t="shared" ca="1" si="778"/>
        <v>Residential Square Footage**</v>
      </c>
      <c r="I2243" s="52">
        <v>7</v>
      </c>
    </row>
    <row r="2244" spans="1:10" ht="15" customHeight="1">
      <c r="A2244" t="str">
        <f t="shared" ca="1" si="773"/>
        <v/>
      </c>
      <c r="B2244">
        <f t="shared" si="774"/>
        <v>45</v>
      </c>
      <c r="C2244">
        <f t="shared" ca="1" si="766"/>
        <v>42</v>
      </c>
      <c r="D2244" t="str">
        <f t="shared" si="775"/>
        <v>H45</v>
      </c>
      <c r="E2244" t="str">
        <f t="shared" ca="1" si="776"/>
        <v/>
      </c>
      <c r="F2244" t="str">
        <f t="shared" ca="1" si="777"/>
        <v xml:space="preserve">Enter a 'Square Footage of Employee Units' for  building 42 in cell H45.
</v>
      </c>
      <c r="G2244" s="9" t="str">
        <f t="shared" ca="1" si="764"/>
        <v xml:space="preserve">Enter a value for 'Number of Floors in the Tallest Building' in cell B58.
</v>
      </c>
      <c r="H2244" s="52" t="str">
        <f t="shared" ca="1" si="778"/>
        <v>Square Footage of Employee Units</v>
      </c>
      <c r="I2244" s="52">
        <v>8</v>
      </c>
    </row>
    <row r="2245" spans="1:10" ht="15" customHeight="1">
      <c r="A2245" t="str">
        <f t="shared" ca="1" si="773"/>
        <v/>
      </c>
      <c r="B2245">
        <f t="shared" si="774"/>
        <v>45</v>
      </c>
      <c r="C2245">
        <f t="shared" ca="1" si="766"/>
        <v>42</v>
      </c>
      <c r="D2245" t="str">
        <f t="shared" si="775"/>
        <v>I45</v>
      </c>
      <c r="E2245" t="str">
        <f t="shared" ca="1" si="776"/>
        <v/>
      </c>
      <c r="F2245" t="str">
        <f t="shared" ca="1" si="777"/>
        <v xml:space="preserve">Enter a 'Square Footage of Low-Income Units' for  building 42 in cell I45.
</v>
      </c>
      <c r="G2245" s="9" t="str">
        <f t="shared" ca="1" si="764"/>
        <v xml:space="preserve">Enter a value for 'Number of Floors in the Tallest Building' in cell B58.
</v>
      </c>
      <c r="H2245" s="52" t="str">
        <f t="shared" ca="1" si="778"/>
        <v>Square Footage of Low-Income Units</v>
      </c>
      <c r="I2245" s="52">
        <v>9</v>
      </c>
    </row>
    <row r="2246" spans="1:10" ht="15" customHeight="1">
      <c r="A2246" t="str">
        <f t="shared" ca="1" si="773"/>
        <v/>
      </c>
      <c r="B2246">
        <f t="shared" si="774"/>
        <v>45</v>
      </c>
      <c r="C2246">
        <f t="shared" ca="1" si="766"/>
        <v>42</v>
      </c>
      <c r="D2246" t="str">
        <f t="shared" si="775"/>
        <v>J45</v>
      </c>
      <c r="E2246" t="str">
        <f t="shared" ca="1" si="776"/>
        <v/>
      </c>
      <c r="F2246" t="str">
        <f t="shared" ca="1" si="777"/>
        <v xml:space="preserve">Enter a 'Placed-In-Service Date' for  building 42 in cell J45.
</v>
      </c>
      <c r="G2246" s="9" t="str">
        <f t="shared" ca="1" si="764"/>
        <v xml:space="preserve">Enter a value for 'Number of Floors in the Tallest Building' in cell B58.
</v>
      </c>
      <c r="H2246" s="52" t="str">
        <f t="shared" ca="1" si="778"/>
        <v>Placed-In-Service Date</v>
      </c>
      <c r="I2246" s="52">
        <v>10</v>
      </c>
    </row>
    <row r="2247" spans="1:10" ht="15" customHeight="1">
      <c r="A2247" t="str">
        <f t="shared" ca="1" si="773"/>
        <v/>
      </c>
      <c r="B2247">
        <f t="shared" si="774"/>
        <v>45</v>
      </c>
      <c r="C2247">
        <f t="shared" ca="1" si="766"/>
        <v>42</v>
      </c>
      <c r="D2247" t="str">
        <f t="shared" si="775"/>
        <v>K45</v>
      </c>
      <c r="E2247" t="str">
        <f t="shared" ca="1" si="776"/>
        <v/>
      </c>
      <c r="F2247" t="str">
        <f t="shared" ca="1" si="777"/>
        <v xml:space="preserve">Enter a 'New Construction/ Rehab APR' for  building 42 in cell K45.
</v>
      </c>
      <c r="G2247" s="9" t="str">
        <f t="shared" ca="1" si="764"/>
        <v xml:space="preserve">Enter a value for 'Number of Floors in the Tallest Building' in cell B58.
</v>
      </c>
      <c r="H2247" s="52" t="str">
        <f t="shared" ca="1" si="778"/>
        <v>New Construction/ Rehab APR</v>
      </c>
      <c r="I2247" s="52">
        <v>11</v>
      </c>
    </row>
    <row r="2248" spans="1:10" ht="15" customHeight="1">
      <c r="A2248" t="str">
        <f t="shared" ca="1" si="773"/>
        <v/>
      </c>
      <c r="B2248">
        <f t="shared" si="774"/>
        <v>45</v>
      </c>
      <c r="C2248">
        <f t="shared" ca="1" si="766"/>
        <v>42</v>
      </c>
      <c r="D2248" t="str">
        <f t="shared" si="775"/>
        <v>L45</v>
      </c>
      <c r="E2248" t="str">
        <f t="shared" ca="1" si="776"/>
        <v/>
      </c>
      <c r="F2248" t="str">
        <f t="shared" ca="1" si="777"/>
        <v xml:space="preserve">Enter a 'New Construction Eligible Basis' for  building 42 in cell L45.
</v>
      </c>
      <c r="G2248" s="9" t="str">
        <f t="shared" ca="1" si="764"/>
        <v xml:space="preserve">Enter a value for 'Number of Floors in the Tallest Building' in cell B58.
</v>
      </c>
      <c r="H2248" s="52" t="str">
        <f t="shared" ca="1" si="778"/>
        <v>New Construction Eligible Basis</v>
      </c>
      <c r="I2248" s="52">
        <v>12</v>
      </c>
    </row>
    <row r="2249" spans="1:10" ht="15" customHeight="1">
      <c r="A2249" t="str">
        <f ca="1">IF(AND(OFFSET(A2249, -I2249 + 2, 4) &gt;  0, E2249="", Calculations!$B$7), F2249, "")</f>
        <v/>
      </c>
      <c r="B2249">
        <f t="shared" si="774"/>
        <v>45</v>
      </c>
      <c r="C2249">
        <f t="shared" ca="1" si="766"/>
        <v>42</v>
      </c>
      <c r="D2249" t="str">
        <f t="shared" si="775"/>
        <v>M45</v>
      </c>
      <c r="E2249" t="str">
        <f t="shared" ca="1" si="776"/>
        <v/>
      </c>
      <c r="F2249" t="str">
        <f t="shared" ca="1" si="777"/>
        <v xml:space="preserve">Enter a 'Eligible Basis for Rehab' for  building 42 in cell M45.
</v>
      </c>
      <c r="G2249" s="9" t="str">
        <f t="shared" ca="1" si="764"/>
        <v xml:space="preserve">Enter a value for 'Number of Floors in the Tallest Building' in cell B58.
</v>
      </c>
      <c r="H2249" s="52" t="str">
        <f t="shared" ca="1" si="778"/>
        <v>Eligible Basis for Rehab</v>
      </c>
      <c r="I2249" s="52">
        <v>13</v>
      </c>
    </row>
    <row r="2250" spans="1:10" ht="15" customHeight="1">
      <c r="A2250" t="str">
        <f ca="1">IF(AND(OFFSET(A2250, -I2250 + 2, 4) &gt;  0, E2250="", Calculations!$B$7), F2250, "")</f>
        <v/>
      </c>
      <c r="B2250">
        <f t="shared" si="774"/>
        <v>45</v>
      </c>
      <c r="C2250">
        <f t="shared" ca="1" si="766"/>
        <v>42</v>
      </c>
      <c r="D2250" t="str">
        <f t="shared" si="775"/>
        <v>N45</v>
      </c>
      <c r="E2250" t="str">
        <f t="shared" ca="1" si="776"/>
        <v/>
      </c>
      <c r="F2250" t="str">
        <f t="shared" ca="1" si="777"/>
        <v xml:space="preserve">Enter a 'Cost of Acquiring the Building***' for  building 42 in cell N45.
</v>
      </c>
      <c r="G2250" s="9" t="str">
        <f t="shared" ca="1" si="764"/>
        <v xml:space="preserve">Enter a value for 'Number of Floors in the Tallest Building' in cell B58.
</v>
      </c>
      <c r="H2250" s="52" t="str">
        <f t="shared" ca="1" si="778"/>
        <v>Cost of Acquiring the Building***</v>
      </c>
      <c r="I2250" s="52">
        <v>14</v>
      </c>
    </row>
    <row r="2251" spans="1:10" ht="15" customHeight="1">
      <c r="A2251" t="str">
        <f ca="1">IF(AND(OFFSET(A2251, -I2251 + 2, 4) &gt;  0, E2251="", Calculations!$B$7), F2251, "")</f>
        <v/>
      </c>
      <c r="B2251">
        <f t="shared" si="774"/>
        <v>45</v>
      </c>
      <c r="C2251">
        <f t="shared" ca="1" si="766"/>
        <v>42</v>
      </c>
      <c r="D2251" t="str">
        <f t="shared" si="775"/>
        <v>O45</v>
      </c>
      <c r="E2251" t="str">
        <f t="shared" ca="1" si="776"/>
        <v/>
      </c>
      <c r="F2251" t="str">
        <f t="shared" ca="1" si="777"/>
        <v xml:space="preserve">Enter a 'Higher of Land Purchase Price or Land Appraised Value****' for  building 42 in cell O45.
</v>
      </c>
      <c r="G2251" s="9" t="str">
        <f t="shared" ca="1" si="764"/>
        <v xml:space="preserve">Enter a value for 'Number of Floors in the Tallest Building' in cell B58.
</v>
      </c>
      <c r="H2251" s="52" t="str">
        <f t="shared" ca="1" si="778"/>
        <v>Higher of Land Purchase Price or Land Appraised Value****</v>
      </c>
      <c r="I2251" s="52">
        <v>15</v>
      </c>
    </row>
    <row r="2252" spans="1:10" ht="15" customHeight="1">
      <c r="A2252" t="str">
        <f ca="1">IF(AND(OFFSET(A2252, -I2252 + 2, 4) &gt;  0, E2252="", Calculations!$B$7), F2252, "")</f>
        <v/>
      </c>
      <c r="B2252">
        <f t="shared" si="774"/>
        <v>45</v>
      </c>
      <c r="C2252">
        <f t="shared" ca="1" si="766"/>
        <v>42</v>
      </c>
      <c r="D2252" t="str">
        <f t="shared" si="775"/>
        <v>P45</v>
      </c>
      <c r="E2252" t="str">
        <f t="shared" ca="1" si="776"/>
        <v/>
      </c>
      <c r="F2252" t="str">
        <f t="shared" ca="1" si="777"/>
        <v xml:space="preserve">Enter a 'Acquisition Placed-in-Service Date' for  building 42 in cell P45.
</v>
      </c>
      <c r="G2252" s="9" t="str">
        <f t="shared" ca="1" si="764"/>
        <v xml:space="preserve">Enter a value for 'Number of Floors in the Tallest Building' in cell B58.
</v>
      </c>
      <c r="H2252" s="52" t="str">
        <f t="shared" ca="1" si="778"/>
        <v>Acquisition Placed-in-Service Date</v>
      </c>
      <c r="I2252" s="52">
        <v>16</v>
      </c>
    </row>
    <row r="2253" spans="1:10" ht="15" customHeight="1">
      <c r="A2253" t="str">
        <f ca="1">IF(AND(OFFSET(A2253, -I2253 + 2, 4) &gt;  0, E2253="", Calculations!$B$7), F2253, "")</f>
        <v/>
      </c>
      <c r="B2253">
        <f t="shared" si="774"/>
        <v>45</v>
      </c>
      <c r="C2253">
        <f t="shared" ca="1" si="766"/>
        <v>42</v>
      </c>
      <c r="D2253" t="str">
        <f t="shared" si="775"/>
        <v>Q45</v>
      </c>
      <c r="E2253" t="str">
        <f t="shared" ca="1" si="776"/>
        <v/>
      </c>
      <c r="F2253" t="str">
        <f t="shared" ca="1" si="777"/>
        <v xml:space="preserve">Enter a 'Acquisition APR' for  building 42 in cell Q45.
</v>
      </c>
      <c r="G2253" s="9" t="str">
        <f t="shared" ca="1" si="764"/>
        <v xml:space="preserve">Enter a value for 'Number of Floors in the Tallest Building' in cell B58.
</v>
      </c>
      <c r="H2253" s="52" t="str">
        <f t="shared" ca="1" si="778"/>
        <v>Acquisition APR</v>
      </c>
      <c r="I2253" s="52">
        <v>17</v>
      </c>
    </row>
    <row r="2254" spans="1:10" ht="15" customHeight="1">
      <c r="A2254" t="str">
        <f ca="1">IF(AND(Calculations!$B$4,Calculations!$B$28&gt;=C2254, E2254 &lt;&gt; 13),F2254,"")</f>
        <v/>
      </c>
      <c r="B2254">
        <f>ROW('Final Building Profile'!C46)</f>
        <v>46</v>
      </c>
      <c r="C2254">
        <f t="shared" ca="1" si="766"/>
        <v>43</v>
      </c>
      <c r="D2254" t="str">
        <f>ADDRESS(B2254, 3,4  )</f>
        <v>C46</v>
      </c>
      <c r="E2254" s="52">
        <f ca="1">H2254+I2254</f>
        <v>0</v>
      </c>
      <c r="F2254" t="str">
        <f ca="1">CONCATENATE("Based upon the number of buildings specified, information for  building ", C2254, " required for a final application in row ", B2254, ".", CHAR(10))</f>
        <v xml:space="preserve">Based upon the number of buildings specified, information for  building 43 required for a final application in row 46.
</v>
      </c>
      <c r="G2254" s="9" t="str">
        <f t="shared" ca="1" si="764"/>
        <v xml:space="preserve">Enter a value for 'Number of Floors in the Tallest Building' in cell B58.
</v>
      </c>
      <c r="H2254" s="52">
        <f ca="1">SUMPRODUCT(--ISTEXT(INDIRECT(J2254)))</f>
        <v>0</v>
      </c>
      <c r="I2254" s="52">
        <f ca="1">SUMPRODUCT(--ISNUMBER(INDIRECT(J2254)))</f>
        <v>0</v>
      </c>
      <c r="J2254" s="52" t="str">
        <f>$F$1564&amp; ADDRESS(B2254,3,4) &amp; ":" &amp; ADDRESS(B2254,15,4)</f>
        <v>'Final Building Profile'!C46:O46</v>
      </c>
    </row>
    <row r="2255" spans="1:10" ht="15" customHeight="1">
      <c r="A2255" t="str">
        <f t="shared" ref="A2255:A2264" ca="1" si="779">IF(AND(OFFSET(A2255, -I2255 + 2, 4) &gt;  0, E2255=""), F2255, "")</f>
        <v/>
      </c>
      <c r="B2255">
        <f t="shared" ref="B2255:B2269" si="780">B2254</f>
        <v>46</v>
      </c>
      <c r="C2255">
        <f t="shared" ca="1" si="766"/>
        <v>43</v>
      </c>
      <c r="D2255" t="str">
        <f t="shared" ref="D2255:D2269" si="781">ADDRESS(B2255, I2255,4  )</f>
        <v>C46</v>
      </c>
      <c r="E2255" t="str">
        <f t="shared" ref="E2255:E2269" ca="1" si="782">IF(ISBLANK( INDIRECT($F$1564 &amp; D2255)),"", INDIRECT($F$1564 &amp; D2255))</f>
        <v/>
      </c>
      <c r="F2255" t="str">
        <f t="shared" ref="F2255:F2269" ca="1" si="783">CONCATENATE("Enter a '"&amp; H2255 &amp;"' for  building ", C2255, " in cell ", D2255, ".", CHAR(10))</f>
        <v xml:space="preserve">Enter a 'Building Street Address Only 
(DO NOT ENTER CITY, STATE, OR ZIP)' for  building 43 in cell C46.
</v>
      </c>
      <c r="G2255" s="9" t="str">
        <f t="shared" ca="1" si="764"/>
        <v xml:space="preserve">Enter a value for 'Number of Floors in the Tallest Building' in cell B58.
</v>
      </c>
      <c r="H2255" s="52" t="str">
        <f t="shared" ref="H2255:H2269" ca="1" si="784">OFFSET(INDIRECT($F$1564 &amp; D2255), -B2255 + 3, 0)</f>
        <v>Building Street Address Only 
(DO NOT ENTER CITY, STATE, OR ZIP)</v>
      </c>
      <c r="I2255" s="52">
        <v>3</v>
      </c>
    </row>
    <row r="2256" spans="1:10" ht="15" customHeight="1">
      <c r="A2256" t="str">
        <f t="shared" ca="1" si="779"/>
        <v/>
      </c>
      <c r="B2256">
        <f t="shared" si="780"/>
        <v>46</v>
      </c>
      <c r="C2256">
        <f t="shared" ca="1" si="766"/>
        <v>43</v>
      </c>
      <c r="D2256" t="str">
        <f t="shared" si="781"/>
        <v>D46</v>
      </c>
      <c r="E2256" t="str">
        <f t="shared" ca="1" si="782"/>
        <v/>
      </c>
      <c r="F2256" t="str">
        <f t="shared" ca="1" si="783"/>
        <v xml:space="preserve">Enter a 'Total Units in Building*' for  building 43 in cell D46.
</v>
      </c>
      <c r="G2256" s="9" t="str">
        <f t="shared" ca="1" si="764"/>
        <v xml:space="preserve">Enter a value for 'Number of Floors in the Tallest Building' in cell B58.
</v>
      </c>
      <c r="H2256" s="52" t="str">
        <f t="shared" ca="1" si="784"/>
        <v>Total Units in Building*</v>
      </c>
      <c r="I2256" s="52">
        <v>4</v>
      </c>
    </row>
    <row r="2257" spans="1:10" ht="15" customHeight="1">
      <c r="A2257" t="str">
        <f t="shared" ca="1" si="779"/>
        <v/>
      </c>
      <c r="B2257">
        <f t="shared" si="780"/>
        <v>46</v>
      </c>
      <c r="C2257">
        <f t="shared" ca="1" si="766"/>
        <v>43</v>
      </c>
      <c r="D2257" t="str">
        <f t="shared" si="781"/>
        <v>E46</v>
      </c>
      <c r="E2257" t="str">
        <f t="shared" ca="1" si="782"/>
        <v/>
      </c>
      <c r="F2257" t="str">
        <f t="shared" ca="1" si="783"/>
        <v xml:space="preserve">Enter a 'Employee Units' for  building 43 in cell E46.
</v>
      </c>
      <c r="G2257" s="9" t="str">
        <f t="shared" ca="1" si="764"/>
        <v xml:space="preserve">Enter a value for 'Number of Floors in the Tallest Building' in cell B58.
</v>
      </c>
      <c r="H2257" s="52" t="str">
        <f t="shared" ca="1" si="784"/>
        <v>Employee Units</v>
      </c>
      <c r="I2257" s="52">
        <v>5</v>
      </c>
    </row>
    <row r="2258" spans="1:10" ht="15" customHeight="1">
      <c r="A2258" t="str">
        <f t="shared" ca="1" si="779"/>
        <v/>
      </c>
      <c r="B2258">
        <f t="shared" si="780"/>
        <v>46</v>
      </c>
      <c r="C2258">
        <f t="shared" ca="1" si="766"/>
        <v>43</v>
      </c>
      <c r="D2258" t="str">
        <f t="shared" si="781"/>
        <v>F46</v>
      </c>
      <c r="E2258" t="str">
        <f t="shared" ca="1" si="782"/>
        <v/>
      </c>
      <c r="F2258" t="str">
        <f t="shared" ca="1" si="783"/>
        <v xml:space="preserve">Enter a 'Low-Income Units' for  building 43 in cell F46.
</v>
      </c>
      <c r="G2258" s="9" t="str">
        <f t="shared" ca="1" si="764"/>
        <v xml:space="preserve">Enter a value for 'Number of Floors in the Tallest Building' in cell B58.
</v>
      </c>
      <c r="H2258" s="52" t="str">
        <f t="shared" ca="1" si="784"/>
        <v>Low-Income Units</v>
      </c>
      <c r="I2258" s="52">
        <v>6</v>
      </c>
    </row>
    <row r="2259" spans="1:10" ht="15" customHeight="1">
      <c r="A2259" t="str">
        <f t="shared" ca="1" si="779"/>
        <v/>
      </c>
      <c r="B2259">
        <f t="shared" si="780"/>
        <v>46</v>
      </c>
      <c r="C2259">
        <f t="shared" ca="1" si="766"/>
        <v>43</v>
      </c>
      <c r="D2259" t="str">
        <f t="shared" si="781"/>
        <v>G46</v>
      </c>
      <c r="E2259" t="str">
        <f t="shared" ca="1" si="782"/>
        <v/>
      </c>
      <c r="F2259" t="str">
        <f t="shared" ca="1" si="783"/>
        <v xml:space="preserve">Enter a 'Residential Square Footage**' for  building 43 in cell G46.
</v>
      </c>
      <c r="G2259" s="9" t="str">
        <f t="shared" ca="1" si="764"/>
        <v xml:space="preserve">Enter a value for 'Number of Floors in the Tallest Building' in cell B58.
</v>
      </c>
      <c r="H2259" s="52" t="str">
        <f t="shared" ca="1" si="784"/>
        <v>Residential Square Footage**</v>
      </c>
      <c r="I2259" s="52">
        <v>7</v>
      </c>
    </row>
    <row r="2260" spans="1:10" ht="15" customHeight="1">
      <c r="A2260" t="str">
        <f t="shared" ca="1" si="779"/>
        <v/>
      </c>
      <c r="B2260">
        <f t="shared" si="780"/>
        <v>46</v>
      </c>
      <c r="C2260">
        <f t="shared" ca="1" si="766"/>
        <v>43</v>
      </c>
      <c r="D2260" t="str">
        <f t="shared" si="781"/>
        <v>H46</v>
      </c>
      <c r="E2260" t="str">
        <f t="shared" ca="1" si="782"/>
        <v/>
      </c>
      <c r="F2260" t="str">
        <f t="shared" ca="1" si="783"/>
        <v xml:space="preserve">Enter a 'Square Footage of Employee Units' for  building 43 in cell H46.
</v>
      </c>
      <c r="G2260" s="9" t="str">
        <f t="shared" ca="1" si="764"/>
        <v xml:space="preserve">Enter a value for 'Number of Floors in the Tallest Building' in cell B58.
</v>
      </c>
      <c r="H2260" s="52" t="str">
        <f t="shared" ca="1" si="784"/>
        <v>Square Footage of Employee Units</v>
      </c>
      <c r="I2260" s="52">
        <v>8</v>
      </c>
    </row>
    <row r="2261" spans="1:10" ht="15" customHeight="1">
      <c r="A2261" t="str">
        <f t="shared" ca="1" si="779"/>
        <v/>
      </c>
      <c r="B2261">
        <f t="shared" si="780"/>
        <v>46</v>
      </c>
      <c r="C2261">
        <f t="shared" ca="1" si="766"/>
        <v>43</v>
      </c>
      <c r="D2261" t="str">
        <f t="shared" si="781"/>
        <v>I46</v>
      </c>
      <c r="E2261" t="str">
        <f t="shared" ca="1" si="782"/>
        <v/>
      </c>
      <c r="F2261" t="str">
        <f t="shared" ca="1" si="783"/>
        <v xml:space="preserve">Enter a 'Square Footage of Low-Income Units' for  building 43 in cell I46.
</v>
      </c>
      <c r="G2261" s="9" t="str">
        <f t="shared" ca="1" si="764"/>
        <v xml:space="preserve">Enter a value for 'Number of Floors in the Tallest Building' in cell B58.
</v>
      </c>
      <c r="H2261" s="52" t="str">
        <f t="shared" ca="1" si="784"/>
        <v>Square Footage of Low-Income Units</v>
      </c>
      <c r="I2261" s="52">
        <v>9</v>
      </c>
    </row>
    <row r="2262" spans="1:10" ht="15" customHeight="1">
      <c r="A2262" t="str">
        <f t="shared" ca="1" si="779"/>
        <v/>
      </c>
      <c r="B2262">
        <f t="shared" si="780"/>
        <v>46</v>
      </c>
      <c r="C2262">
        <f t="shared" ca="1" si="766"/>
        <v>43</v>
      </c>
      <c r="D2262" t="str">
        <f t="shared" si="781"/>
        <v>J46</v>
      </c>
      <c r="E2262" t="str">
        <f t="shared" ca="1" si="782"/>
        <v/>
      </c>
      <c r="F2262" t="str">
        <f t="shared" ca="1" si="783"/>
        <v xml:space="preserve">Enter a 'Placed-In-Service Date' for  building 43 in cell J46.
</v>
      </c>
      <c r="G2262" s="9" t="str">
        <f t="shared" ca="1" si="764"/>
        <v xml:space="preserve">Enter a value for 'Number of Floors in the Tallest Building' in cell B58.
</v>
      </c>
      <c r="H2262" s="52" t="str">
        <f t="shared" ca="1" si="784"/>
        <v>Placed-In-Service Date</v>
      </c>
      <c r="I2262" s="52">
        <v>10</v>
      </c>
    </row>
    <row r="2263" spans="1:10" ht="15" customHeight="1">
      <c r="A2263" t="str">
        <f t="shared" ca="1" si="779"/>
        <v/>
      </c>
      <c r="B2263">
        <f t="shared" si="780"/>
        <v>46</v>
      </c>
      <c r="C2263">
        <f t="shared" ca="1" si="766"/>
        <v>43</v>
      </c>
      <c r="D2263" t="str">
        <f t="shared" si="781"/>
        <v>K46</v>
      </c>
      <c r="E2263" t="str">
        <f t="shared" ca="1" si="782"/>
        <v/>
      </c>
      <c r="F2263" t="str">
        <f t="shared" ca="1" si="783"/>
        <v xml:space="preserve">Enter a 'New Construction/ Rehab APR' for  building 43 in cell K46.
</v>
      </c>
      <c r="G2263" s="9" t="str">
        <f t="shared" ca="1" si="764"/>
        <v xml:space="preserve">Enter a value for 'Number of Floors in the Tallest Building' in cell B58.
</v>
      </c>
      <c r="H2263" s="52" t="str">
        <f t="shared" ca="1" si="784"/>
        <v>New Construction/ Rehab APR</v>
      </c>
      <c r="I2263" s="52">
        <v>11</v>
      </c>
    </row>
    <row r="2264" spans="1:10" ht="15" customHeight="1">
      <c r="A2264" t="str">
        <f t="shared" ca="1" si="779"/>
        <v/>
      </c>
      <c r="B2264">
        <f t="shared" si="780"/>
        <v>46</v>
      </c>
      <c r="C2264">
        <f t="shared" ca="1" si="766"/>
        <v>43</v>
      </c>
      <c r="D2264" t="str">
        <f t="shared" si="781"/>
        <v>L46</v>
      </c>
      <c r="E2264" t="str">
        <f t="shared" ca="1" si="782"/>
        <v/>
      </c>
      <c r="F2264" t="str">
        <f t="shared" ca="1" si="783"/>
        <v xml:space="preserve">Enter a 'New Construction Eligible Basis' for  building 43 in cell L46.
</v>
      </c>
      <c r="G2264" s="9" t="str">
        <f t="shared" ca="1" si="764"/>
        <v xml:space="preserve">Enter a value for 'Number of Floors in the Tallest Building' in cell B58.
</v>
      </c>
      <c r="H2264" s="52" t="str">
        <f t="shared" ca="1" si="784"/>
        <v>New Construction Eligible Basis</v>
      </c>
      <c r="I2264" s="52">
        <v>12</v>
      </c>
    </row>
    <row r="2265" spans="1:10" ht="15" customHeight="1">
      <c r="A2265" t="str">
        <f ca="1">IF(AND(OFFSET(A2265, -I2265 + 2, 4) &gt;  0, E2265="", Calculations!$B$7), F2265, "")</f>
        <v/>
      </c>
      <c r="B2265">
        <f t="shared" si="780"/>
        <v>46</v>
      </c>
      <c r="C2265">
        <f t="shared" ca="1" si="766"/>
        <v>43</v>
      </c>
      <c r="D2265" t="str">
        <f t="shared" si="781"/>
        <v>M46</v>
      </c>
      <c r="E2265" t="str">
        <f t="shared" ca="1" si="782"/>
        <v/>
      </c>
      <c r="F2265" t="str">
        <f t="shared" ca="1" si="783"/>
        <v xml:space="preserve">Enter a 'Eligible Basis for Rehab' for  building 43 in cell M46.
</v>
      </c>
      <c r="G2265" s="9" t="str">
        <f t="shared" ca="1" si="764"/>
        <v xml:space="preserve">Enter a value for 'Number of Floors in the Tallest Building' in cell B58.
</v>
      </c>
      <c r="H2265" s="52" t="str">
        <f t="shared" ca="1" si="784"/>
        <v>Eligible Basis for Rehab</v>
      </c>
      <c r="I2265" s="52">
        <v>13</v>
      </c>
    </row>
    <row r="2266" spans="1:10" ht="15" customHeight="1">
      <c r="A2266" t="str">
        <f ca="1">IF(AND(OFFSET(A2266, -I2266 + 2, 4) &gt;  0, E2266="", Calculations!$B$7), F2266, "")</f>
        <v/>
      </c>
      <c r="B2266">
        <f t="shared" si="780"/>
        <v>46</v>
      </c>
      <c r="C2266">
        <f t="shared" ca="1" si="766"/>
        <v>43</v>
      </c>
      <c r="D2266" t="str">
        <f t="shared" si="781"/>
        <v>N46</v>
      </c>
      <c r="E2266" t="str">
        <f t="shared" ca="1" si="782"/>
        <v/>
      </c>
      <c r="F2266" t="str">
        <f t="shared" ca="1" si="783"/>
        <v xml:space="preserve">Enter a 'Cost of Acquiring the Building***' for  building 43 in cell N46.
</v>
      </c>
      <c r="G2266" s="9" t="str">
        <f t="shared" ca="1" si="764"/>
        <v xml:space="preserve">Enter a value for 'Number of Floors in the Tallest Building' in cell B58.
</v>
      </c>
      <c r="H2266" s="52" t="str">
        <f t="shared" ca="1" si="784"/>
        <v>Cost of Acquiring the Building***</v>
      </c>
      <c r="I2266" s="52">
        <v>14</v>
      </c>
    </row>
    <row r="2267" spans="1:10" ht="15" customHeight="1">
      <c r="A2267" t="str">
        <f ca="1">IF(AND(OFFSET(A2267, -I2267 + 2, 4) &gt;  0, E2267="", Calculations!$B$7), F2267, "")</f>
        <v/>
      </c>
      <c r="B2267">
        <f t="shared" si="780"/>
        <v>46</v>
      </c>
      <c r="C2267">
        <f t="shared" ca="1" si="766"/>
        <v>43</v>
      </c>
      <c r="D2267" t="str">
        <f t="shared" si="781"/>
        <v>O46</v>
      </c>
      <c r="E2267" t="str">
        <f t="shared" ca="1" si="782"/>
        <v/>
      </c>
      <c r="F2267" t="str">
        <f t="shared" ca="1" si="783"/>
        <v xml:space="preserve">Enter a 'Higher of Land Purchase Price or Land Appraised Value****' for  building 43 in cell O46.
</v>
      </c>
      <c r="G2267" s="9" t="str">
        <f t="shared" ca="1" si="764"/>
        <v xml:space="preserve">Enter a value for 'Number of Floors in the Tallest Building' in cell B58.
</v>
      </c>
      <c r="H2267" s="52" t="str">
        <f t="shared" ca="1" si="784"/>
        <v>Higher of Land Purchase Price or Land Appraised Value****</v>
      </c>
      <c r="I2267" s="52">
        <v>15</v>
      </c>
    </row>
    <row r="2268" spans="1:10" ht="15" customHeight="1">
      <c r="A2268" t="str">
        <f ca="1">IF(AND(OFFSET(A2268, -I2268 + 2, 4) &gt;  0, E2268="", Calculations!$B$7), F2268, "")</f>
        <v/>
      </c>
      <c r="B2268">
        <f t="shared" si="780"/>
        <v>46</v>
      </c>
      <c r="C2268">
        <f t="shared" ca="1" si="766"/>
        <v>43</v>
      </c>
      <c r="D2268" t="str">
        <f t="shared" si="781"/>
        <v>P46</v>
      </c>
      <c r="E2268" t="str">
        <f t="shared" ca="1" si="782"/>
        <v/>
      </c>
      <c r="F2268" t="str">
        <f t="shared" ca="1" si="783"/>
        <v xml:space="preserve">Enter a 'Acquisition Placed-in-Service Date' for  building 43 in cell P46.
</v>
      </c>
      <c r="G2268" s="9" t="str">
        <f t="shared" ca="1" si="764"/>
        <v xml:space="preserve">Enter a value for 'Number of Floors in the Tallest Building' in cell B58.
</v>
      </c>
      <c r="H2268" s="52" t="str">
        <f t="shared" ca="1" si="784"/>
        <v>Acquisition Placed-in-Service Date</v>
      </c>
      <c r="I2268" s="52">
        <v>16</v>
      </c>
    </row>
    <row r="2269" spans="1:10" ht="15" customHeight="1">
      <c r="A2269" t="str">
        <f ca="1">IF(AND(OFFSET(A2269, -I2269 + 2, 4) &gt;  0, E2269="", Calculations!$B$7), F2269, "")</f>
        <v/>
      </c>
      <c r="B2269">
        <f t="shared" si="780"/>
        <v>46</v>
      </c>
      <c r="C2269">
        <f t="shared" ca="1" si="766"/>
        <v>43</v>
      </c>
      <c r="D2269" t="str">
        <f t="shared" si="781"/>
        <v>Q46</v>
      </c>
      <c r="E2269" t="str">
        <f t="shared" ca="1" si="782"/>
        <v/>
      </c>
      <c r="F2269" t="str">
        <f t="shared" ca="1" si="783"/>
        <v xml:space="preserve">Enter a 'Acquisition APR' for  building 43 in cell Q46.
</v>
      </c>
      <c r="G2269" s="9" t="str">
        <f t="shared" ca="1" si="764"/>
        <v xml:space="preserve">Enter a value for 'Number of Floors in the Tallest Building' in cell B58.
</v>
      </c>
      <c r="H2269" s="52" t="str">
        <f t="shared" ca="1" si="784"/>
        <v>Acquisition APR</v>
      </c>
      <c r="I2269" s="52">
        <v>17</v>
      </c>
    </row>
    <row r="2270" spans="1:10" ht="15" customHeight="1">
      <c r="A2270" t="str">
        <f ca="1">IF(AND(Calculations!$B$4,Calculations!$B$28&gt;=C2270, E2270 &lt;&gt; 13),F2270,"")</f>
        <v/>
      </c>
      <c r="B2270">
        <f>ROW('Final Building Profile'!C47)</f>
        <v>47</v>
      </c>
      <c r="C2270">
        <f t="shared" ca="1" si="766"/>
        <v>44</v>
      </c>
      <c r="D2270" t="str">
        <f>ADDRESS(B2270, 3,4  )</f>
        <v>C47</v>
      </c>
      <c r="E2270" s="52">
        <f ca="1">H2270+I2270</f>
        <v>0</v>
      </c>
      <c r="F2270" t="str">
        <f ca="1">CONCATENATE("Based upon the number of buildings specified, information for  building ", C2270, " required for a final application in row ", B2270, ".", CHAR(10))</f>
        <v xml:space="preserve">Based upon the number of buildings specified, information for  building 44 required for a final application in row 47.
</v>
      </c>
      <c r="G2270" s="9" t="str">
        <f t="shared" ca="1" si="764"/>
        <v xml:space="preserve">Enter a value for 'Number of Floors in the Tallest Building' in cell B58.
</v>
      </c>
      <c r="H2270" s="52">
        <f ca="1">SUMPRODUCT(--ISTEXT(INDIRECT(J2270)))</f>
        <v>0</v>
      </c>
      <c r="I2270" s="52">
        <f ca="1">SUMPRODUCT(--ISNUMBER(INDIRECT(J2270)))</f>
        <v>0</v>
      </c>
      <c r="J2270" s="52" t="str">
        <f>$F$1564&amp; ADDRESS(B2270,3,4) &amp; ":" &amp; ADDRESS(B2270,15,4)</f>
        <v>'Final Building Profile'!C47:O47</v>
      </c>
    </row>
    <row r="2271" spans="1:10" ht="15" customHeight="1">
      <c r="A2271" t="str">
        <f t="shared" ref="A2271:A2280" ca="1" si="785">IF(AND(OFFSET(A2271, -I2271 + 2, 4) &gt;  0, E2271=""), F2271, "")</f>
        <v/>
      </c>
      <c r="B2271">
        <f t="shared" ref="B2271:B2285" si="786">B2270</f>
        <v>47</v>
      </c>
      <c r="C2271">
        <f t="shared" ca="1" si="766"/>
        <v>44</v>
      </c>
      <c r="D2271" t="str">
        <f t="shared" ref="D2271:D2285" si="787">ADDRESS(B2271, I2271,4  )</f>
        <v>C47</v>
      </c>
      <c r="E2271" t="str">
        <f t="shared" ref="E2271:E2285" ca="1" si="788">IF(ISBLANK( INDIRECT($F$1564 &amp; D2271)),"", INDIRECT($F$1564 &amp; D2271))</f>
        <v/>
      </c>
      <c r="F2271" t="str">
        <f t="shared" ref="F2271:F2285" ca="1" si="789">CONCATENATE("Enter a '"&amp; H2271 &amp;"' for  building ", C2271, " in cell ", D2271, ".", CHAR(10))</f>
        <v xml:space="preserve">Enter a 'Building Street Address Only 
(DO NOT ENTER CITY, STATE, OR ZIP)' for  building 44 in cell C47.
</v>
      </c>
      <c r="G2271" s="9" t="str">
        <f t="shared" ref="G2271:G2334" ca="1" si="790">OFFSET(G2271, -1, 0) &amp; A2271</f>
        <v xml:space="preserve">Enter a value for 'Number of Floors in the Tallest Building' in cell B58.
</v>
      </c>
      <c r="H2271" s="52" t="str">
        <f t="shared" ref="H2271:H2285" ca="1" si="791">OFFSET(INDIRECT($F$1564 &amp; D2271), -B2271 + 3, 0)</f>
        <v>Building Street Address Only 
(DO NOT ENTER CITY, STATE, OR ZIP)</v>
      </c>
      <c r="I2271" s="52">
        <v>3</v>
      </c>
    </row>
    <row r="2272" spans="1:10" ht="15" customHeight="1">
      <c r="A2272" t="str">
        <f t="shared" ca="1" si="785"/>
        <v/>
      </c>
      <c r="B2272">
        <f t="shared" si="786"/>
        <v>47</v>
      </c>
      <c r="C2272">
        <f t="shared" ca="1" si="766"/>
        <v>44</v>
      </c>
      <c r="D2272" t="str">
        <f t="shared" si="787"/>
        <v>D47</v>
      </c>
      <c r="E2272" t="str">
        <f t="shared" ca="1" si="788"/>
        <v/>
      </c>
      <c r="F2272" t="str">
        <f t="shared" ca="1" si="789"/>
        <v xml:space="preserve">Enter a 'Total Units in Building*' for  building 44 in cell D47.
</v>
      </c>
      <c r="G2272" s="9" t="str">
        <f t="shared" ca="1" si="790"/>
        <v xml:space="preserve">Enter a value for 'Number of Floors in the Tallest Building' in cell B58.
</v>
      </c>
      <c r="H2272" s="52" t="str">
        <f t="shared" ca="1" si="791"/>
        <v>Total Units in Building*</v>
      </c>
      <c r="I2272" s="52">
        <v>4</v>
      </c>
    </row>
    <row r="2273" spans="1:10" ht="15" customHeight="1">
      <c r="A2273" t="str">
        <f t="shared" ca="1" si="785"/>
        <v/>
      </c>
      <c r="B2273">
        <f t="shared" si="786"/>
        <v>47</v>
      </c>
      <c r="C2273">
        <f t="shared" ca="1" si="766"/>
        <v>44</v>
      </c>
      <c r="D2273" t="str">
        <f t="shared" si="787"/>
        <v>E47</v>
      </c>
      <c r="E2273" t="str">
        <f t="shared" ca="1" si="788"/>
        <v/>
      </c>
      <c r="F2273" t="str">
        <f t="shared" ca="1" si="789"/>
        <v xml:space="preserve">Enter a 'Employee Units' for  building 44 in cell E47.
</v>
      </c>
      <c r="G2273" s="9" t="str">
        <f t="shared" ca="1" si="790"/>
        <v xml:space="preserve">Enter a value for 'Number of Floors in the Tallest Building' in cell B58.
</v>
      </c>
      <c r="H2273" s="52" t="str">
        <f t="shared" ca="1" si="791"/>
        <v>Employee Units</v>
      </c>
      <c r="I2273" s="52">
        <v>5</v>
      </c>
    </row>
    <row r="2274" spans="1:10" ht="15" customHeight="1">
      <c r="A2274" t="str">
        <f t="shared" ca="1" si="785"/>
        <v/>
      </c>
      <c r="B2274">
        <f t="shared" si="786"/>
        <v>47</v>
      </c>
      <c r="C2274">
        <f t="shared" ca="1" si="766"/>
        <v>44</v>
      </c>
      <c r="D2274" t="str">
        <f t="shared" si="787"/>
        <v>F47</v>
      </c>
      <c r="E2274" t="str">
        <f t="shared" ca="1" si="788"/>
        <v/>
      </c>
      <c r="F2274" t="str">
        <f t="shared" ca="1" si="789"/>
        <v xml:space="preserve">Enter a 'Low-Income Units' for  building 44 in cell F47.
</v>
      </c>
      <c r="G2274" s="9" t="str">
        <f t="shared" ca="1" si="790"/>
        <v xml:space="preserve">Enter a value for 'Number of Floors in the Tallest Building' in cell B58.
</v>
      </c>
      <c r="H2274" s="52" t="str">
        <f t="shared" ca="1" si="791"/>
        <v>Low-Income Units</v>
      </c>
      <c r="I2274" s="52">
        <v>6</v>
      </c>
    </row>
    <row r="2275" spans="1:10" ht="15" customHeight="1">
      <c r="A2275" t="str">
        <f t="shared" ca="1" si="785"/>
        <v/>
      </c>
      <c r="B2275">
        <f t="shared" si="786"/>
        <v>47</v>
      </c>
      <c r="C2275">
        <f t="shared" ca="1" si="766"/>
        <v>44</v>
      </c>
      <c r="D2275" t="str">
        <f t="shared" si="787"/>
        <v>G47</v>
      </c>
      <c r="E2275" t="str">
        <f t="shared" ca="1" si="788"/>
        <v/>
      </c>
      <c r="F2275" t="str">
        <f t="shared" ca="1" si="789"/>
        <v xml:space="preserve">Enter a 'Residential Square Footage**' for  building 44 in cell G47.
</v>
      </c>
      <c r="G2275" s="9" t="str">
        <f t="shared" ca="1" si="790"/>
        <v xml:space="preserve">Enter a value for 'Number of Floors in the Tallest Building' in cell B58.
</v>
      </c>
      <c r="H2275" s="52" t="str">
        <f t="shared" ca="1" si="791"/>
        <v>Residential Square Footage**</v>
      </c>
      <c r="I2275" s="52">
        <v>7</v>
      </c>
    </row>
    <row r="2276" spans="1:10" ht="15" customHeight="1">
      <c r="A2276" t="str">
        <f t="shared" ca="1" si="785"/>
        <v/>
      </c>
      <c r="B2276">
        <f t="shared" si="786"/>
        <v>47</v>
      </c>
      <c r="C2276">
        <f t="shared" ca="1" si="766"/>
        <v>44</v>
      </c>
      <c r="D2276" t="str">
        <f t="shared" si="787"/>
        <v>H47</v>
      </c>
      <c r="E2276" t="str">
        <f t="shared" ca="1" si="788"/>
        <v/>
      </c>
      <c r="F2276" t="str">
        <f t="shared" ca="1" si="789"/>
        <v xml:space="preserve">Enter a 'Square Footage of Employee Units' for  building 44 in cell H47.
</v>
      </c>
      <c r="G2276" s="9" t="str">
        <f t="shared" ca="1" si="790"/>
        <v xml:space="preserve">Enter a value for 'Number of Floors in the Tallest Building' in cell B58.
</v>
      </c>
      <c r="H2276" s="52" t="str">
        <f t="shared" ca="1" si="791"/>
        <v>Square Footage of Employee Units</v>
      </c>
      <c r="I2276" s="52">
        <v>8</v>
      </c>
    </row>
    <row r="2277" spans="1:10" ht="15" customHeight="1">
      <c r="A2277" t="str">
        <f t="shared" ca="1" si="785"/>
        <v/>
      </c>
      <c r="B2277">
        <f t="shared" si="786"/>
        <v>47</v>
      </c>
      <c r="C2277">
        <f t="shared" ca="1" si="766"/>
        <v>44</v>
      </c>
      <c r="D2277" t="str">
        <f t="shared" si="787"/>
        <v>I47</v>
      </c>
      <c r="E2277" t="str">
        <f t="shared" ca="1" si="788"/>
        <v/>
      </c>
      <c r="F2277" t="str">
        <f t="shared" ca="1" si="789"/>
        <v xml:space="preserve">Enter a 'Square Footage of Low-Income Units' for  building 44 in cell I47.
</v>
      </c>
      <c r="G2277" s="9" t="str">
        <f t="shared" ca="1" si="790"/>
        <v xml:space="preserve">Enter a value for 'Number of Floors in the Tallest Building' in cell B58.
</v>
      </c>
      <c r="H2277" s="52" t="str">
        <f t="shared" ca="1" si="791"/>
        <v>Square Footage of Low-Income Units</v>
      </c>
      <c r="I2277" s="52">
        <v>9</v>
      </c>
    </row>
    <row r="2278" spans="1:10" ht="15" customHeight="1">
      <c r="A2278" t="str">
        <f t="shared" ca="1" si="785"/>
        <v/>
      </c>
      <c r="B2278">
        <f t="shared" si="786"/>
        <v>47</v>
      </c>
      <c r="C2278">
        <f t="shared" ca="1" si="766"/>
        <v>44</v>
      </c>
      <c r="D2278" t="str">
        <f t="shared" si="787"/>
        <v>J47</v>
      </c>
      <c r="E2278" t="str">
        <f t="shared" ca="1" si="788"/>
        <v/>
      </c>
      <c r="F2278" t="str">
        <f t="shared" ca="1" si="789"/>
        <v xml:space="preserve">Enter a 'Placed-In-Service Date' for  building 44 in cell J47.
</v>
      </c>
      <c r="G2278" s="9" t="str">
        <f t="shared" ca="1" si="790"/>
        <v xml:space="preserve">Enter a value for 'Number of Floors in the Tallest Building' in cell B58.
</v>
      </c>
      <c r="H2278" s="52" t="str">
        <f t="shared" ca="1" si="791"/>
        <v>Placed-In-Service Date</v>
      </c>
      <c r="I2278" s="52">
        <v>10</v>
      </c>
    </row>
    <row r="2279" spans="1:10" ht="15" customHeight="1">
      <c r="A2279" t="str">
        <f t="shared" ca="1" si="785"/>
        <v/>
      </c>
      <c r="B2279">
        <f t="shared" si="786"/>
        <v>47</v>
      </c>
      <c r="C2279">
        <f t="shared" ca="1" si="766"/>
        <v>44</v>
      </c>
      <c r="D2279" t="str">
        <f t="shared" si="787"/>
        <v>K47</v>
      </c>
      <c r="E2279" t="str">
        <f t="shared" ca="1" si="788"/>
        <v/>
      </c>
      <c r="F2279" t="str">
        <f t="shared" ca="1" si="789"/>
        <v xml:space="preserve">Enter a 'New Construction/ Rehab APR' for  building 44 in cell K47.
</v>
      </c>
      <c r="G2279" s="9" t="str">
        <f t="shared" ca="1" si="790"/>
        <v xml:space="preserve">Enter a value for 'Number of Floors in the Tallest Building' in cell B58.
</v>
      </c>
      <c r="H2279" s="52" t="str">
        <f t="shared" ca="1" si="791"/>
        <v>New Construction/ Rehab APR</v>
      </c>
      <c r="I2279" s="52">
        <v>11</v>
      </c>
    </row>
    <row r="2280" spans="1:10" ht="15" customHeight="1">
      <c r="A2280" t="str">
        <f t="shared" ca="1" si="785"/>
        <v/>
      </c>
      <c r="B2280">
        <f t="shared" si="786"/>
        <v>47</v>
      </c>
      <c r="C2280">
        <f t="shared" ca="1" si="766"/>
        <v>44</v>
      </c>
      <c r="D2280" t="str">
        <f t="shared" si="787"/>
        <v>L47</v>
      </c>
      <c r="E2280" t="str">
        <f t="shared" ca="1" si="788"/>
        <v/>
      </c>
      <c r="F2280" t="str">
        <f t="shared" ca="1" si="789"/>
        <v xml:space="preserve">Enter a 'New Construction Eligible Basis' for  building 44 in cell L47.
</v>
      </c>
      <c r="G2280" s="9" t="str">
        <f t="shared" ca="1" si="790"/>
        <v xml:space="preserve">Enter a value for 'Number of Floors in the Tallest Building' in cell B58.
</v>
      </c>
      <c r="H2280" s="52" t="str">
        <f t="shared" ca="1" si="791"/>
        <v>New Construction Eligible Basis</v>
      </c>
      <c r="I2280" s="52">
        <v>12</v>
      </c>
    </row>
    <row r="2281" spans="1:10" ht="15" customHeight="1">
      <c r="A2281" t="str">
        <f ca="1">IF(AND(OFFSET(A2281, -I2281 + 2, 4) &gt;  0, E2281="", Calculations!$B$7), F2281, "")</f>
        <v/>
      </c>
      <c r="B2281">
        <f t="shared" si="786"/>
        <v>47</v>
      </c>
      <c r="C2281">
        <f t="shared" ca="1" si="766"/>
        <v>44</v>
      </c>
      <c r="D2281" t="str">
        <f t="shared" si="787"/>
        <v>M47</v>
      </c>
      <c r="E2281" t="str">
        <f t="shared" ca="1" si="788"/>
        <v/>
      </c>
      <c r="F2281" t="str">
        <f t="shared" ca="1" si="789"/>
        <v xml:space="preserve">Enter a 'Eligible Basis for Rehab' for  building 44 in cell M47.
</v>
      </c>
      <c r="G2281" s="9" t="str">
        <f t="shared" ca="1" si="790"/>
        <v xml:space="preserve">Enter a value for 'Number of Floors in the Tallest Building' in cell B58.
</v>
      </c>
      <c r="H2281" s="52" t="str">
        <f t="shared" ca="1" si="791"/>
        <v>Eligible Basis for Rehab</v>
      </c>
      <c r="I2281" s="52">
        <v>13</v>
      </c>
    </row>
    <row r="2282" spans="1:10" ht="15" customHeight="1">
      <c r="A2282" t="str">
        <f ca="1">IF(AND(OFFSET(A2282, -I2282 + 2, 4) &gt;  0, E2282="", Calculations!$B$7), F2282, "")</f>
        <v/>
      </c>
      <c r="B2282">
        <f t="shared" si="786"/>
        <v>47</v>
      </c>
      <c r="C2282">
        <f t="shared" ca="1" si="766"/>
        <v>44</v>
      </c>
      <c r="D2282" t="str">
        <f t="shared" si="787"/>
        <v>N47</v>
      </c>
      <c r="E2282" t="str">
        <f t="shared" ca="1" si="788"/>
        <v/>
      </c>
      <c r="F2282" t="str">
        <f t="shared" ca="1" si="789"/>
        <v xml:space="preserve">Enter a 'Cost of Acquiring the Building***' for  building 44 in cell N47.
</v>
      </c>
      <c r="G2282" s="9" t="str">
        <f t="shared" ca="1" si="790"/>
        <v xml:space="preserve">Enter a value for 'Number of Floors in the Tallest Building' in cell B58.
</v>
      </c>
      <c r="H2282" s="52" t="str">
        <f t="shared" ca="1" si="791"/>
        <v>Cost of Acquiring the Building***</v>
      </c>
      <c r="I2282" s="52">
        <v>14</v>
      </c>
    </row>
    <row r="2283" spans="1:10" ht="15" customHeight="1">
      <c r="A2283" t="str">
        <f ca="1">IF(AND(OFFSET(A2283, -I2283 + 2, 4) &gt;  0, E2283="", Calculations!$B$7), F2283, "")</f>
        <v/>
      </c>
      <c r="B2283">
        <f t="shared" si="786"/>
        <v>47</v>
      </c>
      <c r="C2283">
        <f t="shared" ca="1" si="766"/>
        <v>44</v>
      </c>
      <c r="D2283" t="str">
        <f t="shared" si="787"/>
        <v>O47</v>
      </c>
      <c r="E2283" t="str">
        <f t="shared" ca="1" si="788"/>
        <v/>
      </c>
      <c r="F2283" t="str">
        <f t="shared" ca="1" si="789"/>
        <v xml:space="preserve">Enter a 'Higher of Land Purchase Price or Land Appraised Value****' for  building 44 in cell O47.
</v>
      </c>
      <c r="G2283" s="9" t="str">
        <f t="shared" ca="1" si="790"/>
        <v xml:space="preserve">Enter a value for 'Number of Floors in the Tallest Building' in cell B58.
</v>
      </c>
      <c r="H2283" s="52" t="str">
        <f t="shared" ca="1" si="791"/>
        <v>Higher of Land Purchase Price or Land Appraised Value****</v>
      </c>
      <c r="I2283" s="52">
        <v>15</v>
      </c>
    </row>
    <row r="2284" spans="1:10" ht="15" customHeight="1">
      <c r="A2284" t="str">
        <f ca="1">IF(AND(OFFSET(A2284, -I2284 + 2, 4) &gt;  0, E2284="", Calculations!$B$7), F2284, "")</f>
        <v/>
      </c>
      <c r="B2284">
        <f t="shared" si="786"/>
        <v>47</v>
      </c>
      <c r="C2284">
        <f t="shared" ca="1" si="766"/>
        <v>44</v>
      </c>
      <c r="D2284" t="str">
        <f t="shared" si="787"/>
        <v>P47</v>
      </c>
      <c r="E2284" t="str">
        <f t="shared" ca="1" si="788"/>
        <v/>
      </c>
      <c r="F2284" t="str">
        <f t="shared" ca="1" si="789"/>
        <v xml:space="preserve">Enter a 'Acquisition Placed-in-Service Date' for  building 44 in cell P47.
</v>
      </c>
      <c r="G2284" s="9" t="str">
        <f t="shared" ca="1" si="790"/>
        <v xml:space="preserve">Enter a value for 'Number of Floors in the Tallest Building' in cell B58.
</v>
      </c>
      <c r="H2284" s="52" t="str">
        <f t="shared" ca="1" si="791"/>
        <v>Acquisition Placed-in-Service Date</v>
      </c>
      <c r="I2284" s="52">
        <v>16</v>
      </c>
    </row>
    <row r="2285" spans="1:10" ht="15" customHeight="1">
      <c r="A2285" t="str">
        <f ca="1">IF(AND(OFFSET(A2285, -I2285 + 2, 4) &gt;  0, E2285="", Calculations!$B$7), F2285, "")</f>
        <v/>
      </c>
      <c r="B2285">
        <f t="shared" si="786"/>
        <v>47</v>
      </c>
      <c r="C2285">
        <f t="shared" ca="1" si="766"/>
        <v>44</v>
      </c>
      <c r="D2285" t="str">
        <f t="shared" si="787"/>
        <v>Q47</v>
      </c>
      <c r="E2285" t="str">
        <f t="shared" ca="1" si="788"/>
        <v/>
      </c>
      <c r="F2285" t="str">
        <f t="shared" ca="1" si="789"/>
        <v xml:space="preserve">Enter a 'Acquisition APR' for  building 44 in cell Q47.
</v>
      </c>
      <c r="G2285" s="9" t="str">
        <f t="shared" ca="1" si="790"/>
        <v xml:space="preserve">Enter a value for 'Number of Floors in the Tallest Building' in cell B58.
</v>
      </c>
      <c r="H2285" s="52" t="str">
        <f t="shared" ca="1" si="791"/>
        <v>Acquisition APR</v>
      </c>
      <c r="I2285" s="52">
        <v>17</v>
      </c>
    </row>
    <row r="2286" spans="1:10" ht="15" customHeight="1">
      <c r="A2286" t="str">
        <f ca="1">IF(AND(Calculations!$B$4,Calculations!$B$28&gt;=C2286, E2286 &lt;&gt; 13),F2286,"")</f>
        <v/>
      </c>
      <c r="B2286">
        <f>ROW('Final Building Profile'!C48)</f>
        <v>48</v>
      </c>
      <c r="C2286">
        <f t="shared" ref="C2286:C2349" ca="1" si="792">INDIRECT($F$1564 &amp; ADDRESS(B2286, 1,4  ))</f>
        <v>45</v>
      </c>
      <c r="D2286" t="str">
        <f>ADDRESS(B2286, 3,4  )</f>
        <v>C48</v>
      </c>
      <c r="E2286" s="52">
        <f ca="1">H2286+I2286</f>
        <v>0</v>
      </c>
      <c r="F2286" t="str">
        <f ca="1">CONCATENATE("Based upon the number of buildings specified, information for  building ", C2286, " required for a final application in row ", B2286, ".", CHAR(10))</f>
        <v xml:space="preserve">Based upon the number of buildings specified, information for  building 45 required for a final application in row 48.
</v>
      </c>
      <c r="G2286" s="9" t="str">
        <f t="shared" ca="1" si="790"/>
        <v xml:space="preserve">Enter a value for 'Number of Floors in the Tallest Building' in cell B58.
</v>
      </c>
      <c r="H2286" s="52">
        <f ca="1">SUMPRODUCT(--ISTEXT(INDIRECT(J2286)))</f>
        <v>0</v>
      </c>
      <c r="I2286" s="52">
        <f ca="1">SUMPRODUCT(--ISNUMBER(INDIRECT(J2286)))</f>
        <v>0</v>
      </c>
      <c r="J2286" s="52" t="str">
        <f>$F$1564&amp; ADDRESS(B2286,3,4) &amp; ":" &amp; ADDRESS(B2286,15,4)</f>
        <v>'Final Building Profile'!C48:O48</v>
      </c>
    </row>
    <row r="2287" spans="1:10" ht="15" customHeight="1">
      <c r="A2287" t="str">
        <f t="shared" ref="A2287:A2296" ca="1" si="793">IF(AND(OFFSET(A2287, -I2287 + 2, 4) &gt;  0, E2287=""), F2287, "")</f>
        <v/>
      </c>
      <c r="B2287">
        <f t="shared" ref="B2287:B2301" si="794">B2286</f>
        <v>48</v>
      </c>
      <c r="C2287">
        <f t="shared" ca="1" si="792"/>
        <v>45</v>
      </c>
      <c r="D2287" t="str">
        <f t="shared" ref="D2287:D2301" si="795">ADDRESS(B2287, I2287,4  )</f>
        <v>C48</v>
      </c>
      <c r="E2287" t="str">
        <f t="shared" ref="E2287:E2301" ca="1" si="796">IF(ISBLANK( INDIRECT($F$1564 &amp; D2287)),"", INDIRECT($F$1564 &amp; D2287))</f>
        <v/>
      </c>
      <c r="F2287" t="str">
        <f t="shared" ref="F2287:F2301" ca="1" si="797">CONCATENATE("Enter a '"&amp; H2287 &amp;"' for  building ", C2287, " in cell ", D2287, ".", CHAR(10))</f>
        <v xml:space="preserve">Enter a 'Building Street Address Only 
(DO NOT ENTER CITY, STATE, OR ZIP)' for  building 45 in cell C48.
</v>
      </c>
      <c r="G2287" s="9" t="str">
        <f t="shared" ca="1" si="790"/>
        <v xml:space="preserve">Enter a value for 'Number of Floors in the Tallest Building' in cell B58.
</v>
      </c>
      <c r="H2287" s="52" t="str">
        <f t="shared" ref="H2287:H2301" ca="1" si="798">OFFSET(INDIRECT($F$1564 &amp; D2287), -B2287 + 3, 0)</f>
        <v>Building Street Address Only 
(DO NOT ENTER CITY, STATE, OR ZIP)</v>
      </c>
      <c r="I2287" s="52">
        <v>3</v>
      </c>
    </row>
    <row r="2288" spans="1:10" ht="15" customHeight="1">
      <c r="A2288" t="str">
        <f t="shared" ca="1" si="793"/>
        <v/>
      </c>
      <c r="B2288">
        <f t="shared" si="794"/>
        <v>48</v>
      </c>
      <c r="C2288">
        <f t="shared" ca="1" si="792"/>
        <v>45</v>
      </c>
      <c r="D2288" t="str">
        <f t="shared" si="795"/>
        <v>D48</v>
      </c>
      <c r="E2288" t="str">
        <f t="shared" ca="1" si="796"/>
        <v/>
      </c>
      <c r="F2288" t="str">
        <f t="shared" ca="1" si="797"/>
        <v xml:space="preserve">Enter a 'Total Units in Building*' for  building 45 in cell D48.
</v>
      </c>
      <c r="G2288" s="9" t="str">
        <f t="shared" ca="1" si="790"/>
        <v xml:space="preserve">Enter a value for 'Number of Floors in the Tallest Building' in cell B58.
</v>
      </c>
      <c r="H2288" s="52" t="str">
        <f t="shared" ca="1" si="798"/>
        <v>Total Units in Building*</v>
      </c>
      <c r="I2288" s="52">
        <v>4</v>
      </c>
    </row>
    <row r="2289" spans="1:10" ht="15" customHeight="1">
      <c r="A2289" t="str">
        <f t="shared" ca="1" si="793"/>
        <v/>
      </c>
      <c r="B2289">
        <f t="shared" si="794"/>
        <v>48</v>
      </c>
      <c r="C2289">
        <f t="shared" ca="1" si="792"/>
        <v>45</v>
      </c>
      <c r="D2289" t="str">
        <f t="shared" si="795"/>
        <v>E48</v>
      </c>
      <c r="E2289" t="str">
        <f t="shared" ca="1" si="796"/>
        <v/>
      </c>
      <c r="F2289" t="str">
        <f t="shared" ca="1" si="797"/>
        <v xml:space="preserve">Enter a 'Employee Units' for  building 45 in cell E48.
</v>
      </c>
      <c r="G2289" s="9" t="str">
        <f t="shared" ca="1" si="790"/>
        <v xml:space="preserve">Enter a value for 'Number of Floors in the Tallest Building' in cell B58.
</v>
      </c>
      <c r="H2289" s="52" t="str">
        <f t="shared" ca="1" si="798"/>
        <v>Employee Units</v>
      </c>
      <c r="I2289" s="52">
        <v>5</v>
      </c>
    </row>
    <row r="2290" spans="1:10" ht="15" customHeight="1">
      <c r="A2290" t="str">
        <f t="shared" ca="1" si="793"/>
        <v/>
      </c>
      <c r="B2290">
        <f t="shared" si="794"/>
        <v>48</v>
      </c>
      <c r="C2290">
        <f t="shared" ca="1" si="792"/>
        <v>45</v>
      </c>
      <c r="D2290" t="str">
        <f t="shared" si="795"/>
        <v>F48</v>
      </c>
      <c r="E2290" t="str">
        <f t="shared" ca="1" si="796"/>
        <v/>
      </c>
      <c r="F2290" t="str">
        <f t="shared" ca="1" si="797"/>
        <v xml:space="preserve">Enter a 'Low-Income Units' for  building 45 in cell F48.
</v>
      </c>
      <c r="G2290" s="9" t="str">
        <f t="shared" ca="1" si="790"/>
        <v xml:space="preserve">Enter a value for 'Number of Floors in the Tallest Building' in cell B58.
</v>
      </c>
      <c r="H2290" s="52" t="str">
        <f t="shared" ca="1" si="798"/>
        <v>Low-Income Units</v>
      </c>
      <c r="I2290" s="52">
        <v>6</v>
      </c>
    </row>
    <row r="2291" spans="1:10" ht="15" customHeight="1">
      <c r="A2291" t="str">
        <f t="shared" ca="1" si="793"/>
        <v/>
      </c>
      <c r="B2291">
        <f t="shared" si="794"/>
        <v>48</v>
      </c>
      <c r="C2291">
        <f t="shared" ca="1" si="792"/>
        <v>45</v>
      </c>
      <c r="D2291" t="str">
        <f t="shared" si="795"/>
        <v>G48</v>
      </c>
      <c r="E2291" t="str">
        <f t="shared" ca="1" si="796"/>
        <v/>
      </c>
      <c r="F2291" t="str">
        <f t="shared" ca="1" si="797"/>
        <v xml:space="preserve">Enter a 'Residential Square Footage**' for  building 45 in cell G48.
</v>
      </c>
      <c r="G2291" s="9" t="str">
        <f t="shared" ca="1" si="790"/>
        <v xml:space="preserve">Enter a value for 'Number of Floors in the Tallest Building' in cell B58.
</v>
      </c>
      <c r="H2291" s="52" t="str">
        <f t="shared" ca="1" si="798"/>
        <v>Residential Square Footage**</v>
      </c>
      <c r="I2291" s="52">
        <v>7</v>
      </c>
    </row>
    <row r="2292" spans="1:10" ht="15" customHeight="1">
      <c r="A2292" t="str">
        <f t="shared" ca="1" si="793"/>
        <v/>
      </c>
      <c r="B2292">
        <f t="shared" si="794"/>
        <v>48</v>
      </c>
      <c r="C2292">
        <f t="shared" ca="1" si="792"/>
        <v>45</v>
      </c>
      <c r="D2292" t="str">
        <f t="shared" si="795"/>
        <v>H48</v>
      </c>
      <c r="E2292" t="str">
        <f t="shared" ca="1" si="796"/>
        <v/>
      </c>
      <c r="F2292" t="str">
        <f t="shared" ca="1" si="797"/>
        <v xml:space="preserve">Enter a 'Square Footage of Employee Units' for  building 45 in cell H48.
</v>
      </c>
      <c r="G2292" s="9" t="str">
        <f t="shared" ca="1" si="790"/>
        <v xml:space="preserve">Enter a value for 'Number of Floors in the Tallest Building' in cell B58.
</v>
      </c>
      <c r="H2292" s="52" t="str">
        <f t="shared" ca="1" si="798"/>
        <v>Square Footage of Employee Units</v>
      </c>
      <c r="I2292" s="52">
        <v>8</v>
      </c>
    </row>
    <row r="2293" spans="1:10" ht="15" customHeight="1">
      <c r="A2293" t="str">
        <f t="shared" ca="1" si="793"/>
        <v/>
      </c>
      <c r="B2293">
        <f t="shared" si="794"/>
        <v>48</v>
      </c>
      <c r="C2293">
        <f t="shared" ca="1" si="792"/>
        <v>45</v>
      </c>
      <c r="D2293" t="str">
        <f t="shared" si="795"/>
        <v>I48</v>
      </c>
      <c r="E2293" t="str">
        <f t="shared" ca="1" si="796"/>
        <v/>
      </c>
      <c r="F2293" t="str">
        <f t="shared" ca="1" si="797"/>
        <v xml:space="preserve">Enter a 'Square Footage of Low-Income Units' for  building 45 in cell I48.
</v>
      </c>
      <c r="G2293" s="9" t="str">
        <f t="shared" ca="1" si="790"/>
        <v xml:space="preserve">Enter a value for 'Number of Floors in the Tallest Building' in cell B58.
</v>
      </c>
      <c r="H2293" s="52" t="str">
        <f t="shared" ca="1" si="798"/>
        <v>Square Footage of Low-Income Units</v>
      </c>
      <c r="I2293" s="52">
        <v>9</v>
      </c>
    </row>
    <row r="2294" spans="1:10" ht="15" customHeight="1">
      <c r="A2294" t="str">
        <f t="shared" ca="1" si="793"/>
        <v/>
      </c>
      <c r="B2294">
        <f t="shared" si="794"/>
        <v>48</v>
      </c>
      <c r="C2294">
        <f t="shared" ca="1" si="792"/>
        <v>45</v>
      </c>
      <c r="D2294" t="str">
        <f t="shared" si="795"/>
        <v>J48</v>
      </c>
      <c r="E2294" t="str">
        <f t="shared" ca="1" si="796"/>
        <v/>
      </c>
      <c r="F2294" t="str">
        <f t="shared" ca="1" si="797"/>
        <v xml:space="preserve">Enter a 'Placed-In-Service Date' for  building 45 in cell J48.
</v>
      </c>
      <c r="G2294" s="9" t="str">
        <f t="shared" ca="1" si="790"/>
        <v xml:space="preserve">Enter a value for 'Number of Floors in the Tallest Building' in cell B58.
</v>
      </c>
      <c r="H2294" s="52" t="str">
        <f t="shared" ca="1" si="798"/>
        <v>Placed-In-Service Date</v>
      </c>
      <c r="I2294" s="52">
        <v>10</v>
      </c>
    </row>
    <row r="2295" spans="1:10" ht="15" customHeight="1">
      <c r="A2295" t="str">
        <f t="shared" ca="1" si="793"/>
        <v/>
      </c>
      <c r="B2295">
        <f t="shared" si="794"/>
        <v>48</v>
      </c>
      <c r="C2295">
        <f t="shared" ca="1" si="792"/>
        <v>45</v>
      </c>
      <c r="D2295" t="str">
        <f t="shared" si="795"/>
        <v>K48</v>
      </c>
      <c r="E2295" t="str">
        <f t="shared" ca="1" si="796"/>
        <v/>
      </c>
      <c r="F2295" t="str">
        <f t="shared" ca="1" si="797"/>
        <v xml:space="preserve">Enter a 'New Construction/ Rehab APR' for  building 45 in cell K48.
</v>
      </c>
      <c r="G2295" s="9" t="str">
        <f t="shared" ca="1" si="790"/>
        <v xml:space="preserve">Enter a value for 'Number of Floors in the Tallest Building' in cell B58.
</v>
      </c>
      <c r="H2295" s="52" t="str">
        <f t="shared" ca="1" si="798"/>
        <v>New Construction/ Rehab APR</v>
      </c>
      <c r="I2295" s="52">
        <v>11</v>
      </c>
    </row>
    <row r="2296" spans="1:10" ht="15" customHeight="1">
      <c r="A2296" t="str">
        <f t="shared" ca="1" si="793"/>
        <v/>
      </c>
      <c r="B2296">
        <f t="shared" si="794"/>
        <v>48</v>
      </c>
      <c r="C2296">
        <f t="shared" ca="1" si="792"/>
        <v>45</v>
      </c>
      <c r="D2296" t="str">
        <f t="shared" si="795"/>
        <v>L48</v>
      </c>
      <c r="E2296" t="str">
        <f t="shared" ca="1" si="796"/>
        <v/>
      </c>
      <c r="F2296" t="str">
        <f t="shared" ca="1" si="797"/>
        <v xml:space="preserve">Enter a 'New Construction Eligible Basis' for  building 45 in cell L48.
</v>
      </c>
      <c r="G2296" s="9" t="str">
        <f t="shared" ca="1" si="790"/>
        <v xml:space="preserve">Enter a value for 'Number of Floors in the Tallest Building' in cell B58.
</v>
      </c>
      <c r="H2296" s="52" t="str">
        <f t="shared" ca="1" si="798"/>
        <v>New Construction Eligible Basis</v>
      </c>
      <c r="I2296" s="52">
        <v>12</v>
      </c>
    </row>
    <row r="2297" spans="1:10" ht="15" customHeight="1">
      <c r="A2297" t="str">
        <f ca="1">IF(AND(OFFSET(A2297, -I2297 + 2, 4) &gt;  0, E2297="", Calculations!$B$7), F2297, "")</f>
        <v/>
      </c>
      <c r="B2297">
        <f t="shared" si="794"/>
        <v>48</v>
      </c>
      <c r="C2297">
        <f t="shared" ca="1" si="792"/>
        <v>45</v>
      </c>
      <c r="D2297" t="str">
        <f t="shared" si="795"/>
        <v>M48</v>
      </c>
      <c r="E2297" t="str">
        <f t="shared" ca="1" si="796"/>
        <v/>
      </c>
      <c r="F2297" t="str">
        <f t="shared" ca="1" si="797"/>
        <v xml:space="preserve">Enter a 'Eligible Basis for Rehab' for  building 45 in cell M48.
</v>
      </c>
      <c r="G2297" s="9" t="str">
        <f t="shared" ca="1" si="790"/>
        <v xml:space="preserve">Enter a value for 'Number of Floors in the Tallest Building' in cell B58.
</v>
      </c>
      <c r="H2297" s="52" t="str">
        <f t="shared" ca="1" si="798"/>
        <v>Eligible Basis for Rehab</v>
      </c>
      <c r="I2297" s="52">
        <v>13</v>
      </c>
    </row>
    <row r="2298" spans="1:10" ht="15" customHeight="1">
      <c r="A2298" t="str">
        <f ca="1">IF(AND(OFFSET(A2298, -I2298 + 2, 4) &gt;  0, E2298="", Calculations!$B$7), F2298, "")</f>
        <v/>
      </c>
      <c r="B2298">
        <f t="shared" si="794"/>
        <v>48</v>
      </c>
      <c r="C2298">
        <f t="shared" ca="1" si="792"/>
        <v>45</v>
      </c>
      <c r="D2298" t="str">
        <f t="shared" si="795"/>
        <v>N48</v>
      </c>
      <c r="E2298" t="str">
        <f t="shared" ca="1" si="796"/>
        <v/>
      </c>
      <c r="F2298" t="str">
        <f t="shared" ca="1" si="797"/>
        <v xml:space="preserve">Enter a 'Cost of Acquiring the Building***' for  building 45 in cell N48.
</v>
      </c>
      <c r="G2298" s="9" t="str">
        <f t="shared" ca="1" si="790"/>
        <v xml:space="preserve">Enter a value for 'Number of Floors in the Tallest Building' in cell B58.
</v>
      </c>
      <c r="H2298" s="52" t="str">
        <f t="shared" ca="1" si="798"/>
        <v>Cost of Acquiring the Building***</v>
      </c>
      <c r="I2298" s="52">
        <v>14</v>
      </c>
    </row>
    <row r="2299" spans="1:10" ht="15" customHeight="1">
      <c r="A2299" t="str">
        <f ca="1">IF(AND(OFFSET(A2299, -I2299 + 2, 4) &gt;  0, E2299="", Calculations!$B$7), F2299, "")</f>
        <v/>
      </c>
      <c r="B2299">
        <f t="shared" si="794"/>
        <v>48</v>
      </c>
      <c r="C2299">
        <f t="shared" ca="1" si="792"/>
        <v>45</v>
      </c>
      <c r="D2299" t="str">
        <f t="shared" si="795"/>
        <v>O48</v>
      </c>
      <c r="E2299" t="str">
        <f t="shared" ca="1" si="796"/>
        <v/>
      </c>
      <c r="F2299" t="str">
        <f t="shared" ca="1" si="797"/>
        <v xml:space="preserve">Enter a 'Higher of Land Purchase Price or Land Appraised Value****' for  building 45 in cell O48.
</v>
      </c>
      <c r="G2299" s="9" t="str">
        <f t="shared" ca="1" si="790"/>
        <v xml:space="preserve">Enter a value for 'Number of Floors in the Tallest Building' in cell B58.
</v>
      </c>
      <c r="H2299" s="52" t="str">
        <f t="shared" ca="1" si="798"/>
        <v>Higher of Land Purchase Price or Land Appraised Value****</v>
      </c>
      <c r="I2299" s="52">
        <v>15</v>
      </c>
    </row>
    <row r="2300" spans="1:10" ht="15" customHeight="1">
      <c r="A2300" t="str">
        <f ca="1">IF(AND(OFFSET(A2300, -I2300 + 2, 4) &gt;  0, E2300="", Calculations!$B$7), F2300, "")</f>
        <v/>
      </c>
      <c r="B2300">
        <f t="shared" si="794"/>
        <v>48</v>
      </c>
      <c r="C2300">
        <f t="shared" ca="1" si="792"/>
        <v>45</v>
      </c>
      <c r="D2300" t="str">
        <f t="shared" si="795"/>
        <v>P48</v>
      </c>
      <c r="E2300" t="str">
        <f t="shared" ca="1" si="796"/>
        <v/>
      </c>
      <c r="F2300" t="str">
        <f t="shared" ca="1" si="797"/>
        <v xml:space="preserve">Enter a 'Acquisition Placed-in-Service Date' for  building 45 in cell P48.
</v>
      </c>
      <c r="G2300" s="9" t="str">
        <f t="shared" ca="1" si="790"/>
        <v xml:space="preserve">Enter a value for 'Number of Floors in the Tallest Building' in cell B58.
</v>
      </c>
      <c r="H2300" s="52" t="str">
        <f t="shared" ca="1" si="798"/>
        <v>Acquisition Placed-in-Service Date</v>
      </c>
      <c r="I2300" s="52">
        <v>16</v>
      </c>
    </row>
    <row r="2301" spans="1:10" ht="15" customHeight="1">
      <c r="A2301" t="str">
        <f ca="1">IF(AND(OFFSET(A2301, -I2301 + 2, 4) &gt;  0, E2301="", Calculations!$B$7), F2301, "")</f>
        <v/>
      </c>
      <c r="B2301">
        <f t="shared" si="794"/>
        <v>48</v>
      </c>
      <c r="C2301">
        <f t="shared" ca="1" si="792"/>
        <v>45</v>
      </c>
      <c r="D2301" t="str">
        <f t="shared" si="795"/>
        <v>Q48</v>
      </c>
      <c r="E2301" t="str">
        <f t="shared" ca="1" si="796"/>
        <v/>
      </c>
      <c r="F2301" t="str">
        <f t="shared" ca="1" si="797"/>
        <v xml:space="preserve">Enter a 'Acquisition APR' for  building 45 in cell Q48.
</v>
      </c>
      <c r="G2301" s="9" t="str">
        <f t="shared" ca="1" si="790"/>
        <v xml:space="preserve">Enter a value for 'Number of Floors in the Tallest Building' in cell B58.
</v>
      </c>
      <c r="H2301" s="52" t="str">
        <f t="shared" ca="1" si="798"/>
        <v>Acquisition APR</v>
      </c>
      <c r="I2301" s="52">
        <v>17</v>
      </c>
    </row>
    <row r="2302" spans="1:10" ht="15" customHeight="1">
      <c r="A2302" t="str">
        <f ca="1">IF(AND(Calculations!$B$4,Calculations!$B$28&gt;=C2302, E2302 &lt;&gt; 13),F2302,"")</f>
        <v/>
      </c>
      <c r="B2302">
        <f>ROW('Final Building Profile'!C49)</f>
        <v>49</v>
      </c>
      <c r="C2302">
        <f t="shared" ca="1" si="792"/>
        <v>46</v>
      </c>
      <c r="D2302" t="str">
        <f>ADDRESS(B2302, 3,4  )</f>
        <v>C49</v>
      </c>
      <c r="E2302" s="52">
        <f ca="1">H2302+I2302</f>
        <v>0</v>
      </c>
      <c r="F2302" t="str">
        <f ca="1">CONCATENATE("Based upon the number of buildings specified, information for  building ", C2302, " required for a final application in row ", B2302, ".", CHAR(10))</f>
        <v xml:space="preserve">Based upon the number of buildings specified, information for  building 46 required for a final application in row 49.
</v>
      </c>
      <c r="G2302" s="9" t="str">
        <f t="shared" ca="1" si="790"/>
        <v xml:space="preserve">Enter a value for 'Number of Floors in the Tallest Building' in cell B58.
</v>
      </c>
      <c r="H2302" s="52">
        <f ca="1">SUMPRODUCT(--ISTEXT(INDIRECT(J2302)))</f>
        <v>0</v>
      </c>
      <c r="I2302" s="52">
        <f ca="1">SUMPRODUCT(--ISNUMBER(INDIRECT(J2302)))</f>
        <v>0</v>
      </c>
      <c r="J2302" s="52" t="str">
        <f>$F$1564&amp; ADDRESS(B2302,3,4) &amp; ":" &amp; ADDRESS(B2302,15,4)</f>
        <v>'Final Building Profile'!C49:O49</v>
      </c>
    </row>
    <row r="2303" spans="1:10" ht="15" customHeight="1">
      <c r="A2303" t="str">
        <f t="shared" ref="A2303:A2312" ca="1" si="799">IF(AND(OFFSET(A2303, -I2303 + 2, 4) &gt;  0, E2303=""), F2303, "")</f>
        <v/>
      </c>
      <c r="B2303">
        <f t="shared" ref="B2303:B2317" si="800">B2302</f>
        <v>49</v>
      </c>
      <c r="C2303">
        <f t="shared" ca="1" si="792"/>
        <v>46</v>
      </c>
      <c r="D2303" t="str">
        <f t="shared" ref="D2303:D2317" si="801">ADDRESS(B2303, I2303,4  )</f>
        <v>C49</v>
      </c>
      <c r="E2303" t="str">
        <f t="shared" ref="E2303:E2317" ca="1" si="802">IF(ISBLANK( INDIRECT($F$1564 &amp; D2303)),"", INDIRECT($F$1564 &amp; D2303))</f>
        <v/>
      </c>
      <c r="F2303" t="str">
        <f t="shared" ref="F2303:F2317" ca="1" si="803">CONCATENATE("Enter a '"&amp; H2303 &amp;"' for  building ", C2303, " in cell ", D2303, ".", CHAR(10))</f>
        <v xml:space="preserve">Enter a 'Building Street Address Only 
(DO NOT ENTER CITY, STATE, OR ZIP)' for  building 46 in cell C49.
</v>
      </c>
      <c r="G2303" s="9" t="str">
        <f t="shared" ca="1" si="790"/>
        <v xml:space="preserve">Enter a value for 'Number of Floors in the Tallest Building' in cell B58.
</v>
      </c>
      <c r="H2303" s="52" t="str">
        <f t="shared" ref="H2303:H2317" ca="1" si="804">OFFSET(INDIRECT($F$1564 &amp; D2303), -B2303 + 3, 0)</f>
        <v>Building Street Address Only 
(DO NOT ENTER CITY, STATE, OR ZIP)</v>
      </c>
      <c r="I2303" s="52">
        <v>3</v>
      </c>
    </row>
    <row r="2304" spans="1:10" ht="15" customHeight="1">
      <c r="A2304" t="str">
        <f t="shared" ca="1" si="799"/>
        <v/>
      </c>
      <c r="B2304">
        <f t="shared" si="800"/>
        <v>49</v>
      </c>
      <c r="C2304">
        <f t="shared" ca="1" si="792"/>
        <v>46</v>
      </c>
      <c r="D2304" t="str">
        <f t="shared" si="801"/>
        <v>D49</v>
      </c>
      <c r="E2304" t="str">
        <f t="shared" ca="1" si="802"/>
        <v/>
      </c>
      <c r="F2304" t="str">
        <f t="shared" ca="1" si="803"/>
        <v xml:space="preserve">Enter a 'Total Units in Building*' for  building 46 in cell D49.
</v>
      </c>
      <c r="G2304" s="9" t="str">
        <f t="shared" ca="1" si="790"/>
        <v xml:space="preserve">Enter a value for 'Number of Floors in the Tallest Building' in cell B58.
</v>
      </c>
      <c r="H2304" s="52" t="str">
        <f t="shared" ca="1" si="804"/>
        <v>Total Units in Building*</v>
      </c>
      <c r="I2304" s="52">
        <v>4</v>
      </c>
    </row>
    <row r="2305" spans="1:10" ht="15" customHeight="1">
      <c r="A2305" t="str">
        <f t="shared" ca="1" si="799"/>
        <v/>
      </c>
      <c r="B2305">
        <f t="shared" si="800"/>
        <v>49</v>
      </c>
      <c r="C2305">
        <f t="shared" ca="1" si="792"/>
        <v>46</v>
      </c>
      <c r="D2305" t="str">
        <f t="shared" si="801"/>
        <v>E49</v>
      </c>
      <c r="E2305" t="str">
        <f t="shared" ca="1" si="802"/>
        <v/>
      </c>
      <c r="F2305" t="str">
        <f t="shared" ca="1" si="803"/>
        <v xml:space="preserve">Enter a 'Employee Units' for  building 46 in cell E49.
</v>
      </c>
      <c r="G2305" s="9" t="str">
        <f t="shared" ca="1" si="790"/>
        <v xml:space="preserve">Enter a value for 'Number of Floors in the Tallest Building' in cell B58.
</v>
      </c>
      <c r="H2305" s="52" t="str">
        <f t="shared" ca="1" si="804"/>
        <v>Employee Units</v>
      </c>
      <c r="I2305" s="52">
        <v>5</v>
      </c>
    </row>
    <row r="2306" spans="1:10" ht="15" customHeight="1">
      <c r="A2306" t="str">
        <f t="shared" ca="1" si="799"/>
        <v/>
      </c>
      <c r="B2306">
        <f t="shared" si="800"/>
        <v>49</v>
      </c>
      <c r="C2306">
        <f t="shared" ca="1" si="792"/>
        <v>46</v>
      </c>
      <c r="D2306" t="str">
        <f t="shared" si="801"/>
        <v>F49</v>
      </c>
      <c r="E2306" t="str">
        <f t="shared" ca="1" si="802"/>
        <v/>
      </c>
      <c r="F2306" t="str">
        <f t="shared" ca="1" si="803"/>
        <v xml:space="preserve">Enter a 'Low-Income Units' for  building 46 in cell F49.
</v>
      </c>
      <c r="G2306" s="9" t="str">
        <f t="shared" ca="1" si="790"/>
        <v xml:space="preserve">Enter a value for 'Number of Floors in the Tallest Building' in cell B58.
</v>
      </c>
      <c r="H2306" s="52" t="str">
        <f t="shared" ca="1" si="804"/>
        <v>Low-Income Units</v>
      </c>
      <c r="I2306" s="52">
        <v>6</v>
      </c>
    </row>
    <row r="2307" spans="1:10" ht="15" customHeight="1">
      <c r="A2307" t="str">
        <f t="shared" ca="1" si="799"/>
        <v/>
      </c>
      <c r="B2307">
        <f t="shared" si="800"/>
        <v>49</v>
      </c>
      <c r="C2307">
        <f t="shared" ca="1" si="792"/>
        <v>46</v>
      </c>
      <c r="D2307" t="str">
        <f t="shared" si="801"/>
        <v>G49</v>
      </c>
      <c r="E2307" t="str">
        <f t="shared" ca="1" si="802"/>
        <v/>
      </c>
      <c r="F2307" t="str">
        <f t="shared" ca="1" si="803"/>
        <v xml:space="preserve">Enter a 'Residential Square Footage**' for  building 46 in cell G49.
</v>
      </c>
      <c r="G2307" s="9" t="str">
        <f t="shared" ca="1" si="790"/>
        <v xml:space="preserve">Enter a value for 'Number of Floors in the Tallest Building' in cell B58.
</v>
      </c>
      <c r="H2307" s="52" t="str">
        <f t="shared" ca="1" si="804"/>
        <v>Residential Square Footage**</v>
      </c>
      <c r="I2307" s="52">
        <v>7</v>
      </c>
    </row>
    <row r="2308" spans="1:10" ht="15" customHeight="1">
      <c r="A2308" t="str">
        <f t="shared" ca="1" si="799"/>
        <v/>
      </c>
      <c r="B2308">
        <f t="shared" si="800"/>
        <v>49</v>
      </c>
      <c r="C2308">
        <f t="shared" ca="1" si="792"/>
        <v>46</v>
      </c>
      <c r="D2308" t="str">
        <f t="shared" si="801"/>
        <v>H49</v>
      </c>
      <c r="E2308" t="str">
        <f t="shared" ca="1" si="802"/>
        <v/>
      </c>
      <c r="F2308" t="str">
        <f t="shared" ca="1" si="803"/>
        <v xml:space="preserve">Enter a 'Square Footage of Employee Units' for  building 46 in cell H49.
</v>
      </c>
      <c r="G2308" s="9" t="str">
        <f t="shared" ca="1" si="790"/>
        <v xml:space="preserve">Enter a value for 'Number of Floors in the Tallest Building' in cell B58.
</v>
      </c>
      <c r="H2308" s="52" t="str">
        <f t="shared" ca="1" si="804"/>
        <v>Square Footage of Employee Units</v>
      </c>
      <c r="I2308" s="52">
        <v>8</v>
      </c>
    </row>
    <row r="2309" spans="1:10" ht="15" customHeight="1">
      <c r="A2309" t="str">
        <f t="shared" ca="1" si="799"/>
        <v/>
      </c>
      <c r="B2309">
        <f t="shared" si="800"/>
        <v>49</v>
      </c>
      <c r="C2309">
        <f t="shared" ca="1" si="792"/>
        <v>46</v>
      </c>
      <c r="D2309" t="str">
        <f t="shared" si="801"/>
        <v>I49</v>
      </c>
      <c r="E2309" t="str">
        <f t="shared" ca="1" si="802"/>
        <v/>
      </c>
      <c r="F2309" t="str">
        <f t="shared" ca="1" si="803"/>
        <v xml:space="preserve">Enter a 'Square Footage of Low-Income Units' for  building 46 in cell I49.
</v>
      </c>
      <c r="G2309" s="9" t="str">
        <f t="shared" ca="1" si="790"/>
        <v xml:space="preserve">Enter a value for 'Number of Floors in the Tallest Building' in cell B58.
</v>
      </c>
      <c r="H2309" s="52" t="str">
        <f t="shared" ca="1" si="804"/>
        <v>Square Footage of Low-Income Units</v>
      </c>
      <c r="I2309" s="52">
        <v>9</v>
      </c>
    </row>
    <row r="2310" spans="1:10" ht="15" customHeight="1">
      <c r="A2310" t="str">
        <f t="shared" ca="1" si="799"/>
        <v/>
      </c>
      <c r="B2310">
        <f t="shared" si="800"/>
        <v>49</v>
      </c>
      <c r="C2310">
        <f t="shared" ca="1" si="792"/>
        <v>46</v>
      </c>
      <c r="D2310" t="str">
        <f t="shared" si="801"/>
        <v>J49</v>
      </c>
      <c r="E2310" t="str">
        <f t="shared" ca="1" si="802"/>
        <v/>
      </c>
      <c r="F2310" t="str">
        <f t="shared" ca="1" si="803"/>
        <v xml:space="preserve">Enter a 'Placed-In-Service Date' for  building 46 in cell J49.
</v>
      </c>
      <c r="G2310" s="9" t="str">
        <f t="shared" ca="1" si="790"/>
        <v xml:space="preserve">Enter a value for 'Number of Floors in the Tallest Building' in cell B58.
</v>
      </c>
      <c r="H2310" s="52" t="str">
        <f t="shared" ca="1" si="804"/>
        <v>Placed-In-Service Date</v>
      </c>
      <c r="I2310" s="52">
        <v>10</v>
      </c>
    </row>
    <row r="2311" spans="1:10" ht="15" customHeight="1">
      <c r="A2311" t="str">
        <f t="shared" ca="1" si="799"/>
        <v/>
      </c>
      <c r="B2311">
        <f t="shared" si="800"/>
        <v>49</v>
      </c>
      <c r="C2311">
        <f t="shared" ca="1" si="792"/>
        <v>46</v>
      </c>
      <c r="D2311" t="str">
        <f t="shared" si="801"/>
        <v>K49</v>
      </c>
      <c r="E2311" t="str">
        <f t="shared" ca="1" si="802"/>
        <v/>
      </c>
      <c r="F2311" t="str">
        <f t="shared" ca="1" si="803"/>
        <v xml:space="preserve">Enter a 'New Construction/ Rehab APR' for  building 46 in cell K49.
</v>
      </c>
      <c r="G2311" s="9" t="str">
        <f t="shared" ca="1" si="790"/>
        <v xml:space="preserve">Enter a value for 'Number of Floors in the Tallest Building' in cell B58.
</v>
      </c>
      <c r="H2311" s="52" t="str">
        <f t="shared" ca="1" si="804"/>
        <v>New Construction/ Rehab APR</v>
      </c>
      <c r="I2311" s="52">
        <v>11</v>
      </c>
    </row>
    <row r="2312" spans="1:10" ht="15" customHeight="1">
      <c r="A2312" t="str">
        <f t="shared" ca="1" si="799"/>
        <v/>
      </c>
      <c r="B2312">
        <f t="shared" si="800"/>
        <v>49</v>
      </c>
      <c r="C2312">
        <f t="shared" ca="1" si="792"/>
        <v>46</v>
      </c>
      <c r="D2312" t="str">
        <f t="shared" si="801"/>
        <v>L49</v>
      </c>
      <c r="E2312" t="str">
        <f t="shared" ca="1" si="802"/>
        <v/>
      </c>
      <c r="F2312" t="str">
        <f t="shared" ca="1" si="803"/>
        <v xml:space="preserve">Enter a 'New Construction Eligible Basis' for  building 46 in cell L49.
</v>
      </c>
      <c r="G2312" s="9" t="str">
        <f t="shared" ca="1" si="790"/>
        <v xml:space="preserve">Enter a value for 'Number of Floors in the Tallest Building' in cell B58.
</v>
      </c>
      <c r="H2312" s="52" t="str">
        <f t="shared" ca="1" si="804"/>
        <v>New Construction Eligible Basis</v>
      </c>
      <c r="I2312" s="52">
        <v>12</v>
      </c>
    </row>
    <row r="2313" spans="1:10" ht="15" customHeight="1">
      <c r="A2313" t="str">
        <f ca="1">IF(AND(OFFSET(A2313, -I2313 + 2, 4) &gt;  0, E2313="", Calculations!$B$7), F2313, "")</f>
        <v/>
      </c>
      <c r="B2313">
        <f t="shared" si="800"/>
        <v>49</v>
      </c>
      <c r="C2313">
        <f t="shared" ca="1" si="792"/>
        <v>46</v>
      </c>
      <c r="D2313" t="str">
        <f t="shared" si="801"/>
        <v>M49</v>
      </c>
      <c r="E2313" t="str">
        <f t="shared" ca="1" si="802"/>
        <v/>
      </c>
      <c r="F2313" t="str">
        <f t="shared" ca="1" si="803"/>
        <v xml:space="preserve">Enter a 'Eligible Basis for Rehab' for  building 46 in cell M49.
</v>
      </c>
      <c r="G2313" s="9" t="str">
        <f t="shared" ca="1" si="790"/>
        <v xml:space="preserve">Enter a value for 'Number of Floors in the Tallest Building' in cell B58.
</v>
      </c>
      <c r="H2313" s="52" t="str">
        <f t="shared" ca="1" si="804"/>
        <v>Eligible Basis for Rehab</v>
      </c>
      <c r="I2313" s="52">
        <v>13</v>
      </c>
    </row>
    <row r="2314" spans="1:10" ht="15" customHeight="1">
      <c r="A2314" t="str">
        <f ca="1">IF(AND(OFFSET(A2314, -I2314 + 2, 4) &gt;  0, E2314="", Calculations!$B$7), F2314, "")</f>
        <v/>
      </c>
      <c r="B2314">
        <f t="shared" si="800"/>
        <v>49</v>
      </c>
      <c r="C2314">
        <f t="shared" ca="1" si="792"/>
        <v>46</v>
      </c>
      <c r="D2314" t="str">
        <f t="shared" si="801"/>
        <v>N49</v>
      </c>
      <c r="E2314" t="str">
        <f t="shared" ca="1" si="802"/>
        <v/>
      </c>
      <c r="F2314" t="str">
        <f t="shared" ca="1" si="803"/>
        <v xml:space="preserve">Enter a 'Cost of Acquiring the Building***' for  building 46 in cell N49.
</v>
      </c>
      <c r="G2314" s="9" t="str">
        <f t="shared" ca="1" si="790"/>
        <v xml:space="preserve">Enter a value for 'Number of Floors in the Tallest Building' in cell B58.
</v>
      </c>
      <c r="H2314" s="52" t="str">
        <f t="shared" ca="1" si="804"/>
        <v>Cost of Acquiring the Building***</v>
      </c>
      <c r="I2314" s="52">
        <v>14</v>
      </c>
    </row>
    <row r="2315" spans="1:10" ht="15" customHeight="1">
      <c r="A2315" t="str">
        <f ca="1">IF(AND(OFFSET(A2315, -I2315 + 2, 4) &gt;  0, E2315="", Calculations!$B$7), F2315, "")</f>
        <v/>
      </c>
      <c r="B2315">
        <f t="shared" si="800"/>
        <v>49</v>
      </c>
      <c r="C2315">
        <f t="shared" ca="1" si="792"/>
        <v>46</v>
      </c>
      <c r="D2315" t="str">
        <f t="shared" si="801"/>
        <v>O49</v>
      </c>
      <c r="E2315" t="str">
        <f t="shared" ca="1" si="802"/>
        <v/>
      </c>
      <c r="F2315" t="str">
        <f t="shared" ca="1" si="803"/>
        <v xml:space="preserve">Enter a 'Higher of Land Purchase Price or Land Appraised Value****' for  building 46 in cell O49.
</v>
      </c>
      <c r="G2315" s="9" t="str">
        <f t="shared" ca="1" si="790"/>
        <v xml:space="preserve">Enter a value for 'Number of Floors in the Tallest Building' in cell B58.
</v>
      </c>
      <c r="H2315" s="52" t="str">
        <f t="shared" ca="1" si="804"/>
        <v>Higher of Land Purchase Price or Land Appraised Value****</v>
      </c>
      <c r="I2315" s="52">
        <v>15</v>
      </c>
    </row>
    <row r="2316" spans="1:10" ht="15" customHeight="1">
      <c r="A2316" t="str">
        <f ca="1">IF(AND(OFFSET(A2316, -I2316 + 2, 4) &gt;  0, E2316="", Calculations!$B$7), F2316, "")</f>
        <v/>
      </c>
      <c r="B2316">
        <f t="shared" si="800"/>
        <v>49</v>
      </c>
      <c r="C2316">
        <f t="shared" ca="1" si="792"/>
        <v>46</v>
      </c>
      <c r="D2316" t="str">
        <f t="shared" si="801"/>
        <v>P49</v>
      </c>
      <c r="E2316" t="str">
        <f t="shared" ca="1" si="802"/>
        <v/>
      </c>
      <c r="F2316" t="str">
        <f t="shared" ca="1" si="803"/>
        <v xml:space="preserve">Enter a 'Acquisition Placed-in-Service Date' for  building 46 in cell P49.
</v>
      </c>
      <c r="G2316" s="9" t="str">
        <f t="shared" ca="1" si="790"/>
        <v xml:space="preserve">Enter a value for 'Number of Floors in the Tallest Building' in cell B58.
</v>
      </c>
      <c r="H2316" s="52" t="str">
        <f t="shared" ca="1" si="804"/>
        <v>Acquisition Placed-in-Service Date</v>
      </c>
      <c r="I2316" s="52">
        <v>16</v>
      </c>
    </row>
    <row r="2317" spans="1:10" ht="15" customHeight="1">
      <c r="A2317" t="str">
        <f ca="1">IF(AND(OFFSET(A2317, -I2317 + 2, 4) &gt;  0, E2317="", Calculations!$B$7), F2317, "")</f>
        <v/>
      </c>
      <c r="B2317">
        <f t="shared" si="800"/>
        <v>49</v>
      </c>
      <c r="C2317">
        <f t="shared" ca="1" si="792"/>
        <v>46</v>
      </c>
      <c r="D2317" t="str">
        <f t="shared" si="801"/>
        <v>Q49</v>
      </c>
      <c r="E2317" t="str">
        <f t="shared" ca="1" si="802"/>
        <v/>
      </c>
      <c r="F2317" t="str">
        <f t="shared" ca="1" si="803"/>
        <v xml:space="preserve">Enter a 'Acquisition APR' for  building 46 in cell Q49.
</v>
      </c>
      <c r="G2317" s="9" t="str">
        <f t="shared" ca="1" si="790"/>
        <v xml:space="preserve">Enter a value for 'Number of Floors in the Tallest Building' in cell B58.
</v>
      </c>
      <c r="H2317" s="52" t="str">
        <f t="shared" ca="1" si="804"/>
        <v>Acquisition APR</v>
      </c>
      <c r="I2317" s="52">
        <v>17</v>
      </c>
    </row>
    <row r="2318" spans="1:10" ht="15" customHeight="1">
      <c r="A2318" t="str">
        <f ca="1">IF(AND(Calculations!$B$4,Calculations!$B$28&gt;=C2318, E2318 &lt;&gt; 13),F2318,"")</f>
        <v/>
      </c>
      <c r="B2318">
        <f>ROW('Final Building Profile'!C50)</f>
        <v>50</v>
      </c>
      <c r="C2318">
        <f t="shared" ca="1" si="792"/>
        <v>47</v>
      </c>
      <c r="D2318" t="str">
        <f>ADDRESS(B2318, 3,4  )</f>
        <v>C50</v>
      </c>
      <c r="E2318" s="52">
        <f ca="1">H2318+I2318</f>
        <v>0</v>
      </c>
      <c r="F2318" t="str">
        <f ca="1">CONCATENATE("Based upon the number of buildings specified, information for  building ", C2318, " required for a final application in row ", B2318, ".", CHAR(10))</f>
        <v xml:space="preserve">Based upon the number of buildings specified, information for  building 47 required for a final application in row 50.
</v>
      </c>
      <c r="G2318" s="9" t="str">
        <f t="shared" ca="1" si="790"/>
        <v xml:space="preserve">Enter a value for 'Number of Floors in the Tallest Building' in cell B58.
</v>
      </c>
      <c r="H2318" s="52">
        <f ca="1">SUMPRODUCT(--ISTEXT(INDIRECT(J2318)))</f>
        <v>0</v>
      </c>
      <c r="I2318" s="52">
        <f ca="1">SUMPRODUCT(--ISNUMBER(INDIRECT(J2318)))</f>
        <v>0</v>
      </c>
      <c r="J2318" s="52" t="str">
        <f>$F$1564&amp; ADDRESS(B2318,3,4) &amp; ":" &amp; ADDRESS(B2318,15,4)</f>
        <v>'Final Building Profile'!C50:O50</v>
      </c>
    </row>
    <row r="2319" spans="1:10" ht="15" customHeight="1">
      <c r="A2319" t="str">
        <f t="shared" ref="A2319:A2328" ca="1" si="805">IF(AND(OFFSET(A2319, -I2319 + 2, 4) &gt;  0, E2319=""), F2319, "")</f>
        <v/>
      </c>
      <c r="B2319">
        <f t="shared" ref="B2319:B2333" si="806">B2318</f>
        <v>50</v>
      </c>
      <c r="C2319">
        <f t="shared" ca="1" si="792"/>
        <v>47</v>
      </c>
      <c r="D2319" t="str">
        <f t="shared" ref="D2319:D2333" si="807">ADDRESS(B2319, I2319,4  )</f>
        <v>C50</v>
      </c>
      <c r="E2319" t="str">
        <f t="shared" ref="E2319:E2333" ca="1" si="808">IF(ISBLANK( INDIRECT($F$1564 &amp; D2319)),"", INDIRECT($F$1564 &amp; D2319))</f>
        <v/>
      </c>
      <c r="F2319" t="str">
        <f t="shared" ref="F2319:F2333" ca="1" si="809">CONCATENATE("Enter a '"&amp; H2319 &amp;"' for  building ", C2319, " in cell ", D2319, ".", CHAR(10))</f>
        <v xml:space="preserve">Enter a 'Building Street Address Only 
(DO NOT ENTER CITY, STATE, OR ZIP)' for  building 47 in cell C50.
</v>
      </c>
      <c r="G2319" s="9" t="str">
        <f t="shared" ca="1" si="790"/>
        <v xml:space="preserve">Enter a value for 'Number of Floors in the Tallest Building' in cell B58.
</v>
      </c>
      <c r="H2319" s="52" t="str">
        <f t="shared" ref="H2319:H2333" ca="1" si="810">OFFSET(INDIRECT($F$1564 &amp; D2319), -B2319 + 3, 0)</f>
        <v>Building Street Address Only 
(DO NOT ENTER CITY, STATE, OR ZIP)</v>
      </c>
      <c r="I2319" s="52">
        <v>3</v>
      </c>
    </row>
    <row r="2320" spans="1:10" ht="15" customHeight="1">
      <c r="A2320" t="str">
        <f t="shared" ca="1" si="805"/>
        <v/>
      </c>
      <c r="B2320">
        <f t="shared" si="806"/>
        <v>50</v>
      </c>
      <c r="C2320">
        <f t="shared" ca="1" si="792"/>
        <v>47</v>
      </c>
      <c r="D2320" t="str">
        <f t="shared" si="807"/>
        <v>D50</v>
      </c>
      <c r="E2320" t="str">
        <f t="shared" ca="1" si="808"/>
        <v/>
      </c>
      <c r="F2320" t="str">
        <f t="shared" ca="1" si="809"/>
        <v xml:space="preserve">Enter a 'Total Units in Building*' for  building 47 in cell D50.
</v>
      </c>
      <c r="G2320" s="9" t="str">
        <f t="shared" ca="1" si="790"/>
        <v xml:space="preserve">Enter a value for 'Number of Floors in the Tallest Building' in cell B58.
</v>
      </c>
      <c r="H2320" s="52" t="str">
        <f t="shared" ca="1" si="810"/>
        <v>Total Units in Building*</v>
      </c>
      <c r="I2320" s="52">
        <v>4</v>
      </c>
    </row>
    <row r="2321" spans="1:10" ht="15" customHeight="1">
      <c r="A2321" t="str">
        <f t="shared" ca="1" si="805"/>
        <v/>
      </c>
      <c r="B2321">
        <f t="shared" si="806"/>
        <v>50</v>
      </c>
      <c r="C2321">
        <f t="shared" ca="1" si="792"/>
        <v>47</v>
      </c>
      <c r="D2321" t="str">
        <f t="shared" si="807"/>
        <v>E50</v>
      </c>
      <c r="E2321" t="str">
        <f t="shared" ca="1" si="808"/>
        <v/>
      </c>
      <c r="F2321" t="str">
        <f t="shared" ca="1" si="809"/>
        <v xml:space="preserve">Enter a 'Employee Units' for  building 47 in cell E50.
</v>
      </c>
      <c r="G2321" s="9" t="str">
        <f t="shared" ca="1" si="790"/>
        <v xml:space="preserve">Enter a value for 'Number of Floors in the Tallest Building' in cell B58.
</v>
      </c>
      <c r="H2321" s="52" t="str">
        <f t="shared" ca="1" si="810"/>
        <v>Employee Units</v>
      </c>
      <c r="I2321" s="52">
        <v>5</v>
      </c>
    </row>
    <row r="2322" spans="1:10" ht="15" customHeight="1">
      <c r="A2322" t="str">
        <f t="shared" ca="1" si="805"/>
        <v/>
      </c>
      <c r="B2322">
        <f t="shared" si="806"/>
        <v>50</v>
      </c>
      <c r="C2322">
        <f t="shared" ca="1" si="792"/>
        <v>47</v>
      </c>
      <c r="D2322" t="str">
        <f t="shared" si="807"/>
        <v>F50</v>
      </c>
      <c r="E2322" t="str">
        <f t="shared" ca="1" si="808"/>
        <v/>
      </c>
      <c r="F2322" t="str">
        <f t="shared" ca="1" si="809"/>
        <v xml:space="preserve">Enter a 'Low-Income Units' for  building 47 in cell F50.
</v>
      </c>
      <c r="G2322" s="9" t="str">
        <f t="shared" ca="1" si="790"/>
        <v xml:space="preserve">Enter a value for 'Number of Floors in the Tallest Building' in cell B58.
</v>
      </c>
      <c r="H2322" s="52" t="str">
        <f t="shared" ca="1" si="810"/>
        <v>Low-Income Units</v>
      </c>
      <c r="I2322" s="52">
        <v>6</v>
      </c>
    </row>
    <row r="2323" spans="1:10" ht="15" customHeight="1">
      <c r="A2323" t="str">
        <f t="shared" ca="1" si="805"/>
        <v/>
      </c>
      <c r="B2323">
        <f t="shared" si="806"/>
        <v>50</v>
      </c>
      <c r="C2323">
        <f t="shared" ca="1" si="792"/>
        <v>47</v>
      </c>
      <c r="D2323" t="str">
        <f t="shared" si="807"/>
        <v>G50</v>
      </c>
      <c r="E2323" t="str">
        <f t="shared" ca="1" si="808"/>
        <v/>
      </c>
      <c r="F2323" t="str">
        <f t="shared" ca="1" si="809"/>
        <v xml:space="preserve">Enter a 'Residential Square Footage**' for  building 47 in cell G50.
</v>
      </c>
      <c r="G2323" s="9" t="str">
        <f t="shared" ca="1" si="790"/>
        <v xml:space="preserve">Enter a value for 'Number of Floors in the Tallest Building' in cell B58.
</v>
      </c>
      <c r="H2323" s="52" t="str">
        <f t="shared" ca="1" si="810"/>
        <v>Residential Square Footage**</v>
      </c>
      <c r="I2323" s="52">
        <v>7</v>
      </c>
    </row>
    <row r="2324" spans="1:10" ht="15" customHeight="1">
      <c r="A2324" t="str">
        <f t="shared" ca="1" si="805"/>
        <v/>
      </c>
      <c r="B2324">
        <f t="shared" si="806"/>
        <v>50</v>
      </c>
      <c r="C2324">
        <f t="shared" ca="1" si="792"/>
        <v>47</v>
      </c>
      <c r="D2324" t="str">
        <f t="shared" si="807"/>
        <v>H50</v>
      </c>
      <c r="E2324" t="str">
        <f t="shared" ca="1" si="808"/>
        <v/>
      </c>
      <c r="F2324" t="str">
        <f t="shared" ca="1" si="809"/>
        <v xml:space="preserve">Enter a 'Square Footage of Employee Units' for  building 47 in cell H50.
</v>
      </c>
      <c r="G2324" s="9" t="str">
        <f t="shared" ca="1" si="790"/>
        <v xml:space="preserve">Enter a value for 'Number of Floors in the Tallest Building' in cell B58.
</v>
      </c>
      <c r="H2324" s="52" t="str">
        <f t="shared" ca="1" si="810"/>
        <v>Square Footage of Employee Units</v>
      </c>
      <c r="I2324" s="52">
        <v>8</v>
      </c>
    </row>
    <row r="2325" spans="1:10" ht="15" customHeight="1">
      <c r="A2325" t="str">
        <f t="shared" ca="1" si="805"/>
        <v/>
      </c>
      <c r="B2325">
        <f t="shared" si="806"/>
        <v>50</v>
      </c>
      <c r="C2325">
        <f t="shared" ca="1" si="792"/>
        <v>47</v>
      </c>
      <c r="D2325" t="str">
        <f t="shared" si="807"/>
        <v>I50</v>
      </c>
      <c r="E2325" t="str">
        <f t="shared" ca="1" si="808"/>
        <v/>
      </c>
      <c r="F2325" t="str">
        <f t="shared" ca="1" si="809"/>
        <v xml:space="preserve">Enter a 'Square Footage of Low-Income Units' for  building 47 in cell I50.
</v>
      </c>
      <c r="G2325" s="9" t="str">
        <f t="shared" ca="1" si="790"/>
        <v xml:space="preserve">Enter a value for 'Number of Floors in the Tallest Building' in cell B58.
</v>
      </c>
      <c r="H2325" s="52" t="str">
        <f t="shared" ca="1" si="810"/>
        <v>Square Footage of Low-Income Units</v>
      </c>
      <c r="I2325" s="52">
        <v>9</v>
      </c>
    </row>
    <row r="2326" spans="1:10" ht="15" customHeight="1">
      <c r="A2326" t="str">
        <f t="shared" ca="1" si="805"/>
        <v/>
      </c>
      <c r="B2326">
        <f t="shared" si="806"/>
        <v>50</v>
      </c>
      <c r="C2326">
        <f t="shared" ca="1" si="792"/>
        <v>47</v>
      </c>
      <c r="D2326" t="str">
        <f t="shared" si="807"/>
        <v>J50</v>
      </c>
      <c r="E2326" t="str">
        <f t="shared" ca="1" si="808"/>
        <v/>
      </c>
      <c r="F2326" t="str">
        <f t="shared" ca="1" si="809"/>
        <v xml:space="preserve">Enter a 'Placed-In-Service Date' for  building 47 in cell J50.
</v>
      </c>
      <c r="G2326" s="9" t="str">
        <f t="shared" ca="1" si="790"/>
        <v xml:space="preserve">Enter a value for 'Number of Floors in the Tallest Building' in cell B58.
</v>
      </c>
      <c r="H2326" s="52" t="str">
        <f t="shared" ca="1" si="810"/>
        <v>Placed-In-Service Date</v>
      </c>
      <c r="I2326" s="52">
        <v>10</v>
      </c>
    </row>
    <row r="2327" spans="1:10" ht="15" customHeight="1">
      <c r="A2327" t="str">
        <f t="shared" ca="1" si="805"/>
        <v/>
      </c>
      <c r="B2327">
        <f t="shared" si="806"/>
        <v>50</v>
      </c>
      <c r="C2327">
        <f t="shared" ca="1" si="792"/>
        <v>47</v>
      </c>
      <c r="D2327" t="str">
        <f t="shared" si="807"/>
        <v>K50</v>
      </c>
      <c r="E2327" t="str">
        <f t="shared" ca="1" si="808"/>
        <v/>
      </c>
      <c r="F2327" t="str">
        <f t="shared" ca="1" si="809"/>
        <v xml:space="preserve">Enter a 'New Construction/ Rehab APR' for  building 47 in cell K50.
</v>
      </c>
      <c r="G2327" s="9" t="str">
        <f t="shared" ca="1" si="790"/>
        <v xml:space="preserve">Enter a value for 'Number of Floors in the Tallest Building' in cell B58.
</v>
      </c>
      <c r="H2327" s="52" t="str">
        <f t="shared" ca="1" si="810"/>
        <v>New Construction/ Rehab APR</v>
      </c>
      <c r="I2327" s="52">
        <v>11</v>
      </c>
    </row>
    <row r="2328" spans="1:10" ht="15" customHeight="1">
      <c r="A2328" t="str">
        <f t="shared" ca="1" si="805"/>
        <v/>
      </c>
      <c r="B2328">
        <f t="shared" si="806"/>
        <v>50</v>
      </c>
      <c r="C2328">
        <f t="shared" ca="1" si="792"/>
        <v>47</v>
      </c>
      <c r="D2328" t="str">
        <f t="shared" si="807"/>
        <v>L50</v>
      </c>
      <c r="E2328" t="str">
        <f t="shared" ca="1" si="808"/>
        <v/>
      </c>
      <c r="F2328" t="str">
        <f t="shared" ca="1" si="809"/>
        <v xml:space="preserve">Enter a 'New Construction Eligible Basis' for  building 47 in cell L50.
</v>
      </c>
      <c r="G2328" s="9" t="str">
        <f t="shared" ca="1" si="790"/>
        <v xml:space="preserve">Enter a value for 'Number of Floors in the Tallest Building' in cell B58.
</v>
      </c>
      <c r="H2328" s="52" t="str">
        <f t="shared" ca="1" si="810"/>
        <v>New Construction Eligible Basis</v>
      </c>
      <c r="I2328" s="52">
        <v>12</v>
      </c>
    </row>
    <row r="2329" spans="1:10" ht="15" customHeight="1">
      <c r="A2329" t="str">
        <f ca="1">IF(AND(OFFSET(A2329, -I2329 + 2, 4) &gt;  0, E2329="", Calculations!$B$7), F2329, "")</f>
        <v/>
      </c>
      <c r="B2329">
        <f t="shared" si="806"/>
        <v>50</v>
      </c>
      <c r="C2329">
        <f t="shared" ca="1" si="792"/>
        <v>47</v>
      </c>
      <c r="D2329" t="str">
        <f t="shared" si="807"/>
        <v>M50</v>
      </c>
      <c r="E2329" t="str">
        <f t="shared" ca="1" si="808"/>
        <v/>
      </c>
      <c r="F2329" t="str">
        <f t="shared" ca="1" si="809"/>
        <v xml:space="preserve">Enter a 'Eligible Basis for Rehab' for  building 47 in cell M50.
</v>
      </c>
      <c r="G2329" s="9" t="str">
        <f t="shared" ca="1" si="790"/>
        <v xml:space="preserve">Enter a value for 'Number of Floors in the Tallest Building' in cell B58.
</v>
      </c>
      <c r="H2329" s="52" t="str">
        <f t="shared" ca="1" si="810"/>
        <v>Eligible Basis for Rehab</v>
      </c>
      <c r="I2329" s="52">
        <v>13</v>
      </c>
    </row>
    <row r="2330" spans="1:10" ht="15" customHeight="1">
      <c r="A2330" t="str">
        <f ca="1">IF(AND(OFFSET(A2330, -I2330 + 2, 4) &gt;  0, E2330="", Calculations!$B$7), F2330, "")</f>
        <v/>
      </c>
      <c r="B2330">
        <f t="shared" si="806"/>
        <v>50</v>
      </c>
      <c r="C2330">
        <f t="shared" ca="1" si="792"/>
        <v>47</v>
      </c>
      <c r="D2330" t="str">
        <f t="shared" si="807"/>
        <v>N50</v>
      </c>
      <c r="E2330" t="str">
        <f t="shared" ca="1" si="808"/>
        <v/>
      </c>
      <c r="F2330" t="str">
        <f t="shared" ca="1" si="809"/>
        <v xml:space="preserve">Enter a 'Cost of Acquiring the Building***' for  building 47 in cell N50.
</v>
      </c>
      <c r="G2330" s="9" t="str">
        <f t="shared" ca="1" si="790"/>
        <v xml:space="preserve">Enter a value for 'Number of Floors in the Tallest Building' in cell B58.
</v>
      </c>
      <c r="H2330" s="52" t="str">
        <f t="shared" ca="1" si="810"/>
        <v>Cost of Acquiring the Building***</v>
      </c>
      <c r="I2330" s="52">
        <v>14</v>
      </c>
    </row>
    <row r="2331" spans="1:10" ht="15" customHeight="1">
      <c r="A2331" t="str">
        <f ca="1">IF(AND(OFFSET(A2331, -I2331 + 2, 4) &gt;  0, E2331="", Calculations!$B$7), F2331, "")</f>
        <v/>
      </c>
      <c r="B2331">
        <f t="shared" si="806"/>
        <v>50</v>
      </c>
      <c r="C2331">
        <f t="shared" ca="1" si="792"/>
        <v>47</v>
      </c>
      <c r="D2331" t="str">
        <f t="shared" si="807"/>
        <v>O50</v>
      </c>
      <c r="E2331" t="str">
        <f t="shared" ca="1" si="808"/>
        <v/>
      </c>
      <c r="F2331" t="str">
        <f t="shared" ca="1" si="809"/>
        <v xml:space="preserve">Enter a 'Higher of Land Purchase Price or Land Appraised Value****' for  building 47 in cell O50.
</v>
      </c>
      <c r="G2331" s="9" t="str">
        <f t="shared" ca="1" si="790"/>
        <v xml:space="preserve">Enter a value for 'Number of Floors in the Tallest Building' in cell B58.
</v>
      </c>
      <c r="H2331" s="52" t="str">
        <f t="shared" ca="1" si="810"/>
        <v>Higher of Land Purchase Price or Land Appraised Value****</v>
      </c>
      <c r="I2331" s="52">
        <v>15</v>
      </c>
    </row>
    <row r="2332" spans="1:10" ht="15" customHeight="1">
      <c r="A2332" t="str">
        <f ca="1">IF(AND(OFFSET(A2332, -I2332 + 2, 4) &gt;  0, E2332="", Calculations!$B$7), F2332, "")</f>
        <v/>
      </c>
      <c r="B2332">
        <f t="shared" si="806"/>
        <v>50</v>
      </c>
      <c r="C2332">
        <f t="shared" ca="1" si="792"/>
        <v>47</v>
      </c>
      <c r="D2332" t="str">
        <f t="shared" si="807"/>
        <v>P50</v>
      </c>
      <c r="E2332" t="str">
        <f t="shared" ca="1" si="808"/>
        <v/>
      </c>
      <c r="F2332" t="str">
        <f t="shared" ca="1" si="809"/>
        <v xml:space="preserve">Enter a 'Acquisition Placed-in-Service Date' for  building 47 in cell P50.
</v>
      </c>
      <c r="G2332" s="9" t="str">
        <f t="shared" ca="1" si="790"/>
        <v xml:space="preserve">Enter a value for 'Number of Floors in the Tallest Building' in cell B58.
</v>
      </c>
      <c r="H2332" s="52" t="str">
        <f t="shared" ca="1" si="810"/>
        <v>Acquisition Placed-in-Service Date</v>
      </c>
      <c r="I2332" s="52">
        <v>16</v>
      </c>
    </row>
    <row r="2333" spans="1:10" ht="15" customHeight="1">
      <c r="A2333" t="str">
        <f ca="1">IF(AND(OFFSET(A2333, -I2333 + 2, 4) &gt;  0, E2333="", Calculations!$B$7), F2333, "")</f>
        <v/>
      </c>
      <c r="B2333">
        <f t="shared" si="806"/>
        <v>50</v>
      </c>
      <c r="C2333">
        <f t="shared" ca="1" si="792"/>
        <v>47</v>
      </c>
      <c r="D2333" t="str">
        <f t="shared" si="807"/>
        <v>Q50</v>
      </c>
      <c r="E2333" t="str">
        <f t="shared" ca="1" si="808"/>
        <v/>
      </c>
      <c r="F2333" t="str">
        <f t="shared" ca="1" si="809"/>
        <v xml:space="preserve">Enter a 'Acquisition APR' for  building 47 in cell Q50.
</v>
      </c>
      <c r="G2333" s="9" t="str">
        <f t="shared" ca="1" si="790"/>
        <v xml:space="preserve">Enter a value for 'Number of Floors in the Tallest Building' in cell B58.
</v>
      </c>
      <c r="H2333" s="52" t="str">
        <f t="shared" ca="1" si="810"/>
        <v>Acquisition APR</v>
      </c>
      <c r="I2333" s="52">
        <v>17</v>
      </c>
    </row>
    <row r="2334" spans="1:10" ht="15" customHeight="1">
      <c r="A2334" t="str">
        <f ca="1">IF(AND(Calculations!$B$4,Calculations!$B$28&gt;=C2334, E2334 &lt;&gt; 13),F2334,"")</f>
        <v/>
      </c>
      <c r="B2334">
        <f>ROW('Final Building Profile'!C51)</f>
        <v>51</v>
      </c>
      <c r="C2334">
        <f t="shared" ca="1" si="792"/>
        <v>48</v>
      </c>
      <c r="D2334" t="str">
        <f>ADDRESS(B2334, 3,4  )</f>
        <v>C51</v>
      </c>
      <c r="E2334" s="52">
        <f ca="1">H2334+I2334</f>
        <v>0</v>
      </c>
      <c r="F2334" t="str">
        <f ca="1">CONCATENATE("Based upon the number of buildings specified, information for  building ", C2334, " required for a final application in row ", B2334, ".", CHAR(10))</f>
        <v xml:space="preserve">Based upon the number of buildings specified, information for  building 48 required for a final application in row 51.
</v>
      </c>
      <c r="G2334" s="9" t="str">
        <f t="shared" ca="1" si="790"/>
        <v xml:space="preserve">Enter a value for 'Number of Floors in the Tallest Building' in cell B58.
</v>
      </c>
      <c r="H2334" s="52">
        <f ca="1">SUMPRODUCT(--ISTEXT(INDIRECT(J2334)))</f>
        <v>0</v>
      </c>
      <c r="I2334" s="52">
        <f ca="1">SUMPRODUCT(--ISNUMBER(INDIRECT(J2334)))</f>
        <v>0</v>
      </c>
      <c r="J2334" s="52" t="str">
        <f>$F$1564&amp; ADDRESS(B2334,3,4) &amp; ":" &amp; ADDRESS(B2334,15,4)</f>
        <v>'Final Building Profile'!C51:O51</v>
      </c>
    </row>
    <row r="2335" spans="1:10" ht="15" customHeight="1">
      <c r="A2335" t="str">
        <f t="shared" ref="A2335:A2344" ca="1" si="811">IF(AND(OFFSET(A2335, -I2335 + 2, 4) &gt;  0, E2335=""), F2335, "")</f>
        <v/>
      </c>
      <c r="B2335">
        <f t="shared" ref="B2335:B2349" si="812">B2334</f>
        <v>51</v>
      </c>
      <c r="C2335">
        <f t="shared" ca="1" si="792"/>
        <v>48</v>
      </c>
      <c r="D2335" t="str">
        <f t="shared" ref="D2335:D2349" si="813">ADDRESS(B2335, I2335,4  )</f>
        <v>C51</v>
      </c>
      <c r="E2335" t="str">
        <f t="shared" ref="E2335:E2349" ca="1" si="814">IF(ISBLANK( INDIRECT($F$1564 &amp; D2335)),"", INDIRECT($F$1564 &amp; D2335))</f>
        <v/>
      </c>
      <c r="F2335" t="str">
        <f t="shared" ref="F2335:F2349" ca="1" si="815">CONCATENATE("Enter a '"&amp; H2335 &amp;"' for  building ", C2335, " in cell ", D2335, ".", CHAR(10))</f>
        <v xml:space="preserve">Enter a 'Building Street Address Only 
(DO NOT ENTER CITY, STATE, OR ZIP)' for  building 48 in cell C51.
</v>
      </c>
      <c r="G2335" s="9" t="str">
        <f t="shared" ref="G2335:G2398" ca="1" si="816">OFFSET(G2335, -1, 0) &amp; A2335</f>
        <v xml:space="preserve">Enter a value for 'Number of Floors in the Tallest Building' in cell B58.
</v>
      </c>
      <c r="H2335" s="52" t="str">
        <f t="shared" ref="H2335:H2349" ca="1" si="817">OFFSET(INDIRECT($F$1564 &amp; D2335), -B2335 + 3, 0)</f>
        <v>Building Street Address Only 
(DO NOT ENTER CITY, STATE, OR ZIP)</v>
      </c>
      <c r="I2335" s="52">
        <v>3</v>
      </c>
    </row>
    <row r="2336" spans="1:10" ht="15" customHeight="1">
      <c r="A2336" t="str">
        <f t="shared" ca="1" si="811"/>
        <v/>
      </c>
      <c r="B2336">
        <f t="shared" si="812"/>
        <v>51</v>
      </c>
      <c r="C2336">
        <f t="shared" ca="1" si="792"/>
        <v>48</v>
      </c>
      <c r="D2336" t="str">
        <f t="shared" si="813"/>
        <v>D51</v>
      </c>
      <c r="E2336" t="str">
        <f t="shared" ca="1" si="814"/>
        <v/>
      </c>
      <c r="F2336" t="str">
        <f t="shared" ca="1" si="815"/>
        <v xml:space="preserve">Enter a 'Total Units in Building*' for  building 48 in cell D51.
</v>
      </c>
      <c r="G2336" s="9" t="str">
        <f t="shared" ca="1" si="816"/>
        <v xml:space="preserve">Enter a value for 'Number of Floors in the Tallest Building' in cell B58.
</v>
      </c>
      <c r="H2336" s="52" t="str">
        <f t="shared" ca="1" si="817"/>
        <v>Total Units in Building*</v>
      </c>
      <c r="I2336" s="52">
        <v>4</v>
      </c>
    </row>
    <row r="2337" spans="1:10" ht="15" customHeight="1">
      <c r="A2337" t="str">
        <f t="shared" ca="1" si="811"/>
        <v/>
      </c>
      <c r="B2337">
        <f t="shared" si="812"/>
        <v>51</v>
      </c>
      <c r="C2337">
        <f t="shared" ca="1" si="792"/>
        <v>48</v>
      </c>
      <c r="D2337" t="str">
        <f t="shared" si="813"/>
        <v>E51</v>
      </c>
      <c r="E2337" t="str">
        <f t="shared" ca="1" si="814"/>
        <v/>
      </c>
      <c r="F2337" t="str">
        <f t="shared" ca="1" si="815"/>
        <v xml:space="preserve">Enter a 'Employee Units' for  building 48 in cell E51.
</v>
      </c>
      <c r="G2337" s="9" t="str">
        <f t="shared" ca="1" si="816"/>
        <v xml:space="preserve">Enter a value for 'Number of Floors in the Tallest Building' in cell B58.
</v>
      </c>
      <c r="H2337" s="52" t="str">
        <f t="shared" ca="1" si="817"/>
        <v>Employee Units</v>
      </c>
      <c r="I2337" s="52">
        <v>5</v>
      </c>
    </row>
    <row r="2338" spans="1:10" ht="15" customHeight="1">
      <c r="A2338" t="str">
        <f t="shared" ca="1" si="811"/>
        <v/>
      </c>
      <c r="B2338">
        <f t="shared" si="812"/>
        <v>51</v>
      </c>
      <c r="C2338">
        <f t="shared" ca="1" si="792"/>
        <v>48</v>
      </c>
      <c r="D2338" t="str">
        <f t="shared" si="813"/>
        <v>F51</v>
      </c>
      <c r="E2338" t="str">
        <f t="shared" ca="1" si="814"/>
        <v/>
      </c>
      <c r="F2338" t="str">
        <f t="shared" ca="1" si="815"/>
        <v xml:space="preserve">Enter a 'Low-Income Units' for  building 48 in cell F51.
</v>
      </c>
      <c r="G2338" s="9" t="str">
        <f t="shared" ca="1" si="816"/>
        <v xml:space="preserve">Enter a value for 'Number of Floors in the Tallest Building' in cell B58.
</v>
      </c>
      <c r="H2338" s="52" t="str">
        <f t="shared" ca="1" si="817"/>
        <v>Low-Income Units</v>
      </c>
      <c r="I2338" s="52">
        <v>6</v>
      </c>
    </row>
    <row r="2339" spans="1:10" ht="15" customHeight="1">
      <c r="A2339" t="str">
        <f t="shared" ca="1" si="811"/>
        <v/>
      </c>
      <c r="B2339">
        <f t="shared" si="812"/>
        <v>51</v>
      </c>
      <c r="C2339">
        <f t="shared" ca="1" si="792"/>
        <v>48</v>
      </c>
      <c r="D2339" t="str">
        <f t="shared" si="813"/>
        <v>G51</v>
      </c>
      <c r="E2339" t="str">
        <f t="shared" ca="1" si="814"/>
        <v/>
      </c>
      <c r="F2339" t="str">
        <f t="shared" ca="1" si="815"/>
        <v xml:space="preserve">Enter a 'Residential Square Footage**' for  building 48 in cell G51.
</v>
      </c>
      <c r="G2339" s="9" t="str">
        <f t="shared" ca="1" si="816"/>
        <v xml:space="preserve">Enter a value for 'Number of Floors in the Tallest Building' in cell B58.
</v>
      </c>
      <c r="H2339" s="52" t="str">
        <f t="shared" ca="1" si="817"/>
        <v>Residential Square Footage**</v>
      </c>
      <c r="I2339" s="52">
        <v>7</v>
      </c>
    </row>
    <row r="2340" spans="1:10" ht="15" customHeight="1">
      <c r="A2340" t="str">
        <f t="shared" ca="1" si="811"/>
        <v/>
      </c>
      <c r="B2340">
        <f t="shared" si="812"/>
        <v>51</v>
      </c>
      <c r="C2340">
        <f t="shared" ca="1" si="792"/>
        <v>48</v>
      </c>
      <c r="D2340" t="str">
        <f t="shared" si="813"/>
        <v>H51</v>
      </c>
      <c r="E2340" t="str">
        <f t="shared" ca="1" si="814"/>
        <v/>
      </c>
      <c r="F2340" t="str">
        <f t="shared" ca="1" si="815"/>
        <v xml:space="preserve">Enter a 'Square Footage of Employee Units' for  building 48 in cell H51.
</v>
      </c>
      <c r="G2340" s="9" t="str">
        <f t="shared" ca="1" si="816"/>
        <v xml:space="preserve">Enter a value for 'Number of Floors in the Tallest Building' in cell B58.
</v>
      </c>
      <c r="H2340" s="52" t="str">
        <f t="shared" ca="1" si="817"/>
        <v>Square Footage of Employee Units</v>
      </c>
      <c r="I2340" s="52">
        <v>8</v>
      </c>
    </row>
    <row r="2341" spans="1:10" ht="15" customHeight="1">
      <c r="A2341" t="str">
        <f t="shared" ca="1" si="811"/>
        <v/>
      </c>
      <c r="B2341">
        <f t="shared" si="812"/>
        <v>51</v>
      </c>
      <c r="C2341">
        <f t="shared" ca="1" si="792"/>
        <v>48</v>
      </c>
      <c r="D2341" t="str">
        <f t="shared" si="813"/>
        <v>I51</v>
      </c>
      <c r="E2341" t="str">
        <f t="shared" ca="1" si="814"/>
        <v/>
      </c>
      <c r="F2341" t="str">
        <f t="shared" ca="1" si="815"/>
        <v xml:space="preserve">Enter a 'Square Footage of Low-Income Units' for  building 48 in cell I51.
</v>
      </c>
      <c r="G2341" s="9" t="str">
        <f t="shared" ca="1" si="816"/>
        <v xml:space="preserve">Enter a value for 'Number of Floors in the Tallest Building' in cell B58.
</v>
      </c>
      <c r="H2341" s="52" t="str">
        <f t="shared" ca="1" si="817"/>
        <v>Square Footage of Low-Income Units</v>
      </c>
      <c r="I2341" s="52">
        <v>9</v>
      </c>
    </row>
    <row r="2342" spans="1:10" ht="15" customHeight="1">
      <c r="A2342" t="str">
        <f t="shared" ca="1" si="811"/>
        <v/>
      </c>
      <c r="B2342">
        <f t="shared" si="812"/>
        <v>51</v>
      </c>
      <c r="C2342">
        <f t="shared" ca="1" si="792"/>
        <v>48</v>
      </c>
      <c r="D2342" t="str">
        <f t="shared" si="813"/>
        <v>J51</v>
      </c>
      <c r="E2342" t="str">
        <f t="shared" ca="1" si="814"/>
        <v/>
      </c>
      <c r="F2342" t="str">
        <f t="shared" ca="1" si="815"/>
        <v xml:space="preserve">Enter a 'Placed-In-Service Date' for  building 48 in cell J51.
</v>
      </c>
      <c r="G2342" s="9" t="str">
        <f t="shared" ca="1" si="816"/>
        <v xml:space="preserve">Enter a value for 'Number of Floors in the Tallest Building' in cell B58.
</v>
      </c>
      <c r="H2342" s="52" t="str">
        <f t="shared" ca="1" si="817"/>
        <v>Placed-In-Service Date</v>
      </c>
      <c r="I2342" s="52">
        <v>10</v>
      </c>
    </row>
    <row r="2343" spans="1:10" ht="15" customHeight="1">
      <c r="A2343" t="str">
        <f t="shared" ca="1" si="811"/>
        <v/>
      </c>
      <c r="B2343">
        <f t="shared" si="812"/>
        <v>51</v>
      </c>
      <c r="C2343">
        <f t="shared" ca="1" si="792"/>
        <v>48</v>
      </c>
      <c r="D2343" t="str">
        <f t="shared" si="813"/>
        <v>K51</v>
      </c>
      <c r="E2343" t="str">
        <f t="shared" ca="1" si="814"/>
        <v/>
      </c>
      <c r="F2343" t="str">
        <f t="shared" ca="1" si="815"/>
        <v xml:space="preserve">Enter a 'New Construction/ Rehab APR' for  building 48 in cell K51.
</v>
      </c>
      <c r="G2343" s="9" t="str">
        <f t="shared" ca="1" si="816"/>
        <v xml:space="preserve">Enter a value for 'Number of Floors in the Tallest Building' in cell B58.
</v>
      </c>
      <c r="H2343" s="52" t="str">
        <f t="shared" ca="1" si="817"/>
        <v>New Construction/ Rehab APR</v>
      </c>
      <c r="I2343" s="52">
        <v>11</v>
      </c>
    </row>
    <row r="2344" spans="1:10" ht="15" customHeight="1">
      <c r="A2344" t="str">
        <f t="shared" ca="1" si="811"/>
        <v/>
      </c>
      <c r="B2344">
        <f t="shared" si="812"/>
        <v>51</v>
      </c>
      <c r="C2344">
        <f t="shared" ca="1" si="792"/>
        <v>48</v>
      </c>
      <c r="D2344" t="str">
        <f t="shared" si="813"/>
        <v>L51</v>
      </c>
      <c r="E2344" t="str">
        <f t="shared" ca="1" si="814"/>
        <v/>
      </c>
      <c r="F2344" t="str">
        <f t="shared" ca="1" si="815"/>
        <v xml:space="preserve">Enter a 'New Construction Eligible Basis' for  building 48 in cell L51.
</v>
      </c>
      <c r="G2344" s="9" t="str">
        <f t="shared" ca="1" si="816"/>
        <v xml:space="preserve">Enter a value for 'Number of Floors in the Tallest Building' in cell B58.
</v>
      </c>
      <c r="H2344" s="52" t="str">
        <f t="shared" ca="1" si="817"/>
        <v>New Construction Eligible Basis</v>
      </c>
      <c r="I2344" s="52">
        <v>12</v>
      </c>
    </row>
    <row r="2345" spans="1:10" ht="15" customHeight="1">
      <c r="A2345" t="str">
        <f ca="1">IF(AND(OFFSET(A2345, -I2345 + 2, 4) &gt;  0, E2345="", Calculations!$B$7), F2345, "")</f>
        <v/>
      </c>
      <c r="B2345">
        <f t="shared" si="812"/>
        <v>51</v>
      </c>
      <c r="C2345">
        <f t="shared" ca="1" si="792"/>
        <v>48</v>
      </c>
      <c r="D2345" t="str">
        <f t="shared" si="813"/>
        <v>M51</v>
      </c>
      <c r="E2345" t="str">
        <f t="shared" ca="1" si="814"/>
        <v/>
      </c>
      <c r="F2345" t="str">
        <f t="shared" ca="1" si="815"/>
        <v xml:space="preserve">Enter a 'Eligible Basis for Rehab' for  building 48 in cell M51.
</v>
      </c>
      <c r="G2345" s="9" t="str">
        <f t="shared" ca="1" si="816"/>
        <v xml:space="preserve">Enter a value for 'Number of Floors in the Tallest Building' in cell B58.
</v>
      </c>
      <c r="H2345" s="52" t="str">
        <f t="shared" ca="1" si="817"/>
        <v>Eligible Basis for Rehab</v>
      </c>
      <c r="I2345" s="52">
        <v>13</v>
      </c>
    </row>
    <row r="2346" spans="1:10" ht="15" customHeight="1">
      <c r="A2346" t="str">
        <f ca="1">IF(AND(OFFSET(A2346, -I2346 + 2, 4) &gt;  0, E2346="", Calculations!$B$7), F2346, "")</f>
        <v/>
      </c>
      <c r="B2346">
        <f t="shared" si="812"/>
        <v>51</v>
      </c>
      <c r="C2346">
        <f t="shared" ca="1" si="792"/>
        <v>48</v>
      </c>
      <c r="D2346" t="str">
        <f t="shared" si="813"/>
        <v>N51</v>
      </c>
      <c r="E2346" t="str">
        <f t="shared" ca="1" si="814"/>
        <v/>
      </c>
      <c r="F2346" t="str">
        <f t="shared" ca="1" si="815"/>
        <v xml:space="preserve">Enter a 'Cost of Acquiring the Building***' for  building 48 in cell N51.
</v>
      </c>
      <c r="G2346" s="9" t="str">
        <f t="shared" ca="1" si="816"/>
        <v xml:space="preserve">Enter a value for 'Number of Floors in the Tallest Building' in cell B58.
</v>
      </c>
      <c r="H2346" s="52" t="str">
        <f t="shared" ca="1" si="817"/>
        <v>Cost of Acquiring the Building***</v>
      </c>
      <c r="I2346" s="52">
        <v>14</v>
      </c>
    </row>
    <row r="2347" spans="1:10" ht="15" customHeight="1">
      <c r="A2347" t="str">
        <f ca="1">IF(AND(OFFSET(A2347, -I2347 + 2, 4) &gt;  0, E2347="", Calculations!$B$7), F2347, "")</f>
        <v/>
      </c>
      <c r="B2347">
        <f t="shared" si="812"/>
        <v>51</v>
      </c>
      <c r="C2347">
        <f t="shared" ca="1" si="792"/>
        <v>48</v>
      </c>
      <c r="D2347" t="str">
        <f t="shared" si="813"/>
        <v>O51</v>
      </c>
      <c r="E2347" t="str">
        <f t="shared" ca="1" si="814"/>
        <v/>
      </c>
      <c r="F2347" t="str">
        <f t="shared" ca="1" si="815"/>
        <v xml:space="preserve">Enter a 'Higher of Land Purchase Price or Land Appraised Value****' for  building 48 in cell O51.
</v>
      </c>
      <c r="G2347" s="9" t="str">
        <f t="shared" ca="1" si="816"/>
        <v xml:space="preserve">Enter a value for 'Number of Floors in the Tallest Building' in cell B58.
</v>
      </c>
      <c r="H2347" s="52" t="str">
        <f t="shared" ca="1" si="817"/>
        <v>Higher of Land Purchase Price or Land Appraised Value****</v>
      </c>
      <c r="I2347" s="52">
        <v>15</v>
      </c>
    </row>
    <row r="2348" spans="1:10" ht="15" customHeight="1">
      <c r="A2348" t="str">
        <f ca="1">IF(AND(OFFSET(A2348, -I2348 + 2, 4) &gt;  0, E2348="", Calculations!$B$7), F2348, "")</f>
        <v/>
      </c>
      <c r="B2348">
        <f t="shared" si="812"/>
        <v>51</v>
      </c>
      <c r="C2348">
        <f t="shared" ca="1" si="792"/>
        <v>48</v>
      </c>
      <c r="D2348" t="str">
        <f t="shared" si="813"/>
        <v>P51</v>
      </c>
      <c r="E2348" t="str">
        <f t="shared" ca="1" si="814"/>
        <v/>
      </c>
      <c r="F2348" t="str">
        <f t="shared" ca="1" si="815"/>
        <v xml:space="preserve">Enter a 'Acquisition Placed-in-Service Date' for  building 48 in cell P51.
</v>
      </c>
      <c r="G2348" s="9" t="str">
        <f t="shared" ca="1" si="816"/>
        <v xml:space="preserve">Enter a value for 'Number of Floors in the Tallest Building' in cell B58.
</v>
      </c>
      <c r="H2348" s="52" t="str">
        <f t="shared" ca="1" si="817"/>
        <v>Acquisition Placed-in-Service Date</v>
      </c>
      <c r="I2348" s="52">
        <v>16</v>
      </c>
    </row>
    <row r="2349" spans="1:10" ht="15" customHeight="1">
      <c r="A2349" t="str">
        <f ca="1">IF(AND(OFFSET(A2349, -I2349 + 2, 4) &gt;  0, E2349="", Calculations!$B$7), F2349, "")</f>
        <v/>
      </c>
      <c r="B2349">
        <f t="shared" si="812"/>
        <v>51</v>
      </c>
      <c r="C2349">
        <f t="shared" ca="1" si="792"/>
        <v>48</v>
      </c>
      <c r="D2349" t="str">
        <f t="shared" si="813"/>
        <v>Q51</v>
      </c>
      <c r="E2349" t="str">
        <f t="shared" ca="1" si="814"/>
        <v/>
      </c>
      <c r="F2349" t="str">
        <f t="shared" ca="1" si="815"/>
        <v xml:space="preserve">Enter a 'Acquisition APR' for  building 48 in cell Q51.
</v>
      </c>
      <c r="G2349" s="9" t="str">
        <f t="shared" ca="1" si="816"/>
        <v xml:space="preserve">Enter a value for 'Number of Floors in the Tallest Building' in cell B58.
</v>
      </c>
      <c r="H2349" s="52" t="str">
        <f t="shared" ca="1" si="817"/>
        <v>Acquisition APR</v>
      </c>
      <c r="I2349" s="52">
        <v>17</v>
      </c>
    </row>
    <row r="2350" spans="1:10" ht="15" customHeight="1">
      <c r="A2350" t="str">
        <f ca="1">IF(AND(Calculations!$B$4,Calculations!$B$28&gt;=C2350, E2350 &lt;&gt; 13),F2350,"")</f>
        <v/>
      </c>
      <c r="B2350">
        <f>ROW('Final Building Profile'!C52)</f>
        <v>52</v>
      </c>
      <c r="C2350">
        <f t="shared" ref="C2350:C2413" ca="1" si="818">INDIRECT($F$1564 &amp; ADDRESS(B2350, 1,4  ))</f>
        <v>49</v>
      </c>
      <c r="D2350" t="str">
        <f>ADDRESS(B2350, 3,4  )</f>
        <v>C52</v>
      </c>
      <c r="E2350" s="52">
        <f ca="1">H2350+I2350</f>
        <v>0</v>
      </c>
      <c r="F2350" t="str">
        <f ca="1">CONCATENATE("Based upon the number of buildings specified, information for  building ", C2350, " required for a final application in row ", B2350, ".", CHAR(10))</f>
        <v xml:space="preserve">Based upon the number of buildings specified, information for  building 49 required for a final application in row 52.
</v>
      </c>
      <c r="G2350" s="9" t="str">
        <f t="shared" ca="1" si="816"/>
        <v xml:space="preserve">Enter a value for 'Number of Floors in the Tallest Building' in cell B58.
</v>
      </c>
      <c r="H2350" s="52">
        <f ca="1">SUMPRODUCT(--ISTEXT(INDIRECT(J2350)))</f>
        <v>0</v>
      </c>
      <c r="I2350" s="52">
        <f ca="1">SUMPRODUCT(--ISNUMBER(INDIRECT(J2350)))</f>
        <v>0</v>
      </c>
      <c r="J2350" s="52" t="str">
        <f>$F$1564&amp; ADDRESS(B2350,3,4) &amp; ":" &amp; ADDRESS(B2350,15,4)</f>
        <v>'Final Building Profile'!C52:O52</v>
      </c>
    </row>
    <row r="2351" spans="1:10" ht="15" customHeight="1">
      <c r="A2351" t="str">
        <f t="shared" ref="A2351:A2360" ca="1" si="819">IF(AND(OFFSET(A2351, -I2351 + 2, 4) &gt;  0, E2351=""), F2351, "")</f>
        <v/>
      </c>
      <c r="B2351">
        <f t="shared" ref="B2351:B2365" si="820">B2350</f>
        <v>52</v>
      </c>
      <c r="C2351">
        <f t="shared" ca="1" si="818"/>
        <v>49</v>
      </c>
      <c r="D2351" t="str">
        <f t="shared" ref="D2351:D2365" si="821">ADDRESS(B2351, I2351,4  )</f>
        <v>C52</v>
      </c>
      <c r="E2351" t="str">
        <f t="shared" ref="E2351:E2365" ca="1" si="822">IF(ISBLANK( INDIRECT($F$1564 &amp; D2351)),"", INDIRECT($F$1564 &amp; D2351))</f>
        <v/>
      </c>
      <c r="F2351" t="str">
        <f t="shared" ref="F2351:F2365" ca="1" si="823">CONCATENATE("Enter a '"&amp; H2351 &amp;"' for  building ", C2351, " in cell ", D2351, ".", CHAR(10))</f>
        <v xml:space="preserve">Enter a 'Building Street Address Only 
(DO NOT ENTER CITY, STATE, OR ZIP)' for  building 49 in cell C52.
</v>
      </c>
      <c r="G2351" s="9" t="str">
        <f t="shared" ca="1" si="816"/>
        <v xml:space="preserve">Enter a value for 'Number of Floors in the Tallest Building' in cell B58.
</v>
      </c>
      <c r="H2351" s="52" t="str">
        <f t="shared" ref="H2351:H2365" ca="1" si="824">OFFSET(INDIRECT($F$1564 &amp; D2351), -B2351 + 3, 0)</f>
        <v>Building Street Address Only 
(DO NOT ENTER CITY, STATE, OR ZIP)</v>
      </c>
      <c r="I2351" s="52">
        <v>3</v>
      </c>
    </row>
    <row r="2352" spans="1:10" ht="15" customHeight="1">
      <c r="A2352" t="str">
        <f t="shared" ca="1" si="819"/>
        <v/>
      </c>
      <c r="B2352">
        <f t="shared" si="820"/>
        <v>52</v>
      </c>
      <c r="C2352">
        <f t="shared" ca="1" si="818"/>
        <v>49</v>
      </c>
      <c r="D2352" t="str">
        <f t="shared" si="821"/>
        <v>D52</v>
      </c>
      <c r="E2352" t="str">
        <f t="shared" ca="1" si="822"/>
        <v/>
      </c>
      <c r="F2352" t="str">
        <f t="shared" ca="1" si="823"/>
        <v xml:space="preserve">Enter a 'Total Units in Building*' for  building 49 in cell D52.
</v>
      </c>
      <c r="G2352" s="9" t="str">
        <f t="shared" ca="1" si="816"/>
        <v xml:space="preserve">Enter a value for 'Number of Floors in the Tallest Building' in cell B58.
</v>
      </c>
      <c r="H2352" s="52" t="str">
        <f t="shared" ca="1" si="824"/>
        <v>Total Units in Building*</v>
      </c>
      <c r="I2352" s="52">
        <v>4</v>
      </c>
    </row>
    <row r="2353" spans="1:10" ht="15" customHeight="1">
      <c r="A2353" t="str">
        <f t="shared" ca="1" si="819"/>
        <v/>
      </c>
      <c r="B2353">
        <f t="shared" si="820"/>
        <v>52</v>
      </c>
      <c r="C2353">
        <f t="shared" ca="1" si="818"/>
        <v>49</v>
      </c>
      <c r="D2353" t="str">
        <f t="shared" si="821"/>
        <v>E52</v>
      </c>
      <c r="E2353" t="str">
        <f t="shared" ca="1" si="822"/>
        <v/>
      </c>
      <c r="F2353" t="str">
        <f t="shared" ca="1" si="823"/>
        <v xml:space="preserve">Enter a 'Employee Units' for  building 49 in cell E52.
</v>
      </c>
      <c r="G2353" s="9" t="str">
        <f t="shared" ca="1" si="816"/>
        <v xml:space="preserve">Enter a value for 'Number of Floors in the Tallest Building' in cell B58.
</v>
      </c>
      <c r="H2353" s="52" t="str">
        <f t="shared" ca="1" si="824"/>
        <v>Employee Units</v>
      </c>
      <c r="I2353" s="52">
        <v>5</v>
      </c>
    </row>
    <row r="2354" spans="1:10" ht="15" customHeight="1">
      <c r="A2354" t="str">
        <f t="shared" ca="1" si="819"/>
        <v/>
      </c>
      <c r="B2354">
        <f t="shared" si="820"/>
        <v>52</v>
      </c>
      <c r="C2354">
        <f t="shared" ca="1" si="818"/>
        <v>49</v>
      </c>
      <c r="D2354" t="str">
        <f t="shared" si="821"/>
        <v>F52</v>
      </c>
      <c r="E2354" t="str">
        <f t="shared" ca="1" si="822"/>
        <v/>
      </c>
      <c r="F2354" t="str">
        <f t="shared" ca="1" si="823"/>
        <v xml:space="preserve">Enter a 'Low-Income Units' for  building 49 in cell F52.
</v>
      </c>
      <c r="G2354" s="9" t="str">
        <f t="shared" ca="1" si="816"/>
        <v xml:space="preserve">Enter a value for 'Number of Floors in the Tallest Building' in cell B58.
</v>
      </c>
      <c r="H2354" s="52" t="str">
        <f t="shared" ca="1" si="824"/>
        <v>Low-Income Units</v>
      </c>
      <c r="I2354" s="52">
        <v>6</v>
      </c>
    </row>
    <row r="2355" spans="1:10" ht="15" customHeight="1">
      <c r="A2355" t="str">
        <f t="shared" ca="1" si="819"/>
        <v/>
      </c>
      <c r="B2355">
        <f t="shared" si="820"/>
        <v>52</v>
      </c>
      <c r="C2355">
        <f t="shared" ca="1" si="818"/>
        <v>49</v>
      </c>
      <c r="D2355" t="str">
        <f t="shared" si="821"/>
        <v>G52</v>
      </c>
      <c r="E2355" t="str">
        <f t="shared" ca="1" si="822"/>
        <v/>
      </c>
      <c r="F2355" t="str">
        <f t="shared" ca="1" si="823"/>
        <v xml:space="preserve">Enter a 'Residential Square Footage**' for  building 49 in cell G52.
</v>
      </c>
      <c r="G2355" s="9" t="str">
        <f t="shared" ca="1" si="816"/>
        <v xml:space="preserve">Enter a value for 'Number of Floors in the Tallest Building' in cell B58.
</v>
      </c>
      <c r="H2355" s="52" t="str">
        <f t="shared" ca="1" si="824"/>
        <v>Residential Square Footage**</v>
      </c>
      <c r="I2355" s="52">
        <v>7</v>
      </c>
    </row>
    <row r="2356" spans="1:10" ht="15" customHeight="1">
      <c r="A2356" t="str">
        <f t="shared" ca="1" si="819"/>
        <v/>
      </c>
      <c r="B2356">
        <f t="shared" si="820"/>
        <v>52</v>
      </c>
      <c r="C2356">
        <f t="shared" ca="1" si="818"/>
        <v>49</v>
      </c>
      <c r="D2356" t="str">
        <f t="shared" si="821"/>
        <v>H52</v>
      </c>
      <c r="E2356" t="str">
        <f t="shared" ca="1" si="822"/>
        <v/>
      </c>
      <c r="F2356" t="str">
        <f t="shared" ca="1" si="823"/>
        <v xml:space="preserve">Enter a 'Square Footage of Employee Units' for  building 49 in cell H52.
</v>
      </c>
      <c r="G2356" s="9" t="str">
        <f t="shared" ca="1" si="816"/>
        <v xml:space="preserve">Enter a value for 'Number of Floors in the Tallest Building' in cell B58.
</v>
      </c>
      <c r="H2356" s="52" t="str">
        <f t="shared" ca="1" si="824"/>
        <v>Square Footage of Employee Units</v>
      </c>
      <c r="I2356" s="52">
        <v>8</v>
      </c>
    </row>
    <row r="2357" spans="1:10" ht="15" customHeight="1">
      <c r="A2357" t="str">
        <f t="shared" ca="1" si="819"/>
        <v/>
      </c>
      <c r="B2357">
        <f t="shared" si="820"/>
        <v>52</v>
      </c>
      <c r="C2357">
        <f t="shared" ca="1" si="818"/>
        <v>49</v>
      </c>
      <c r="D2357" t="str">
        <f t="shared" si="821"/>
        <v>I52</v>
      </c>
      <c r="E2357" t="str">
        <f t="shared" ca="1" si="822"/>
        <v/>
      </c>
      <c r="F2357" t="str">
        <f t="shared" ca="1" si="823"/>
        <v xml:space="preserve">Enter a 'Square Footage of Low-Income Units' for  building 49 in cell I52.
</v>
      </c>
      <c r="G2357" s="9" t="str">
        <f t="shared" ca="1" si="816"/>
        <v xml:space="preserve">Enter a value for 'Number of Floors in the Tallest Building' in cell B58.
</v>
      </c>
      <c r="H2357" s="52" t="str">
        <f t="shared" ca="1" si="824"/>
        <v>Square Footage of Low-Income Units</v>
      </c>
      <c r="I2357" s="52">
        <v>9</v>
      </c>
    </row>
    <row r="2358" spans="1:10" ht="15" customHeight="1">
      <c r="A2358" t="str">
        <f t="shared" ca="1" si="819"/>
        <v/>
      </c>
      <c r="B2358">
        <f t="shared" si="820"/>
        <v>52</v>
      </c>
      <c r="C2358">
        <f t="shared" ca="1" si="818"/>
        <v>49</v>
      </c>
      <c r="D2358" t="str">
        <f t="shared" si="821"/>
        <v>J52</v>
      </c>
      <c r="E2358" t="str">
        <f t="shared" ca="1" si="822"/>
        <v/>
      </c>
      <c r="F2358" t="str">
        <f t="shared" ca="1" si="823"/>
        <v xml:space="preserve">Enter a 'Placed-In-Service Date' for  building 49 in cell J52.
</v>
      </c>
      <c r="G2358" s="9" t="str">
        <f t="shared" ca="1" si="816"/>
        <v xml:space="preserve">Enter a value for 'Number of Floors in the Tallest Building' in cell B58.
</v>
      </c>
      <c r="H2358" s="52" t="str">
        <f t="shared" ca="1" si="824"/>
        <v>Placed-In-Service Date</v>
      </c>
      <c r="I2358" s="52">
        <v>10</v>
      </c>
    </row>
    <row r="2359" spans="1:10" ht="15" customHeight="1">
      <c r="A2359" t="str">
        <f t="shared" ca="1" si="819"/>
        <v/>
      </c>
      <c r="B2359">
        <f t="shared" si="820"/>
        <v>52</v>
      </c>
      <c r="C2359">
        <f t="shared" ca="1" si="818"/>
        <v>49</v>
      </c>
      <c r="D2359" t="str">
        <f t="shared" si="821"/>
        <v>K52</v>
      </c>
      <c r="E2359" t="str">
        <f t="shared" ca="1" si="822"/>
        <v/>
      </c>
      <c r="F2359" t="str">
        <f t="shared" ca="1" si="823"/>
        <v xml:space="preserve">Enter a 'New Construction/ Rehab APR' for  building 49 in cell K52.
</v>
      </c>
      <c r="G2359" s="9" t="str">
        <f t="shared" ca="1" si="816"/>
        <v xml:space="preserve">Enter a value for 'Number of Floors in the Tallest Building' in cell B58.
</v>
      </c>
      <c r="H2359" s="52" t="str">
        <f t="shared" ca="1" si="824"/>
        <v>New Construction/ Rehab APR</v>
      </c>
      <c r="I2359" s="52">
        <v>11</v>
      </c>
    </row>
    <row r="2360" spans="1:10" ht="15" customHeight="1">
      <c r="A2360" t="str">
        <f t="shared" ca="1" si="819"/>
        <v/>
      </c>
      <c r="B2360">
        <f t="shared" si="820"/>
        <v>52</v>
      </c>
      <c r="C2360">
        <f t="shared" ca="1" si="818"/>
        <v>49</v>
      </c>
      <c r="D2360" t="str">
        <f t="shared" si="821"/>
        <v>L52</v>
      </c>
      <c r="E2360" t="str">
        <f t="shared" ca="1" si="822"/>
        <v/>
      </c>
      <c r="F2360" t="str">
        <f t="shared" ca="1" si="823"/>
        <v xml:space="preserve">Enter a 'New Construction Eligible Basis' for  building 49 in cell L52.
</v>
      </c>
      <c r="G2360" s="9" t="str">
        <f t="shared" ca="1" si="816"/>
        <v xml:space="preserve">Enter a value for 'Number of Floors in the Tallest Building' in cell B58.
</v>
      </c>
      <c r="H2360" s="52" t="str">
        <f t="shared" ca="1" si="824"/>
        <v>New Construction Eligible Basis</v>
      </c>
      <c r="I2360" s="52">
        <v>12</v>
      </c>
    </row>
    <row r="2361" spans="1:10" ht="15" customHeight="1">
      <c r="A2361" t="str">
        <f ca="1">IF(AND(OFFSET(A2361, -I2361 + 2, 4) &gt;  0, E2361="", Calculations!$B$7), F2361, "")</f>
        <v/>
      </c>
      <c r="B2361">
        <f t="shared" si="820"/>
        <v>52</v>
      </c>
      <c r="C2361">
        <f t="shared" ca="1" si="818"/>
        <v>49</v>
      </c>
      <c r="D2361" t="str">
        <f t="shared" si="821"/>
        <v>M52</v>
      </c>
      <c r="E2361" t="str">
        <f t="shared" ca="1" si="822"/>
        <v/>
      </c>
      <c r="F2361" t="str">
        <f t="shared" ca="1" si="823"/>
        <v xml:space="preserve">Enter a 'Eligible Basis for Rehab' for  building 49 in cell M52.
</v>
      </c>
      <c r="G2361" s="9" t="str">
        <f t="shared" ca="1" si="816"/>
        <v xml:space="preserve">Enter a value for 'Number of Floors in the Tallest Building' in cell B58.
</v>
      </c>
      <c r="H2361" s="52" t="str">
        <f t="shared" ca="1" si="824"/>
        <v>Eligible Basis for Rehab</v>
      </c>
      <c r="I2361" s="52">
        <v>13</v>
      </c>
    </row>
    <row r="2362" spans="1:10" ht="15" customHeight="1">
      <c r="A2362" t="str">
        <f ca="1">IF(AND(OFFSET(A2362, -I2362 + 2, 4) &gt;  0, E2362="", Calculations!$B$7), F2362, "")</f>
        <v/>
      </c>
      <c r="B2362">
        <f t="shared" si="820"/>
        <v>52</v>
      </c>
      <c r="C2362">
        <f t="shared" ca="1" si="818"/>
        <v>49</v>
      </c>
      <c r="D2362" t="str">
        <f t="shared" si="821"/>
        <v>N52</v>
      </c>
      <c r="E2362" t="str">
        <f t="shared" ca="1" si="822"/>
        <v/>
      </c>
      <c r="F2362" t="str">
        <f t="shared" ca="1" si="823"/>
        <v xml:space="preserve">Enter a 'Cost of Acquiring the Building***' for  building 49 in cell N52.
</v>
      </c>
      <c r="G2362" s="9" t="str">
        <f t="shared" ca="1" si="816"/>
        <v xml:space="preserve">Enter a value for 'Number of Floors in the Tallest Building' in cell B58.
</v>
      </c>
      <c r="H2362" s="52" t="str">
        <f t="shared" ca="1" si="824"/>
        <v>Cost of Acquiring the Building***</v>
      </c>
      <c r="I2362" s="52">
        <v>14</v>
      </c>
    </row>
    <row r="2363" spans="1:10" ht="15" customHeight="1">
      <c r="A2363" t="str">
        <f ca="1">IF(AND(OFFSET(A2363, -I2363 + 2, 4) &gt;  0, E2363="", Calculations!$B$7), F2363, "")</f>
        <v/>
      </c>
      <c r="B2363">
        <f t="shared" si="820"/>
        <v>52</v>
      </c>
      <c r="C2363">
        <f t="shared" ca="1" si="818"/>
        <v>49</v>
      </c>
      <c r="D2363" t="str">
        <f t="shared" si="821"/>
        <v>O52</v>
      </c>
      <c r="E2363" t="str">
        <f t="shared" ca="1" si="822"/>
        <v/>
      </c>
      <c r="F2363" t="str">
        <f t="shared" ca="1" si="823"/>
        <v xml:space="preserve">Enter a 'Higher of Land Purchase Price or Land Appraised Value****' for  building 49 in cell O52.
</v>
      </c>
      <c r="G2363" s="9" t="str">
        <f t="shared" ca="1" si="816"/>
        <v xml:space="preserve">Enter a value for 'Number of Floors in the Tallest Building' in cell B58.
</v>
      </c>
      <c r="H2363" s="52" t="str">
        <f t="shared" ca="1" si="824"/>
        <v>Higher of Land Purchase Price or Land Appraised Value****</v>
      </c>
      <c r="I2363" s="52">
        <v>15</v>
      </c>
    </row>
    <row r="2364" spans="1:10" ht="15" customHeight="1">
      <c r="A2364" t="str">
        <f ca="1">IF(AND(OFFSET(A2364, -I2364 + 2, 4) &gt;  0, E2364="", Calculations!$B$7), F2364, "")</f>
        <v/>
      </c>
      <c r="B2364">
        <f t="shared" si="820"/>
        <v>52</v>
      </c>
      <c r="C2364">
        <f t="shared" ca="1" si="818"/>
        <v>49</v>
      </c>
      <c r="D2364" t="str">
        <f t="shared" si="821"/>
        <v>P52</v>
      </c>
      <c r="E2364" t="str">
        <f t="shared" ca="1" si="822"/>
        <v/>
      </c>
      <c r="F2364" t="str">
        <f t="shared" ca="1" si="823"/>
        <v xml:space="preserve">Enter a 'Acquisition Placed-in-Service Date' for  building 49 in cell P52.
</v>
      </c>
      <c r="G2364" s="9" t="str">
        <f t="shared" ca="1" si="816"/>
        <v xml:space="preserve">Enter a value for 'Number of Floors in the Tallest Building' in cell B58.
</v>
      </c>
      <c r="H2364" s="52" t="str">
        <f t="shared" ca="1" si="824"/>
        <v>Acquisition Placed-in-Service Date</v>
      </c>
      <c r="I2364" s="52">
        <v>16</v>
      </c>
    </row>
    <row r="2365" spans="1:10" ht="15" customHeight="1">
      <c r="A2365" t="str">
        <f ca="1">IF(AND(OFFSET(A2365, -I2365 + 2, 4) &gt;  0, E2365="", Calculations!$B$7), F2365, "")</f>
        <v/>
      </c>
      <c r="B2365">
        <f t="shared" si="820"/>
        <v>52</v>
      </c>
      <c r="C2365">
        <f t="shared" ca="1" si="818"/>
        <v>49</v>
      </c>
      <c r="D2365" t="str">
        <f t="shared" si="821"/>
        <v>Q52</v>
      </c>
      <c r="E2365" t="str">
        <f t="shared" ca="1" si="822"/>
        <v/>
      </c>
      <c r="F2365" t="str">
        <f t="shared" ca="1" si="823"/>
        <v xml:space="preserve">Enter a 'Acquisition APR' for  building 49 in cell Q52.
</v>
      </c>
      <c r="G2365" s="9" t="str">
        <f t="shared" ca="1" si="816"/>
        <v xml:space="preserve">Enter a value for 'Number of Floors in the Tallest Building' in cell B58.
</v>
      </c>
      <c r="H2365" s="52" t="str">
        <f t="shared" ca="1" si="824"/>
        <v>Acquisition APR</v>
      </c>
      <c r="I2365" s="52">
        <v>17</v>
      </c>
    </row>
    <row r="2366" spans="1:10" ht="15" customHeight="1">
      <c r="A2366" t="str">
        <f ca="1">IF(AND(Calculations!$B$4,Calculations!$B$28&gt;=C2366, E2366 &lt;&gt; 13),F2366,"")</f>
        <v/>
      </c>
      <c r="B2366">
        <f>ROW('Final Building Profile'!C53)</f>
        <v>53</v>
      </c>
      <c r="C2366">
        <f t="shared" ca="1" si="818"/>
        <v>50</v>
      </c>
      <c r="D2366" t="str">
        <f>ADDRESS(B2366, 3,4  )</f>
        <v>C53</v>
      </c>
      <c r="E2366" s="52">
        <f ca="1">H2366+I2366</f>
        <v>0</v>
      </c>
      <c r="F2366" t="str">
        <f ca="1">CONCATENATE("Based upon the number of buildings specified, information for  building ", C2366, " required for a final application in row ", B2366, ".", CHAR(10))</f>
        <v xml:space="preserve">Based upon the number of buildings specified, information for  building 50 required for a final application in row 53.
</v>
      </c>
      <c r="G2366" s="9" t="str">
        <f t="shared" ca="1" si="816"/>
        <v xml:space="preserve">Enter a value for 'Number of Floors in the Tallest Building' in cell B58.
</v>
      </c>
      <c r="H2366" s="52">
        <f ca="1">SUMPRODUCT(--ISTEXT(INDIRECT(J2366)))</f>
        <v>0</v>
      </c>
      <c r="I2366" s="52">
        <f ca="1">SUMPRODUCT(--ISNUMBER(INDIRECT(J2366)))</f>
        <v>0</v>
      </c>
      <c r="J2366" s="52" t="str">
        <f>$F$1564&amp; ADDRESS(B2366,3,4) &amp; ":" &amp; ADDRESS(B2366,15,4)</f>
        <v>'Final Building Profile'!C53:O53</v>
      </c>
    </row>
    <row r="2367" spans="1:10" ht="15" customHeight="1">
      <c r="A2367" t="str">
        <f t="shared" ref="A2367:A2376" ca="1" si="825">IF(AND(OFFSET(A2367, -I2367 + 2, 4) &gt;  0, E2367=""), F2367, "")</f>
        <v/>
      </c>
      <c r="B2367">
        <f t="shared" ref="B2367:B2381" si="826">B2366</f>
        <v>53</v>
      </c>
      <c r="C2367">
        <f t="shared" ca="1" si="818"/>
        <v>50</v>
      </c>
      <c r="D2367" t="str">
        <f t="shared" ref="D2367:D2381" si="827">ADDRESS(B2367, I2367,4  )</f>
        <v>C53</v>
      </c>
      <c r="E2367" t="str">
        <f t="shared" ref="E2367:E2381" ca="1" si="828">IF(ISBLANK( INDIRECT($F$1564 &amp; D2367)),"", INDIRECT($F$1564 &amp; D2367))</f>
        <v/>
      </c>
      <c r="F2367" t="str">
        <f t="shared" ref="F2367:F2381" ca="1" si="829">CONCATENATE("Enter a '"&amp; H2367 &amp;"' for  building ", C2367, " in cell ", D2367, ".", CHAR(10))</f>
        <v xml:space="preserve">Enter a 'Building Street Address Only 
(DO NOT ENTER CITY, STATE, OR ZIP)' for  building 50 in cell C53.
</v>
      </c>
      <c r="G2367" s="9" t="str">
        <f t="shared" ca="1" si="816"/>
        <v xml:space="preserve">Enter a value for 'Number of Floors in the Tallest Building' in cell B58.
</v>
      </c>
      <c r="H2367" s="52" t="str">
        <f t="shared" ref="H2367:H2381" ca="1" si="830">OFFSET(INDIRECT($F$1564 &amp; D2367), -B2367 + 3, 0)</f>
        <v>Building Street Address Only 
(DO NOT ENTER CITY, STATE, OR ZIP)</v>
      </c>
      <c r="I2367" s="52">
        <v>3</v>
      </c>
    </row>
    <row r="2368" spans="1:10" ht="15" customHeight="1">
      <c r="A2368" t="str">
        <f t="shared" ca="1" si="825"/>
        <v/>
      </c>
      <c r="B2368">
        <f t="shared" si="826"/>
        <v>53</v>
      </c>
      <c r="C2368">
        <f t="shared" ca="1" si="818"/>
        <v>50</v>
      </c>
      <c r="D2368" t="str">
        <f t="shared" si="827"/>
        <v>D53</v>
      </c>
      <c r="E2368" t="str">
        <f t="shared" ca="1" si="828"/>
        <v/>
      </c>
      <c r="F2368" t="str">
        <f t="shared" ca="1" si="829"/>
        <v xml:space="preserve">Enter a 'Total Units in Building*' for  building 50 in cell D53.
</v>
      </c>
      <c r="G2368" s="9" t="str">
        <f t="shared" ca="1" si="816"/>
        <v xml:space="preserve">Enter a value for 'Number of Floors in the Tallest Building' in cell B58.
</v>
      </c>
      <c r="H2368" s="52" t="str">
        <f t="shared" ca="1" si="830"/>
        <v>Total Units in Building*</v>
      </c>
      <c r="I2368" s="52">
        <v>4</v>
      </c>
    </row>
    <row r="2369" spans="1:10" ht="15" customHeight="1">
      <c r="A2369" t="str">
        <f t="shared" ca="1" si="825"/>
        <v/>
      </c>
      <c r="B2369">
        <f t="shared" si="826"/>
        <v>53</v>
      </c>
      <c r="C2369">
        <f t="shared" ca="1" si="818"/>
        <v>50</v>
      </c>
      <c r="D2369" t="str">
        <f t="shared" si="827"/>
        <v>E53</v>
      </c>
      <c r="E2369" t="str">
        <f t="shared" ca="1" si="828"/>
        <v/>
      </c>
      <c r="F2369" t="str">
        <f t="shared" ca="1" si="829"/>
        <v xml:space="preserve">Enter a 'Employee Units' for  building 50 in cell E53.
</v>
      </c>
      <c r="G2369" s="9" t="str">
        <f t="shared" ca="1" si="816"/>
        <v xml:space="preserve">Enter a value for 'Number of Floors in the Tallest Building' in cell B58.
</v>
      </c>
      <c r="H2369" s="52" t="str">
        <f t="shared" ca="1" si="830"/>
        <v>Employee Units</v>
      </c>
      <c r="I2369" s="52">
        <v>5</v>
      </c>
    </row>
    <row r="2370" spans="1:10" ht="15" customHeight="1">
      <c r="A2370" t="str">
        <f t="shared" ca="1" si="825"/>
        <v/>
      </c>
      <c r="B2370">
        <f t="shared" si="826"/>
        <v>53</v>
      </c>
      <c r="C2370">
        <f t="shared" ca="1" si="818"/>
        <v>50</v>
      </c>
      <c r="D2370" t="str">
        <f t="shared" si="827"/>
        <v>F53</v>
      </c>
      <c r="E2370" t="str">
        <f t="shared" ca="1" si="828"/>
        <v/>
      </c>
      <c r="F2370" t="str">
        <f t="shared" ca="1" si="829"/>
        <v xml:space="preserve">Enter a 'Low-Income Units' for  building 50 in cell F53.
</v>
      </c>
      <c r="G2370" s="9" t="str">
        <f t="shared" ca="1" si="816"/>
        <v xml:space="preserve">Enter a value for 'Number of Floors in the Tallest Building' in cell B58.
</v>
      </c>
      <c r="H2370" s="52" t="str">
        <f t="shared" ca="1" si="830"/>
        <v>Low-Income Units</v>
      </c>
      <c r="I2370" s="52">
        <v>6</v>
      </c>
    </row>
    <row r="2371" spans="1:10" ht="15" customHeight="1">
      <c r="A2371" t="str">
        <f t="shared" ca="1" si="825"/>
        <v/>
      </c>
      <c r="B2371">
        <f t="shared" si="826"/>
        <v>53</v>
      </c>
      <c r="C2371">
        <f t="shared" ca="1" si="818"/>
        <v>50</v>
      </c>
      <c r="D2371" t="str">
        <f t="shared" si="827"/>
        <v>G53</v>
      </c>
      <c r="E2371" t="str">
        <f t="shared" ca="1" si="828"/>
        <v/>
      </c>
      <c r="F2371" t="str">
        <f t="shared" ca="1" si="829"/>
        <v xml:space="preserve">Enter a 'Residential Square Footage**' for  building 50 in cell G53.
</v>
      </c>
      <c r="G2371" s="9" t="str">
        <f t="shared" ca="1" si="816"/>
        <v xml:space="preserve">Enter a value for 'Number of Floors in the Tallest Building' in cell B58.
</v>
      </c>
      <c r="H2371" s="52" t="str">
        <f t="shared" ca="1" si="830"/>
        <v>Residential Square Footage**</v>
      </c>
      <c r="I2371" s="52">
        <v>7</v>
      </c>
    </row>
    <row r="2372" spans="1:10" ht="15" customHeight="1">
      <c r="A2372" t="str">
        <f t="shared" ca="1" si="825"/>
        <v/>
      </c>
      <c r="B2372">
        <f t="shared" si="826"/>
        <v>53</v>
      </c>
      <c r="C2372">
        <f t="shared" ca="1" si="818"/>
        <v>50</v>
      </c>
      <c r="D2372" t="str">
        <f t="shared" si="827"/>
        <v>H53</v>
      </c>
      <c r="E2372" t="str">
        <f t="shared" ca="1" si="828"/>
        <v/>
      </c>
      <c r="F2372" t="str">
        <f t="shared" ca="1" si="829"/>
        <v xml:space="preserve">Enter a 'Square Footage of Employee Units' for  building 50 in cell H53.
</v>
      </c>
      <c r="G2372" s="9" t="str">
        <f t="shared" ca="1" si="816"/>
        <v xml:space="preserve">Enter a value for 'Number of Floors in the Tallest Building' in cell B58.
</v>
      </c>
      <c r="H2372" s="52" t="str">
        <f t="shared" ca="1" si="830"/>
        <v>Square Footage of Employee Units</v>
      </c>
      <c r="I2372" s="52">
        <v>8</v>
      </c>
    </row>
    <row r="2373" spans="1:10" ht="15" customHeight="1">
      <c r="A2373" t="str">
        <f t="shared" ca="1" si="825"/>
        <v/>
      </c>
      <c r="B2373">
        <f t="shared" si="826"/>
        <v>53</v>
      </c>
      <c r="C2373">
        <f t="shared" ca="1" si="818"/>
        <v>50</v>
      </c>
      <c r="D2373" t="str">
        <f t="shared" si="827"/>
        <v>I53</v>
      </c>
      <c r="E2373" t="str">
        <f t="shared" ca="1" si="828"/>
        <v/>
      </c>
      <c r="F2373" t="str">
        <f t="shared" ca="1" si="829"/>
        <v xml:space="preserve">Enter a 'Square Footage of Low-Income Units' for  building 50 in cell I53.
</v>
      </c>
      <c r="G2373" s="9" t="str">
        <f t="shared" ca="1" si="816"/>
        <v xml:space="preserve">Enter a value for 'Number of Floors in the Tallest Building' in cell B58.
</v>
      </c>
      <c r="H2373" s="52" t="str">
        <f t="shared" ca="1" si="830"/>
        <v>Square Footage of Low-Income Units</v>
      </c>
      <c r="I2373" s="52">
        <v>9</v>
      </c>
    </row>
    <row r="2374" spans="1:10" ht="15" customHeight="1">
      <c r="A2374" t="str">
        <f t="shared" ca="1" si="825"/>
        <v/>
      </c>
      <c r="B2374">
        <f t="shared" si="826"/>
        <v>53</v>
      </c>
      <c r="C2374">
        <f t="shared" ca="1" si="818"/>
        <v>50</v>
      </c>
      <c r="D2374" t="str">
        <f t="shared" si="827"/>
        <v>J53</v>
      </c>
      <c r="E2374" t="str">
        <f t="shared" ca="1" si="828"/>
        <v/>
      </c>
      <c r="F2374" t="str">
        <f t="shared" ca="1" si="829"/>
        <v xml:space="preserve">Enter a 'Placed-In-Service Date' for  building 50 in cell J53.
</v>
      </c>
      <c r="G2374" s="9" t="str">
        <f t="shared" ca="1" si="816"/>
        <v xml:space="preserve">Enter a value for 'Number of Floors in the Tallest Building' in cell B58.
</v>
      </c>
      <c r="H2374" s="52" t="str">
        <f t="shared" ca="1" si="830"/>
        <v>Placed-In-Service Date</v>
      </c>
      <c r="I2374" s="52">
        <v>10</v>
      </c>
    </row>
    <row r="2375" spans="1:10" ht="15" customHeight="1">
      <c r="A2375" t="str">
        <f t="shared" ca="1" si="825"/>
        <v/>
      </c>
      <c r="B2375">
        <f t="shared" si="826"/>
        <v>53</v>
      </c>
      <c r="C2375">
        <f t="shared" ca="1" si="818"/>
        <v>50</v>
      </c>
      <c r="D2375" t="str">
        <f t="shared" si="827"/>
        <v>K53</v>
      </c>
      <c r="E2375" t="str">
        <f t="shared" ca="1" si="828"/>
        <v/>
      </c>
      <c r="F2375" t="str">
        <f t="shared" ca="1" si="829"/>
        <v xml:space="preserve">Enter a 'New Construction/ Rehab APR' for  building 50 in cell K53.
</v>
      </c>
      <c r="G2375" s="9" t="str">
        <f t="shared" ca="1" si="816"/>
        <v xml:space="preserve">Enter a value for 'Number of Floors in the Tallest Building' in cell B58.
</v>
      </c>
      <c r="H2375" s="52" t="str">
        <f t="shared" ca="1" si="830"/>
        <v>New Construction/ Rehab APR</v>
      </c>
      <c r="I2375" s="52">
        <v>11</v>
      </c>
    </row>
    <row r="2376" spans="1:10" ht="15" customHeight="1">
      <c r="A2376" t="str">
        <f t="shared" ca="1" si="825"/>
        <v/>
      </c>
      <c r="B2376">
        <f t="shared" si="826"/>
        <v>53</v>
      </c>
      <c r="C2376">
        <f t="shared" ca="1" si="818"/>
        <v>50</v>
      </c>
      <c r="D2376" t="str">
        <f t="shared" si="827"/>
        <v>L53</v>
      </c>
      <c r="E2376" t="str">
        <f t="shared" ca="1" si="828"/>
        <v/>
      </c>
      <c r="F2376" t="str">
        <f t="shared" ca="1" si="829"/>
        <v xml:space="preserve">Enter a 'New Construction Eligible Basis' for  building 50 in cell L53.
</v>
      </c>
      <c r="G2376" s="9" t="str">
        <f t="shared" ca="1" si="816"/>
        <v xml:space="preserve">Enter a value for 'Number of Floors in the Tallest Building' in cell B58.
</v>
      </c>
      <c r="H2376" s="52" t="str">
        <f t="shared" ca="1" si="830"/>
        <v>New Construction Eligible Basis</v>
      </c>
      <c r="I2376" s="52">
        <v>12</v>
      </c>
    </row>
    <row r="2377" spans="1:10" ht="15" customHeight="1">
      <c r="A2377" t="str">
        <f ca="1">IF(AND(OFFSET(A2377, -I2377 + 2, 4) &gt;  0, E2377="", Calculations!$B$7), F2377, "")</f>
        <v/>
      </c>
      <c r="B2377">
        <f t="shared" si="826"/>
        <v>53</v>
      </c>
      <c r="C2377">
        <f t="shared" ca="1" si="818"/>
        <v>50</v>
      </c>
      <c r="D2377" t="str">
        <f t="shared" si="827"/>
        <v>M53</v>
      </c>
      <c r="E2377" t="str">
        <f t="shared" ca="1" si="828"/>
        <v/>
      </c>
      <c r="F2377" t="str">
        <f t="shared" ca="1" si="829"/>
        <v xml:space="preserve">Enter a 'Eligible Basis for Rehab' for  building 50 in cell M53.
</v>
      </c>
      <c r="G2377" s="9" t="str">
        <f t="shared" ca="1" si="816"/>
        <v xml:space="preserve">Enter a value for 'Number of Floors in the Tallest Building' in cell B58.
</v>
      </c>
      <c r="H2377" s="52" t="str">
        <f t="shared" ca="1" si="830"/>
        <v>Eligible Basis for Rehab</v>
      </c>
      <c r="I2377" s="52">
        <v>13</v>
      </c>
    </row>
    <row r="2378" spans="1:10" ht="15" customHeight="1">
      <c r="A2378" t="str">
        <f ca="1">IF(AND(OFFSET(A2378, -I2378 + 2, 4) &gt;  0, E2378="", Calculations!$B$7), F2378, "")</f>
        <v/>
      </c>
      <c r="B2378">
        <f t="shared" si="826"/>
        <v>53</v>
      </c>
      <c r="C2378">
        <f t="shared" ca="1" si="818"/>
        <v>50</v>
      </c>
      <c r="D2378" t="str">
        <f t="shared" si="827"/>
        <v>N53</v>
      </c>
      <c r="E2378" t="str">
        <f t="shared" ca="1" si="828"/>
        <v/>
      </c>
      <c r="F2378" t="str">
        <f t="shared" ca="1" si="829"/>
        <v xml:space="preserve">Enter a 'Cost of Acquiring the Building***' for  building 50 in cell N53.
</v>
      </c>
      <c r="G2378" s="9" t="str">
        <f t="shared" ca="1" si="816"/>
        <v xml:space="preserve">Enter a value for 'Number of Floors in the Tallest Building' in cell B58.
</v>
      </c>
      <c r="H2378" s="52" t="str">
        <f t="shared" ca="1" si="830"/>
        <v>Cost of Acquiring the Building***</v>
      </c>
      <c r="I2378" s="52">
        <v>14</v>
      </c>
    </row>
    <row r="2379" spans="1:10" ht="15" customHeight="1">
      <c r="A2379" t="str">
        <f ca="1">IF(AND(OFFSET(A2379, -I2379 + 2, 4) &gt;  0, E2379="", Calculations!$B$7), F2379, "")</f>
        <v/>
      </c>
      <c r="B2379">
        <f t="shared" si="826"/>
        <v>53</v>
      </c>
      <c r="C2379">
        <f t="shared" ca="1" si="818"/>
        <v>50</v>
      </c>
      <c r="D2379" t="str">
        <f t="shared" si="827"/>
        <v>O53</v>
      </c>
      <c r="E2379" t="str">
        <f t="shared" ca="1" si="828"/>
        <v/>
      </c>
      <c r="F2379" t="str">
        <f t="shared" ca="1" si="829"/>
        <v xml:space="preserve">Enter a 'Higher of Land Purchase Price or Land Appraised Value****' for  building 50 in cell O53.
</v>
      </c>
      <c r="G2379" s="9" t="str">
        <f t="shared" ca="1" si="816"/>
        <v xml:space="preserve">Enter a value for 'Number of Floors in the Tallest Building' in cell B58.
</v>
      </c>
      <c r="H2379" s="52" t="str">
        <f t="shared" ca="1" si="830"/>
        <v>Higher of Land Purchase Price or Land Appraised Value****</v>
      </c>
      <c r="I2379" s="52">
        <v>15</v>
      </c>
    </row>
    <row r="2380" spans="1:10" ht="15" customHeight="1">
      <c r="A2380" t="str">
        <f ca="1">IF(AND(OFFSET(A2380, -I2380 + 2, 4) &gt;  0, E2380="", Calculations!$B$7), F2380, "")</f>
        <v/>
      </c>
      <c r="B2380">
        <f t="shared" si="826"/>
        <v>53</v>
      </c>
      <c r="C2380">
        <f t="shared" ca="1" si="818"/>
        <v>50</v>
      </c>
      <c r="D2380" t="str">
        <f t="shared" si="827"/>
        <v>P53</v>
      </c>
      <c r="E2380" t="str">
        <f t="shared" ca="1" si="828"/>
        <v/>
      </c>
      <c r="F2380" t="str">
        <f t="shared" ca="1" si="829"/>
        <v xml:space="preserve">Enter a 'Acquisition Placed-in-Service Date' for  building 50 in cell P53.
</v>
      </c>
      <c r="G2380" s="9" t="str">
        <f t="shared" ca="1" si="816"/>
        <v xml:space="preserve">Enter a value for 'Number of Floors in the Tallest Building' in cell B58.
</v>
      </c>
      <c r="H2380" s="52" t="str">
        <f t="shared" ca="1" si="830"/>
        <v>Acquisition Placed-in-Service Date</v>
      </c>
      <c r="I2380" s="52">
        <v>16</v>
      </c>
    </row>
    <row r="2381" spans="1:10" ht="15" customHeight="1">
      <c r="A2381" t="str">
        <f ca="1">IF(AND(OFFSET(A2381, -I2381 + 2, 4) &gt;  0, E2381="", Calculations!$B$7), F2381, "")</f>
        <v/>
      </c>
      <c r="B2381">
        <f t="shared" si="826"/>
        <v>53</v>
      </c>
      <c r="C2381">
        <f t="shared" ca="1" si="818"/>
        <v>50</v>
      </c>
      <c r="D2381" t="str">
        <f t="shared" si="827"/>
        <v>Q53</v>
      </c>
      <c r="E2381" t="str">
        <f t="shared" ca="1" si="828"/>
        <v/>
      </c>
      <c r="F2381" t="str">
        <f t="shared" ca="1" si="829"/>
        <v xml:space="preserve">Enter a 'Acquisition APR' for  building 50 in cell Q53.
</v>
      </c>
      <c r="G2381" s="9" t="str">
        <f t="shared" ca="1" si="816"/>
        <v xml:space="preserve">Enter a value for 'Number of Floors in the Tallest Building' in cell B58.
</v>
      </c>
      <c r="H2381" s="52" t="str">
        <f t="shared" ca="1" si="830"/>
        <v>Acquisition APR</v>
      </c>
      <c r="I2381" s="52">
        <v>17</v>
      </c>
    </row>
    <row r="2382" spans="1:10" ht="15" customHeight="1">
      <c r="A2382" t="str">
        <f ca="1">IF(AND(Calculations!$B$4,Calculations!$B$28&gt;=C2382, E2382 &lt;&gt; 13),F2382,"")</f>
        <v/>
      </c>
      <c r="B2382">
        <f>ROW('Final Building Profile'!C54)</f>
        <v>54</v>
      </c>
      <c r="C2382">
        <f t="shared" ca="1" si="818"/>
        <v>51</v>
      </c>
      <c r="D2382" t="str">
        <f>ADDRESS(B2382, 3,4  )</f>
        <v>C54</v>
      </c>
      <c r="E2382" s="52">
        <f ca="1">H2382+I2382</f>
        <v>0</v>
      </c>
      <c r="F2382" t="str">
        <f ca="1">CONCATENATE("Based upon the number of buildings specified, information for  building ", C2382, " required for a final application in row ", B2382, ".", CHAR(10))</f>
        <v xml:space="preserve">Based upon the number of buildings specified, information for  building 51 required for a final application in row 54.
</v>
      </c>
      <c r="G2382" s="9" t="str">
        <f t="shared" ca="1" si="816"/>
        <v xml:space="preserve">Enter a value for 'Number of Floors in the Tallest Building' in cell B58.
</v>
      </c>
      <c r="H2382" s="52">
        <f ca="1">SUMPRODUCT(--ISTEXT(INDIRECT(J2382)))</f>
        <v>0</v>
      </c>
      <c r="I2382" s="52">
        <f ca="1">SUMPRODUCT(--ISNUMBER(INDIRECT(J2382)))</f>
        <v>0</v>
      </c>
      <c r="J2382" s="52" t="str">
        <f>$F$1564&amp; ADDRESS(B2382,3,4) &amp; ":" &amp; ADDRESS(B2382,15,4)</f>
        <v>'Final Building Profile'!C54:O54</v>
      </c>
    </row>
    <row r="2383" spans="1:10" ht="15" customHeight="1">
      <c r="A2383" t="str">
        <f t="shared" ref="A2383:A2392" ca="1" si="831">IF(AND(OFFSET(A2383, -I2383 + 2, 4) &gt;  0, E2383=""), F2383, "")</f>
        <v/>
      </c>
      <c r="B2383">
        <f t="shared" ref="B2383:B2397" si="832">B2382</f>
        <v>54</v>
      </c>
      <c r="C2383">
        <f t="shared" ca="1" si="818"/>
        <v>51</v>
      </c>
      <c r="D2383" t="str">
        <f t="shared" ref="D2383:D2397" si="833">ADDRESS(B2383, I2383,4  )</f>
        <v>C54</v>
      </c>
      <c r="E2383" t="str">
        <f t="shared" ref="E2383:E2397" ca="1" si="834">IF(ISBLANK( INDIRECT($F$1564 &amp; D2383)),"", INDIRECT($F$1564 &amp; D2383))</f>
        <v/>
      </c>
      <c r="F2383" t="str">
        <f t="shared" ref="F2383:F2397" ca="1" si="835">CONCATENATE("Enter a '"&amp; H2383 &amp;"' for  building ", C2383, " in cell ", D2383, ".", CHAR(10))</f>
        <v xml:space="preserve">Enter a 'Building Street Address Only 
(DO NOT ENTER CITY, STATE, OR ZIP)' for  building 51 in cell C54.
</v>
      </c>
      <c r="G2383" s="9" t="str">
        <f t="shared" ca="1" si="816"/>
        <v xml:space="preserve">Enter a value for 'Number of Floors in the Tallest Building' in cell B58.
</v>
      </c>
      <c r="H2383" s="52" t="str">
        <f t="shared" ref="H2383:H2397" ca="1" si="836">OFFSET(INDIRECT($F$1564 &amp; D2383), -B2383 + 3, 0)</f>
        <v>Building Street Address Only 
(DO NOT ENTER CITY, STATE, OR ZIP)</v>
      </c>
      <c r="I2383" s="52">
        <v>3</v>
      </c>
    </row>
    <row r="2384" spans="1:10" ht="15" customHeight="1">
      <c r="A2384" t="str">
        <f t="shared" ca="1" si="831"/>
        <v/>
      </c>
      <c r="B2384">
        <f t="shared" si="832"/>
        <v>54</v>
      </c>
      <c r="C2384">
        <f t="shared" ca="1" si="818"/>
        <v>51</v>
      </c>
      <c r="D2384" t="str">
        <f t="shared" si="833"/>
        <v>D54</v>
      </c>
      <c r="E2384" t="str">
        <f t="shared" ca="1" si="834"/>
        <v/>
      </c>
      <c r="F2384" t="str">
        <f t="shared" ca="1" si="835"/>
        <v xml:space="preserve">Enter a 'Total Units in Building*' for  building 51 in cell D54.
</v>
      </c>
      <c r="G2384" s="9" t="str">
        <f t="shared" ca="1" si="816"/>
        <v xml:space="preserve">Enter a value for 'Number of Floors in the Tallest Building' in cell B58.
</v>
      </c>
      <c r="H2384" s="52" t="str">
        <f t="shared" ca="1" si="836"/>
        <v>Total Units in Building*</v>
      </c>
      <c r="I2384" s="52">
        <v>4</v>
      </c>
    </row>
    <row r="2385" spans="1:10" ht="15" customHeight="1">
      <c r="A2385" t="str">
        <f t="shared" ca="1" si="831"/>
        <v/>
      </c>
      <c r="B2385">
        <f t="shared" si="832"/>
        <v>54</v>
      </c>
      <c r="C2385">
        <f t="shared" ca="1" si="818"/>
        <v>51</v>
      </c>
      <c r="D2385" t="str">
        <f t="shared" si="833"/>
        <v>E54</v>
      </c>
      <c r="E2385" t="str">
        <f t="shared" ca="1" si="834"/>
        <v/>
      </c>
      <c r="F2385" t="str">
        <f t="shared" ca="1" si="835"/>
        <v xml:space="preserve">Enter a 'Employee Units' for  building 51 in cell E54.
</v>
      </c>
      <c r="G2385" s="9" t="str">
        <f t="shared" ca="1" si="816"/>
        <v xml:space="preserve">Enter a value for 'Number of Floors in the Tallest Building' in cell B58.
</v>
      </c>
      <c r="H2385" s="52" t="str">
        <f t="shared" ca="1" si="836"/>
        <v>Employee Units</v>
      </c>
      <c r="I2385" s="52">
        <v>5</v>
      </c>
    </row>
    <row r="2386" spans="1:10" ht="15" customHeight="1">
      <c r="A2386" t="str">
        <f t="shared" ca="1" si="831"/>
        <v/>
      </c>
      <c r="B2386">
        <f t="shared" si="832"/>
        <v>54</v>
      </c>
      <c r="C2386">
        <f t="shared" ca="1" si="818"/>
        <v>51</v>
      </c>
      <c r="D2386" t="str">
        <f t="shared" si="833"/>
        <v>F54</v>
      </c>
      <c r="E2386" t="str">
        <f t="shared" ca="1" si="834"/>
        <v/>
      </c>
      <c r="F2386" t="str">
        <f t="shared" ca="1" si="835"/>
        <v xml:space="preserve">Enter a 'Low-Income Units' for  building 51 in cell F54.
</v>
      </c>
      <c r="G2386" s="9" t="str">
        <f t="shared" ca="1" si="816"/>
        <v xml:space="preserve">Enter a value for 'Number of Floors in the Tallest Building' in cell B58.
</v>
      </c>
      <c r="H2386" s="52" t="str">
        <f t="shared" ca="1" si="836"/>
        <v>Low-Income Units</v>
      </c>
      <c r="I2386" s="52">
        <v>6</v>
      </c>
    </row>
    <row r="2387" spans="1:10" ht="15" customHeight="1">
      <c r="A2387" t="str">
        <f t="shared" ca="1" si="831"/>
        <v/>
      </c>
      <c r="B2387">
        <f t="shared" si="832"/>
        <v>54</v>
      </c>
      <c r="C2387">
        <f t="shared" ca="1" si="818"/>
        <v>51</v>
      </c>
      <c r="D2387" t="str">
        <f t="shared" si="833"/>
        <v>G54</v>
      </c>
      <c r="E2387" t="str">
        <f t="shared" ca="1" si="834"/>
        <v/>
      </c>
      <c r="F2387" t="str">
        <f t="shared" ca="1" si="835"/>
        <v xml:space="preserve">Enter a 'Residential Square Footage**' for  building 51 in cell G54.
</v>
      </c>
      <c r="G2387" s="9" t="str">
        <f t="shared" ca="1" si="816"/>
        <v xml:space="preserve">Enter a value for 'Number of Floors in the Tallest Building' in cell B58.
</v>
      </c>
      <c r="H2387" s="52" t="str">
        <f t="shared" ca="1" si="836"/>
        <v>Residential Square Footage**</v>
      </c>
      <c r="I2387" s="52">
        <v>7</v>
      </c>
    </row>
    <row r="2388" spans="1:10" ht="15" customHeight="1">
      <c r="A2388" t="str">
        <f t="shared" ca="1" si="831"/>
        <v/>
      </c>
      <c r="B2388">
        <f t="shared" si="832"/>
        <v>54</v>
      </c>
      <c r="C2388">
        <f t="shared" ca="1" si="818"/>
        <v>51</v>
      </c>
      <c r="D2388" t="str">
        <f t="shared" si="833"/>
        <v>H54</v>
      </c>
      <c r="E2388" t="str">
        <f t="shared" ca="1" si="834"/>
        <v/>
      </c>
      <c r="F2388" t="str">
        <f t="shared" ca="1" si="835"/>
        <v xml:space="preserve">Enter a 'Square Footage of Employee Units' for  building 51 in cell H54.
</v>
      </c>
      <c r="G2388" s="9" t="str">
        <f t="shared" ca="1" si="816"/>
        <v xml:space="preserve">Enter a value for 'Number of Floors in the Tallest Building' in cell B58.
</v>
      </c>
      <c r="H2388" s="52" t="str">
        <f t="shared" ca="1" si="836"/>
        <v>Square Footage of Employee Units</v>
      </c>
      <c r="I2388" s="52">
        <v>8</v>
      </c>
    </row>
    <row r="2389" spans="1:10" ht="15" customHeight="1">
      <c r="A2389" t="str">
        <f t="shared" ca="1" si="831"/>
        <v/>
      </c>
      <c r="B2389">
        <f t="shared" si="832"/>
        <v>54</v>
      </c>
      <c r="C2389">
        <f t="shared" ca="1" si="818"/>
        <v>51</v>
      </c>
      <c r="D2389" t="str">
        <f t="shared" si="833"/>
        <v>I54</v>
      </c>
      <c r="E2389" t="str">
        <f t="shared" ca="1" si="834"/>
        <v/>
      </c>
      <c r="F2389" t="str">
        <f t="shared" ca="1" si="835"/>
        <v xml:space="preserve">Enter a 'Square Footage of Low-Income Units' for  building 51 in cell I54.
</v>
      </c>
      <c r="G2389" s="9" t="str">
        <f t="shared" ca="1" si="816"/>
        <v xml:space="preserve">Enter a value for 'Number of Floors in the Tallest Building' in cell B58.
</v>
      </c>
      <c r="H2389" s="52" t="str">
        <f t="shared" ca="1" si="836"/>
        <v>Square Footage of Low-Income Units</v>
      </c>
      <c r="I2389" s="52">
        <v>9</v>
      </c>
    </row>
    <row r="2390" spans="1:10" ht="15" customHeight="1">
      <c r="A2390" t="str">
        <f t="shared" ca="1" si="831"/>
        <v/>
      </c>
      <c r="B2390">
        <f t="shared" si="832"/>
        <v>54</v>
      </c>
      <c r="C2390">
        <f t="shared" ca="1" si="818"/>
        <v>51</v>
      </c>
      <c r="D2390" t="str">
        <f t="shared" si="833"/>
        <v>J54</v>
      </c>
      <c r="E2390" t="str">
        <f t="shared" ca="1" si="834"/>
        <v/>
      </c>
      <c r="F2390" t="str">
        <f t="shared" ca="1" si="835"/>
        <v xml:space="preserve">Enter a 'Placed-In-Service Date' for  building 51 in cell J54.
</v>
      </c>
      <c r="G2390" s="9" t="str">
        <f t="shared" ca="1" si="816"/>
        <v xml:space="preserve">Enter a value for 'Number of Floors in the Tallest Building' in cell B58.
</v>
      </c>
      <c r="H2390" s="52" t="str">
        <f t="shared" ca="1" si="836"/>
        <v>Placed-In-Service Date</v>
      </c>
      <c r="I2390" s="52">
        <v>10</v>
      </c>
    </row>
    <row r="2391" spans="1:10" ht="15" customHeight="1">
      <c r="A2391" t="str">
        <f t="shared" ca="1" si="831"/>
        <v/>
      </c>
      <c r="B2391">
        <f t="shared" si="832"/>
        <v>54</v>
      </c>
      <c r="C2391">
        <f t="shared" ca="1" si="818"/>
        <v>51</v>
      </c>
      <c r="D2391" t="str">
        <f t="shared" si="833"/>
        <v>K54</v>
      </c>
      <c r="E2391" t="str">
        <f t="shared" ca="1" si="834"/>
        <v/>
      </c>
      <c r="F2391" t="str">
        <f t="shared" ca="1" si="835"/>
        <v xml:space="preserve">Enter a 'New Construction/ Rehab APR' for  building 51 in cell K54.
</v>
      </c>
      <c r="G2391" s="9" t="str">
        <f t="shared" ca="1" si="816"/>
        <v xml:space="preserve">Enter a value for 'Number of Floors in the Tallest Building' in cell B58.
</v>
      </c>
      <c r="H2391" s="52" t="str">
        <f t="shared" ca="1" si="836"/>
        <v>New Construction/ Rehab APR</v>
      </c>
      <c r="I2391" s="52">
        <v>11</v>
      </c>
    </row>
    <row r="2392" spans="1:10" ht="15" customHeight="1">
      <c r="A2392" t="str">
        <f t="shared" ca="1" si="831"/>
        <v/>
      </c>
      <c r="B2392">
        <f t="shared" si="832"/>
        <v>54</v>
      </c>
      <c r="C2392">
        <f t="shared" ca="1" si="818"/>
        <v>51</v>
      </c>
      <c r="D2392" t="str">
        <f t="shared" si="833"/>
        <v>L54</v>
      </c>
      <c r="E2392" t="str">
        <f t="shared" ca="1" si="834"/>
        <v/>
      </c>
      <c r="F2392" t="str">
        <f t="shared" ca="1" si="835"/>
        <v xml:space="preserve">Enter a 'New Construction Eligible Basis' for  building 51 in cell L54.
</v>
      </c>
      <c r="G2392" s="9" t="str">
        <f t="shared" ca="1" si="816"/>
        <v xml:space="preserve">Enter a value for 'Number of Floors in the Tallest Building' in cell B58.
</v>
      </c>
      <c r="H2392" s="52" t="str">
        <f t="shared" ca="1" si="836"/>
        <v>New Construction Eligible Basis</v>
      </c>
      <c r="I2392" s="52">
        <v>12</v>
      </c>
    </row>
    <row r="2393" spans="1:10" ht="15" customHeight="1">
      <c r="A2393" t="str">
        <f ca="1">IF(AND(OFFSET(A2393, -I2393 + 2, 4) &gt;  0, E2393="", Calculations!$B$7), F2393, "")</f>
        <v/>
      </c>
      <c r="B2393">
        <f t="shared" si="832"/>
        <v>54</v>
      </c>
      <c r="C2393">
        <f t="shared" ca="1" si="818"/>
        <v>51</v>
      </c>
      <c r="D2393" t="str">
        <f t="shared" si="833"/>
        <v>M54</v>
      </c>
      <c r="E2393" t="str">
        <f t="shared" ca="1" si="834"/>
        <v/>
      </c>
      <c r="F2393" t="str">
        <f t="shared" ca="1" si="835"/>
        <v xml:space="preserve">Enter a 'Eligible Basis for Rehab' for  building 51 in cell M54.
</v>
      </c>
      <c r="G2393" s="9" t="str">
        <f t="shared" ca="1" si="816"/>
        <v xml:space="preserve">Enter a value for 'Number of Floors in the Tallest Building' in cell B58.
</v>
      </c>
      <c r="H2393" s="52" t="str">
        <f t="shared" ca="1" si="836"/>
        <v>Eligible Basis for Rehab</v>
      </c>
      <c r="I2393" s="52">
        <v>13</v>
      </c>
    </row>
    <row r="2394" spans="1:10" ht="15" customHeight="1">
      <c r="A2394" t="str">
        <f ca="1">IF(AND(OFFSET(A2394, -I2394 + 2, 4) &gt;  0, E2394="", Calculations!$B$7), F2394, "")</f>
        <v/>
      </c>
      <c r="B2394">
        <f t="shared" si="832"/>
        <v>54</v>
      </c>
      <c r="C2394">
        <f t="shared" ca="1" si="818"/>
        <v>51</v>
      </c>
      <c r="D2394" t="str">
        <f t="shared" si="833"/>
        <v>N54</v>
      </c>
      <c r="E2394" t="str">
        <f t="shared" ca="1" si="834"/>
        <v/>
      </c>
      <c r="F2394" t="str">
        <f t="shared" ca="1" si="835"/>
        <v xml:space="preserve">Enter a 'Cost of Acquiring the Building***' for  building 51 in cell N54.
</v>
      </c>
      <c r="G2394" s="9" t="str">
        <f t="shared" ca="1" si="816"/>
        <v xml:space="preserve">Enter a value for 'Number of Floors in the Tallest Building' in cell B58.
</v>
      </c>
      <c r="H2394" s="52" t="str">
        <f t="shared" ca="1" si="836"/>
        <v>Cost of Acquiring the Building***</v>
      </c>
      <c r="I2394" s="52">
        <v>14</v>
      </c>
    </row>
    <row r="2395" spans="1:10" ht="15" customHeight="1">
      <c r="A2395" t="str">
        <f ca="1">IF(AND(OFFSET(A2395, -I2395 + 2, 4) &gt;  0, E2395="", Calculations!$B$7), F2395, "")</f>
        <v/>
      </c>
      <c r="B2395">
        <f t="shared" si="832"/>
        <v>54</v>
      </c>
      <c r="C2395">
        <f t="shared" ca="1" si="818"/>
        <v>51</v>
      </c>
      <c r="D2395" t="str">
        <f t="shared" si="833"/>
        <v>O54</v>
      </c>
      <c r="E2395" t="str">
        <f t="shared" ca="1" si="834"/>
        <v/>
      </c>
      <c r="F2395" t="str">
        <f t="shared" ca="1" si="835"/>
        <v xml:space="preserve">Enter a 'Higher of Land Purchase Price or Land Appraised Value****' for  building 51 in cell O54.
</v>
      </c>
      <c r="G2395" s="9" t="str">
        <f t="shared" ca="1" si="816"/>
        <v xml:space="preserve">Enter a value for 'Number of Floors in the Tallest Building' in cell B58.
</v>
      </c>
      <c r="H2395" s="52" t="str">
        <f t="shared" ca="1" si="836"/>
        <v>Higher of Land Purchase Price or Land Appraised Value****</v>
      </c>
      <c r="I2395" s="52">
        <v>15</v>
      </c>
    </row>
    <row r="2396" spans="1:10" ht="15" customHeight="1">
      <c r="A2396" t="str">
        <f ca="1">IF(AND(OFFSET(A2396, -I2396 + 2, 4) &gt;  0, E2396="", Calculations!$B$7), F2396, "")</f>
        <v/>
      </c>
      <c r="B2396">
        <f t="shared" si="832"/>
        <v>54</v>
      </c>
      <c r="C2396">
        <f t="shared" ca="1" si="818"/>
        <v>51</v>
      </c>
      <c r="D2396" t="str">
        <f t="shared" si="833"/>
        <v>P54</v>
      </c>
      <c r="E2396" t="str">
        <f t="shared" ca="1" si="834"/>
        <v/>
      </c>
      <c r="F2396" t="str">
        <f t="shared" ca="1" si="835"/>
        <v xml:space="preserve">Enter a 'Acquisition Placed-in-Service Date' for  building 51 in cell P54.
</v>
      </c>
      <c r="G2396" s="9" t="str">
        <f t="shared" ca="1" si="816"/>
        <v xml:space="preserve">Enter a value for 'Number of Floors in the Tallest Building' in cell B58.
</v>
      </c>
      <c r="H2396" s="52" t="str">
        <f t="shared" ca="1" si="836"/>
        <v>Acquisition Placed-in-Service Date</v>
      </c>
      <c r="I2396" s="52">
        <v>16</v>
      </c>
    </row>
    <row r="2397" spans="1:10" ht="15" customHeight="1">
      <c r="A2397" t="str">
        <f ca="1">IF(AND(OFFSET(A2397, -I2397 + 2, 4) &gt;  0, E2397="", Calculations!$B$7), F2397, "")</f>
        <v/>
      </c>
      <c r="B2397">
        <f t="shared" si="832"/>
        <v>54</v>
      </c>
      <c r="C2397">
        <f t="shared" ca="1" si="818"/>
        <v>51</v>
      </c>
      <c r="D2397" t="str">
        <f t="shared" si="833"/>
        <v>Q54</v>
      </c>
      <c r="E2397" t="str">
        <f t="shared" ca="1" si="834"/>
        <v/>
      </c>
      <c r="F2397" t="str">
        <f t="shared" ca="1" si="835"/>
        <v xml:space="preserve">Enter a 'Acquisition APR' for  building 51 in cell Q54.
</v>
      </c>
      <c r="G2397" s="9" t="str">
        <f t="shared" ca="1" si="816"/>
        <v xml:space="preserve">Enter a value for 'Number of Floors in the Tallest Building' in cell B58.
</v>
      </c>
      <c r="H2397" s="52" t="str">
        <f t="shared" ca="1" si="836"/>
        <v>Acquisition APR</v>
      </c>
      <c r="I2397" s="52">
        <v>17</v>
      </c>
    </row>
    <row r="2398" spans="1:10" ht="15" customHeight="1">
      <c r="A2398" t="str">
        <f ca="1">IF(AND(Calculations!$B$4,Calculations!$B$28&gt;=C2398, E2398 &lt;&gt; 13),F2398,"")</f>
        <v/>
      </c>
      <c r="B2398">
        <f>ROW('Final Building Profile'!C55)</f>
        <v>55</v>
      </c>
      <c r="C2398">
        <f t="shared" ca="1" si="818"/>
        <v>52</v>
      </c>
      <c r="D2398" t="str">
        <f>ADDRESS(B2398, 3,4  )</f>
        <v>C55</v>
      </c>
      <c r="E2398" s="52">
        <f ca="1">H2398+I2398</f>
        <v>0</v>
      </c>
      <c r="F2398" t="str">
        <f ca="1">CONCATENATE("Based upon the number of buildings specified, information for  building ", C2398, " required for a final application in row ", B2398, ".", CHAR(10))</f>
        <v xml:space="preserve">Based upon the number of buildings specified, information for  building 52 required for a final application in row 55.
</v>
      </c>
      <c r="G2398" s="9" t="str">
        <f t="shared" ca="1" si="816"/>
        <v xml:space="preserve">Enter a value for 'Number of Floors in the Tallest Building' in cell B58.
</v>
      </c>
      <c r="H2398" s="52">
        <f ca="1">SUMPRODUCT(--ISTEXT(INDIRECT(J2398)))</f>
        <v>0</v>
      </c>
      <c r="I2398" s="52">
        <f ca="1">SUMPRODUCT(--ISNUMBER(INDIRECT(J2398)))</f>
        <v>0</v>
      </c>
      <c r="J2398" s="52" t="str">
        <f>$F$1564&amp; ADDRESS(B2398,3,4) &amp; ":" &amp; ADDRESS(B2398,15,4)</f>
        <v>'Final Building Profile'!C55:O55</v>
      </c>
    </row>
    <row r="2399" spans="1:10" ht="15" customHeight="1">
      <c r="A2399" t="str">
        <f t="shared" ref="A2399:A2408" ca="1" si="837">IF(AND(OFFSET(A2399, -I2399 + 2, 4) &gt;  0, E2399=""), F2399, "")</f>
        <v/>
      </c>
      <c r="B2399">
        <f t="shared" ref="B2399:B2413" si="838">B2398</f>
        <v>55</v>
      </c>
      <c r="C2399">
        <f t="shared" ca="1" si="818"/>
        <v>52</v>
      </c>
      <c r="D2399" t="str">
        <f t="shared" ref="D2399:D2413" si="839">ADDRESS(B2399, I2399,4  )</f>
        <v>C55</v>
      </c>
      <c r="E2399" t="str">
        <f t="shared" ref="E2399:E2413" ca="1" si="840">IF(ISBLANK( INDIRECT($F$1564 &amp; D2399)),"", INDIRECT($F$1564 &amp; D2399))</f>
        <v/>
      </c>
      <c r="F2399" t="str">
        <f t="shared" ref="F2399:F2413" ca="1" si="841">CONCATENATE("Enter a '"&amp; H2399 &amp;"' for  building ", C2399, " in cell ", D2399, ".", CHAR(10))</f>
        <v xml:space="preserve">Enter a 'Building Street Address Only 
(DO NOT ENTER CITY, STATE, OR ZIP)' for  building 52 in cell C55.
</v>
      </c>
      <c r="G2399" s="9" t="str">
        <f t="shared" ref="G2399:G2462" ca="1" si="842">OFFSET(G2399, -1, 0) &amp; A2399</f>
        <v xml:space="preserve">Enter a value for 'Number of Floors in the Tallest Building' in cell B58.
</v>
      </c>
      <c r="H2399" s="52" t="str">
        <f t="shared" ref="H2399:H2413" ca="1" si="843">OFFSET(INDIRECT($F$1564 &amp; D2399), -B2399 + 3, 0)</f>
        <v>Building Street Address Only 
(DO NOT ENTER CITY, STATE, OR ZIP)</v>
      </c>
      <c r="I2399" s="52">
        <v>3</v>
      </c>
    </row>
    <row r="2400" spans="1:10" ht="15" customHeight="1">
      <c r="A2400" t="str">
        <f t="shared" ca="1" si="837"/>
        <v/>
      </c>
      <c r="B2400">
        <f t="shared" si="838"/>
        <v>55</v>
      </c>
      <c r="C2400">
        <f t="shared" ca="1" si="818"/>
        <v>52</v>
      </c>
      <c r="D2400" t="str">
        <f t="shared" si="839"/>
        <v>D55</v>
      </c>
      <c r="E2400" t="str">
        <f t="shared" ca="1" si="840"/>
        <v/>
      </c>
      <c r="F2400" t="str">
        <f t="shared" ca="1" si="841"/>
        <v xml:space="preserve">Enter a 'Total Units in Building*' for  building 52 in cell D55.
</v>
      </c>
      <c r="G2400" s="9" t="str">
        <f t="shared" ca="1" si="842"/>
        <v xml:space="preserve">Enter a value for 'Number of Floors in the Tallest Building' in cell B58.
</v>
      </c>
      <c r="H2400" s="52" t="str">
        <f t="shared" ca="1" si="843"/>
        <v>Total Units in Building*</v>
      </c>
      <c r="I2400" s="52">
        <v>4</v>
      </c>
    </row>
    <row r="2401" spans="1:10" ht="15" customHeight="1">
      <c r="A2401" t="str">
        <f t="shared" ca="1" si="837"/>
        <v/>
      </c>
      <c r="B2401">
        <f t="shared" si="838"/>
        <v>55</v>
      </c>
      <c r="C2401">
        <f t="shared" ca="1" si="818"/>
        <v>52</v>
      </c>
      <c r="D2401" t="str">
        <f t="shared" si="839"/>
        <v>E55</v>
      </c>
      <c r="E2401" t="str">
        <f t="shared" ca="1" si="840"/>
        <v/>
      </c>
      <c r="F2401" t="str">
        <f t="shared" ca="1" si="841"/>
        <v xml:space="preserve">Enter a 'Employee Units' for  building 52 in cell E55.
</v>
      </c>
      <c r="G2401" s="9" t="str">
        <f t="shared" ca="1" si="842"/>
        <v xml:space="preserve">Enter a value for 'Number of Floors in the Tallest Building' in cell B58.
</v>
      </c>
      <c r="H2401" s="52" t="str">
        <f t="shared" ca="1" si="843"/>
        <v>Employee Units</v>
      </c>
      <c r="I2401" s="52">
        <v>5</v>
      </c>
    </row>
    <row r="2402" spans="1:10" ht="15" customHeight="1">
      <c r="A2402" t="str">
        <f t="shared" ca="1" si="837"/>
        <v/>
      </c>
      <c r="B2402">
        <f t="shared" si="838"/>
        <v>55</v>
      </c>
      <c r="C2402">
        <f t="shared" ca="1" si="818"/>
        <v>52</v>
      </c>
      <c r="D2402" t="str">
        <f t="shared" si="839"/>
        <v>F55</v>
      </c>
      <c r="E2402" t="str">
        <f t="shared" ca="1" si="840"/>
        <v/>
      </c>
      <c r="F2402" t="str">
        <f t="shared" ca="1" si="841"/>
        <v xml:space="preserve">Enter a 'Low-Income Units' for  building 52 in cell F55.
</v>
      </c>
      <c r="G2402" s="9" t="str">
        <f t="shared" ca="1" si="842"/>
        <v xml:space="preserve">Enter a value for 'Number of Floors in the Tallest Building' in cell B58.
</v>
      </c>
      <c r="H2402" s="52" t="str">
        <f t="shared" ca="1" si="843"/>
        <v>Low-Income Units</v>
      </c>
      <c r="I2402" s="52">
        <v>6</v>
      </c>
    </row>
    <row r="2403" spans="1:10" ht="15" customHeight="1">
      <c r="A2403" t="str">
        <f t="shared" ca="1" si="837"/>
        <v/>
      </c>
      <c r="B2403">
        <f t="shared" si="838"/>
        <v>55</v>
      </c>
      <c r="C2403">
        <f t="shared" ca="1" si="818"/>
        <v>52</v>
      </c>
      <c r="D2403" t="str">
        <f t="shared" si="839"/>
        <v>G55</v>
      </c>
      <c r="E2403" t="str">
        <f t="shared" ca="1" si="840"/>
        <v/>
      </c>
      <c r="F2403" t="str">
        <f t="shared" ca="1" si="841"/>
        <v xml:space="preserve">Enter a 'Residential Square Footage**' for  building 52 in cell G55.
</v>
      </c>
      <c r="G2403" s="9" t="str">
        <f t="shared" ca="1" si="842"/>
        <v xml:space="preserve">Enter a value for 'Number of Floors in the Tallest Building' in cell B58.
</v>
      </c>
      <c r="H2403" s="52" t="str">
        <f t="shared" ca="1" si="843"/>
        <v>Residential Square Footage**</v>
      </c>
      <c r="I2403" s="52">
        <v>7</v>
      </c>
    </row>
    <row r="2404" spans="1:10" ht="15" customHeight="1">
      <c r="A2404" t="str">
        <f t="shared" ca="1" si="837"/>
        <v/>
      </c>
      <c r="B2404">
        <f t="shared" si="838"/>
        <v>55</v>
      </c>
      <c r="C2404">
        <f t="shared" ca="1" si="818"/>
        <v>52</v>
      </c>
      <c r="D2404" t="str">
        <f t="shared" si="839"/>
        <v>H55</v>
      </c>
      <c r="E2404" t="str">
        <f t="shared" ca="1" si="840"/>
        <v/>
      </c>
      <c r="F2404" t="str">
        <f t="shared" ca="1" si="841"/>
        <v xml:space="preserve">Enter a 'Square Footage of Employee Units' for  building 52 in cell H55.
</v>
      </c>
      <c r="G2404" s="9" t="str">
        <f t="shared" ca="1" si="842"/>
        <v xml:space="preserve">Enter a value for 'Number of Floors in the Tallest Building' in cell B58.
</v>
      </c>
      <c r="H2404" s="52" t="str">
        <f t="shared" ca="1" si="843"/>
        <v>Square Footage of Employee Units</v>
      </c>
      <c r="I2404" s="52">
        <v>8</v>
      </c>
    </row>
    <row r="2405" spans="1:10" ht="15" customHeight="1">
      <c r="A2405" t="str">
        <f t="shared" ca="1" si="837"/>
        <v/>
      </c>
      <c r="B2405">
        <f t="shared" si="838"/>
        <v>55</v>
      </c>
      <c r="C2405">
        <f t="shared" ca="1" si="818"/>
        <v>52</v>
      </c>
      <c r="D2405" t="str">
        <f t="shared" si="839"/>
        <v>I55</v>
      </c>
      <c r="E2405" t="str">
        <f t="shared" ca="1" si="840"/>
        <v/>
      </c>
      <c r="F2405" t="str">
        <f t="shared" ca="1" si="841"/>
        <v xml:space="preserve">Enter a 'Square Footage of Low-Income Units' for  building 52 in cell I55.
</v>
      </c>
      <c r="G2405" s="9" t="str">
        <f t="shared" ca="1" si="842"/>
        <v xml:space="preserve">Enter a value for 'Number of Floors in the Tallest Building' in cell B58.
</v>
      </c>
      <c r="H2405" s="52" t="str">
        <f t="shared" ca="1" si="843"/>
        <v>Square Footage of Low-Income Units</v>
      </c>
      <c r="I2405" s="52">
        <v>9</v>
      </c>
    </row>
    <row r="2406" spans="1:10" ht="15" customHeight="1">
      <c r="A2406" t="str">
        <f t="shared" ca="1" si="837"/>
        <v/>
      </c>
      <c r="B2406">
        <f t="shared" si="838"/>
        <v>55</v>
      </c>
      <c r="C2406">
        <f t="shared" ca="1" si="818"/>
        <v>52</v>
      </c>
      <c r="D2406" t="str">
        <f t="shared" si="839"/>
        <v>J55</v>
      </c>
      <c r="E2406" t="str">
        <f t="shared" ca="1" si="840"/>
        <v/>
      </c>
      <c r="F2406" t="str">
        <f t="shared" ca="1" si="841"/>
        <v xml:space="preserve">Enter a 'Placed-In-Service Date' for  building 52 in cell J55.
</v>
      </c>
      <c r="G2406" s="9" t="str">
        <f t="shared" ca="1" si="842"/>
        <v xml:space="preserve">Enter a value for 'Number of Floors in the Tallest Building' in cell B58.
</v>
      </c>
      <c r="H2406" s="52" t="str">
        <f t="shared" ca="1" si="843"/>
        <v>Placed-In-Service Date</v>
      </c>
      <c r="I2406" s="52">
        <v>10</v>
      </c>
    </row>
    <row r="2407" spans="1:10" ht="15" customHeight="1">
      <c r="A2407" t="str">
        <f t="shared" ca="1" si="837"/>
        <v/>
      </c>
      <c r="B2407">
        <f t="shared" si="838"/>
        <v>55</v>
      </c>
      <c r="C2407">
        <f t="shared" ca="1" si="818"/>
        <v>52</v>
      </c>
      <c r="D2407" t="str">
        <f t="shared" si="839"/>
        <v>K55</v>
      </c>
      <c r="E2407" t="str">
        <f t="shared" ca="1" si="840"/>
        <v/>
      </c>
      <c r="F2407" t="str">
        <f t="shared" ca="1" si="841"/>
        <v xml:space="preserve">Enter a 'New Construction/ Rehab APR' for  building 52 in cell K55.
</v>
      </c>
      <c r="G2407" s="9" t="str">
        <f t="shared" ca="1" si="842"/>
        <v xml:space="preserve">Enter a value for 'Number of Floors in the Tallest Building' in cell B58.
</v>
      </c>
      <c r="H2407" s="52" t="str">
        <f t="shared" ca="1" si="843"/>
        <v>New Construction/ Rehab APR</v>
      </c>
      <c r="I2407" s="52">
        <v>11</v>
      </c>
    </row>
    <row r="2408" spans="1:10" ht="15" customHeight="1">
      <c r="A2408" t="str">
        <f t="shared" ca="1" si="837"/>
        <v/>
      </c>
      <c r="B2408">
        <f t="shared" si="838"/>
        <v>55</v>
      </c>
      <c r="C2408">
        <f t="shared" ca="1" si="818"/>
        <v>52</v>
      </c>
      <c r="D2408" t="str">
        <f t="shared" si="839"/>
        <v>L55</v>
      </c>
      <c r="E2408" t="str">
        <f t="shared" ca="1" si="840"/>
        <v/>
      </c>
      <c r="F2408" t="str">
        <f t="shared" ca="1" si="841"/>
        <v xml:space="preserve">Enter a 'New Construction Eligible Basis' for  building 52 in cell L55.
</v>
      </c>
      <c r="G2408" s="9" t="str">
        <f t="shared" ca="1" si="842"/>
        <v xml:space="preserve">Enter a value for 'Number of Floors in the Tallest Building' in cell B58.
</v>
      </c>
      <c r="H2408" s="52" t="str">
        <f t="shared" ca="1" si="843"/>
        <v>New Construction Eligible Basis</v>
      </c>
      <c r="I2408" s="52">
        <v>12</v>
      </c>
    </row>
    <row r="2409" spans="1:10" ht="15" customHeight="1">
      <c r="A2409" t="str">
        <f ca="1">IF(AND(OFFSET(A2409, -I2409 + 2, 4) &gt;  0, E2409="", Calculations!$B$7), F2409, "")</f>
        <v/>
      </c>
      <c r="B2409">
        <f t="shared" si="838"/>
        <v>55</v>
      </c>
      <c r="C2409">
        <f t="shared" ca="1" si="818"/>
        <v>52</v>
      </c>
      <c r="D2409" t="str">
        <f t="shared" si="839"/>
        <v>M55</v>
      </c>
      <c r="E2409" t="str">
        <f t="shared" ca="1" si="840"/>
        <v/>
      </c>
      <c r="F2409" t="str">
        <f t="shared" ca="1" si="841"/>
        <v xml:space="preserve">Enter a 'Eligible Basis for Rehab' for  building 52 in cell M55.
</v>
      </c>
      <c r="G2409" s="9" t="str">
        <f t="shared" ca="1" si="842"/>
        <v xml:space="preserve">Enter a value for 'Number of Floors in the Tallest Building' in cell B58.
</v>
      </c>
      <c r="H2409" s="52" t="str">
        <f t="shared" ca="1" si="843"/>
        <v>Eligible Basis for Rehab</v>
      </c>
      <c r="I2409" s="52">
        <v>13</v>
      </c>
    </row>
    <row r="2410" spans="1:10" ht="15" customHeight="1">
      <c r="A2410" t="str">
        <f ca="1">IF(AND(OFFSET(A2410, -I2410 + 2, 4) &gt;  0, E2410="", Calculations!$B$7), F2410, "")</f>
        <v/>
      </c>
      <c r="B2410">
        <f t="shared" si="838"/>
        <v>55</v>
      </c>
      <c r="C2410">
        <f t="shared" ca="1" si="818"/>
        <v>52</v>
      </c>
      <c r="D2410" t="str">
        <f t="shared" si="839"/>
        <v>N55</v>
      </c>
      <c r="E2410" t="str">
        <f t="shared" ca="1" si="840"/>
        <v/>
      </c>
      <c r="F2410" t="str">
        <f t="shared" ca="1" si="841"/>
        <v xml:space="preserve">Enter a 'Cost of Acquiring the Building***' for  building 52 in cell N55.
</v>
      </c>
      <c r="G2410" s="9" t="str">
        <f t="shared" ca="1" si="842"/>
        <v xml:space="preserve">Enter a value for 'Number of Floors in the Tallest Building' in cell B58.
</v>
      </c>
      <c r="H2410" s="52" t="str">
        <f t="shared" ca="1" si="843"/>
        <v>Cost of Acquiring the Building***</v>
      </c>
      <c r="I2410" s="52">
        <v>14</v>
      </c>
    </row>
    <row r="2411" spans="1:10" ht="15" customHeight="1">
      <c r="A2411" t="str">
        <f ca="1">IF(AND(OFFSET(A2411, -I2411 + 2, 4) &gt;  0, E2411="", Calculations!$B$7), F2411, "")</f>
        <v/>
      </c>
      <c r="B2411">
        <f t="shared" si="838"/>
        <v>55</v>
      </c>
      <c r="C2411">
        <f t="shared" ca="1" si="818"/>
        <v>52</v>
      </c>
      <c r="D2411" t="str">
        <f t="shared" si="839"/>
        <v>O55</v>
      </c>
      <c r="E2411" t="str">
        <f t="shared" ca="1" si="840"/>
        <v/>
      </c>
      <c r="F2411" t="str">
        <f t="shared" ca="1" si="841"/>
        <v xml:space="preserve">Enter a 'Higher of Land Purchase Price or Land Appraised Value****' for  building 52 in cell O55.
</v>
      </c>
      <c r="G2411" s="9" t="str">
        <f t="shared" ca="1" si="842"/>
        <v xml:space="preserve">Enter a value for 'Number of Floors in the Tallest Building' in cell B58.
</v>
      </c>
      <c r="H2411" s="52" t="str">
        <f t="shared" ca="1" si="843"/>
        <v>Higher of Land Purchase Price or Land Appraised Value****</v>
      </c>
      <c r="I2411" s="52">
        <v>15</v>
      </c>
    </row>
    <row r="2412" spans="1:10" ht="15" customHeight="1">
      <c r="A2412" t="str">
        <f ca="1">IF(AND(OFFSET(A2412, -I2412 + 2, 4) &gt;  0, E2412="", Calculations!$B$7), F2412, "")</f>
        <v/>
      </c>
      <c r="B2412">
        <f t="shared" si="838"/>
        <v>55</v>
      </c>
      <c r="C2412">
        <f t="shared" ca="1" si="818"/>
        <v>52</v>
      </c>
      <c r="D2412" t="str">
        <f t="shared" si="839"/>
        <v>P55</v>
      </c>
      <c r="E2412" t="str">
        <f t="shared" ca="1" si="840"/>
        <v/>
      </c>
      <c r="F2412" t="str">
        <f t="shared" ca="1" si="841"/>
        <v xml:space="preserve">Enter a 'Acquisition Placed-in-Service Date' for  building 52 in cell P55.
</v>
      </c>
      <c r="G2412" s="9" t="str">
        <f t="shared" ca="1" si="842"/>
        <v xml:space="preserve">Enter a value for 'Number of Floors in the Tallest Building' in cell B58.
</v>
      </c>
      <c r="H2412" s="52" t="str">
        <f t="shared" ca="1" si="843"/>
        <v>Acquisition Placed-in-Service Date</v>
      </c>
      <c r="I2412" s="52">
        <v>16</v>
      </c>
    </row>
    <row r="2413" spans="1:10" ht="15" customHeight="1">
      <c r="A2413" t="str">
        <f ca="1">IF(AND(OFFSET(A2413, -I2413 + 2, 4) &gt;  0, E2413="", Calculations!$B$7), F2413, "")</f>
        <v/>
      </c>
      <c r="B2413">
        <f t="shared" si="838"/>
        <v>55</v>
      </c>
      <c r="C2413">
        <f t="shared" ca="1" si="818"/>
        <v>52</v>
      </c>
      <c r="D2413" t="str">
        <f t="shared" si="839"/>
        <v>Q55</v>
      </c>
      <c r="E2413" t="str">
        <f t="shared" ca="1" si="840"/>
        <v/>
      </c>
      <c r="F2413" t="str">
        <f t="shared" ca="1" si="841"/>
        <v xml:space="preserve">Enter a 'Acquisition APR' for  building 52 in cell Q55.
</v>
      </c>
      <c r="G2413" s="9" t="str">
        <f t="shared" ca="1" si="842"/>
        <v xml:space="preserve">Enter a value for 'Number of Floors in the Tallest Building' in cell B58.
</v>
      </c>
      <c r="H2413" s="52" t="str">
        <f t="shared" ca="1" si="843"/>
        <v>Acquisition APR</v>
      </c>
      <c r="I2413" s="52">
        <v>17</v>
      </c>
    </row>
    <row r="2414" spans="1:10" ht="15" customHeight="1">
      <c r="A2414" t="str">
        <f ca="1">IF(AND(Calculations!$B$4,Calculations!$B$28&gt;=C2414, E2414 &lt;&gt; 13),F2414,"")</f>
        <v/>
      </c>
      <c r="B2414">
        <f>ROW('Final Building Profile'!C56)</f>
        <v>56</v>
      </c>
      <c r="C2414">
        <f t="shared" ref="C2414:C2477" ca="1" si="844">INDIRECT($F$1564 &amp; ADDRESS(B2414, 1,4  ))</f>
        <v>53</v>
      </c>
      <c r="D2414" t="str">
        <f>ADDRESS(B2414, 3,4  )</f>
        <v>C56</v>
      </c>
      <c r="E2414" s="52">
        <f ca="1">H2414+I2414</f>
        <v>0</v>
      </c>
      <c r="F2414" t="str">
        <f ca="1">CONCATENATE("Based upon the number of buildings specified, information for  building ", C2414, " required for a final application in row ", B2414, ".", CHAR(10))</f>
        <v xml:space="preserve">Based upon the number of buildings specified, information for  building 53 required for a final application in row 56.
</v>
      </c>
      <c r="G2414" s="9" t="str">
        <f t="shared" ca="1" si="842"/>
        <v xml:space="preserve">Enter a value for 'Number of Floors in the Tallest Building' in cell B58.
</v>
      </c>
      <c r="H2414" s="52">
        <f ca="1">SUMPRODUCT(--ISTEXT(INDIRECT(J2414)))</f>
        <v>0</v>
      </c>
      <c r="I2414" s="52">
        <f ca="1">SUMPRODUCT(--ISNUMBER(INDIRECT(J2414)))</f>
        <v>0</v>
      </c>
      <c r="J2414" s="52" t="str">
        <f>$F$1564&amp; ADDRESS(B2414,3,4) &amp; ":" &amp; ADDRESS(B2414,15,4)</f>
        <v>'Final Building Profile'!C56:O56</v>
      </c>
    </row>
    <row r="2415" spans="1:10" ht="15" customHeight="1">
      <c r="A2415" t="str">
        <f t="shared" ref="A2415:A2424" ca="1" si="845">IF(AND(OFFSET(A2415, -I2415 + 2, 4) &gt;  0, E2415=""), F2415, "")</f>
        <v/>
      </c>
      <c r="B2415">
        <f t="shared" ref="B2415:B2429" si="846">B2414</f>
        <v>56</v>
      </c>
      <c r="C2415">
        <f t="shared" ca="1" si="844"/>
        <v>53</v>
      </c>
      <c r="D2415" t="str">
        <f t="shared" ref="D2415:D2429" si="847">ADDRESS(B2415, I2415,4  )</f>
        <v>C56</v>
      </c>
      <c r="E2415" t="str">
        <f t="shared" ref="E2415:E2429" ca="1" si="848">IF(ISBLANK( INDIRECT($F$1564 &amp; D2415)),"", INDIRECT($F$1564 &amp; D2415))</f>
        <v/>
      </c>
      <c r="F2415" t="str">
        <f t="shared" ref="F2415:F2429" ca="1" si="849">CONCATENATE("Enter a '"&amp; H2415 &amp;"' for  building ", C2415, " in cell ", D2415, ".", CHAR(10))</f>
        <v xml:space="preserve">Enter a 'Building Street Address Only 
(DO NOT ENTER CITY, STATE, OR ZIP)' for  building 53 in cell C56.
</v>
      </c>
      <c r="G2415" s="9" t="str">
        <f t="shared" ca="1" si="842"/>
        <v xml:space="preserve">Enter a value for 'Number of Floors in the Tallest Building' in cell B58.
</v>
      </c>
      <c r="H2415" s="52" t="str">
        <f t="shared" ref="H2415:H2429" ca="1" si="850">OFFSET(INDIRECT($F$1564 &amp; D2415), -B2415 + 3, 0)</f>
        <v>Building Street Address Only 
(DO NOT ENTER CITY, STATE, OR ZIP)</v>
      </c>
      <c r="I2415" s="52">
        <v>3</v>
      </c>
    </row>
    <row r="2416" spans="1:10" ht="15" customHeight="1">
      <c r="A2416" t="str">
        <f t="shared" ca="1" si="845"/>
        <v/>
      </c>
      <c r="B2416">
        <f t="shared" si="846"/>
        <v>56</v>
      </c>
      <c r="C2416">
        <f t="shared" ca="1" si="844"/>
        <v>53</v>
      </c>
      <c r="D2416" t="str">
        <f t="shared" si="847"/>
        <v>D56</v>
      </c>
      <c r="E2416" t="str">
        <f t="shared" ca="1" si="848"/>
        <v/>
      </c>
      <c r="F2416" t="str">
        <f t="shared" ca="1" si="849"/>
        <v xml:space="preserve">Enter a 'Total Units in Building*' for  building 53 in cell D56.
</v>
      </c>
      <c r="G2416" s="9" t="str">
        <f t="shared" ca="1" si="842"/>
        <v xml:space="preserve">Enter a value for 'Number of Floors in the Tallest Building' in cell B58.
</v>
      </c>
      <c r="H2416" s="52" t="str">
        <f t="shared" ca="1" si="850"/>
        <v>Total Units in Building*</v>
      </c>
      <c r="I2416" s="52">
        <v>4</v>
      </c>
    </row>
    <row r="2417" spans="1:10" ht="15" customHeight="1">
      <c r="A2417" t="str">
        <f t="shared" ca="1" si="845"/>
        <v/>
      </c>
      <c r="B2417">
        <f t="shared" si="846"/>
        <v>56</v>
      </c>
      <c r="C2417">
        <f t="shared" ca="1" si="844"/>
        <v>53</v>
      </c>
      <c r="D2417" t="str">
        <f t="shared" si="847"/>
        <v>E56</v>
      </c>
      <c r="E2417" t="str">
        <f t="shared" ca="1" si="848"/>
        <v/>
      </c>
      <c r="F2417" t="str">
        <f t="shared" ca="1" si="849"/>
        <v xml:space="preserve">Enter a 'Employee Units' for  building 53 in cell E56.
</v>
      </c>
      <c r="G2417" s="9" t="str">
        <f t="shared" ca="1" si="842"/>
        <v xml:space="preserve">Enter a value for 'Number of Floors in the Tallest Building' in cell B58.
</v>
      </c>
      <c r="H2417" s="52" t="str">
        <f t="shared" ca="1" si="850"/>
        <v>Employee Units</v>
      </c>
      <c r="I2417" s="52">
        <v>5</v>
      </c>
    </row>
    <row r="2418" spans="1:10" ht="15" customHeight="1">
      <c r="A2418" t="str">
        <f t="shared" ca="1" si="845"/>
        <v/>
      </c>
      <c r="B2418">
        <f t="shared" si="846"/>
        <v>56</v>
      </c>
      <c r="C2418">
        <f t="shared" ca="1" si="844"/>
        <v>53</v>
      </c>
      <c r="D2418" t="str">
        <f t="shared" si="847"/>
        <v>F56</v>
      </c>
      <c r="E2418" t="str">
        <f t="shared" ca="1" si="848"/>
        <v/>
      </c>
      <c r="F2418" t="str">
        <f t="shared" ca="1" si="849"/>
        <v xml:space="preserve">Enter a 'Low-Income Units' for  building 53 in cell F56.
</v>
      </c>
      <c r="G2418" s="9" t="str">
        <f t="shared" ca="1" si="842"/>
        <v xml:space="preserve">Enter a value for 'Number of Floors in the Tallest Building' in cell B58.
</v>
      </c>
      <c r="H2418" s="52" t="str">
        <f t="shared" ca="1" si="850"/>
        <v>Low-Income Units</v>
      </c>
      <c r="I2418" s="52">
        <v>6</v>
      </c>
    </row>
    <row r="2419" spans="1:10" ht="15" customHeight="1">
      <c r="A2419" t="str">
        <f t="shared" ca="1" si="845"/>
        <v/>
      </c>
      <c r="B2419">
        <f t="shared" si="846"/>
        <v>56</v>
      </c>
      <c r="C2419">
        <f t="shared" ca="1" si="844"/>
        <v>53</v>
      </c>
      <c r="D2419" t="str">
        <f t="shared" si="847"/>
        <v>G56</v>
      </c>
      <c r="E2419" t="str">
        <f t="shared" ca="1" si="848"/>
        <v/>
      </c>
      <c r="F2419" t="str">
        <f t="shared" ca="1" si="849"/>
        <v xml:space="preserve">Enter a 'Residential Square Footage**' for  building 53 in cell G56.
</v>
      </c>
      <c r="G2419" s="9" t="str">
        <f t="shared" ca="1" si="842"/>
        <v xml:space="preserve">Enter a value for 'Number of Floors in the Tallest Building' in cell B58.
</v>
      </c>
      <c r="H2419" s="52" t="str">
        <f t="shared" ca="1" si="850"/>
        <v>Residential Square Footage**</v>
      </c>
      <c r="I2419" s="52">
        <v>7</v>
      </c>
    </row>
    <row r="2420" spans="1:10" ht="15" customHeight="1">
      <c r="A2420" t="str">
        <f t="shared" ca="1" si="845"/>
        <v/>
      </c>
      <c r="B2420">
        <f t="shared" si="846"/>
        <v>56</v>
      </c>
      <c r="C2420">
        <f t="shared" ca="1" si="844"/>
        <v>53</v>
      </c>
      <c r="D2420" t="str">
        <f t="shared" si="847"/>
        <v>H56</v>
      </c>
      <c r="E2420" t="str">
        <f t="shared" ca="1" si="848"/>
        <v/>
      </c>
      <c r="F2420" t="str">
        <f t="shared" ca="1" si="849"/>
        <v xml:space="preserve">Enter a 'Square Footage of Employee Units' for  building 53 in cell H56.
</v>
      </c>
      <c r="G2420" s="9" t="str">
        <f t="shared" ca="1" si="842"/>
        <v xml:space="preserve">Enter a value for 'Number of Floors in the Tallest Building' in cell B58.
</v>
      </c>
      <c r="H2420" s="52" t="str">
        <f t="shared" ca="1" si="850"/>
        <v>Square Footage of Employee Units</v>
      </c>
      <c r="I2420" s="52">
        <v>8</v>
      </c>
    </row>
    <row r="2421" spans="1:10" ht="15" customHeight="1">
      <c r="A2421" t="str">
        <f t="shared" ca="1" si="845"/>
        <v/>
      </c>
      <c r="B2421">
        <f t="shared" si="846"/>
        <v>56</v>
      </c>
      <c r="C2421">
        <f t="shared" ca="1" si="844"/>
        <v>53</v>
      </c>
      <c r="D2421" t="str">
        <f t="shared" si="847"/>
        <v>I56</v>
      </c>
      <c r="E2421" t="str">
        <f t="shared" ca="1" si="848"/>
        <v/>
      </c>
      <c r="F2421" t="str">
        <f t="shared" ca="1" si="849"/>
        <v xml:space="preserve">Enter a 'Square Footage of Low-Income Units' for  building 53 in cell I56.
</v>
      </c>
      <c r="G2421" s="9" t="str">
        <f t="shared" ca="1" si="842"/>
        <v xml:space="preserve">Enter a value for 'Number of Floors in the Tallest Building' in cell B58.
</v>
      </c>
      <c r="H2421" s="52" t="str">
        <f t="shared" ca="1" si="850"/>
        <v>Square Footage of Low-Income Units</v>
      </c>
      <c r="I2421" s="52">
        <v>9</v>
      </c>
    </row>
    <row r="2422" spans="1:10" ht="15" customHeight="1">
      <c r="A2422" t="str">
        <f t="shared" ca="1" si="845"/>
        <v/>
      </c>
      <c r="B2422">
        <f t="shared" si="846"/>
        <v>56</v>
      </c>
      <c r="C2422">
        <f t="shared" ca="1" si="844"/>
        <v>53</v>
      </c>
      <c r="D2422" t="str">
        <f t="shared" si="847"/>
        <v>J56</v>
      </c>
      <c r="E2422" t="str">
        <f t="shared" ca="1" si="848"/>
        <v/>
      </c>
      <c r="F2422" t="str">
        <f t="shared" ca="1" si="849"/>
        <v xml:space="preserve">Enter a 'Placed-In-Service Date' for  building 53 in cell J56.
</v>
      </c>
      <c r="G2422" s="9" t="str">
        <f t="shared" ca="1" si="842"/>
        <v xml:space="preserve">Enter a value for 'Number of Floors in the Tallest Building' in cell B58.
</v>
      </c>
      <c r="H2422" s="52" t="str">
        <f t="shared" ca="1" si="850"/>
        <v>Placed-In-Service Date</v>
      </c>
      <c r="I2422" s="52">
        <v>10</v>
      </c>
    </row>
    <row r="2423" spans="1:10" ht="15" customHeight="1">
      <c r="A2423" t="str">
        <f t="shared" ca="1" si="845"/>
        <v/>
      </c>
      <c r="B2423">
        <f t="shared" si="846"/>
        <v>56</v>
      </c>
      <c r="C2423">
        <f t="shared" ca="1" si="844"/>
        <v>53</v>
      </c>
      <c r="D2423" t="str">
        <f t="shared" si="847"/>
        <v>K56</v>
      </c>
      <c r="E2423" t="str">
        <f t="shared" ca="1" si="848"/>
        <v/>
      </c>
      <c r="F2423" t="str">
        <f t="shared" ca="1" si="849"/>
        <v xml:space="preserve">Enter a 'New Construction/ Rehab APR' for  building 53 in cell K56.
</v>
      </c>
      <c r="G2423" s="9" t="str">
        <f t="shared" ca="1" si="842"/>
        <v xml:space="preserve">Enter a value for 'Number of Floors in the Tallest Building' in cell B58.
</v>
      </c>
      <c r="H2423" s="52" t="str">
        <f t="shared" ca="1" si="850"/>
        <v>New Construction/ Rehab APR</v>
      </c>
      <c r="I2423" s="52">
        <v>11</v>
      </c>
    </row>
    <row r="2424" spans="1:10" ht="15" customHeight="1">
      <c r="A2424" t="str">
        <f t="shared" ca="1" si="845"/>
        <v/>
      </c>
      <c r="B2424">
        <f t="shared" si="846"/>
        <v>56</v>
      </c>
      <c r="C2424">
        <f t="shared" ca="1" si="844"/>
        <v>53</v>
      </c>
      <c r="D2424" t="str">
        <f t="shared" si="847"/>
        <v>L56</v>
      </c>
      <c r="E2424" t="str">
        <f t="shared" ca="1" si="848"/>
        <v/>
      </c>
      <c r="F2424" t="str">
        <f t="shared" ca="1" si="849"/>
        <v xml:space="preserve">Enter a 'New Construction Eligible Basis' for  building 53 in cell L56.
</v>
      </c>
      <c r="G2424" s="9" t="str">
        <f t="shared" ca="1" si="842"/>
        <v xml:space="preserve">Enter a value for 'Number of Floors in the Tallest Building' in cell B58.
</v>
      </c>
      <c r="H2424" s="52" t="str">
        <f t="shared" ca="1" si="850"/>
        <v>New Construction Eligible Basis</v>
      </c>
      <c r="I2424" s="52">
        <v>12</v>
      </c>
    </row>
    <row r="2425" spans="1:10" ht="15" customHeight="1">
      <c r="A2425" t="str">
        <f ca="1">IF(AND(OFFSET(A2425, -I2425 + 2, 4) &gt;  0, E2425="", Calculations!$B$7), F2425, "")</f>
        <v/>
      </c>
      <c r="B2425">
        <f t="shared" si="846"/>
        <v>56</v>
      </c>
      <c r="C2425">
        <f t="shared" ca="1" si="844"/>
        <v>53</v>
      </c>
      <c r="D2425" t="str">
        <f t="shared" si="847"/>
        <v>M56</v>
      </c>
      <c r="E2425" t="str">
        <f t="shared" ca="1" si="848"/>
        <v/>
      </c>
      <c r="F2425" t="str">
        <f t="shared" ca="1" si="849"/>
        <v xml:space="preserve">Enter a 'Eligible Basis for Rehab' for  building 53 in cell M56.
</v>
      </c>
      <c r="G2425" s="9" t="str">
        <f t="shared" ca="1" si="842"/>
        <v xml:space="preserve">Enter a value for 'Number of Floors in the Tallest Building' in cell B58.
</v>
      </c>
      <c r="H2425" s="52" t="str">
        <f t="shared" ca="1" si="850"/>
        <v>Eligible Basis for Rehab</v>
      </c>
      <c r="I2425" s="52">
        <v>13</v>
      </c>
    </row>
    <row r="2426" spans="1:10" ht="15" customHeight="1">
      <c r="A2426" t="str">
        <f ca="1">IF(AND(OFFSET(A2426, -I2426 + 2, 4) &gt;  0, E2426="", Calculations!$B$7), F2426, "")</f>
        <v/>
      </c>
      <c r="B2426">
        <f t="shared" si="846"/>
        <v>56</v>
      </c>
      <c r="C2426">
        <f t="shared" ca="1" si="844"/>
        <v>53</v>
      </c>
      <c r="D2426" t="str">
        <f t="shared" si="847"/>
        <v>N56</v>
      </c>
      <c r="E2426" t="str">
        <f t="shared" ca="1" si="848"/>
        <v/>
      </c>
      <c r="F2426" t="str">
        <f t="shared" ca="1" si="849"/>
        <v xml:space="preserve">Enter a 'Cost of Acquiring the Building***' for  building 53 in cell N56.
</v>
      </c>
      <c r="G2426" s="9" t="str">
        <f t="shared" ca="1" si="842"/>
        <v xml:space="preserve">Enter a value for 'Number of Floors in the Tallest Building' in cell B58.
</v>
      </c>
      <c r="H2426" s="52" t="str">
        <f t="shared" ca="1" si="850"/>
        <v>Cost of Acquiring the Building***</v>
      </c>
      <c r="I2426" s="52">
        <v>14</v>
      </c>
    </row>
    <row r="2427" spans="1:10" ht="15" customHeight="1">
      <c r="A2427" t="str">
        <f ca="1">IF(AND(OFFSET(A2427, -I2427 + 2, 4) &gt;  0, E2427="", Calculations!$B$7), F2427, "")</f>
        <v/>
      </c>
      <c r="B2427">
        <f t="shared" si="846"/>
        <v>56</v>
      </c>
      <c r="C2427">
        <f t="shared" ca="1" si="844"/>
        <v>53</v>
      </c>
      <c r="D2427" t="str">
        <f t="shared" si="847"/>
        <v>O56</v>
      </c>
      <c r="E2427" t="str">
        <f t="shared" ca="1" si="848"/>
        <v/>
      </c>
      <c r="F2427" t="str">
        <f t="shared" ca="1" si="849"/>
        <v xml:space="preserve">Enter a 'Higher of Land Purchase Price or Land Appraised Value****' for  building 53 in cell O56.
</v>
      </c>
      <c r="G2427" s="9" t="str">
        <f t="shared" ca="1" si="842"/>
        <v xml:space="preserve">Enter a value for 'Number of Floors in the Tallest Building' in cell B58.
</v>
      </c>
      <c r="H2427" s="52" t="str">
        <f t="shared" ca="1" si="850"/>
        <v>Higher of Land Purchase Price or Land Appraised Value****</v>
      </c>
      <c r="I2427" s="52">
        <v>15</v>
      </c>
    </row>
    <row r="2428" spans="1:10" ht="15" customHeight="1">
      <c r="A2428" t="str">
        <f ca="1">IF(AND(OFFSET(A2428, -I2428 + 2, 4) &gt;  0, E2428="", Calculations!$B$7), F2428, "")</f>
        <v/>
      </c>
      <c r="B2428">
        <f t="shared" si="846"/>
        <v>56</v>
      </c>
      <c r="C2428">
        <f t="shared" ca="1" si="844"/>
        <v>53</v>
      </c>
      <c r="D2428" t="str">
        <f t="shared" si="847"/>
        <v>P56</v>
      </c>
      <c r="E2428" t="str">
        <f t="shared" ca="1" si="848"/>
        <v/>
      </c>
      <c r="F2428" t="str">
        <f t="shared" ca="1" si="849"/>
        <v xml:space="preserve">Enter a 'Acquisition Placed-in-Service Date' for  building 53 in cell P56.
</v>
      </c>
      <c r="G2428" s="9" t="str">
        <f t="shared" ca="1" si="842"/>
        <v xml:space="preserve">Enter a value for 'Number of Floors in the Tallest Building' in cell B58.
</v>
      </c>
      <c r="H2428" s="52" t="str">
        <f t="shared" ca="1" si="850"/>
        <v>Acquisition Placed-in-Service Date</v>
      </c>
      <c r="I2428" s="52">
        <v>16</v>
      </c>
    </row>
    <row r="2429" spans="1:10" ht="15" customHeight="1">
      <c r="A2429" t="str">
        <f ca="1">IF(AND(OFFSET(A2429, -I2429 + 2, 4) &gt;  0, E2429="", Calculations!$B$7), F2429, "")</f>
        <v/>
      </c>
      <c r="B2429">
        <f t="shared" si="846"/>
        <v>56</v>
      </c>
      <c r="C2429">
        <f t="shared" ca="1" si="844"/>
        <v>53</v>
      </c>
      <c r="D2429" t="str">
        <f t="shared" si="847"/>
        <v>Q56</v>
      </c>
      <c r="E2429" t="str">
        <f t="shared" ca="1" si="848"/>
        <v/>
      </c>
      <c r="F2429" t="str">
        <f t="shared" ca="1" si="849"/>
        <v xml:space="preserve">Enter a 'Acquisition APR' for  building 53 in cell Q56.
</v>
      </c>
      <c r="G2429" s="9" t="str">
        <f t="shared" ca="1" si="842"/>
        <v xml:space="preserve">Enter a value for 'Number of Floors in the Tallest Building' in cell B58.
</v>
      </c>
      <c r="H2429" s="52" t="str">
        <f t="shared" ca="1" si="850"/>
        <v>Acquisition APR</v>
      </c>
      <c r="I2429" s="52">
        <v>17</v>
      </c>
    </row>
    <row r="2430" spans="1:10" ht="15" customHeight="1">
      <c r="A2430" t="str">
        <f ca="1">IF(AND(Calculations!$B$4,Calculations!$B$28&gt;=C2430, E2430 &lt;&gt; 13),F2430,"")</f>
        <v/>
      </c>
      <c r="B2430">
        <f>ROW('Final Building Profile'!C57)</f>
        <v>57</v>
      </c>
      <c r="C2430">
        <f t="shared" ca="1" si="844"/>
        <v>54</v>
      </c>
      <c r="D2430" t="str">
        <f>ADDRESS(B2430, 3,4  )</f>
        <v>C57</v>
      </c>
      <c r="E2430" s="52">
        <f ca="1">H2430+I2430</f>
        <v>0</v>
      </c>
      <c r="F2430" t="str">
        <f ca="1">CONCATENATE("Based upon the number of buildings specified, information for  building ", C2430, " required for a final application in row ", B2430, ".", CHAR(10))</f>
        <v xml:space="preserve">Based upon the number of buildings specified, information for  building 54 required for a final application in row 57.
</v>
      </c>
      <c r="G2430" s="9" t="str">
        <f t="shared" ca="1" si="842"/>
        <v xml:space="preserve">Enter a value for 'Number of Floors in the Tallest Building' in cell B58.
</v>
      </c>
      <c r="H2430" s="52">
        <f ca="1">SUMPRODUCT(--ISTEXT(INDIRECT(J2430)))</f>
        <v>0</v>
      </c>
      <c r="I2430" s="52">
        <f ca="1">SUMPRODUCT(--ISNUMBER(INDIRECT(J2430)))</f>
        <v>0</v>
      </c>
      <c r="J2430" s="52" t="str">
        <f>$F$1564&amp; ADDRESS(B2430,3,4) &amp; ":" &amp; ADDRESS(B2430,15,4)</f>
        <v>'Final Building Profile'!C57:O57</v>
      </c>
    </row>
    <row r="2431" spans="1:10" ht="15" customHeight="1">
      <c r="A2431" t="str">
        <f t="shared" ref="A2431:A2440" ca="1" si="851">IF(AND(OFFSET(A2431, -I2431 + 2, 4) &gt;  0, E2431=""), F2431, "")</f>
        <v/>
      </c>
      <c r="B2431">
        <f t="shared" ref="B2431:B2445" si="852">B2430</f>
        <v>57</v>
      </c>
      <c r="C2431">
        <f t="shared" ca="1" si="844"/>
        <v>54</v>
      </c>
      <c r="D2431" t="str">
        <f t="shared" ref="D2431:D2445" si="853">ADDRESS(B2431, I2431,4  )</f>
        <v>C57</v>
      </c>
      <c r="E2431" t="str">
        <f t="shared" ref="E2431:E2445" ca="1" si="854">IF(ISBLANK( INDIRECT($F$1564 &amp; D2431)),"", INDIRECT($F$1564 &amp; D2431))</f>
        <v/>
      </c>
      <c r="F2431" t="str">
        <f t="shared" ref="F2431:F2445" ca="1" si="855">CONCATENATE("Enter a '"&amp; H2431 &amp;"' for  building ", C2431, " in cell ", D2431, ".", CHAR(10))</f>
        <v xml:space="preserve">Enter a 'Building Street Address Only 
(DO NOT ENTER CITY, STATE, OR ZIP)' for  building 54 in cell C57.
</v>
      </c>
      <c r="G2431" s="9" t="str">
        <f t="shared" ca="1" si="842"/>
        <v xml:space="preserve">Enter a value for 'Number of Floors in the Tallest Building' in cell B58.
</v>
      </c>
      <c r="H2431" s="52" t="str">
        <f t="shared" ref="H2431:H2445" ca="1" si="856">OFFSET(INDIRECT($F$1564 &amp; D2431), -B2431 + 3, 0)</f>
        <v>Building Street Address Only 
(DO NOT ENTER CITY, STATE, OR ZIP)</v>
      </c>
      <c r="I2431" s="52">
        <v>3</v>
      </c>
    </row>
    <row r="2432" spans="1:10" ht="15" customHeight="1">
      <c r="A2432" t="str">
        <f t="shared" ca="1" si="851"/>
        <v/>
      </c>
      <c r="B2432">
        <f t="shared" si="852"/>
        <v>57</v>
      </c>
      <c r="C2432">
        <f t="shared" ca="1" si="844"/>
        <v>54</v>
      </c>
      <c r="D2432" t="str">
        <f t="shared" si="853"/>
        <v>D57</v>
      </c>
      <c r="E2432" t="str">
        <f t="shared" ca="1" si="854"/>
        <v/>
      </c>
      <c r="F2432" t="str">
        <f t="shared" ca="1" si="855"/>
        <v xml:space="preserve">Enter a 'Total Units in Building*' for  building 54 in cell D57.
</v>
      </c>
      <c r="G2432" s="9" t="str">
        <f t="shared" ca="1" si="842"/>
        <v xml:space="preserve">Enter a value for 'Number of Floors in the Tallest Building' in cell B58.
</v>
      </c>
      <c r="H2432" s="52" t="str">
        <f t="shared" ca="1" si="856"/>
        <v>Total Units in Building*</v>
      </c>
      <c r="I2432" s="52">
        <v>4</v>
      </c>
    </row>
    <row r="2433" spans="1:10" ht="15" customHeight="1">
      <c r="A2433" t="str">
        <f t="shared" ca="1" si="851"/>
        <v/>
      </c>
      <c r="B2433">
        <f t="shared" si="852"/>
        <v>57</v>
      </c>
      <c r="C2433">
        <f t="shared" ca="1" si="844"/>
        <v>54</v>
      </c>
      <c r="D2433" t="str">
        <f t="shared" si="853"/>
        <v>E57</v>
      </c>
      <c r="E2433" t="str">
        <f t="shared" ca="1" si="854"/>
        <v/>
      </c>
      <c r="F2433" t="str">
        <f t="shared" ca="1" si="855"/>
        <v xml:space="preserve">Enter a 'Employee Units' for  building 54 in cell E57.
</v>
      </c>
      <c r="G2433" s="9" t="str">
        <f t="shared" ca="1" si="842"/>
        <v xml:space="preserve">Enter a value for 'Number of Floors in the Tallest Building' in cell B58.
</v>
      </c>
      <c r="H2433" s="52" t="str">
        <f t="shared" ca="1" si="856"/>
        <v>Employee Units</v>
      </c>
      <c r="I2433" s="52">
        <v>5</v>
      </c>
    </row>
    <row r="2434" spans="1:10" ht="15" customHeight="1">
      <c r="A2434" t="str">
        <f t="shared" ca="1" si="851"/>
        <v/>
      </c>
      <c r="B2434">
        <f t="shared" si="852"/>
        <v>57</v>
      </c>
      <c r="C2434">
        <f t="shared" ca="1" si="844"/>
        <v>54</v>
      </c>
      <c r="D2434" t="str">
        <f t="shared" si="853"/>
        <v>F57</v>
      </c>
      <c r="E2434" t="str">
        <f t="shared" ca="1" si="854"/>
        <v/>
      </c>
      <c r="F2434" t="str">
        <f t="shared" ca="1" si="855"/>
        <v xml:space="preserve">Enter a 'Low-Income Units' for  building 54 in cell F57.
</v>
      </c>
      <c r="G2434" s="9" t="str">
        <f t="shared" ca="1" si="842"/>
        <v xml:space="preserve">Enter a value for 'Number of Floors in the Tallest Building' in cell B58.
</v>
      </c>
      <c r="H2434" s="52" t="str">
        <f t="shared" ca="1" si="856"/>
        <v>Low-Income Units</v>
      </c>
      <c r="I2434" s="52">
        <v>6</v>
      </c>
    </row>
    <row r="2435" spans="1:10" ht="15" customHeight="1">
      <c r="A2435" t="str">
        <f t="shared" ca="1" si="851"/>
        <v/>
      </c>
      <c r="B2435">
        <f t="shared" si="852"/>
        <v>57</v>
      </c>
      <c r="C2435">
        <f t="shared" ca="1" si="844"/>
        <v>54</v>
      </c>
      <c r="D2435" t="str">
        <f t="shared" si="853"/>
        <v>G57</v>
      </c>
      <c r="E2435" t="str">
        <f t="shared" ca="1" si="854"/>
        <v/>
      </c>
      <c r="F2435" t="str">
        <f t="shared" ca="1" si="855"/>
        <v xml:space="preserve">Enter a 'Residential Square Footage**' for  building 54 in cell G57.
</v>
      </c>
      <c r="G2435" s="9" t="str">
        <f t="shared" ca="1" si="842"/>
        <v xml:space="preserve">Enter a value for 'Number of Floors in the Tallest Building' in cell B58.
</v>
      </c>
      <c r="H2435" s="52" t="str">
        <f t="shared" ca="1" si="856"/>
        <v>Residential Square Footage**</v>
      </c>
      <c r="I2435" s="52">
        <v>7</v>
      </c>
    </row>
    <row r="2436" spans="1:10" ht="15" customHeight="1">
      <c r="A2436" t="str">
        <f t="shared" ca="1" si="851"/>
        <v/>
      </c>
      <c r="B2436">
        <f t="shared" si="852"/>
        <v>57</v>
      </c>
      <c r="C2436">
        <f t="shared" ca="1" si="844"/>
        <v>54</v>
      </c>
      <c r="D2436" t="str">
        <f t="shared" si="853"/>
        <v>H57</v>
      </c>
      <c r="E2436" t="str">
        <f t="shared" ca="1" si="854"/>
        <v/>
      </c>
      <c r="F2436" t="str">
        <f t="shared" ca="1" si="855"/>
        <v xml:space="preserve">Enter a 'Square Footage of Employee Units' for  building 54 in cell H57.
</v>
      </c>
      <c r="G2436" s="9" t="str">
        <f t="shared" ca="1" si="842"/>
        <v xml:space="preserve">Enter a value for 'Number of Floors in the Tallest Building' in cell B58.
</v>
      </c>
      <c r="H2436" s="52" t="str">
        <f t="shared" ca="1" si="856"/>
        <v>Square Footage of Employee Units</v>
      </c>
      <c r="I2436" s="52">
        <v>8</v>
      </c>
    </row>
    <row r="2437" spans="1:10" ht="15" customHeight="1">
      <c r="A2437" t="str">
        <f t="shared" ca="1" si="851"/>
        <v/>
      </c>
      <c r="B2437">
        <f t="shared" si="852"/>
        <v>57</v>
      </c>
      <c r="C2437">
        <f t="shared" ca="1" si="844"/>
        <v>54</v>
      </c>
      <c r="D2437" t="str">
        <f t="shared" si="853"/>
        <v>I57</v>
      </c>
      <c r="E2437" t="str">
        <f t="shared" ca="1" si="854"/>
        <v/>
      </c>
      <c r="F2437" t="str">
        <f t="shared" ca="1" si="855"/>
        <v xml:space="preserve">Enter a 'Square Footage of Low-Income Units' for  building 54 in cell I57.
</v>
      </c>
      <c r="G2437" s="9" t="str">
        <f t="shared" ca="1" si="842"/>
        <v xml:space="preserve">Enter a value for 'Number of Floors in the Tallest Building' in cell B58.
</v>
      </c>
      <c r="H2437" s="52" t="str">
        <f t="shared" ca="1" si="856"/>
        <v>Square Footage of Low-Income Units</v>
      </c>
      <c r="I2437" s="52">
        <v>9</v>
      </c>
    </row>
    <row r="2438" spans="1:10" ht="15" customHeight="1">
      <c r="A2438" t="str">
        <f t="shared" ca="1" si="851"/>
        <v/>
      </c>
      <c r="B2438">
        <f t="shared" si="852"/>
        <v>57</v>
      </c>
      <c r="C2438">
        <f t="shared" ca="1" si="844"/>
        <v>54</v>
      </c>
      <c r="D2438" t="str">
        <f t="shared" si="853"/>
        <v>J57</v>
      </c>
      <c r="E2438" t="str">
        <f t="shared" ca="1" si="854"/>
        <v/>
      </c>
      <c r="F2438" t="str">
        <f t="shared" ca="1" si="855"/>
        <v xml:space="preserve">Enter a 'Placed-In-Service Date' for  building 54 in cell J57.
</v>
      </c>
      <c r="G2438" s="9" t="str">
        <f t="shared" ca="1" si="842"/>
        <v xml:space="preserve">Enter a value for 'Number of Floors in the Tallest Building' in cell B58.
</v>
      </c>
      <c r="H2438" s="52" t="str">
        <f t="shared" ca="1" si="856"/>
        <v>Placed-In-Service Date</v>
      </c>
      <c r="I2438" s="52">
        <v>10</v>
      </c>
    </row>
    <row r="2439" spans="1:10" ht="15" customHeight="1">
      <c r="A2439" t="str">
        <f t="shared" ca="1" si="851"/>
        <v/>
      </c>
      <c r="B2439">
        <f t="shared" si="852"/>
        <v>57</v>
      </c>
      <c r="C2439">
        <f t="shared" ca="1" si="844"/>
        <v>54</v>
      </c>
      <c r="D2439" t="str">
        <f t="shared" si="853"/>
        <v>K57</v>
      </c>
      <c r="E2439" t="str">
        <f t="shared" ca="1" si="854"/>
        <v/>
      </c>
      <c r="F2439" t="str">
        <f t="shared" ca="1" si="855"/>
        <v xml:space="preserve">Enter a 'New Construction/ Rehab APR' for  building 54 in cell K57.
</v>
      </c>
      <c r="G2439" s="9" t="str">
        <f t="shared" ca="1" si="842"/>
        <v xml:space="preserve">Enter a value for 'Number of Floors in the Tallest Building' in cell B58.
</v>
      </c>
      <c r="H2439" s="52" t="str">
        <f t="shared" ca="1" si="856"/>
        <v>New Construction/ Rehab APR</v>
      </c>
      <c r="I2439" s="52">
        <v>11</v>
      </c>
    </row>
    <row r="2440" spans="1:10" ht="15" customHeight="1">
      <c r="A2440" t="str">
        <f t="shared" ca="1" si="851"/>
        <v/>
      </c>
      <c r="B2440">
        <f t="shared" si="852"/>
        <v>57</v>
      </c>
      <c r="C2440">
        <f t="shared" ca="1" si="844"/>
        <v>54</v>
      </c>
      <c r="D2440" t="str">
        <f t="shared" si="853"/>
        <v>L57</v>
      </c>
      <c r="E2440" t="str">
        <f t="shared" ca="1" si="854"/>
        <v/>
      </c>
      <c r="F2440" t="str">
        <f t="shared" ca="1" si="855"/>
        <v xml:space="preserve">Enter a 'New Construction Eligible Basis' for  building 54 in cell L57.
</v>
      </c>
      <c r="G2440" s="9" t="str">
        <f t="shared" ca="1" si="842"/>
        <v xml:space="preserve">Enter a value for 'Number of Floors in the Tallest Building' in cell B58.
</v>
      </c>
      <c r="H2440" s="52" t="str">
        <f t="shared" ca="1" si="856"/>
        <v>New Construction Eligible Basis</v>
      </c>
      <c r="I2440" s="52">
        <v>12</v>
      </c>
    </row>
    <row r="2441" spans="1:10" ht="15" customHeight="1">
      <c r="A2441" t="str">
        <f ca="1">IF(AND(OFFSET(A2441, -I2441 + 2, 4) &gt;  0, E2441="", Calculations!$B$7), F2441, "")</f>
        <v/>
      </c>
      <c r="B2441">
        <f t="shared" si="852"/>
        <v>57</v>
      </c>
      <c r="C2441">
        <f t="shared" ca="1" si="844"/>
        <v>54</v>
      </c>
      <c r="D2441" t="str">
        <f t="shared" si="853"/>
        <v>M57</v>
      </c>
      <c r="E2441" t="str">
        <f t="shared" ca="1" si="854"/>
        <v/>
      </c>
      <c r="F2441" t="str">
        <f t="shared" ca="1" si="855"/>
        <v xml:space="preserve">Enter a 'Eligible Basis for Rehab' for  building 54 in cell M57.
</v>
      </c>
      <c r="G2441" s="9" t="str">
        <f t="shared" ca="1" si="842"/>
        <v xml:space="preserve">Enter a value for 'Number of Floors in the Tallest Building' in cell B58.
</v>
      </c>
      <c r="H2441" s="52" t="str">
        <f t="shared" ca="1" si="856"/>
        <v>Eligible Basis for Rehab</v>
      </c>
      <c r="I2441" s="52">
        <v>13</v>
      </c>
    </row>
    <row r="2442" spans="1:10" ht="15" customHeight="1">
      <c r="A2442" t="str">
        <f ca="1">IF(AND(OFFSET(A2442, -I2442 + 2, 4) &gt;  0, E2442="", Calculations!$B$7), F2442, "")</f>
        <v/>
      </c>
      <c r="B2442">
        <f t="shared" si="852"/>
        <v>57</v>
      </c>
      <c r="C2442">
        <f t="shared" ca="1" si="844"/>
        <v>54</v>
      </c>
      <c r="D2442" t="str">
        <f t="shared" si="853"/>
        <v>N57</v>
      </c>
      <c r="E2442" t="str">
        <f t="shared" ca="1" si="854"/>
        <v/>
      </c>
      <c r="F2442" t="str">
        <f t="shared" ca="1" si="855"/>
        <v xml:space="preserve">Enter a 'Cost of Acquiring the Building***' for  building 54 in cell N57.
</v>
      </c>
      <c r="G2442" s="9" t="str">
        <f t="shared" ca="1" si="842"/>
        <v xml:space="preserve">Enter a value for 'Number of Floors in the Tallest Building' in cell B58.
</v>
      </c>
      <c r="H2442" s="52" t="str">
        <f t="shared" ca="1" si="856"/>
        <v>Cost of Acquiring the Building***</v>
      </c>
      <c r="I2442" s="52">
        <v>14</v>
      </c>
    </row>
    <row r="2443" spans="1:10" ht="15" customHeight="1">
      <c r="A2443" t="str">
        <f ca="1">IF(AND(OFFSET(A2443, -I2443 + 2, 4) &gt;  0, E2443="", Calculations!$B$7), F2443, "")</f>
        <v/>
      </c>
      <c r="B2443">
        <f t="shared" si="852"/>
        <v>57</v>
      </c>
      <c r="C2443">
        <f t="shared" ca="1" si="844"/>
        <v>54</v>
      </c>
      <c r="D2443" t="str">
        <f t="shared" si="853"/>
        <v>O57</v>
      </c>
      <c r="E2443" t="str">
        <f t="shared" ca="1" si="854"/>
        <v/>
      </c>
      <c r="F2443" t="str">
        <f t="shared" ca="1" si="855"/>
        <v xml:space="preserve">Enter a 'Higher of Land Purchase Price or Land Appraised Value****' for  building 54 in cell O57.
</v>
      </c>
      <c r="G2443" s="9" t="str">
        <f t="shared" ca="1" si="842"/>
        <v xml:space="preserve">Enter a value for 'Number of Floors in the Tallest Building' in cell B58.
</v>
      </c>
      <c r="H2443" s="52" t="str">
        <f t="shared" ca="1" si="856"/>
        <v>Higher of Land Purchase Price or Land Appraised Value****</v>
      </c>
      <c r="I2443" s="52">
        <v>15</v>
      </c>
    </row>
    <row r="2444" spans="1:10" ht="15" customHeight="1">
      <c r="A2444" t="str">
        <f ca="1">IF(AND(OFFSET(A2444, -I2444 + 2, 4) &gt;  0, E2444="", Calculations!$B$7), F2444, "")</f>
        <v/>
      </c>
      <c r="B2444">
        <f t="shared" si="852"/>
        <v>57</v>
      </c>
      <c r="C2444">
        <f t="shared" ca="1" si="844"/>
        <v>54</v>
      </c>
      <c r="D2444" t="str">
        <f t="shared" si="853"/>
        <v>P57</v>
      </c>
      <c r="E2444" t="str">
        <f t="shared" ca="1" si="854"/>
        <v/>
      </c>
      <c r="F2444" t="str">
        <f t="shared" ca="1" si="855"/>
        <v xml:space="preserve">Enter a 'Acquisition Placed-in-Service Date' for  building 54 in cell P57.
</v>
      </c>
      <c r="G2444" s="9" t="str">
        <f t="shared" ca="1" si="842"/>
        <v xml:space="preserve">Enter a value for 'Number of Floors in the Tallest Building' in cell B58.
</v>
      </c>
      <c r="H2444" s="52" t="str">
        <f t="shared" ca="1" si="856"/>
        <v>Acquisition Placed-in-Service Date</v>
      </c>
      <c r="I2444" s="52">
        <v>16</v>
      </c>
    </row>
    <row r="2445" spans="1:10" ht="15" customHeight="1">
      <c r="A2445" t="str">
        <f ca="1">IF(AND(OFFSET(A2445, -I2445 + 2, 4) &gt;  0, E2445="", Calculations!$B$7), F2445, "")</f>
        <v/>
      </c>
      <c r="B2445">
        <f t="shared" si="852"/>
        <v>57</v>
      </c>
      <c r="C2445">
        <f t="shared" ca="1" si="844"/>
        <v>54</v>
      </c>
      <c r="D2445" t="str">
        <f t="shared" si="853"/>
        <v>Q57</v>
      </c>
      <c r="E2445" t="str">
        <f t="shared" ca="1" si="854"/>
        <v/>
      </c>
      <c r="F2445" t="str">
        <f t="shared" ca="1" si="855"/>
        <v xml:space="preserve">Enter a 'Acquisition APR' for  building 54 in cell Q57.
</v>
      </c>
      <c r="G2445" s="9" t="str">
        <f t="shared" ca="1" si="842"/>
        <v xml:space="preserve">Enter a value for 'Number of Floors in the Tallest Building' in cell B58.
</v>
      </c>
      <c r="H2445" s="52" t="str">
        <f t="shared" ca="1" si="856"/>
        <v>Acquisition APR</v>
      </c>
      <c r="I2445" s="52">
        <v>17</v>
      </c>
    </row>
    <row r="2446" spans="1:10" ht="15" customHeight="1">
      <c r="A2446" t="str">
        <f ca="1">IF(AND(Calculations!$B$4,Calculations!$B$28&gt;=C2446, E2446 &lt;&gt; 13),F2446,"")</f>
        <v/>
      </c>
      <c r="B2446">
        <f>ROW('Final Building Profile'!C58)</f>
        <v>58</v>
      </c>
      <c r="C2446">
        <f t="shared" ca="1" si="844"/>
        <v>55</v>
      </c>
      <c r="D2446" t="str">
        <f>ADDRESS(B2446, 3,4  )</f>
        <v>C58</v>
      </c>
      <c r="E2446" s="52">
        <f ca="1">H2446+I2446</f>
        <v>0</v>
      </c>
      <c r="F2446" t="str">
        <f ca="1">CONCATENATE("Based upon the number of buildings specified, information for  building ", C2446, " required for a final application in row ", B2446, ".", CHAR(10))</f>
        <v xml:space="preserve">Based upon the number of buildings specified, information for  building 55 required for a final application in row 58.
</v>
      </c>
      <c r="G2446" s="9" t="str">
        <f t="shared" ca="1" si="842"/>
        <v xml:space="preserve">Enter a value for 'Number of Floors in the Tallest Building' in cell B58.
</v>
      </c>
      <c r="H2446" s="52">
        <f ca="1">SUMPRODUCT(--ISTEXT(INDIRECT(J2446)))</f>
        <v>0</v>
      </c>
      <c r="I2446" s="52">
        <f ca="1">SUMPRODUCT(--ISNUMBER(INDIRECT(J2446)))</f>
        <v>0</v>
      </c>
      <c r="J2446" s="52" t="str">
        <f>$F$1564&amp; ADDRESS(B2446,3,4) &amp; ":" &amp; ADDRESS(B2446,15,4)</f>
        <v>'Final Building Profile'!C58:O58</v>
      </c>
    </row>
    <row r="2447" spans="1:10" ht="15" customHeight="1">
      <c r="A2447" t="str">
        <f t="shared" ref="A2447:A2456" ca="1" si="857">IF(AND(OFFSET(A2447, -I2447 + 2, 4) &gt;  0, E2447=""), F2447, "")</f>
        <v/>
      </c>
      <c r="B2447">
        <f t="shared" ref="B2447:B2461" si="858">B2446</f>
        <v>58</v>
      </c>
      <c r="C2447">
        <f t="shared" ca="1" si="844"/>
        <v>55</v>
      </c>
      <c r="D2447" t="str">
        <f t="shared" ref="D2447:D2461" si="859">ADDRESS(B2447, I2447,4  )</f>
        <v>C58</v>
      </c>
      <c r="E2447" t="str">
        <f t="shared" ref="E2447:E2461" ca="1" si="860">IF(ISBLANK( INDIRECT($F$1564 &amp; D2447)),"", INDIRECT($F$1564 &amp; D2447))</f>
        <v/>
      </c>
      <c r="F2447" t="str">
        <f t="shared" ref="F2447:F2461" ca="1" si="861">CONCATENATE("Enter a '"&amp; H2447 &amp;"' for  building ", C2447, " in cell ", D2447, ".", CHAR(10))</f>
        <v xml:space="preserve">Enter a 'Building Street Address Only 
(DO NOT ENTER CITY, STATE, OR ZIP)' for  building 55 in cell C58.
</v>
      </c>
      <c r="G2447" s="9" t="str">
        <f t="shared" ca="1" si="842"/>
        <v xml:space="preserve">Enter a value for 'Number of Floors in the Tallest Building' in cell B58.
</v>
      </c>
      <c r="H2447" s="52" t="str">
        <f t="shared" ref="H2447:H2461" ca="1" si="862">OFFSET(INDIRECT($F$1564 &amp; D2447), -B2447 + 3, 0)</f>
        <v>Building Street Address Only 
(DO NOT ENTER CITY, STATE, OR ZIP)</v>
      </c>
      <c r="I2447" s="52">
        <v>3</v>
      </c>
    </row>
    <row r="2448" spans="1:10" ht="15" customHeight="1">
      <c r="A2448" t="str">
        <f t="shared" ca="1" si="857"/>
        <v/>
      </c>
      <c r="B2448">
        <f t="shared" si="858"/>
        <v>58</v>
      </c>
      <c r="C2448">
        <f t="shared" ca="1" si="844"/>
        <v>55</v>
      </c>
      <c r="D2448" t="str">
        <f t="shared" si="859"/>
        <v>D58</v>
      </c>
      <c r="E2448" t="str">
        <f t="shared" ca="1" si="860"/>
        <v/>
      </c>
      <c r="F2448" t="str">
        <f t="shared" ca="1" si="861"/>
        <v xml:space="preserve">Enter a 'Total Units in Building*' for  building 55 in cell D58.
</v>
      </c>
      <c r="G2448" s="9" t="str">
        <f t="shared" ca="1" si="842"/>
        <v xml:space="preserve">Enter a value for 'Number of Floors in the Tallest Building' in cell B58.
</v>
      </c>
      <c r="H2448" s="52" t="str">
        <f t="shared" ca="1" si="862"/>
        <v>Total Units in Building*</v>
      </c>
      <c r="I2448" s="52">
        <v>4</v>
      </c>
    </row>
    <row r="2449" spans="1:10" ht="15" customHeight="1">
      <c r="A2449" t="str">
        <f t="shared" ca="1" si="857"/>
        <v/>
      </c>
      <c r="B2449">
        <f t="shared" si="858"/>
        <v>58</v>
      </c>
      <c r="C2449">
        <f t="shared" ca="1" si="844"/>
        <v>55</v>
      </c>
      <c r="D2449" t="str">
        <f t="shared" si="859"/>
        <v>E58</v>
      </c>
      <c r="E2449" t="str">
        <f t="shared" ca="1" si="860"/>
        <v/>
      </c>
      <c r="F2449" t="str">
        <f t="shared" ca="1" si="861"/>
        <v xml:space="preserve">Enter a 'Employee Units' for  building 55 in cell E58.
</v>
      </c>
      <c r="G2449" s="9" t="str">
        <f t="shared" ca="1" si="842"/>
        <v xml:space="preserve">Enter a value for 'Number of Floors in the Tallest Building' in cell B58.
</v>
      </c>
      <c r="H2449" s="52" t="str">
        <f t="shared" ca="1" si="862"/>
        <v>Employee Units</v>
      </c>
      <c r="I2449" s="52">
        <v>5</v>
      </c>
    </row>
    <row r="2450" spans="1:10" ht="15" customHeight="1">
      <c r="A2450" t="str">
        <f t="shared" ca="1" si="857"/>
        <v/>
      </c>
      <c r="B2450">
        <f t="shared" si="858"/>
        <v>58</v>
      </c>
      <c r="C2450">
        <f t="shared" ca="1" si="844"/>
        <v>55</v>
      </c>
      <c r="D2450" t="str">
        <f t="shared" si="859"/>
        <v>F58</v>
      </c>
      <c r="E2450" t="str">
        <f t="shared" ca="1" si="860"/>
        <v/>
      </c>
      <c r="F2450" t="str">
        <f t="shared" ca="1" si="861"/>
        <v xml:space="preserve">Enter a 'Low-Income Units' for  building 55 in cell F58.
</v>
      </c>
      <c r="G2450" s="9" t="str">
        <f t="shared" ca="1" si="842"/>
        <v xml:space="preserve">Enter a value for 'Number of Floors in the Tallest Building' in cell B58.
</v>
      </c>
      <c r="H2450" s="52" t="str">
        <f t="shared" ca="1" si="862"/>
        <v>Low-Income Units</v>
      </c>
      <c r="I2450" s="52">
        <v>6</v>
      </c>
    </row>
    <row r="2451" spans="1:10" ht="15" customHeight="1">
      <c r="A2451" t="str">
        <f t="shared" ca="1" si="857"/>
        <v/>
      </c>
      <c r="B2451">
        <f t="shared" si="858"/>
        <v>58</v>
      </c>
      <c r="C2451">
        <f t="shared" ca="1" si="844"/>
        <v>55</v>
      </c>
      <c r="D2451" t="str">
        <f t="shared" si="859"/>
        <v>G58</v>
      </c>
      <c r="E2451" t="str">
        <f t="shared" ca="1" si="860"/>
        <v/>
      </c>
      <c r="F2451" t="str">
        <f t="shared" ca="1" si="861"/>
        <v xml:space="preserve">Enter a 'Residential Square Footage**' for  building 55 in cell G58.
</v>
      </c>
      <c r="G2451" s="9" t="str">
        <f t="shared" ca="1" si="842"/>
        <v xml:space="preserve">Enter a value for 'Number of Floors in the Tallest Building' in cell B58.
</v>
      </c>
      <c r="H2451" s="52" t="str">
        <f t="shared" ca="1" si="862"/>
        <v>Residential Square Footage**</v>
      </c>
      <c r="I2451" s="52">
        <v>7</v>
      </c>
    </row>
    <row r="2452" spans="1:10" ht="15" customHeight="1">
      <c r="A2452" t="str">
        <f t="shared" ca="1" si="857"/>
        <v/>
      </c>
      <c r="B2452">
        <f t="shared" si="858"/>
        <v>58</v>
      </c>
      <c r="C2452">
        <f t="shared" ca="1" si="844"/>
        <v>55</v>
      </c>
      <c r="D2452" t="str">
        <f t="shared" si="859"/>
        <v>H58</v>
      </c>
      <c r="E2452" t="str">
        <f t="shared" ca="1" si="860"/>
        <v/>
      </c>
      <c r="F2452" t="str">
        <f t="shared" ca="1" si="861"/>
        <v xml:space="preserve">Enter a 'Square Footage of Employee Units' for  building 55 in cell H58.
</v>
      </c>
      <c r="G2452" s="9" t="str">
        <f t="shared" ca="1" si="842"/>
        <v xml:space="preserve">Enter a value for 'Number of Floors in the Tallest Building' in cell B58.
</v>
      </c>
      <c r="H2452" s="52" t="str">
        <f t="shared" ca="1" si="862"/>
        <v>Square Footage of Employee Units</v>
      </c>
      <c r="I2452" s="52">
        <v>8</v>
      </c>
    </row>
    <row r="2453" spans="1:10" ht="15" customHeight="1">
      <c r="A2453" t="str">
        <f t="shared" ca="1" si="857"/>
        <v/>
      </c>
      <c r="B2453">
        <f t="shared" si="858"/>
        <v>58</v>
      </c>
      <c r="C2453">
        <f t="shared" ca="1" si="844"/>
        <v>55</v>
      </c>
      <c r="D2453" t="str">
        <f t="shared" si="859"/>
        <v>I58</v>
      </c>
      <c r="E2453" t="str">
        <f t="shared" ca="1" si="860"/>
        <v/>
      </c>
      <c r="F2453" t="str">
        <f t="shared" ca="1" si="861"/>
        <v xml:space="preserve">Enter a 'Square Footage of Low-Income Units' for  building 55 in cell I58.
</v>
      </c>
      <c r="G2453" s="9" t="str">
        <f t="shared" ca="1" si="842"/>
        <v xml:space="preserve">Enter a value for 'Number of Floors in the Tallest Building' in cell B58.
</v>
      </c>
      <c r="H2453" s="52" t="str">
        <f t="shared" ca="1" si="862"/>
        <v>Square Footage of Low-Income Units</v>
      </c>
      <c r="I2453" s="52">
        <v>9</v>
      </c>
    </row>
    <row r="2454" spans="1:10" ht="15" customHeight="1">
      <c r="A2454" t="str">
        <f t="shared" ca="1" si="857"/>
        <v/>
      </c>
      <c r="B2454">
        <f t="shared" si="858"/>
        <v>58</v>
      </c>
      <c r="C2454">
        <f t="shared" ca="1" si="844"/>
        <v>55</v>
      </c>
      <c r="D2454" t="str">
        <f t="shared" si="859"/>
        <v>J58</v>
      </c>
      <c r="E2454" t="str">
        <f t="shared" ca="1" si="860"/>
        <v/>
      </c>
      <c r="F2454" t="str">
        <f t="shared" ca="1" si="861"/>
        <v xml:space="preserve">Enter a 'Placed-In-Service Date' for  building 55 in cell J58.
</v>
      </c>
      <c r="G2454" s="9" t="str">
        <f t="shared" ca="1" si="842"/>
        <v xml:space="preserve">Enter a value for 'Number of Floors in the Tallest Building' in cell B58.
</v>
      </c>
      <c r="H2454" s="52" t="str">
        <f t="shared" ca="1" si="862"/>
        <v>Placed-In-Service Date</v>
      </c>
      <c r="I2454" s="52">
        <v>10</v>
      </c>
    </row>
    <row r="2455" spans="1:10" ht="15" customHeight="1">
      <c r="A2455" t="str">
        <f t="shared" ca="1" si="857"/>
        <v/>
      </c>
      <c r="B2455">
        <f t="shared" si="858"/>
        <v>58</v>
      </c>
      <c r="C2455">
        <f t="shared" ca="1" si="844"/>
        <v>55</v>
      </c>
      <c r="D2455" t="str">
        <f t="shared" si="859"/>
        <v>K58</v>
      </c>
      <c r="E2455" t="str">
        <f t="shared" ca="1" si="860"/>
        <v/>
      </c>
      <c r="F2455" t="str">
        <f t="shared" ca="1" si="861"/>
        <v xml:space="preserve">Enter a 'New Construction/ Rehab APR' for  building 55 in cell K58.
</v>
      </c>
      <c r="G2455" s="9" t="str">
        <f t="shared" ca="1" si="842"/>
        <v xml:space="preserve">Enter a value for 'Number of Floors in the Tallest Building' in cell B58.
</v>
      </c>
      <c r="H2455" s="52" t="str">
        <f t="shared" ca="1" si="862"/>
        <v>New Construction/ Rehab APR</v>
      </c>
      <c r="I2455" s="52">
        <v>11</v>
      </c>
    </row>
    <row r="2456" spans="1:10" ht="15" customHeight="1">
      <c r="A2456" t="str">
        <f t="shared" ca="1" si="857"/>
        <v/>
      </c>
      <c r="B2456">
        <f t="shared" si="858"/>
        <v>58</v>
      </c>
      <c r="C2456">
        <f t="shared" ca="1" si="844"/>
        <v>55</v>
      </c>
      <c r="D2456" t="str">
        <f t="shared" si="859"/>
        <v>L58</v>
      </c>
      <c r="E2456" t="str">
        <f t="shared" ca="1" si="860"/>
        <v/>
      </c>
      <c r="F2456" t="str">
        <f t="shared" ca="1" si="861"/>
        <v xml:space="preserve">Enter a 'New Construction Eligible Basis' for  building 55 in cell L58.
</v>
      </c>
      <c r="G2456" s="9" t="str">
        <f t="shared" ca="1" si="842"/>
        <v xml:space="preserve">Enter a value for 'Number of Floors in the Tallest Building' in cell B58.
</v>
      </c>
      <c r="H2456" s="52" t="str">
        <f t="shared" ca="1" si="862"/>
        <v>New Construction Eligible Basis</v>
      </c>
      <c r="I2456" s="52">
        <v>12</v>
      </c>
    </row>
    <row r="2457" spans="1:10" ht="15" customHeight="1">
      <c r="A2457" t="str">
        <f ca="1">IF(AND(OFFSET(A2457, -I2457 + 2, 4) &gt;  0, E2457="", Calculations!$B$7), F2457, "")</f>
        <v/>
      </c>
      <c r="B2457">
        <f t="shared" si="858"/>
        <v>58</v>
      </c>
      <c r="C2457">
        <f t="shared" ca="1" si="844"/>
        <v>55</v>
      </c>
      <c r="D2457" t="str">
        <f t="shared" si="859"/>
        <v>M58</v>
      </c>
      <c r="E2457" t="str">
        <f t="shared" ca="1" si="860"/>
        <v/>
      </c>
      <c r="F2457" t="str">
        <f t="shared" ca="1" si="861"/>
        <v xml:space="preserve">Enter a 'Eligible Basis for Rehab' for  building 55 in cell M58.
</v>
      </c>
      <c r="G2457" s="9" t="str">
        <f t="shared" ca="1" si="842"/>
        <v xml:space="preserve">Enter a value for 'Number of Floors in the Tallest Building' in cell B58.
</v>
      </c>
      <c r="H2457" s="52" t="str">
        <f t="shared" ca="1" si="862"/>
        <v>Eligible Basis for Rehab</v>
      </c>
      <c r="I2457" s="52">
        <v>13</v>
      </c>
    </row>
    <row r="2458" spans="1:10" ht="15" customHeight="1">
      <c r="A2458" t="str">
        <f ca="1">IF(AND(OFFSET(A2458, -I2458 + 2, 4) &gt;  0, E2458="", Calculations!$B$7), F2458, "")</f>
        <v/>
      </c>
      <c r="B2458">
        <f t="shared" si="858"/>
        <v>58</v>
      </c>
      <c r="C2458">
        <f t="shared" ca="1" si="844"/>
        <v>55</v>
      </c>
      <c r="D2458" t="str">
        <f t="shared" si="859"/>
        <v>N58</v>
      </c>
      <c r="E2458" t="str">
        <f t="shared" ca="1" si="860"/>
        <v/>
      </c>
      <c r="F2458" t="str">
        <f t="shared" ca="1" si="861"/>
        <v xml:space="preserve">Enter a 'Cost of Acquiring the Building***' for  building 55 in cell N58.
</v>
      </c>
      <c r="G2458" s="9" t="str">
        <f t="shared" ca="1" si="842"/>
        <v xml:space="preserve">Enter a value for 'Number of Floors in the Tallest Building' in cell B58.
</v>
      </c>
      <c r="H2458" s="52" t="str">
        <f t="shared" ca="1" si="862"/>
        <v>Cost of Acquiring the Building***</v>
      </c>
      <c r="I2458" s="52">
        <v>14</v>
      </c>
    </row>
    <row r="2459" spans="1:10" ht="15" customHeight="1">
      <c r="A2459" t="str">
        <f ca="1">IF(AND(OFFSET(A2459, -I2459 + 2, 4) &gt;  0, E2459="", Calculations!$B$7), F2459, "")</f>
        <v/>
      </c>
      <c r="B2459">
        <f t="shared" si="858"/>
        <v>58</v>
      </c>
      <c r="C2459">
        <f t="shared" ca="1" si="844"/>
        <v>55</v>
      </c>
      <c r="D2459" t="str">
        <f t="shared" si="859"/>
        <v>O58</v>
      </c>
      <c r="E2459" t="str">
        <f t="shared" ca="1" si="860"/>
        <v/>
      </c>
      <c r="F2459" t="str">
        <f t="shared" ca="1" si="861"/>
        <v xml:space="preserve">Enter a 'Higher of Land Purchase Price or Land Appraised Value****' for  building 55 in cell O58.
</v>
      </c>
      <c r="G2459" s="9" t="str">
        <f t="shared" ca="1" si="842"/>
        <v xml:space="preserve">Enter a value for 'Number of Floors in the Tallest Building' in cell B58.
</v>
      </c>
      <c r="H2459" s="52" t="str">
        <f t="shared" ca="1" si="862"/>
        <v>Higher of Land Purchase Price or Land Appraised Value****</v>
      </c>
      <c r="I2459" s="52">
        <v>15</v>
      </c>
    </row>
    <row r="2460" spans="1:10" ht="15" customHeight="1">
      <c r="A2460" t="str">
        <f ca="1">IF(AND(OFFSET(A2460, -I2460 + 2, 4) &gt;  0, E2460="", Calculations!$B$7), F2460, "")</f>
        <v/>
      </c>
      <c r="B2460">
        <f t="shared" si="858"/>
        <v>58</v>
      </c>
      <c r="C2460">
        <f t="shared" ca="1" si="844"/>
        <v>55</v>
      </c>
      <c r="D2460" t="str">
        <f t="shared" si="859"/>
        <v>P58</v>
      </c>
      <c r="E2460" t="str">
        <f t="shared" ca="1" si="860"/>
        <v/>
      </c>
      <c r="F2460" t="str">
        <f t="shared" ca="1" si="861"/>
        <v xml:space="preserve">Enter a 'Acquisition Placed-in-Service Date' for  building 55 in cell P58.
</v>
      </c>
      <c r="G2460" s="9" t="str">
        <f t="shared" ca="1" si="842"/>
        <v xml:space="preserve">Enter a value for 'Number of Floors in the Tallest Building' in cell B58.
</v>
      </c>
      <c r="H2460" s="52" t="str">
        <f t="shared" ca="1" si="862"/>
        <v>Acquisition Placed-in-Service Date</v>
      </c>
      <c r="I2460" s="52">
        <v>16</v>
      </c>
    </row>
    <row r="2461" spans="1:10" ht="15" customHeight="1">
      <c r="A2461" t="str">
        <f ca="1">IF(AND(OFFSET(A2461, -I2461 + 2, 4) &gt;  0, E2461="", Calculations!$B$7), F2461, "")</f>
        <v/>
      </c>
      <c r="B2461">
        <f t="shared" si="858"/>
        <v>58</v>
      </c>
      <c r="C2461">
        <f t="shared" ca="1" si="844"/>
        <v>55</v>
      </c>
      <c r="D2461" t="str">
        <f t="shared" si="859"/>
        <v>Q58</v>
      </c>
      <c r="E2461" t="str">
        <f t="shared" ca="1" si="860"/>
        <v/>
      </c>
      <c r="F2461" t="str">
        <f t="shared" ca="1" si="861"/>
        <v xml:space="preserve">Enter a 'Acquisition APR' for  building 55 in cell Q58.
</v>
      </c>
      <c r="G2461" s="9" t="str">
        <f t="shared" ca="1" si="842"/>
        <v xml:space="preserve">Enter a value for 'Number of Floors in the Tallest Building' in cell B58.
</v>
      </c>
      <c r="H2461" s="52" t="str">
        <f t="shared" ca="1" si="862"/>
        <v>Acquisition APR</v>
      </c>
      <c r="I2461" s="52">
        <v>17</v>
      </c>
    </row>
    <row r="2462" spans="1:10" ht="15" customHeight="1">
      <c r="A2462" t="str">
        <f ca="1">IF(AND(Calculations!$B$4,Calculations!$B$28&gt;=C2462, E2462 &lt;&gt; 13),F2462,"")</f>
        <v/>
      </c>
      <c r="B2462">
        <f>ROW('Final Building Profile'!C59)</f>
        <v>59</v>
      </c>
      <c r="C2462">
        <f t="shared" ca="1" si="844"/>
        <v>56</v>
      </c>
      <c r="D2462" t="str">
        <f>ADDRESS(B2462, 3,4  )</f>
        <v>C59</v>
      </c>
      <c r="E2462" s="52">
        <f ca="1">H2462+I2462</f>
        <v>0</v>
      </c>
      <c r="F2462" t="str">
        <f ca="1">CONCATENATE("Based upon the number of buildings specified, information for  building ", C2462, " required for a final application in row ", B2462, ".", CHAR(10))</f>
        <v xml:space="preserve">Based upon the number of buildings specified, information for  building 56 required for a final application in row 59.
</v>
      </c>
      <c r="G2462" s="9" t="str">
        <f t="shared" ca="1" si="842"/>
        <v xml:space="preserve">Enter a value for 'Number of Floors in the Tallest Building' in cell B58.
</v>
      </c>
      <c r="H2462" s="52">
        <f ca="1">SUMPRODUCT(--ISTEXT(INDIRECT(J2462)))</f>
        <v>0</v>
      </c>
      <c r="I2462" s="52">
        <f ca="1">SUMPRODUCT(--ISNUMBER(INDIRECT(J2462)))</f>
        <v>0</v>
      </c>
      <c r="J2462" s="52" t="str">
        <f>$F$1564&amp; ADDRESS(B2462,3,4) &amp; ":" &amp; ADDRESS(B2462,15,4)</f>
        <v>'Final Building Profile'!C59:O59</v>
      </c>
    </row>
    <row r="2463" spans="1:10" ht="15" customHeight="1">
      <c r="A2463" t="str">
        <f t="shared" ref="A2463:A2472" ca="1" si="863">IF(AND(OFFSET(A2463, -I2463 + 2, 4) &gt;  0, E2463=""), F2463, "")</f>
        <v/>
      </c>
      <c r="B2463">
        <f t="shared" ref="B2463:B2477" si="864">B2462</f>
        <v>59</v>
      </c>
      <c r="C2463">
        <f t="shared" ca="1" si="844"/>
        <v>56</v>
      </c>
      <c r="D2463" t="str">
        <f t="shared" ref="D2463:D2477" si="865">ADDRESS(B2463, I2463,4  )</f>
        <v>C59</v>
      </c>
      <c r="E2463" t="str">
        <f t="shared" ref="E2463:E2477" ca="1" si="866">IF(ISBLANK( INDIRECT($F$1564 &amp; D2463)),"", INDIRECT($F$1564 &amp; D2463))</f>
        <v/>
      </c>
      <c r="F2463" t="str">
        <f t="shared" ref="F2463:F2477" ca="1" si="867">CONCATENATE("Enter a '"&amp; H2463 &amp;"' for  building ", C2463, " in cell ", D2463, ".", CHAR(10))</f>
        <v xml:space="preserve">Enter a 'Building Street Address Only 
(DO NOT ENTER CITY, STATE, OR ZIP)' for  building 56 in cell C59.
</v>
      </c>
      <c r="G2463" s="9" t="str">
        <f t="shared" ref="G2463:G2526" ca="1" si="868">OFFSET(G2463, -1, 0) &amp; A2463</f>
        <v xml:space="preserve">Enter a value for 'Number of Floors in the Tallest Building' in cell B58.
</v>
      </c>
      <c r="H2463" s="52" t="str">
        <f t="shared" ref="H2463:H2477" ca="1" si="869">OFFSET(INDIRECT($F$1564 &amp; D2463), -B2463 + 3, 0)</f>
        <v>Building Street Address Only 
(DO NOT ENTER CITY, STATE, OR ZIP)</v>
      </c>
      <c r="I2463" s="52">
        <v>3</v>
      </c>
    </row>
    <row r="2464" spans="1:10" ht="15" customHeight="1">
      <c r="A2464" t="str">
        <f t="shared" ca="1" si="863"/>
        <v/>
      </c>
      <c r="B2464">
        <f t="shared" si="864"/>
        <v>59</v>
      </c>
      <c r="C2464">
        <f t="shared" ca="1" si="844"/>
        <v>56</v>
      </c>
      <c r="D2464" t="str">
        <f t="shared" si="865"/>
        <v>D59</v>
      </c>
      <c r="E2464" t="str">
        <f t="shared" ca="1" si="866"/>
        <v/>
      </c>
      <c r="F2464" t="str">
        <f t="shared" ca="1" si="867"/>
        <v xml:space="preserve">Enter a 'Total Units in Building*' for  building 56 in cell D59.
</v>
      </c>
      <c r="G2464" s="9" t="str">
        <f t="shared" ca="1" si="868"/>
        <v xml:space="preserve">Enter a value for 'Number of Floors in the Tallest Building' in cell B58.
</v>
      </c>
      <c r="H2464" s="52" t="str">
        <f t="shared" ca="1" si="869"/>
        <v>Total Units in Building*</v>
      </c>
      <c r="I2464" s="52">
        <v>4</v>
      </c>
    </row>
    <row r="2465" spans="1:10" ht="15" customHeight="1">
      <c r="A2465" t="str">
        <f t="shared" ca="1" si="863"/>
        <v/>
      </c>
      <c r="B2465">
        <f t="shared" si="864"/>
        <v>59</v>
      </c>
      <c r="C2465">
        <f t="shared" ca="1" si="844"/>
        <v>56</v>
      </c>
      <c r="D2465" t="str">
        <f t="shared" si="865"/>
        <v>E59</v>
      </c>
      <c r="E2465" t="str">
        <f t="shared" ca="1" si="866"/>
        <v/>
      </c>
      <c r="F2465" t="str">
        <f t="shared" ca="1" si="867"/>
        <v xml:space="preserve">Enter a 'Employee Units' for  building 56 in cell E59.
</v>
      </c>
      <c r="G2465" s="9" t="str">
        <f t="shared" ca="1" si="868"/>
        <v xml:space="preserve">Enter a value for 'Number of Floors in the Tallest Building' in cell B58.
</v>
      </c>
      <c r="H2465" s="52" t="str">
        <f t="shared" ca="1" si="869"/>
        <v>Employee Units</v>
      </c>
      <c r="I2465" s="52">
        <v>5</v>
      </c>
    </row>
    <row r="2466" spans="1:10" ht="15" customHeight="1">
      <c r="A2466" t="str">
        <f t="shared" ca="1" si="863"/>
        <v/>
      </c>
      <c r="B2466">
        <f t="shared" si="864"/>
        <v>59</v>
      </c>
      <c r="C2466">
        <f t="shared" ca="1" si="844"/>
        <v>56</v>
      </c>
      <c r="D2466" t="str">
        <f t="shared" si="865"/>
        <v>F59</v>
      </c>
      <c r="E2466" t="str">
        <f t="shared" ca="1" si="866"/>
        <v/>
      </c>
      <c r="F2466" t="str">
        <f t="shared" ca="1" si="867"/>
        <v xml:space="preserve">Enter a 'Low-Income Units' for  building 56 in cell F59.
</v>
      </c>
      <c r="G2466" s="9" t="str">
        <f t="shared" ca="1" si="868"/>
        <v xml:space="preserve">Enter a value for 'Number of Floors in the Tallest Building' in cell B58.
</v>
      </c>
      <c r="H2466" s="52" t="str">
        <f t="shared" ca="1" si="869"/>
        <v>Low-Income Units</v>
      </c>
      <c r="I2466" s="52">
        <v>6</v>
      </c>
    </row>
    <row r="2467" spans="1:10" ht="15" customHeight="1">
      <c r="A2467" t="str">
        <f t="shared" ca="1" si="863"/>
        <v/>
      </c>
      <c r="B2467">
        <f t="shared" si="864"/>
        <v>59</v>
      </c>
      <c r="C2467">
        <f t="shared" ca="1" si="844"/>
        <v>56</v>
      </c>
      <c r="D2467" t="str">
        <f t="shared" si="865"/>
        <v>G59</v>
      </c>
      <c r="E2467" t="str">
        <f t="shared" ca="1" si="866"/>
        <v/>
      </c>
      <c r="F2467" t="str">
        <f t="shared" ca="1" si="867"/>
        <v xml:space="preserve">Enter a 'Residential Square Footage**' for  building 56 in cell G59.
</v>
      </c>
      <c r="G2467" s="9" t="str">
        <f t="shared" ca="1" si="868"/>
        <v xml:space="preserve">Enter a value for 'Number of Floors in the Tallest Building' in cell B58.
</v>
      </c>
      <c r="H2467" s="52" t="str">
        <f t="shared" ca="1" si="869"/>
        <v>Residential Square Footage**</v>
      </c>
      <c r="I2467" s="52">
        <v>7</v>
      </c>
    </row>
    <row r="2468" spans="1:10" ht="15" customHeight="1">
      <c r="A2468" t="str">
        <f t="shared" ca="1" si="863"/>
        <v/>
      </c>
      <c r="B2468">
        <f t="shared" si="864"/>
        <v>59</v>
      </c>
      <c r="C2468">
        <f t="shared" ca="1" si="844"/>
        <v>56</v>
      </c>
      <c r="D2468" t="str">
        <f t="shared" si="865"/>
        <v>H59</v>
      </c>
      <c r="E2468" t="str">
        <f t="shared" ca="1" si="866"/>
        <v/>
      </c>
      <c r="F2468" t="str">
        <f t="shared" ca="1" si="867"/>
        <v xml:space="preserve">Enter a 'Square Footage of Employee Units' for  building 56 in cell H59.
</v>
      </c>
      <c r="G2468" s="9" t="str">
        <f t="shared" ca="1" si="868"/>
        <v xml:space="preserve">Enter a value for 'Number of Floors in the Tallest Building' in cell B58.
</v>
      </c>
      <c r="H2468" s="52" t="str">
        <f t="shared" ca="1" si="869"/>
        <v>Square Footage of Employee Units</v>
      </c>
      <c r="I2468" s="52">
        <v>8</v>
      </c>
    </row>
    <row r="2469" spans="1:10" ht="15" customHeight="1">
      <c r="A2469" t="str">
        <f t="shared" ca="1" si="863"/>
        <v/>
      </c>
      <c r="B2469">
        <f t="shared" si="864"/>
        <v>59</v>
      </c>
      <c r="C2469">
        <f t="shared" ca="1" si="844"/>
        <v>56</v>
      </c>
      <c r="D2469" t="str">
        <f t="shared" si="865"/>
        <v>I59</v>
      </c>
      <c r="E2469" t="str">
        <f t="shared" ca="1" si="866"/>
        <v/>
      </c>
      <c r="F2469" t="str">
        <f t="shared" ca="1" si="867"/>
        <v xml:space="preserve">Enter a 'Square Footage of Low-Income Units' for  building 56 in cell I59.
</v>
      </c>
      <c r="G2469" s="9" t="str">
        <f t="shared" ca="1" si="868"/>
        <v xml:space="preserve">Enter a value for 'Number of Floors in the Tallest Building' in cell B58.
</v>
      </c>
      <c r="H2469" s="52" t="str">
        <f t="shared" ca="1" si="869"/>
        <v>Square Footage of Low-Income Units</v>
      </c>
      <c r="I2469" s="52">
        <v>9</v>
      </c>
    </row>
    <row r="2470" spans="1:10" ht="15" customHeight="1">
      <c r="A2470" t="str">
        <f t="shared" ca="1" si="863"/>
        <v/>
      </c>
      <c r="B2470">
        <f t="shared" si="864"/>
        <v>59</v>
      </c>
      <c r="C2470">
        <f t="shared" ca="1" si="844"/>
        <v>56</v>
      </c>
      <c r="D2470" t="str">
        <f t="shared" si="865"/>
        <v>J59</v>
      </c>
      <c r="E2470" t="str">
        <f t="shared" ca="1" si="866"/>
        <v/>
      </c>
      <c r="F2470" t="str">
        <f t="shared" ca="1" si="867"/>
        <v xml:space="preserve">Enter a 'Placed-In-Service Date' for  building 56 in cell J59.
</v>
      </c>
      <c r="G2470" s="9" t="str">
        <f t="shared" ca="1" si="868"/>
        <v xml:space="preserve">Enter a value for 'Number of Floors in the Tallest Building' in cell B58.
</v>
      </c>
      <c r="H2470" s="52" t="str">
        <f t="shared" ca="1" si="869"/>
        <v>Placed-In-Service Date</v>
      </c>
      <c r="I2470" s="52">
        <v>10</v>
      </c>
    </row>
    <row r="2471" spans="1:10" ht="15" customHeight="1">
      <c r="A2471" t="str">
        <f t="shared" ca="1" si="863"/>
        <v/>
      </c>
      <c r="B2471">
        <f t="shared" si="864"/>
        <v>59</v>
      </c>
      <c r="C2471">
        <f t="shared" ca="1" si="844"/>
        <v>56</v>
      </c>
      <c r="D2471" t="str">
        <f t="shared" si="865"/>
        <v>K59</v>
      </c>
      <c r="E2471" t="str">
        <f t="shared" ca="1" si="866"/>
        <v/>
      </c>
      <c r="F2471" t="str">
        <f t="shared" ca="1" si="867"/>
        <v xml:space="preserve">Enter a 'New Construction/ Rehab APR' for  building 56 in cell K59.
</v>
      </c>
      <c r="G2471" s="9" t="str">
        <f t="shared" ca="1" si="868"/>
        <v xml:space="preserve">Enter a value for 'Number of Floors in the Tallest Building' in cell B58.
</v>
      </c>
      <c r="H2471" s="52" t="str">
        <f t="shared" ca="1" si="869"/>
        <v>New Construction/ Rehab APR</v>
      </c>
      <c r="I2471" s="52">
        <v>11</v>
      </c>
    </row>
    <row r="2472" spans="1:10" ht="15" customHeight="1">
      <c r="A2472" t="str">
        <f t="shared" ca="1" si="863"/>
        <v/>
      </c>
      <c r="B2472">
        <f t="shared" si="864"/>
        <v>59</v>
      </c>
      <c r="C2472">
        <f t="shared" ca="1" si="844"/>
        <v>56</v>
      </c>
      <c r="D2472" t="str">
        <f t="shared" si="865"/>
        <v>L59</v>
      </c>
      <c r="E2472" t="str">
        <f t="shared" ca="1" si="866"/>
        <v/>
      </c>
      <c r="F2472" t="str">
        <f t="shared" ca="1" si="867"/>
        <v xml:space="preserve">Enter a 'New Construction Eligible Basis' for  building 56 in cell L59.
</v>
      </c>
      <c r="G2472" s="9" t="str">
        <f t="shared" ca="1" si="868"/>
        <v xml:space="preserve">Enter a value for 'Number of Floors in the Tallest Building' in cell B58.
</v>
      </c>
      <c r="H2472" s="52" t="str">
        <f t="shared" ca="1" si="869"/>
        <v>New Construction Eligible Basis</v>
      </c>
      <c r="I2472" s="52">
        <v>12</v>
      </c>
    </row>
    <row r="2473" spans="1:10" ht="15" customHeight="1">
      <c r="A2473" t="str">
        <f ca="1">IF(AND(OFFSET(A2473, -I2473 + 2, 4) &gt;  0, E2473="", Calculations!$B$7), F2473, "")</f>
        <v/>
      </c>
      <c r="B2473">
        <f t="shared" si="864"/>
        <v>59</v>
      </c>
      <c r="C2473">
        <f t="shared" ca="1" si="844"/>
        <v>56</v>
      </c>
      <c r="D2473" t="str">
        <f t="shared" si="865"/>
        <v>M59</v>
      </c>
      <c r="E2473" t="str">
        <f t="shared" ca="1" si="866"/>
        <v/>
      </c>
      <c r="F2473" t="str">
        <f t="shared" ca="1" si="867"/>
        <v xml:space="preserve">Enter a 'Eligible Basis for Rehab' for  building 56 in cell M59.
</v>
      </c>
      <c r="G2473" s="9" t="str">
        <f t="shared" ca="1" si="868"/>
        <v xml:space="preserve">Enter a value for 'Number of Floors in the Tallest Building' in cell B58.
</v>
      </c>
      <c r="H2473" s="52" t="str">
        <f t="shared" ca="1" si="869"/>
        <v>Eligible Basis for Rehab</v>
      </c>
      <c r="I2473" s="52">
        <v>13</v>
      </c>
    </row>
    <row r="2474" spans="1:10" ht="15" customHeight="1">
      <c r="A2474" t="str">
        <f ca="1">IF(AND(OFFSET(A2474, -I2474 + 2, 4) &gt;  0, E2474="", Calculations!$B$7), F2474, "")</f>
        <v/>
      </c>
      <c r="B2474">
        <f t="shared" si="864"/>
        <v>59</v>
      </c>
      <c r="C2474">
        <f t="shared" ca="1" si="844"/>
        <v>56</v>
      </c>
      <c r="D2474" t="str">
        <f t="shared" si="865"/>
        <v>N59</v>
      </c>
      <c r="E2474" t="str">
        <f t="shared" ca="1" si="866"/>
        <v/>
      </c>
      <c r="F2474" t="str">
        <f t="shared" ca="1" si="867"/>
        <v xml:space="preserve">Enter a 'Cost of Acquiring the Building***' for  building 56 in cell N59.
</v>
      </c>
      <c r="G2474" s="9" t="str">
        <f t="shared" ca="1" si="868"/>
        <v xml:space="preserve">Enter a value for 'Number of Floors in the Tallest Building' in cell B58.
</v>
      </c>
      <c r="H2474" s="52" t="str">
        <f t="shared" ca="1" si="869"/>
        <v>Cost of Acquiring the Building***</v>
      </c>
      <c r="I2474" s="52">
        <v>14</v>
      </c>
    </row>
    <row r="2475" spans="1:10" ht="15" customHeight="1">
      <c r="A2475" t="str">
        <f ca="1">IF(AND(OFFSET(A2475, -I2475 + 2, 4) &gt;  0, E2475="", Calculations!$B$7), F2475, "")</f>
        <v/>
      </c>
      <c r="B2475">
        <f t="shared" si="864"/>
        <v>59</v>
      </c>
      <c r="C2475">
        <f t="shared" ca="1" si="844"/>
        <v>56</v>
      </c>
      <c r="D2475" t="str">
        <f t="shared" si="865"/>
        <v>O59</v>
      </c>
      <c r="E2475" t="str">
        <f t="shared" ca="1" si="866"/>
        <v/>
      </c>
      <c r="F2475" t="str">
        <f t="shared" ca="1" si="867"/>
        <v xml:space="preserve">Enter a 'Higher of Land Purchase Price or Land Appraised Value****' for  building 56 in cell O59.
</v>
      </c>
      <c r="G2475" s="9" t="str">
        <f t="shared" ca="1" si="868"/>
        <v xml:space="preserve">Enter a value for 'Number of Floors in the Tallest Building' in cell B58.
</v>
      </c>
      <c r="H2475" s="52" t="str">
        <f t="shared" ca="1" si="869"/>
        <v>Higher of Land Purchase Price or Land Appraised Value****</v>
      </c>
      <c r="I2475" s="52">
        <v>15</v>
      </c>
    </row>
    <row r="2476" spans="1:10" ht="15" customHeight="1">
      <c r="A2476" t="str">
        <f ca="1">IF(AND(OFFSET(A2476, -I2476 + 2, 4) &gt;  0, E2476="", Calculations!$B$7), F2476, "")</f>
        <v/>
      </c>
      <c r="B2476">
        <f t="shared" si="864"/>
        <v>59</v>
      </c>
      <c r="C2476">
        <f t="shared" ca="1" si="844"/>
        <v>56</v>
      </c>
      <c r="D2476" t="str">
        <f t="shared" si="865"/>
        <v>P59</v>
      </c>
      <c r="E2476" t="str">
        <f t="shared" ca="1" si="866"/>
        <v/>
      </c>
      <c r="F2476" t="str">
        <f t="shared" ca="1" si="867"/>
        <v xml:space="preserve">Enter a 'Acquisition Placed-in-Service Date' for  building 56 in cell P59.
</v>
      </c>
      <c r="G2476" s="9" t="str">
        <f t="shared" ca="1" si="868"/>
        <v xml:space="preserve">Enter a value for 'Number of Floors in the Tallest Building' in cell B58.
</v>
      </c>
      <c r="H2476" s="52" t="str">
        <f t="shared" ca="1" si="869"/>
        <v>Acquisition Placed-in-Service Date</v>
      </c>
      <c r="I2476" s="52">
        <v>16</v>
      </c>
    </row>
    <row r="2477" spans="1:10" ht="15" customHeight="1">
      <c r="A2477" t="str">
        <f ca="1">IF(AND(OFFSET(A2477, -I2477 + 2, 4) &gt;  0, E2477="", Calculations!$B$7), F2477, "")</f>
        <v/>
      </c>
      <c r="B2477">
        <f t="shared" si="864"/>
        <v>59</v>
      </c>
      <c r="C2477">
        <f t="shared" ca="1" si="844"/>
        <v>56</v>
      </c>
      <c r="D2477" t="str">
        <f t="shared" si="865"/>
        <v>Q59</v>
      </c>
      <c r="E2477" t="str">
        <f t="shared" ca="1" si="866"/>
        <v/>
      </c>
      <c r="F2477" t="str">
        <f t="shared" ca="1" si="867"/>
        <v xml:space="preserve">Enter a 'Acquisition APR' for  building 56 in cell Q59.
</v>
      </c>
      <c r="G2477" s="9" t="str">
        <f t="shared" ca="1" si="868"/>
        <v xml:space="preserve">Enter a value for 'Number of Floors in the Tallest Building' in cell B58.
</v>
      </c>
      <c r="H2477" s="52" t="str">
        <f t="shared" ca="1" si="869"/>
        <v>Acquisition APR</v>
      </c>
      <c r="I2477" s="52">
        <v>17</v>
      </c>
    </row>
    <row r="2478" spans="1:10" ht="15" customHeight="1">
      <c r="A2478" t="str">
        <f ca="1">IF(AND(Calculations!$B$4,Calculations!$B$28&gt;=C2478, E2478 &lt;&gt; 13),F2478,"")</f>
        <v/>
      </c>
      <c r="B2478">
        <f>ROW('Final Building Profile'!C60)</f>
        <v>60</v>
      </c>
      <c r="C2478">
        <f t="shared" ref="C2478:C2541" ca="1" si="870">INDIRECT($F$1564 &amp; ADDRESS(B2478, 1,4  ))</f>
        <v>57</v>
      </c>
      <c r="D2478" t="str">
        <f>ADDRESS(B2478, 3,4  )</f>
        <v>C60</v>
      </c>
      <c r="E2478" s="52">
        <f ca="1">H2478+I2478</f>
        <v>0</v>
      </c>
      <c r="F2478" t="str">
        <f ca="1">CONCATENATE("Based upon the number of buildings specified, information for  building ", C2478, " required for a final application in row ", B2478, ".", CHAR(10))</f>
        <v xml:space="preserve">Based upon the number of buildings specified, information for  building 57 required for a final application in row 60.
</v>
      </c>
      <c r="G2478" s="9" t="str">
        <f t="shared" ca="1" si="868"/>
        <v xml:space="preserve">Enter a value for 'Number of Floors in the Tallest Building' in cell B58.
</v>
      </c>
      <c r="H2478" s="52">
        <f ca="1">SUMPRODUCT(--ISTEXT(INDIRECT(J2478)))</f>
        <v>0</v>
      </c>
      <c r="I2478" s="52">
        <f ca="1">SUMPRODUCT(--ISNUMBER(INDIRECT(J2478)))</f>
        <v>0</v>
      </c>
      <c r="J2478" s="52" t="str">
        <f>$F$1564&amp; ADDRESS(B2478,3,4) &amp; ":" &amp; ADDRESS(B2478,15,4)</f>
        <v>'Final Building Profile'!C60:O60</v>
      </c>
    </row>
    <row r="2479" spans="1:10" ht="15" customHeight="1">
      <c r="A2479" t="str">
        <f t="shared" ref="A2479:A2488" ca="1" si="871">IF(AND(OFFSET(A2479, -I2479 + 2, 4) &gt;  0, E2479=""), F2479, "")</f>
        <v/>
      </c>
      <c r="B2479">
        <f t="shared" ref="B2479:B2493" si="872">B2478</f>
        <v>60</v>
      </c>
      <c r="C2479">
        <f t="shared" ca="1" si="870"/>
        <v>57</v>
      </c>
      <c r="D2479" t="str">
        <f t="shared" ref="D2479:D2493" si="873">ADDRESS(B2479, I2479,4  )</f>
        <v>C60</v>
      </c>
      <c r="E2479" t="str">
        <f t="shared" ref="E2479:E2493" ca="1" si="874">IF(ISBLANK( INDIRECT($F$1564 &amp; D2479)),"", INDIRECT($F$1564 &amp; D2479))</f>
        <v/>
      </c>
      <c r="F2479" t="str">
        <f t="shared" ref="F2479:F2493" ca="1" si="875">CONCATENATE("Enter a '"&amp; H2479 &amp;"' for  building ", C2479, " in cell ", D2479, ".", CHAR(10))</f>
        <v xml:space="preserve">Enter a 'Building Street Address Only 
(DO NOT ENTER CITY, STATE, OR ZIP)' for  building 57 in cell C60.
</v>
      </c>
      <c r="G2479" s="9" t="str">
        <f t="shared" ca="1" si="868"/>
        <v xml:space="preserve">Enter a value for 'Number of Floors in the Tallest Building' in cell B58.
</v>
      </c>
      <c r="H2479" s="52" t="str">
        <f t="shared" ref="H2479:H2493" ca="1" si="876">OFFSET(INDIRECT($F$1564 &amp; D2479), -B2479 + 3, 0)</f>
        <v>Building Street Address Only 
(DO NOT ENTER CITY, STATE, OR ZIP)</v>
      </c>
      <c r="I2479" s="52">
        <v>3</v>
      </c>
    </row>
    <row r="2480" spans="1:10" ht="15" customHeight="1">
      <c r="A2480" t="str">
        <f t="shared" ca="1" si="871"/>
        <v/>
      </c>
      <c r="B2480">
        <f t="shared" si="872"/>
        <v>60</v>
      </c>
      <c r="C2480">
        <f t="shared" ca="1" si="870"/>
        <v>57</v>
      </c>
      <c r="D2480" t="str">
        <f t="shared" si="873"/>
        <v>D60</v>
      </c>
      <c r="E2480" t="str">
        <f t="shared" ca="1" si="874"/>
        <v/>
      </c>
      <c r="F2480" t="str">
        <f t="shared" ca="1" si="875"/>
        <v xml:space="preserve">Enter a 'Total Units in Building*' for  building 57 in cell D60.
</v>
      </c>
      <c r="G2480" s="9" t="str">
        <f t="shared" ca="1" si="868"/>
        <v xml:space="preserve">Enter a value for 'Number of Floors in the Tallest Building' in cell B58.
</v>
      </c>
      <c r="H2480" s="52" t="str">
        <f t="shared" ca="1" si="876"/>
        <v>Total Units in Building*</v>
      </c>
      <c r="I2480" s="52">
        <v>4</v>
      </c>
    </row>
    <row r="2481" spans="1:10" ht="15" customHeight="1">
      <c r="A2481" t="str">
        <f t="shared" ca="1" si="871"/>
        <v/>
      </c>
      <c r="B2481">
        <f t="shared" si="872"/>
        <v>60</v>
      </c>
      <c r="C2481">
        <f t="shared" ca="1" si="870"/>
        <v>57</v>
      </c>
      <c r="D2481" t="str">
        <f t="shared" si="873"/>
        <v>E60</v>
      </c>
      <c r="E2481" t="str">
        <f t="shared" ca="1" si="874"/>
        <v/>
      </c>
      <c r="F2481" t="str">
        <f t="shared" ca="1" si="875"/>
        <v xml:space="preserve">Enter a 'Employee Units' for  building 57 in cell E60.
</v>
      </c>
      <c r="G2481" s="9" t="str">
        <f t="shared" ca="1" si="868"/>
        <v xml:space="preserve">Enter a value for 'Number of Floors in the Tallest Building' in cell B58.
</v>
      </c>
      <c r="H2481" s="52" t="str">
        <f t="shared" ca="1" si="876"/>
        <v>Employee Units</v>
      </c>
      <c r="I2481" s="52">
        <v>5</v>
      </c>
    </row>
    <row r="2482" spans="1:10" ht="15" customHeight="1">
      <c r="A2482" t="str">
        <f t="shared" ca="1" si="871"/>
        <v/>
      </c>
      <c r="B2482">
        <f t="shared" si="872"/>
        <v>60</v>
      </c>
      <c r="C2482">
        <f t="shared" ca="1" si="870"/>
        <v>57</v>
      </c>
      <c r="D2482" t="str">
        <f t="shared" si="873"/>
        <v>F60</v>
      </c>
      <c r="E2482" t="str">
        <f t="shared" ca="1" si="874"/>
        <v/>
      </c>
      <c r="F2482" t="str">
        <f t="shared" ca="1" si="875"/>
        <v xml:space="preserve">Enter a 'Low-Income Units' for  building 57 in cell F60.
</v>
      </c>
      <c r="G2482" s="9" t="str">
        <f t="shared" ca="1" si="868"/>
        <v xml:space="preserve">Enter a value for 'Number of Floors in the Tallest Building' in cell B58.
</v>
      </c>
      <c r="H2482" s="52" t="str">
        <f t="shared" ca="1" si="876"/>
        <v>Low-Income Units</v>
      </c>
      <c r="I2482" s="52">
        <v>6</v>
      </c>
    </row>
    <row r="2483" spans="1:10" ht="15" customHeight="1">
      <c r="A2483" t="str">
        <f t="shared" ca="1" si="871"/>
        <v/>
      </c>
      <c r="B2483">
        <f t="shared" si="872"/>
        <v>60</v>
      </c>
      <c r="C2483">
        <f t="shared" ca="1" si="870"/>
        <v>57</v>
      </c>
      <c r="D2483" t="str">
        <f t="shared" si="873"/>
        <v>G60</v>
      </c>
      <c r="E2483" t="str">
        <f t="shared" ca="1" si="874"/>
        <v/>
      </c>
      <c r="F2483" t="str">
        <f t="shared" ca="1" si="875"/>
        <v xml:space="preserve">Enter a 'Residential Square Footage**' for  building 57 in cell G60.
</v>
      </c>
      <c r="G2483" s="9" t="str">
        <f t="shared" ca="1" si="868"/>
        <v xml:space="preserve">Enter a value for 'Number of Floors in the Tallest Building' in cell B58.
</v>
      </c>
      <c r="H2483" s="52" t="str">
        <f t="shared" ca="1" si="876"/>
        <v>Residential Square Footage**</v>
      </c>
      <c r="I2483" s="52">
        <v>7</v>
      </c>
    </row>
    <row r="2484" spans="1:10" ht="15" customHeight="1">
      <c r="A2484" t="str">
        <f t="shared" ca="1" si="871"/>
        <v/>
      </c>
      <c r="B2484">
        <f t="shared" si="872"/>
        <v>60</v>
      </c>
      <c r="C2484">
        <f t="shared" ca="1" si="870"/>
        <v>57</v>
      </c>
      <c r="D2484" t="str">
        <f t="shared" si="873"/>
        <v>H60</v>
      </c>
      <c r="E2484" t="str">
        <f t="shared" ca="1" si="874"/>
        <v/>
      </c>
      <c r="F2484" t="str">
        <f t="shared" ca="1" si="875"/>
        <v xml:space="preserve">Enter a 'Square Footage of Employee Units' for  building 57 in cell H60.
</v>
      </c>
      <c r="G2484" s="9" t="str">
        <f t="shared" ca="1" si="868"/>
        <v xml:space="preserve">Enter a value for 'Number of Floors in the Tallest Building' in cell B58.
</v>
      </c>
      <c r="H2484" s="52" t="str">
        <f t="shared" ca="1" si="876"/>
        <v>Square Footage of Employee Units</v>
      </c>
      <c r="I2484" s="52">
        <v>8</v>
      </c>
    </row>
    <row r="2485" spans="1:10" ht="15" customHeight="1">
      <c r="A2485" t="str">
        <f t="shared" ca="1" si="871"/>
        <v/>
      </c>
      <c r="B2485">
        <f t="shared" si="872"/>
        <v>60</v>
      </c>
      <c r="C2485">
        <f t="shared" ca="1" si="870"/>
        <v>57</v>
      </c>
      <c r="D2485" t="str">
        <f t="shared" si="873"/>
        <v>I60</v>
      </c>
      <c r="E2485" t="str">
        <f t="shared" ca="1" si="874"/>
        <v/>
      </c>
      <c r="F2485" t="str">
        <f t="shared" ca="1" si="875"/>
        <v xml:space="preserve">Enter a 'Square Footage of Low-Income Units' for  building 57 in cell I60.
</v>
      </c>
      <c r="G2485" s="9" t="str">
        <f t="shared" ca="1" si="868"/>
        <v xml:space="preserve">Enter a value for 'Number of Floors in the Tallest Building' in cell B58.
</v>
      </c>
      <c r="H2485" s="52" t="str">
        <f t="shared" ca="1" si="876"/>
        <v>Square Footage of Low-Income Units</v>
      </c>
      <c r="I2485" s="52">
        <v>9</v>
      </c>
    </row>
    <row r="2486" spans="1:10" ht="15" customHeight="1">
      <c r="A2486" t="str">
        <f t="shared" ca="1" si="871"/>
        <v/>
      </c>
      <c r="B2486">
        <f t="shared" si="872"/>
        <v>60</v>
      </c>
      <c r="C2486">
        <f t="shared" ca="1" si="870"/>
        <v>57</v>
      </c>
      <c r="D2486" t="str">
        <f t="shared" si="873"/>
        <v>J60</v>
      </c>
      <c r="E2486" t="str">
        <f t="shared" ca="1" si="874"/>
        <v/>
      </c>
      <c r="F2486" t="str">
        <f t="shared" ca="1" si="875"/>
        <v xml:space="preserve">Enter a 'Placed-In-Service Date' for  building 57 in cell J60.
</v>
      </c>
      <c r="G2486" s="9" t="str">
        <f t="shared" ca="1" si="868"/>
        <v xml:space="preserve">Enter a value for 'Number of Floors in the Tallest Building' in cell B58.
</v>
      </c>
      <c r="H2486" s="52" t="str">
        <f t="shared" ca="1" si="876"/>
        <v>Placed-In-Service Date</v>
      </c>
      <c r="I2486" s="52">
        <v>10</v>
      </c>
    </row>
    <row r="2487" spans="1:10" ht="15" customHeight="1">
      <c r="A2487" t="str">
        <f t="shared" ca="1" si="871"/>
        <v/>
      </c>
      <c r="B2487">
        <f t="shared" si="872"/>
        <v>60</v>
      </c>
      <c r="C2487">
        <f t="shared" ca="1" si="870"/>
        <v>57</v>
      </c>
      <c r="D2487" t="str">
        <f t="shared" si="873"/>
        <v>K60</v>
      </c>
      <c r="E2487" t="str">
        <f t="shared" ca="1" si="874"/>
        <v/>
      </c>
      <c r="F2487" t="str">
        <f t="shared" ca="1" si="875"/>
        <v xml:space="preserve">Enter a 'New Construction/ Rehab APR' for  building 57 in cell K60.
</v>
      </c>
      <c r="G2487" s="9" t="str">
        <f t="shared" ca="1" si="868"/>
        <v xml:space="preserve">Enter a value for 'Number of Floors in the Tallest Building' in cell B58.
</v>
      </c>
      <c r="H2487" s="52" t="str">
        <f t="shared" ca="1" si="876"/>
        <v>New Construction/ Rehab APR</v>
      </c>
      <c r="I2487" s="52">
        <v>11</v>
      </c>
    </row>
    <row r="2488" spans="1:10" ht="15" customHeight="1">
      <c r="A2488" t="str">
        <f t="shared" ca="1" si="871"/>
        <v/>
      </c>
      <c r="B2488">
        <f t="shared" si="872"/>
        <v>60</v>
      </c>
      <c r="C2488">
        <f t="shared" ca="1" si="870"/>
        <v>57</v>
      </c>
      <c r="D2488" t="str">
        <f t="shared" si="873"/>
        <v>L60</v>
      </c>
      <c r="E2488" t="str">
        <f t="shared" ca="1" si="874"/>
        <v/>
      </c>
      <c r="F2488" t="str">
        <f t="shared" ca="1" si="875"/>
        <v xml:space="preserve">Enter a 'New Construction Eligible Basis' for  building 57 in cell L60.
</v>
      </c>
      <c r="G2488" s="9" t="str">
        <f t="shared" ca="1" si="868"/>
        <v xml:space="preserve">Enter a value for 'Number of Floors in the Tallest Building' in cell B58.
</v>
      </c>
      <c r="H2488" s="52" t="str">
        <f t="shared" ca="1" si="876"/>
        <v>New Construction Eligible Basis</v>
      </c>
      <c r="I2488" s="52">
        <v>12</v>
      </c>
    </row>
    <row r="2489" spans="1:10" ht="15" customHeight="1">
      <c r="A2489" t="str">
        <f ca="1">IF(AND(OFFSET(A2489, -I2489 + 2, 4) &gt;  0, E2489="", Calculations!$B$7), F2489, "")</f>
        <v/>
      </c>
      <c r="B2489">
        <f t="shared" si="872"/>
        <v>60</v>
      </c>
      <c r="C2489">
        <f t="shared" ca="1" si="870"/>
        <v>57</v>
      </c>
      <c r="D2489" t="str">
        <f t="shared" si="873"/>
        <v>M60</v>
      </c>
      <c r="E2489" t="str">
        <f t="shared" ca="1" si="874"/>
        <v/>
      </c>
      <c r="F2489" t="str">
        <f t="shared" ca="1" si="875"/>
        <v xml:space="preserve">Enter a 'Eligible Basis for Rehab' for  building 57 in cell M60.
</v>
      </c>
      <c r="G2489" s="9" t="str">
        <f t="shared" ca="1" si="868"/>
        <v xml:space="preserve">Enter a value for 'Number of Floors in the Tallest Building' in cell B58.
</v>
      </c>
      <c r="H2489" s="52" t="str">
        <f t="shared" ca="1" si="876"/>
        <v>Eligible Basis for Rehab</v>
      </c>
      <c r="I2489" s="52">
        <v>13</v>
      </c>
    </row>
    <row r="2490" spans="1:10" ht="15" customHeight="1">
      <c r="A2490" t="str">
        <f ca="1">IF(AND(OFFSET(A2490, -I2490 + 2, 4) &gt;  0, E2490="", Calculations!$B$7), F2490, "")</f>
        <v/>
      </c>
      <c r="B2490">
        <f t="shared" si="872"/>
        <v>60</v>
      </c>
      <c r="C2490">
        <f t="shared" ca="1" si="870"/>
        <v>57</v>
      </c>
      <c r="D2490" t="str">
        <f t="shared" si="873"/>
        <v>N60</v>
      </c>
      <c r="E2490" t="str">
        <f t="shared" ca="1" si="874"/>
        <v/>
      </c>
      <c r="F2490" t="str">
        <f t="shared" ca="1" si="875"/>
        <v xml:space="preserve">Enter a 'Cost of Acquiring the Building***' for  building 57 in cell N60.
</v>
      </c>
      <c r="G2490" s="9" t="str">
        <f t="shared" ca="1" si="868"/>
        <v xml:space="preserve">Enter a value for 'Number of Floors in the Tallest Building' in cell B58.
</v>
      </c>
      <c r="H2490" s="52" t="str">
        <f t="shared" ca="1" si="876"/>
        <v>Cost of Acquiring the Building***</v>
      </c>
      <c r="I2490" s="52">
        <v>14</v>
      </c>
    </row>
    <row r="2491" spans="1:10" ht="15" customHeight="1">
      <c r="A2491" t="str">
        <f ca="1">IF(AND(OFFSET(A2491, -I2491 + 2, 4) &gt;  0, E2491="", Calculations!$B$7), F2491, "")</f>
        <v/>
      </c>
      <c r="B2491">
        <f t="shared" si="872"/>
        <v>60</v>
      </c>
      <c r="C2491">
        <f t="shared" ca="1" si="870"/>
        <v>57</v>
      </c>
      <c r="D2491" t="str">
        <f t="shared" si="873"/>
        <v>O60</v>
      </c>
      <c r="E2491" t="str">
        <f t="shared" ca="1" si="874"/>
        <v/>
      </c>
      <c r="F2491" t="str">
        <f t="shared" ca="1" si="875"/>
        <v xml:space="preserve">Enter a 'Higher of Land Purchase Price or Land Appraised Value****' for  building 57 in cell O60.
</v>
      </c>
      <c r="G2491" s="9" t="str">
        <f t="shared" ca="1" si="868"/>
        <v xml:space="preserve">Enter a value for 'Number of Floors in the Tallest Building' in cell B58.
</v>
      </c>
      <c r="H2491" s="52" t="str">
        <f t="shared" ca="1" si="876"/>
        <v>Higher of Land Purchase Price or Land Appraised Value****</v>
      </c>
      <c r="I2491" s="52">
        <v>15</v>
      </c>
    </row>
    <row r="2492" spans="1:10" ht="15" customHeight="1">
      <c r="A2492" t="str">
        <f ca="1">IF(AND(OFFSET(A2492, -I2492 + 2, 4) &gt;  0, E2492="", Calculations!$B$7), F2492, "")</f>
        <v/>
      </c>
      <c r="B2492">
        <f t="shared" si="872"/>
        <v>60</v>
      </c>
      <c r="C2492">
        <f t="shared" ca="1" si="870"/>
        <v>57</v>
      </c>
      <c r="D2492" t="str">
        <f t="shared" si="873"/>
        <v>P60</v>
      </c>
      <c r="E2492" t="str">
        <f t="shared" ca="1" si="874"/>
        <v/>
      </c>
      <c r="F2492" t="str">
        <f t="shared" ca="1" si="875"/>
        <v xml:space="preserve">Enter a 'Acquisition Placed-in-Service Date' for  building 57 in cell P60.
</v>
      </c>
      <c r="G2492" s="9" t="str">
        <f t="shared" ca="1" si="868"/>
        <v xml:space="preserve">Enter a value for 'Number of Floors in the Tallest Building' in cell B58.
</v>
      </c>
      <c r="H2492" s="52" t="str">
        <f t="shared" ca="1" si="876"/>
        <v>Acquisition Placed-in-Service Date</v>
      </c>
      <c r="I2492" s="52">
        <v>16</v>
      </c>
    </row>
    <row r="2493" spans="1:10" ht="15" customHeight="1">
      <c r="A2493" t="str">
        <f ca="1">IF(AND(OFFSET(A2493, -I2493 + 2, 4) &gt;  0, E2493="", Calculations!$B$7), F2493, "")</f>
        <v/>
      </c>
      <c r="B2493">
        <f t="shared" si="872"/>
        <v>60</v>
      </c>
      <c r="C2493">
        <f t="shared" ca="1" si="870"/>
        <v>57</v>
      </c>
      <c r="D2493" t="str">
        <f t="shared" si="873"/>
        <v>Q60</v>
      </c>
      <c r="E2493" t="str">
        <f t="shared" ca="1" si="874"/>
        <v/>
      </c>
      <c r="F2493" t="str">
        <f t="shared" ca="1" si="875"/>
        <v xml:space="preserve">Enter a 'Acquisition APR' for  building 57 in cell Q60.
</v>
      </c>
      <c r="G2493" s="9" t="str">
        <f t="shared" ca="1" si="868"/>
        <v xml:space="preserve">Enter a value for 'Number of Floors in the Tallest Building' in cell B58.
</v>
      </c>
      <c r="H2493" s="52" t="str">
        <f t="shared" ca="1" si="876"/>
        <v>Acquisition APR</v>
      </c>
      <c r="I2493" s="52">
        <v>17</v>
      </c>
    </row>
    <row r="2494" spans="1:10" ht="15" customHeight="1">
      <c r="A2494" t="str">
        <f ca="1">IF(AND(Calculations!$B$4,Calculations!$B$28&gt;=C2494, E2494 &lt;&gt; 13),F2494,"")</f>
        <v/>
      </c>
      <c r="B2494">
        <f>ROW('Final Building Profile'!C61)</f>
        <v>61</v>
      </c>
      <c r="C2494">
        <f t="shared" ca="1" si="870"/>
        <v>58</v>
      </c>
      <c r="D2494" t="str">
        <f>ADDRESS(B2494, 3,4  )</f>
        <v>C61</v>
      </c>
      <c r="E2494" s="52">
        <f ca="1">H2494+I2494</f>
        <v>0</v>
      </c>
      <c r="F2494" t="str">
        <f ca="1">CONCATENATE("Based upon the number of buildings specified, information for  building ", C2494, " required for a final application in row ", B2494, ".", CHAR(10))</f>
        <v xml:space="preserve">Based upon the number of buildings specified, information for  building 58 required for a final application in row 61.
</v>
      </c>
      <c r="G2494" s="9" t="str">
        <f t="shared" ca="1" si="868"/>
        <v xml:space="preserve">Enter a value for 'Number of Floors in the Tallest Building' in cell B58.
</v>
      </c>
      <c r="H2494" s="52">
        <f ca="1">SUMPRODUCT(--ISTEXT(INDIRECT(J2494)))</f>
        <v>0</v>
      </c>
      <c r="I2494" s="52">
        <f ca="1">SUMPRODUCT(--ISNUMBER(INDIRECT(J2494)))</f>
        <v>0</v>
      </c>
      <c r="J2494" s="52" t="str">
        <f>$F$1564&amp; ADDRESS(B2494,3,4) &amp; ":" &amp; ADDRESS(B2494,15,4)</f>
        <v>'Final Building Profile'!C61:O61</v>
      </c>
    </row>
    <row r="2495" spans="1:10" ht="15" customHeight="1">
      <c r="A2495" t="str">
        <f t="shared" ref="A2495:A2504" ca="1" si="877">IF(AND(OFFSET(A2495, -I2495 + 2, 4) &gt;  0, E2495=""), F2495, "")</f>
        <v/>
      </c>
      <c r="B2495">
        <f t="shared" ref="B2495:B2509" si="878">B2494</f>
        <v>61</v>
      </c>
      <c r="C2495">
        <f t="shared" ca="1" si="870"/>
        <v>58</v>
      </c>
      <c r="D2495" t="str">
        <f t="shared" ref="D2495:D2509" si="879">ADDRESS(B2495, I2495,4  )</f>
        <v>C61</v>
      </c>
      <c r="E2495" t="str">
        <f t="shared" ref="E2495:E2509" ca="1" si="880">IF(ISBLANK( INDIRECT($F$1564 &amp; D2495)),"", INDIRECT($F$1564 &amp; D2495))</f>
        <v/>
      </c>
      <c r="F2495" t="str">
        <f t="shared" ref="F2495:F2509" ca="1" si="881">CONCATENATE("Enter a '"&amp; H2495 &amp;"' for  building ", C2495, " in cell ", D2495, ".", CHAR(10))</f>
        <v xml:space="preserve">Enter a 'Building Street Address Only 
(DO NOT ENTER CITY, STATE, OR ZIP)' for  building 58 in cell C61.
</v>
      </c>
      <c r="G2495" s="9" t="str">
        <f t="shared" ca="1" si="868"/>
        <v xml:space="preserve">Enter a value for 'Number of Floors in the Tallest Building' in cell B58.
</v>
      </c>
      <c r="H2495" s="52" t="str">
        <f t="shared" ref="H2495:H2509" ca="1" si="882">OFFSET(INDIRECT($F$1564 &amp; D2495), -B2495 + 3, 0)</f>
        <v>Building Street Address Only 
(DO NOT ENTER CITY, STATE, OR ZIP)</v>
      </c>
      <c r="I2495" s="52">
        <v>3</v>
      </c>
    </row>
    <row r="2496" spans="1:10" ht="15" customHeight="1">
      <c r="A2496" t="str">
        <f t="shared" ca="1" si="877"/>
        <v/>
      </c>
      <c r="B2496">
        <f t="shared" si="878"/>
        <v>61</v>
      </c>
      <c r="C2496">
        <f t="shared" ca="1" si="870"/>
        <v>58</v>
      </c>
      <c r="D2496" t="str">
        <f t="shared" si="879"/>
        <v>D61</v>
      </c>
      <c r="E2496" t="str">
        <f t="shared" ca="1" si="880"/>
        <v/>
      </c>
      <c r="F2496" t="str">
        <f t="shared" ca="1" si="881"/>
        <v xml:space="preserve">Enter a 'Total Units in Building*' for  building 58 in cell D61.
</v>
      </c>
      <c r="G2496" s="9" t="str">
        <f t="shared" ca="1" si="868"/>
        <v xml:space="preserve">Enter a value for 'Number of Floors in the Tallest Building' in cell B58.
</v>
      </c>
      <c r="H2496" s="52" t="str">
        <f t="shared" ca="1" si="882"/>
        <v>Total Units in Building*</v>
      </c>
      <c r="I2496" s="52">
        <v>4</v>
      </c>
    </row>
    <row r="2497" spans="1:10" ht="15" customHeight="1">
      <c r="A2497" t="str">
        <f t="shared" ca="1" si="877"/>
        <v/>
      </c>
      <c r="B2497">
        <f t="shared" si="878"/>
        <v>61</v>
      </c>
      <c r="C2497">
        <f t="shared" ca="1" si="870"/>
        <v>58</v>
      </c>
      <c r="D2497" t="str">
        <f t="shared" si="879"/>
        <v>E61</v>
      </c>
      <c r="E2497" t="str">
        <f t="shared" ca="1" si="880"/>
        <v/>
      </c>
      <c r="F2497" t="str">
        <f t="shared" ca="1" si="881"/>
        <v xml:space="preserve">Enter a 'Employee Units' for  building 58 in cell E61.
</v>
      </c>
      <c r="G2497" s="9" t="str">
        <f t="shared" ca="1" si="868"/>
        <v xml:space="preserve">Enter a value for 'Number of Floors in the Tallest Building' in cell B58.
</v>
      </c>
      <c r="H2497" s="52" t="str">
        <f t="shared" ca="1" si="882"/>
        <v>Employee Units</v>
      </c>
      <c r="I2497" s="52">
        <v>5</v>
      </c>
    </row>
    <row r="2498" spans="1:10" ht="15" customHeight="1">
      <c r="A2498" t="str">
        <f t="shared" ca="1" si="877"/>
        <v/>
      </c>
      <c r="B2498">
        <f t="shared" si="878"/>
        <v>61</v>
      </c>
      <c r="C2498">
        <f t="shared" ca="1" si="870"/>
        <v>58</v>
      </c>
      <c r="D2498" t="str">
        <f t="shared" si="879"/>
        <v>F61</v>
      </c>
      <c r="E2498" t="str">
        <f t="shared" ca="1" si="880"/>
        <v/>
      </c>
      <c r="F2498" t="str">
        <f t="shared" ca="1" si="881"/>
        <v xml:space="preserve">Enter a 'Low-Income Units' for  building 58 in cell F61.
</v>
      </c>
      <c r="G2498" s="9" t="str">
        <f t="shared" ca="1" si="868"/>
        <v xml:space="preserve">Enter a value for 'Number of Floors in the Tallest Building' in cell B58.
</v>
      </c>
      <c r="H2498" s="52" t="str">
        <f t="shared" ca="1" si="882"/>
        <v>Low-Income Units</v>
      </c>
      <c r="I2498" s="52">
        <v>6</v>
      </c>
    </row>
    <row r="2499" spans="1:10" ht="15" customHeight="1">
      <c r="A2499" t="str">
        <f t="shared" ca="1" si="877"/>
        <v/>
      </c>
      <c r="B2499">
        <f t="shared" si="878"/>
        <v>61</v>
      </c>
      <c r="C2499">
        <f t="shared" ca="1" si="870"/>
        <v>58</v>
      </c>
      <c r="D2499" t="str">
        <f t="shared" si="879"/>
        <v>G61</v>
      </c>
      <c r="E2499" t="str">
        <f t="shared" ca="1" si="880"/>
        <v/>
      </c>
      <c r="F2499" t="str">
        <f t="shared" ca="1" si="881"/>
        <v xml:space="preserve">Enter a 'Residential Square Footage**' for  building 58 in cell G61.
</v>
      </c>
      <c r="G2499" s="9" t="str">
        <f t="shared" ca="1" si="868"/>
        <v xml:space="preserve">Enter a value for 'Number of Floors in the Tallest Building' in cell B58.
</v>
      </c>
      <c r="H2499" s="52" t="str">
        <f t="shared" ca="1" si="882"/>
        <v>Residential Square Footage**</v>
      </c>
      <c r="I2499" s="52">
        <v>7</v>
      </c>
    </row>
    <row r="2500" spans="1:10" ht="15" customHeight="1">
      <c r="A2500" t="str">
        <f t="shared" ca="1" si="877"/>
        <v/>
      </c>
      <c r="B2500">
        <f t="shared" si="878"/>
        <v>61</v>
      </c>
      <c r="C2500">
        <f t="shared" ca="1" si="870"/>
        <v>58</v>
      </c>
      <c r="D2500" t="str">
        <f t="shared" si="879"/>
        <v>H61</v>
      </c>
      <c r="E2500" t="str">
        <f t="shared" ca="1" si="880"/>
        <v/>
      </c>
      <c r="F2500" t="str">
        <f t="shared" ca="1" si="881"/>
        <v xml:space="preserve">Enter a 'Square Footage of Employee Units' for  building 58 in cell H61.
</v>
      </c>
      <c r="G2500" s="9" t="str">
        <f t="shared" ca="1" si="868"/>
        <v xml:space="preserve">Enter a value for 'Number of Floors in the Tallest Building' in cell B58.
</v>
      </c>
      <c r="H2500" s="52" t="str">
        <f t="shared" ca="1" si="882"/>
        <v>Square Footage of Employee Units</v>
      </c>
      <c r="I2500" s="52">
        <v>8</v>
      </c>
    </row>
    <row r="2501" spans="1:10" ht="15" customHeight="1">
      <c r="A2501" t="str">
        <f t="shared" ca="1" si="877"/>
        <v/>
      </c>
      <c r="B2501">
        <f t="shared" si="878"/>
        <v>61</v>
      </c>
      <c r="C2501">
        <f t="shared" ca="1" si="870"/>
        <v>58</v>
      </c>
      <c r="D2501" t="str">
        <f t="shared" si="879"/>
        <v>I61</v>
      </c>
      <c r="E2501" t="str">
        <f t="shared" ca="1" si="880"/>
        <v/>
      </c>
      <c r="F2501" t="str">
        <f t="shared" ca="1" si="881"/>
        <v xml:space="preserve">Enter a 'Square Footage of Low-Income Units' for  building 58 in cell I61.
</v>
      </c>
      <c r="G2501" s="9" t="str">
        <f t="shared" ca="1" si="868"/>
        <v xml:space="preserve">Enter a value for 'Number of Floors in the Tallest Building' in cell B58.
</v>
      </c>
      <c r="H2501" s="52" t="str">
        <f t="shared" ca="1" si="882"/>
        <v>Square Footage of Low-Income Units</v>
      </c>
      <c r="I2501" s="52">
        <v>9</v>
      </c>
    </row>
    <row r="2502" spans="1:10" ht="15" customHeight="1">
      <c r="A2502" t="str">
        <f t="shared" ca="1" si="877"/>
        <v/>
      </c>
      <c r="B2502">
        <f t="shared" si="878"/>
        <v>61</v>
      </c>
      <c r="C2502">
        <f t="shared" ca="1" si="870"/>
        <v>58</v>
      </c>
      <c r="D2502" t="str">
        <f t="shared" si="879"/>
        <v>J61</v>
      </c>
      <c r="E2502" t="str">
        <f t="shared" ca="1" si="880"/>
        <v/>
      </c>
      <c r="F2502" t="str">
        <f t="shared" ca="1" si="881"/>
        <v xml:space="preserve">Enter a 'Placed-In-Service Date' for  building 58 in cell J61.
</v>
      </c>
      <c r="G2502" s="9" t="str">
        <f t="shared" ca="1" si="868"/>
        <v xml:space="preserve">Enter a value for 'Number of Floors in the Tallest Building' in cell B58.
</v>
      </c>
      <c r="H2502" s="52" t="str">
        <f t="shared" ca="1" si="882"/>
        <v>Placed-In-Service Date</v>
      </c>
      <c r="I2502" s="52">
        <v>10</v>
      </c>
    </row>
    <row r="2503" spans="1:10" ht="15" customHeight="1">
      <c r="A2503" t="str">
        <f t="shared" ca="1" si="877"/>
        <v/>
      </c>
      <c r="B2503">
        <f t="shared" si="878"/>
        <v>61</v>
      </c>
      <c r="C2503">
        <f t="shared" ca="1" si="870"/>
        <v>58</v>
      </c>
      <c r="D2503" t="str">
        <f t="shared" si="879"/>
        <v>K61</v>
      </c>
      <c r="E2503" t="str">
        <f t="shared" ca="1" si="880"/>
        <v/>
      </c>
      <c r="F2503" t="str">
        <f t="shared" ca="1" si="881"/>
        <v xml:space="preserve">Enter a 'New Construction/ Rehab APR' for  building 58 in cell K61.
</v>
      </c>
      <c r="G2503" s="9" t="str">
        <f t="shared" ca="1" si="868"/>
        <v xml:space="preserve">Enter a value for 'Number of Floors in the Tallest Building' in cell B58.
</v>
      </c>
      <c r="H2503" s="52" t="str">
        <f t="shared" ca="1" si="882"/>
        <v>New Construction/ Rehab APR</v>
      </c>
      <c r="I2503" s="52">
        <v>11</v>
      </c>
    </row>
    <row r="2504" spans="1:10" ht="15" customHeight="1">
      <c r="A2504" t="str">
        <f t="shared" ca="1" si="877"/>
        <v/>
      </c>
      <c r="B2504">
        <f t="shared" si="878"/>
        <v>61</v>
      </c>
      <c r="C2504">
        <f t="shared" ca="1" si="870"/>
        <v>58</v>
      </c>
      <c r="D2504" t="str">
        <f t="shared" si="879"/>
        <v>L61</v>
      </c>
      <c r="E2504" t="str">
        <f t="shared" ca="1" si="880"/>
        <v/>
      </c>
      <c r="F2504" t="str">
        <f t="shared" ca="1" si="881"/>
        <v xml:space="preserve">Enter a 'New Construction Eligible Basis' for  building 58 in cell L61.
</v>
      </c>
      <c r="G2504" s="9" t="str">
        <f t="shared" ca="1" si="868"/>
        <v xml:space="preserve">Enter a value for 'Number of Floors in the Tallest Building' in cell B58.
</v>
      </c>
      <c r="H2504" s="52" t="str">
        <f t="shared" ca="1" si="882"/>
        <v>New Construction Eligible Basis</v>
      </c>
      <c r="I2504" s="52">
        <v>12</v>
      </c>
    </row>
    <row r="2505" spans="1:10" ht="15" customHeight="1">
      <c r="A2505" t="str">
        <f ca="1">IF(AND(OFFSET(A2505, -I2505 + 2, 4) &gt;  0, E2505="", Calculations!$B$7), F2505, "")</f>
        <v/>
      </c>
      <c r="B2505">
        <f t="shared" si="878"/>
        <v>61</v>
      </c>
      <c r="C2505">
        <f t="shared" ca="1" si="870"/>
        <v>58</v>
      </c>
      <c r="D2505" t="str">
        <f t="shared" si="879"/>
        <v>M61</v>
      </c>
      <c r="E2505" t="str">
        <f t="shared" ca="1" si="880"/>
        <v/>
      </c>
      <c r="F2505" t="str">
        <f t="shared" ca="1" si="881"/>
        <v xml:space="preserve">Enter a 'Eligible Basis for Rehab' for  building 58 in cell M61.
</v>
      </c>
      <c r="G2505" s="9" t="str">
        <f t="shared" ca="1" si="868"/>
        <v xml:space="preserve">Enter a value for 'Number of Floors in the Tallest Building' in cell B58.
</v>
      </c>
      <c r="H2505" s="52" t="str">
        <f t="shared" ca="1" si="882"/>
        <v>Eligible Basis for Rehab</v>
      </c>
      <c r="I2505" s="52">
        <v>13</v>
      </c>
    </row>
    <row r="2506" spans="1:10" ht="15" customHeight="1">
      <c r="A2506" t="str">
        <f ca="1">IF(AND(OFFSET(A2506, -I2506 + 2, 4) &gt;  0, E2506="", Calculations!$B$7), F2506, "")</f>
        <v/>
      </c>
      <c r="B2506">
        <f t="shared" si="878"/>
        <v>61</v>
      </c>
      <c r="C2506">
        <f t="shared" ca="1" si="870"/>
        <v>58</v>
      </c>
      <c r="D2506" t="str">
        <f t="shared" si="879"/>
        <v>N61</v>
      </c>
      <c r="E2506" t="str">
        <f t="shared" ca="1" si="880"/>
        <v/>
      </c>
      <c r="F2506" t="str">
        <f t="shared" ca="1" si="881"/>
        <v xml:space="preserve">Enter a 'Cost of Acquiring the Building***' for  building 58 in cell N61.
</v>
      </c>
      <c r="G2506" s="9" t="str">
        <f t="shared" ca="1" si="868"/>
        <v xml:space="preserve">Enter a value for 'Number of Floors in the Tallest Building' in cell B58.
</v>
      </c>
      <c r="H2506" s="52" t="str">
        <f t="shared" ca="1" si="882"/>
        <v>Cost of Acquiring the Building***</v>
      </c>
      <c r="I2506" s="52">
        <v>14</v>
      </c>
    </row>
    <row r="2507" spans="1:10" ht="15" customHeight="1">
      <c r="A2507" t="str">
        <f ca="1">IF(AND(OFFSET(A2507, -I2507 + 2, 4) &gt;  0, E2507="", Calculations!$B$7), F2507, "")</f>
        <v/>
      </c>
      <c r="B2507">
        <f t="shared" si="878"/>
        <v>61</v>
      </c>
      <c r="C2507">
        <f t="shared" ca="1" si="870"/>
        <v>58</v>
      </c>
      <c r="D2507" t="str">
        <f t="shared" si="879"/>
        <v>O61</v>
      </c>
      <c r="E2507" t="str">
        <f t="shared" ca="1" si="880"/>
        <v/>
      </c>
      <c r="F2507" t="str">
        <f t="shared" ca="1" si="881"/>
        <v xml:space="preserve">Enter a 'Higher of Land Purchase Price or Land Appraised Value****' for  building 58 in cell O61.
</v>
      </c>
      <c r="G2507" s="9" t="str">
        <f t="shared" ca="1" si="868"/>
        <v xml:space="preserve">Enter a value for 'Number of Floors in the Tallest Building' in cell B58.
</v>
      </c>
      <c r="H2507" s="52" t="str">
        <f t="shared" ca="1" si="882"/>
        <v>Higher of Land Purchase Price or Land Appraised Value****</v>
      </c>
      <c r="I2507" s="52">
        <v>15</v>
      </c>
    </row>
    <row r="2508" spans="1:10" ht="15" customHeight="1">
      <c r="A2508" t="str">
        <f ca="1">IF(AND(OFFSET(A2508, -I2508 + 2, 4) &gt;  0, E2508="", Calculations!$B$7), F2508, "")</f>
        <v/>
      </c>
      <c r="B2508">
        <f t="shared" si="878"/>
        <v>61</v>
      </c>
      <c r="C2508">
        <f t="shared" ca="1" si="870"/>
        <v>58</v>
      </c>
      <c r="D2508" t="str">
        <f t="shared" si="879"/>
        <v>P61</v>
      </c>
      <c r="E2508" t="str">
        <f t="shared" ca="1" si="880"/>
        <v/>
      </c>
      <c r="F2508" t="str">
        <f t="shared" ca="1" si="881"/>
        <v xml:space="preserve">Enter a 'Acquisition Placed-in-Service Date' for  building 58 in cell P61.
</v>
      </c>
      <c r="G2508" s="9" t="str">
        <f t="shared" ca="1" si="868"/>
        <v xml:space="preserve">Enter a value for 'Number of Floors in the Tallest Building' in cell B58.
</v>
      </c>
      <c r="H2508" s="52" t="str">
        <f t="shared" ca="1" si="882"/>
        <v>Acquisition Placed-in-Service Date</v>
      </c>
      <c r="I2508" s="52">
        <v>16</v>
      </c>
    </row>
    <row r="2509" spans="1:10" ht="15" customHeight="1">
      <c r="A2509" t="str">
        <f ca="1">IF(AND(OFFSET(A2509, -I2509 + 2, 4) &gt;  0, E2509="", Calculations!$B$7), F2509, "")</f>
        <v/>
      </c>
      <c r="B2509">
        <f t="shared" si="878"/>
        <v>61</v>
      </c>
      <c r="C2509">
        <f t="shared" ca="1" si="870"/>
        <v>58</v>
      </c>
      <c r="D2509" t="str">
        <f t="shared" si="879"/>
        <v>Q61</v>
      </c>
      <c r="E2509" t="str">
        <f t="shared" ca="1" si="880"/>
        <v/>
      </c>
      <c r="F2509" t="str">
        <f t="shared" ca="1" si="881"/>
        <v xml:space="preserve">Enter a 'Acquisition APR' for  building 58 in cell Q61.
</v>
      </c>
      <c r="G2509" s="9" t="str">
        <f t="shared" ca="1" si="868"/>
        <v xml:space="preserve">Enter a value for 'Number of Floors in the Tallest Building' in cell B58.
</v>
      </c>
      <c r="H2509" s="52" t="str">
        <f t="shared" ca="1" si="882"/>
        <v>Acquisition APR</v>
      </c>
      <c r="I2509" s="52">
        <v>17</v>
      </c>
    </row>
    <row r="2510" spans="1:10" ht="15" customHeight="1">
      <c r="A2510" t="str">
        <f ca="1">IF(AND(Calculations!$B$4,Calculations!$B$28&gt;=C2510, E2510 &lt;&gt; 13),F2510,"")</f>
        <v/>
      </c>
      <c r="B2510">
        <f>ROW('Final Building Profile'!C62)</f>
        <v>62</v>
      </c>
      <c r="C2510">
        <f t="shared" ca="1" si="870"/>
        <v>59</v>
      </c>
      <c r="D2510" t="str">
        <f>ADDRESS(B2510, 3,4  )</f>
        <v>C62</v>
      </c>
      <c r="E2510" s="52">
        <f ca="1">H2510+I2510</f>
        <v>0</v>
      </c>
      <c r="F2510" t="str">
        <f ca="1">CONCATENATE("Based upon the number of buildings specified, information for  building ", C2510, " required for a final application in row ", B2510, ".", CHAR(10))</f>
        <v xml:space="preserve">Based upon the number of buildings specified, information for  building 59 required for a final application in row 62.
</v>
      </c>
      <c r="G2510" s="9" t="str">
        <f t="shared" ca="1" si="868"/>
        <v xml:space="preserve">Enter a value for 'Number of Floors in the Tallest Building' in cell B58.
</v>
      </c>
      <c r="H2510" s="52">
        <f ca="1">SUMPRODUCT(--ISTEXT(INDIRECT(J2510)))</f>
        <v>0</v>
      </c>
      <c r="I2510" s="52">
        <f ca="1">SUMPRODUCT(--ISNUMBER(INDIRECT(J2510)))</f>
        <v>0</v>
      </c>
      <c r="J2510" s="52" t="str">
        <f>$F$1564&amp; ADDRESS(B2510,3,4) &amp; ":" &amp; ADDRESS(B2510,15,4)</f>
        <v>'Final Building Profile'!C62:O62</v>
      </c>
    </row>
    <row r="2511" spans="1:10" ht="15" customHeight="1">
      <c r="A2511" t="str">
        <f t="shared" ref="A2511:A2520" ca="1" si="883">IF(AND(OFFSET(A2511, -I2511 + 2, 4) &gt;  0, E2511=""), F2511, "")</f>
        <v/>
      </c>
      <c r="B2511">
        <f t="shared" ref="B2511:B2525" si="884">B2510</f>
        <v>62</v>
      </c>
      <c r="C2511">
        <f t="shared" ca="1" si="870"/>
        <v>59</v>
      </c>
      <c r="D2511" t="str">
        <f t="shared" ref="D2511:D2525" si="885">ADDRESS(B2511, I2511,4  )</f>
        <v>C62</v>
      </c>
      <c r="E2511" t="str">
        <f t="shared" ref="E2511:E2525" ca="1" si="886">IF(ISBLANK( INDIRECT($F$1564 &amp; D2511)),"", INDIRECT($F$1564 &amp; D2511))</f>
        <v/>
      </c>
      <c r="F2511" t="str">
        <f t="shared" ref="F2511:F2525" ca="1" si="887">CONCATENATE("Enter a '"&amp; H2511 &amp;"' for  building ", C2511, " in cell ", D2511, ".", CHAR(10))</f>
        <v xml:space="preserve">Enter a 'Building Street Address Only 
(DO NOT ENTER CITY, STATE, OR ZIP)' for  building 59 in cell C62.
</v>
      </c>
      <c r="G2511" s="9" t="str">
        <f t="shared" ca="1" si="868"/>
        <v xml:space="preserve">Enter a value for 'Number of Floors in the Tallest Building' in cell B58.
</v>
      </c>
      <c r="H2511" s="52" t="str">
        <f t="shared" ref="H2511:H2525" ca="1" si="888">OFFSET(INDIRECT($F$1564 &amp; D2511), -B2511 + 3, 0)</f>
        <v>Building Street Address Only 
(DO NOT ENTER CITY, STATE, OR ZIP)</v>
      </c>
      <c r="I2511" s="52">
        <v>3</v>
      </c>
    </row>
    <row r="2512" spans="1:10" ht="15" customHeight="1">
      <c r="A2512" t="str">
        <f t="shared" ca="1" si="883"/>
        <v/>
      </c>
      <c r="B2512">
        <f t="shared" si="884"/>
        <v>62</v>
      </c>
      <c r="C2512">
        <f t="shared" ca="1" si="870"/>
        <v>59</v>
      </c>
      <c r="D2512" t="str">
        <f t="shared" si="885"/>
        <v>D62</v>
      </c>
      <c r="E2512" t="str">
        <f t="shared" ca="1" si="886"/>
        <v/>
      </c>
      <c r="F2512" t="str">
        <f t="shared" ca="1" si="887"/>
        <v xml:space="preserve">Enter a 'Total Units in Building*' for  building 59 in cell D62.
</v>
      </c>
      <c r="G2512" s="9" t="str">
        <f t="shared" ca="1" si="868"/>
        <v xml:space="preserve">Enter a value for 'Number of Floors in the Tallest Building' in cell B58.
</v>
      </c>
      <c r="H2512" s="52" t="str">
        <f t="shared" ca="1" si="888"/>
        <v>Total Units in Building*</v>
      </c>
      <c r="I2512" s="52">
        <v>4</v>
      </c>
    </row>
    <row r="2513" spans="1:10" ht="15" customHeight="1">
      <c r="A2513" t="str">
        <f t="shared" ca="1" si="883"/>
        <v/>
      </c>
      <c r="B2513">
        <f t="shared" si="884"/>
        <v>62</v>
      </c>
      <c r="C2513">
        <f t="shared" ca="1" si="870"/>
        <v>59</v>
      </c>
      <c r="D2513" t="str">
        <f t="shared" si="885"/>
        <v>E62</v>
      </c>
      <c r="E2513" t="str">
        <f t="shared" ca="1" si="886"/>
        <v/>
      </c>
      <c r="F2513" t="str">
        <f t="shared" ca="1" si="887"/>
        <v xml:space="preserve">Enter a 'Employee Units' for  building 59 in cell E62.
</v>
      </c>
      <c r="G2513" s="9" t="str">
        <f t="shared" ca="1" si="868"/>
        <v xml:space="preserve">Enter a value for 'Number of Floors in the Tallest Building' in cell B58.
</v>
      </c>
      <c r="H2513" s="52" t="str">
        <f t="shared" ca="1" si="888"/>
        <v>Employee Units</v>
      </c>
      <c r="I2513" s="52">
        <v>5</v>
      </c>
    </row>
    <row r="2514" spans="1:10" ht="15" customHeight="1">
      <c r="A2514" t="str">
        <f t="shared" ca="1" si="883"/>
        <v/>
      </c>
      <c r="B2514">
        <f t="shared" si="884"/>
        <v>62</v>
      </c>
      <c r="C2514">
        <f t="shared" ca="1" si="870"/>
        <v>59</v>
      </c>
      <c r="D2514" t="str">
        <f t="shared" si="885"/>
        <v>F62</v>
      </c>
      <c r="E2514" t="str">
        <f t="shared" ca="1" si="886"/>
        <v/>
      </c>
      <c r="F2514" t="str">
        <f t="shared" ca="1" si="887"/>
        <v xml:space="preserve">Enter a 'Low-Income Units' for  building 59 in cell F62.
</v>
      </c>
      <c r="G2514" s="9" t="str">
        <f t="shared" ca="1" si="868"/>
        <v xml:space="preserve">Enter a value for 'Number of Floors in the Tallest Building' in cell B58.
</v>
      </c>
      <c r="H2514" s="52" t="str">
        <f t="shared" ca="1" si="888"/>
        <v>Low-Income Units</v>
      </c>
      <c r="I2514" s="52">
        <v>6</v>
      </c>
    </row>
    <row r="2515" spans="1:10" ht="15" customHeight="1">
      <c r="A2515" t="str">
        <f t="shared" ca="1" si="883"/>
        <v/>
      </c>
      <c r="B2515">
        <f t="shared" si="884"/>
        <v>62</v>
      </c>
      <c r="C2515">
        <f t="shared" ca="1" si="870"/>
        <v>59</v>
      </c>
      <c r="D2515" t="str">
        <f t="shared" si="885"/>
        <v>G62</v>
      </c>
      <c r="E2515" t="str">
        <f t="shared" ca="1" si="886"/>
        <v/>
      </c>
      <c r="F2515" t="str">
        <f t="shared" ca="1" si="887"/>
        <v xml:space="preserve">Enter a 'Residential Square Footage**' for  building 59 in cell G62.
</v>
      </c>
      <c r="G2515" s="9" t="str">
        <f t="shared" ca="1" si="868"/>
        <v xml:space="preserve">Enter a value for 'Number of Floors in the Tallest Building' in cell B58.
</v>
      </c>
      <c r="H2515" s="52" t="str">
        <f t="shared" ca="1" si="888"/>
        <v>Residential Square Footage**</v>
      </c>
      <c r="I2515" s="52">
        <v>7</v>
      </c>
    </row>
    <row r="2516" spans="1:10" ht="15" customHeight="1">
      <c r="A2516" t="str">
        <f t="shared" ca="1" si="883"/>
        <v/>
      </c>
      <c r="B2516">
        <f t="shared" si="884"/>
        <v>62</v>
      </c>
      <c r="C2516">
        <f t="shared" ca="1" si="870"/>
        <v>59</v>
      </c>
      <c r="D2516" t="str">
        <f t="shared" si="885"/>
        <v>H62</v>
      </c>
      <c r="E2516" t="str">
        <f t="shared" ca="1" si="886"/>
        <v/>
      </c>
      <c r="F2516" t="str">
        <f t="shared" ca="1" si="887"/>
        <v xml:space="preserve">Enter a 'Square Footage of Employee Units' for  building 59 in cell H62.
</v>
      </c>
      <c r="G2516" s="9" t="str">
        <f t="shared" ca="1" si="868"/>
        <v xml:space="preserve">Enter a value for 'Number of Floors in the Tallest Building' in cell B58.
</v>
      </c>
      <c r="H2516" s="52" t="str">
        <f t="shared" ca="1" si="888"/>
        <v>Square Footage of Employee Units</v>
      </c>
      <c r="I2516" s="52">
        <v>8</v>
      </c>
    </row>
    <row r="2517" spans="1:10" ht="15" customHeight="1">
      <c r="A2517" t="str">
        <f t="shared" ca="1" si="883"/>
        <v/>
      </c>
      <c r="B2517">
        <f t="shared" si="884"/>
        <v>62</v>
      </c>
      <c r="C2517">
        <f t="shared" ca="1" si="870"/>
        <v>59</v>
      </c>
      <c r="D2517" t="str">
        <f t="shared" si="885"/>
        <v>I62</v>
      </c>
      <c r="E2517" t="str">
        <f t="shared" ca="1" si="886"/>
        <v/>
      </c>
      <c r="F2517" t="str">
        <f t="shared" ca="1" si="887"/>
        <v xml:space="preserve">Enter a 'Square Footage of Low-Income Units' for  building 59 in cell I62.
</v>
      </c>
      <c r="G2517" s="9" t="str">
        <f t="shared" ca="1" si="868"/>
        <v xml:space="preserve">Enter a value for 'Number of Floors in the Tallest Building' in cell B58.
</v>
      </c>
      <c r="H2517" s="52" t="str">
        <f t="shared" ca="1" si="888"/>
        <v>Square Footage of Low-Income Units</v>
      </c>
      <c r="I2517" s="52">
        <v>9</v>
      </c>
    </row>
    <row r="2518" spans="1:10" ht="15" customHeight="1">
      <c r="A2518" t="str">
        <f t="shared" ca="1" si="883"/>
        <v/>
      </c>
      <c r="B2518">
        <f t="shared" si="884"/>
        <v>62</v>
      </c>
      <c r="C2518">
        <f t="shared" ca="1" si="870"/>
        <v>59</v>
      </c>
      <c r="D2518" t="str">
        <f t="shared" si="885"/>
        <v>J62</v>
      </c>
      <c r="E2518" t="str">
        <f t="shared" ca="1" si="886"/>
        <v/>
      </c>
      <c r="F2518" t="str">
        <f t="shared" ca="1" si="887"/>
        <v xml:space="preserve">Enter a 'Placed-In-Service Date' for  building 59 in cell J62.
</v>
      </c>
      <c r="G2518" s="9" t="str">
        <f t="shared" ca="1" si="868"/>
        <v xml:space="preserve">Enter a value for 'Number of Floors in the Tallest Building' in cell B58.
</v>
      </c>
      <c r="H2518" s="52" t="str">
        <f t="shared" ca="1" si="888"/>
        <v>Placed-In-Service Date</v>
      </c>
      <c r="I2518" s="52">
        <v>10</v>
      </c>
    </row>
    <row r="2519" spans="1:10" ht="15" customHeight="1">
      <c r="A2519" t="str">
        <f t="shared" ca="1" si="883"/>
        <v/>
      </c>
      <c r="B2519">
        <f t="shared" si="884"/>
        <v>62</v>
      </c>
      <c r="C2519">
        <f t="shared" ca="1" si="870"/>
        <v>59</v>
      </c>
      <c r="D2519" t="str">
        <f t="shared" si="885"/>
        <v>K62</v>
      </c>
      <c r="E2519" t="str">
        <f t="shared" ca="1" si="886"/>
        <v/>
      </c>
      <c r="F2519" t="str">
        <f t="shared" ca="1" si="887"/>
        <v xml:space="preserve">Enter a 'New Construction/ Rehab APR' for  building 59 in cell K62.
</v>
      </c>
      <c r="G2519" s="9" t="str">
        <f t="shared" ca="1" si="868"/>
        <v xml:space="preserve">Enter a value for 'Number of Floors in the Tallest Building' in cell B58.
</v>
      </c>
      <c r="H2519" s="52" t="str">
        <f t="shared" ca="1" si="888"/>
        <v>New Construction/ Rehab APR</v>
      </c>
      <c r="I2519" s="52">
        <v>11</v>
      </c>
    </row>
    <row r="2520" spans="1:10" ht="15" customHeight="1">
      <c r="A2520" t="str">
        <f t="shared" ca="1" si="883"/>
        <v/>
      </c>
      <c r="B2520">
        <f t="shared" si="884"/>
        <v>62</v>
      </c>
      <c r="C2520">
        <f t="shared" ca="1" si="870"/>
        <v>59</v>
      </c>
      <c r="D2520" t="str">
        <f t="shared" si="885"/>
        <v>L62</v>
      </c>
      <c r="E2520" t="str">
        <f t="shared" ca="1" si="886"/>
        <v/>
      </c>
      <c r="F2520" t="str">
        <f t="shared" ca="1" si="887"/>
        <v xml:space="preserve">Enter a 'New Construction Eligible Basis' for  building 59 in cell L62.
</v>
      </c>
      <c r="G2520" s="9" t="str">
        <f t="shared" ca="1" si="868"/>
        <v xml:space="preserve">Enter a value for 'Number of Floors in the Tallest Building' in cell B58.
</v>
      </c>
      <c r="H2520" s="52" t="str">
        <f t="shared" ca="1" si="888"/>
        <v>New Construction Eligible Basis</v>
      </c>
      <c r="I2520" s="52">
        <v>12</v>
      </c>
    </row>
    <row r="2521" spans="1:10" ht="15" customHeight="1">
      <c r="A2521" t="str">
        <f ca="1">IF(AND(OFFSET(A2521, -I2521 + 2, 4) &gt;  0, E2521="", Calculations!$B$7), F2521, "")</f>
        <v/>
      </c>
      <c r="B2521">
        <f t="shared" si="884"/>
        <v>62</v>
      </c>
      <c r="C2521">
        <f t="shared" ca="1" si="870"/>
        <v>59</v>
      </c>
      <c r="D2521" t="str">
        <f t="shared" si="885"/>
        <v>M62</v>
      </c>
      <c r="E2521" t="str">
        <f t="shared" ca="1" si="886"/>
        <v/>
      </c>
      <c r="F2521" t="str">
        <f t="shared" ca="1" si="887"/>
        <v xml:space="preserve">Enter a 'Eligible Basis for Rehab' for  building 59 in cell M62.
</v>
      </c>
      <c r="G2521" s="9" t="str">
        <f t="shared" ca="1" si="868"/>
        <v xml:space="preserve">Enter a value for 'Number of Floors in the Tallest Building' in cell B58.
</v>
      </c>
      <c r="H2521" s="52" t="str">
        <f t="shared" ca="1" si="888"/>
        <v>Eligible Basis for Rehab</v>
      </c>
      <c r="I2521" s="52">
        <v>13</v>
      </c>
    </row>
    <row r="2522" spans="1:10" ht="15" customHeight="1">
      <c r="A2522" t="str">
        <f ca="1">IF(AND(OFFSET(A2522, -I2522 + 2, 4) &gt;  0, E2522="", Calculations!$B$7), F2522, "")</f>
        <v/>
      </c>
      <c r="B2522">
        <f t="shared" si="884"/>
        <v>62</v>
      </c>
      <c r="C2522">
        <f t="shared" ca="1" si="870"/>
        <v>59</v>
      </c>
      <c r="D2522" t="str">
        <f t="shared" si="885"/>
        <v>N62</v>
      </c>
      <c r="E2522" t="str">
        <f t="shared" ca="1" si="886"/>
        <v/>
      </c>
      <c r="F2522" t="str">
        <f t="shared" ca="1" si="887"/>
        <v xml:space="preserve">Enter a 'Cost of Acquiring the Building***' for  building 59 in cell N62.
</v>
      </c>
      <c r="G2522" s="9" t="str">
        <f t="shared" ca="1" si="868"/>
        <v xml:space="preserve">Enter a value for 'Number of Floors in the Tallest Building' in cell B58.
</v>
      </c>
      <c r="H2522" s="52" t="str">
        <f t="shared" ca="1" si="888"/>
        <v>Cost of Acquiring the Building***</v>
      </c>
      <c r="I2522" s="52">
        <v>14</v>
      </c>
    </row>
    <row r="2523" spans="1:10" ht="15" customHeight="1">
      <c r="A2523" t="str">
        <f ca="1">IF(AND(OFFSET(A2523, -I2523 + 2, 4) &gt;  0, E2523="", Calculations!$B$7), F2523, "")</f>
        <v/>
      </c>
      <c r="B2523">
        <f t="shared" si="884"/>
        <v>62</v>
      </c>
      <c r="C2523">
        <f t="shared" ca="1" si="870"/>
        <v>59</v>
      </c>
      <c r="D2523" t="str">
        <f t="shared" si="885"/>
        <v>O62</v>
      </c>
      <c r="E2523" t="str">
        <f t="shared" ca="1" si="886"/>
        <v/>
      </c>
      <c r="F2523" t="str">
        <f t="shared" ca="1" si="887"/>
        <v xml:space="preserve">Enter a 'Higher of Land Purchase Price or Land Appraised Value****' for  building 59 in cell O62.
</v>
      </c>
      <c r="G2523" s="9" t="str">
        <f t="shared" ca="1" si="868"/>
        <v xml:space="preserve">Enter a value for 'Number of Floors in the Tallest Building' in cell B58.
</v>
      </c>
      <c r="H2523" s="52" t="str">
        <f t="shared" ca="1" si="888"/>
        <v>Higher of Land Purchase Price or Land Appraised Value****</v>
      </c>
      <c r="I2523" s="52">
        <v>15</v>
      </c>
    </row>
    <row r="2524" spans="1:10" ht="15" customHeight="1">
      <c r="A2524" t="str">
        <f ca="1">IF(AND(OFFSET(A2524, -I2524 + 2, 4) &gt;  0, E2524="", Calculations!$B$7), F2524, "")</f>
        <v/>
      </c>
      <c r="B2524">
        <f t="shared" si="884"/>
        <v>62</v>
      </c>
      <c r="C2524">
        <f t="shared" ca="1" si="870"/>
        <v>59</v>
      </c>
      <c r="D2524" t="str">
        <f t="shared" si="885"/>
        <v>P62</v>
      </c>
      <c r="E2524" t="str">
        <f t="shared" ca="1" si="886"/>
        <v/>
      </c>
      <c r="F2524" t="str">
        <f t="shared" ca="1" si="887"/>
        <v xml:space="preserve">Enter a 'Acquisition Placed-in-Service Date' for  building 59 in cell P62.
</v>
      </c>
      <c r="G2524" s="9" t="str">
        <f t="shared" ca="1" si="868"/>
        <v xml:space="preserve">Enter a value for 'Number of Floors in the Tallest Building' in cell B58.
</v>
      </c>
      <c r="H2524" s="52" t="str">
        <f t="shared" ca="1" si="888"/>
        <v>Acquisition Placed-in-Service Date</v>
      </c>
      <c r="I2524" s="52">
        <v>16</v>
      </c>
    </row>
    <row r="2525" spans="1:10" ht="15" customHeight="1">
      <c r="A2525" t="str">
        <f ca="1">IF(AND(OFFSET(A2525, -I2525 + 2, 4) &gt;  0, E2525="", Calculations!$B$7), F2525, "")</f>
        <v/>
      </c>
      <c r="B2525">
        <f t="shared" si="884"/>
        <v>62</v>
      </c>
      <c r="C2525">
        <f t="shared" ca="1" si="870"/>
        <v>59</v>
      </c>
      <c r="D2525" t="str">
        <f t="shared" si="885"/>
        <v>Q62</v>
      </c>
      <c r="E2525" t="str">
        <f t="shared" ca="1" si="886"/>
        <v/>
      </c>
      <c r="F2525" t="str">
        <f t="shared" ca="1" si="887"/>
        <v xml:space="preserve">Enter a 'Acquisition APR' for  building 59 in cell Q62.
</v>
      </c>
      <c r="G2525" s="9" t="str">
        <f t="shared" ca="1" si="868"/>
        <v xml:space="preserve">Enter a value for 'Number of Floors in the Tallest Building' in cell B58.
</v>
      </c>
      <c r="H2525" s="52" t="str">
        <f t="shared" ca="1" si="888"/>
        <v>Acquisition APR</v>
      </c>
      <c r="I2525" s="52">
        <v>17</v>
      </c>
    </row>
    <row r="2526" spans="1:10" ht="15" customHeight="1">
      <c r="A2526" t="str">
        <f ca="1">IF(AND(Calculations!$B$4,Calculations!$B$28&gt;=C2526, E2526 &lt;&gt; 13),F2526,"")</f>
        <v/>
      </c>
      <c r="B2526">
        <f>ROW('Final Building Profile'!C63)</f>
        <v>63</v>
      </c>
      <c r="C2526">
        <f t="shared" ca="1" si="870"/>
        <v>60</v>
      </c>
      <c r="D2526" t="str">
        <f>ADDRESS(B2526, 3,4  )</f>
        <v>C63</v>
      </c>
      <c r="E2526" s="52">
        <f ca="1">H2526+I2526</f>
        <v>0</v>
      </c>
      <c r="F2526" t="str">
        <f ca="1">CONCATENATE("Based upon the number of buildings specified, information for  building ", C2526, " required for a final application in row ", B2526, ".", CHAR(10))</f>
        <v xml:space="preserve">Based upon the number of buildings specified, information for  building 60 required for a final application in row 63.
</v>
      </c>
      <c r="G2526" s="9" t="str">
        <f t="shared" ca="1" si="868"/>
        <v xml:space="preserve">Enter a value for 'Number of Floors in the Tallest Building' in cell B58.
</v>
      </c>
      <c r="H2526" s="52">
        <f ca="1">SUMPRODUCT(--ISTEXT(INDIRECT(J2526)))</f>
        <v>0</v>
      </c>
      <c r="I2526" s="52">
        <f ca="1">SUMPRODUCT(--ISNUMBER(INDIRECT(J2526)))</f>
        <v>0</v>
      </c>
      <c r="J2526" s="52" t="str">
        <f>$F$1564&amp; ADDRESS(B2526,3,4) &amp; ":" &amp; ADDRESS(B2526,15,4)</f>
        <v>'Final Building Profile'!C63:O63</v>
      </c>
    </row>
    <row r="2527" spans="1:10" ht="15" customHeight="1">
      <c r="A2527" t="str">
        <f t="shared" ref="A2527:A2536" ca="1" si="889">IF(AND(OFFSET(A2527, -I2527 + 2, 4) &gt;  0, E2527=""), F2527, "")</f>
        <v/>
      </c>
      <c r="B2527">
        <f t="shared" ref="B2527:B2541" si="890">B2526</f>
        <v>63</v>
      </c>
      <c r="C2527">
        <f t="shared" ca="1" si="870"/>
        <v>60</v>
      </c>
      <c r="D2527" t="str">
        <f t="shared" ref="D2527:D2541" si="891">ADDRESS(B2527, I2527,4  )</f>
        <v>C63</v>
      </c>
      <c r="E2527" t="str">
        <f t="shared" ref="E2527:E2541" ca="1" si="892">IF(ISBLANK( INDIRECT($F$1564 &amp; D2527)),"", INDIRECT($F$1564 &amp; D2527))</f>
        <v/>
      </c>
      <c r="F2527" t="str">
        <f t="shared" ref="F2527:F2541" ca="1" si="893">CONCATENATE("Enter a '"&amp; H2527 &amp;"' for  building ", C2527, " in cell ", D2527, ".", CHAR(10))</f>
        <v xml:space="preserve">Enter a 'Building Street Address Only 
(DO NOT ENTER CITY, STATE, OR ZIP)' for  building 60 in cell C63.
</v>
      </c>
      <c r="G2527" s="9" t="str">
        <f t="shared" ref="G2527:G2590" ca="1" si="894">OFFSET(G2527, -1, 0) &amp; A2527</f>
        <v xml:space="preserve">Enter a value for 'Number of Floors in the Tallest Building' in cell B58.
</v>
      </c>
      <c r="H2527" s="52" t="str">
        <f t="shared" ref="H2527:H2541" ca="1" si="895">OFFSET(INDIRECT($F$1564 &amp; D2527), -B2527 + 3, 0)</f>
        <v>Building Street Address Only 
(DO NOT ENTER CITY, STATE, OR ZIP)</v>
      </c>
      <c r="I2527" s="52">
        <v>3</v>
      </c>
    </row>
    <row r="2528" spans="1:10" ht="15" customHeight="1">
      <c r="A2528" t="str">
        <f t="shared" ca="1" si="889"/>
        <v/>
      </c>
      <c r="B2528">
        <f t="shared" si="890"/>
        <v>63</v>
      </c>
      <c r="C2528">
        <f t="shared" ca="1" si="870"/>
        <v>60</v>
      </c>
      <c r="D2528" t="str">
        <f t="shared" si="891"/>
        <v>D63</v>
      </c>
      <c r="E2528" t="str">
        <f t="shared" ca="1" si="892"/>
        <v/>
      </c>
      <c r="F2528" t="str">
        <f t="shared" ca="1" si="893"/>
        <v xml:space="preserve">Enter a 'Total Units in Building*' for  building 60 in cell D63.
</v>
      </c>
      <c r="G2528" s="9" t="str">
        <f t="shared" ca="1" si="894"/>
        <v xml:space="preserve">Enter a value for 'Number of Floors in the Tallest Building' in cell B58.
</v>
      </c>
      <c r="H2528" s="52" t="str">
        <f t="shared" ca="1" si="895"/>
        <v>Total Units in Building*</v>
      </c>
      <c r="I2528" s="52">
        <v>4</v>
      </c>
    </row>
    <row r="2529" spans="1:10" ht="15" customHeight="1">
      <c r="A2529" t="str">
        <f t="shared" ca="1" si="889"/>
        <v/>
      </c>
      <c r="B2529">
        <f t="shared" si="890"/>
        <v>63</v>
      </c>
      <c r="C2529">
        <f t="shared" ca="1" si="870"/>
        <v>60</v>
      </c>
      <c r="D2529" t="str">
        <f t="shared" si="891"/>
        <v>E63</v>
      </c>
      <c r="E2529" t="str">
        <f t="shared" ca="1" si="892"/>
        <v/>
      </c>
      <c r="F2529" t="str">
        <f t="shared" ca="1" si="893"/>
        <v xml:space="preserve">Enter a 'Employee Units' for  building 60 in cell E63.
</v>
      </c>
      <c r="G2529" s="9" t="str">
        <f t="shared" ca="1" si="894"/>
        <v xml:space="preserve">Enter a value for 'Number of Floors in the Tallest Building' in cell B58.
</v>
      </c>
      <c r="H2529" s="52" t="str">
        <f t="shared" ca="1" si="895"/>
        <v>Employee Units</v>
      </c>
      <c r="I2529" s="52">
        <v>5</v>
      </c>
    </row>
    <row r="2530" spans="1:10" ht="15" customHeight="1">
      <c r="A2530" t="str">
        <f t="shared" ca="1" si="889"/>
        <v/>
      </c>
      <c r="B2530">
        <f t="shared" si="890"/>
        <v>63</v>
      </c>
      <c r="C2530">
        <f t="shared" ca="1" si="870"/>
        <v>60</v>
      </c>
      <c r="D2530" t="str">
        <f t="shared" si="891"/>
        <v>F63</v>
      </c>
      <c r="E2530" t="str">
        <f t="shared" ca="1" si="892"/>
        <v/>
      </c>
      <c r="F2530" t="str">
        <f t="shared" ca="1" si="893"/>
        <v xml:space="preserve">Enter a 'Low-Income Units' for  building 60 in cell F63.
</v>
      </c>
      <c r="G2530" s="9" t="str">
        <f t="shared" ca="1" si="894"/>
        <v xml:space="preserve">Enter a value for 'Number of Floors in the Tallest Building' in cell B58.
</v>
      </c>
      <c r="H2530" s="52" t="str">
        <f t="shared" ca="1" si="895"/>
        <v>Low-Income Units</v>
      </c>
      <c r="I2530" s="52">
        <v>6</v>
      </c>
    </row>
    <row r="2531" spans="1:10" ht="15" customHeight="1">
      <c r="A2531" t="str">
        <f t="shared" ca="1" si="889"/>
        <v/>
      </c>
      <c r="B2531">
        <f t="shared" si="890"/>
        <v>63</v>
      </c>
      <c r="C2531">
        <f t="shared" ca="1" si="870"/>
        <v>60</v>
      </c>
      <c r="D2531" t="str">
        <f t="shared" si="891"/>
        <v>G63</v>
      </c>
      <c r="E2531" t="str">
        <f t="shared" ca="1" si="892"/>
        <v/>
      </c>
      <c r="F2531" t="str">
        <f t="shared" ca="1" si="893"/>
        <v xml:space="preserve">Enter a 'Residential Square Footage**' for  building 60 in cell G63.
</v>
      </c>
      <c r="G2531" s="9" t="str">
        <f t="shared" ca="1" si="894"/>
        <v xml:space="preserve">Enter a value for 'Number of Floors in the Tallest Building' in cell B58.
</v>
      </c>
      <c r="H2531" s="52" t="str">
        <f t="shared" ca="1" si="895"/>
        <v>Residential Square Footage**</v>
      </c>
      <c r="I2531" s="52">
        <v>7</v>
      </c>
    </row>
    <row r="2532" spans="1:10" ht="15" customHeight="1">
      <c r="A2532" t="str">
        <f t="shared" ca="1" si="889"/>
        <v/>
      </c>
      <c r="B2532">
        <f t="shared" si="890"/>
        <v>63</v>
      </c>
      <c r="C2532">
        <f t="shared" ca="1" si="870"/>
        <v>60</v>
      </c>
      <c r="D2532" t="str">
        <f t="shared" si="891"/>
        <v>H63</v>
      </c>
      <c r="E2532" t="str">
        <f t="shared" ca="1" si="892"/>
        <v/>
      </c>
      <c r="F2532" t="str">
        <f t="shared" ca="1" si="893"/>
        <v xml:space="preserve">Enter a 'Square Footage of Employee Units' for  building 60 in cell H63.
</v>
      </c>
      <c r="G2532" s="9" t="str">
        <f t="shared" ca="1" si="894"/>
        <v xml:space="preserve">Enter a value for 'Number of Floors in the Tallest Building' in cell B58.
</v>
      </c>
      <c r="H2532" s="52" t="str">
        <f t="shared" ca="1" si="895"/>
        <v>Square Footage of Employee Units</v>
      </c>
      <c r="I2532" s="52">
        <v>8</v>
      </c>
    </row>
    <row r="2533" spans="1:10" ht="15" customHeight="1">
      <c r="A2533" t="str">
        <f t="shared" ca="1" si="889"/>
        <v/>
      </c>
      <c r="B2533">
        <f t="shared" si="890"/>
        <v>63</v>
      </c>
      <c r="C2533">
        <f t="shared" ca="1" si="870"/>
        <v>60</v>
      </c>
      <c r="D2533" t="str">
        <f t="shared" si="891"/>
        <v>I63</v>
      </c>
      <c r="E2533" t="str">
        <f t="shared" ca="1" si="892"/>
        <v/>
      </c>
      <c r="F2533" t="str">
        <f t="shared" ca="1" si="893"/>
        <v xml:space="preserve">Enter a 'Square Footage of Low-Income Units' for  building 60 in cell I63.
</v>
      </c>
      <c r="G2533" s="9" t="str">
        <f t="shared" ca="1" si="894"/>
        <v xml:space="preserve">Enter a value for 'Number of Floors in the Tallest Building' in cell B58.
</v>
      </c>
      <c r="H2533" s="52" t="str">
        <f t="shared" ca="1" si="895"/>
        <v>Square Footage of Low-Income Units</v>
      </c>
      <c r="I2533" s="52">
        <v>9</v>
      </c>
    </row>
    <row r="2534" spans="1:10" ht="15" customHeight="1">
      <c r="A2534" t="str">
        <f t="shared" ca="1" si="889"/>
        <v/>
      </c>
      <c r="B2534">
        <f t="shared" si="890"/>
        <v>63</v>
      </c>
      <c r="C2534">
        <f t="shared" ca="1" si="870"/>
        <v>60</v>
      </c>
      <c r="D2534" t="str">
        <f t="shared" si="891"/>
        <v>J63</v>
      </c>
      <c r="E2534" t="str">
        <f t="shared" ca="1" si="892"/>
        <v/>
      </c>
      <c r="F2534" t="str">
        <f t="shared" ca="1" si="893"/>
        <v xml:space="preserve">Enter a 'Placed-In-Service Date' for  building 60 in cell J63.
</v>
      </c>
      <c r="G2534" s="9" t="str">
        <f t="shared" ca="1" si="894"/>
        <v xml:space="preserve">Enter a value for 'Number of Floors in the Tallest Building' in cell B58.
</v>
      </c>
      <c r="H2534" s="52" t="str">
        <f t="shared" ca="1" si="895"/>
        <v>Placed-In-Service Date</v>
      </c>
      <c r="I2534" s="52">
        <v>10</v>
      </c>
    </row>
    <row r="2535" spans="1:10" ht="15" customHeight="1">
      <c r="A2535" t="str">
        <f t="shared" ca="1" si="889"/>
        <v/>
      </c>
      <c r="B2535">
        <f t="shared" si="890"/>
        <v>63</v>
      </c>
      <c r="C2535">
        <f t="shared" ca="1" si="870"/>
        <v>60</v>
      </c>
      <c r="D2535" t="str">
        <f t="shared" si="891"/>
        <v>K63</v>
      </c>
      <c r="E2535" t="str">
        <f t="shared" ca="1" si="892"/>
        <v/>
      </c>
      <c r="F2535" t="str">
        <f t="shared" ca="1" si="893"/>
        <v xml:space="preserve">Enter a 'New Construction/ Rehab APR' for  building 60 in cell K63.
</v>
      </c>
      <c r="G2535" s="9" t="str">
        <f t="shared" ca="1" si="894"/>
        <v xml:space="preserve">Enter a value for 'Number of Floors in the Tallest Building' in cell B58.
</v>
      </c>
      <c r="H2535" s="52" t="str">
        <f t="shared" ca="1" si="895"/>
        <v>New Construction/ Rehab APR</v>
      </c>
      <c r="I2535" s="52">
        <v>11</v>
      </c>
    </row>
    <row r="2536" spans="1:10" ht="15" customHeight="1">
      <c r="A2536" t="str">
        <f t="shared" ca="1" si="889"/>
        <v/>
      </c>
      <c r="B2536">
        <f t="shared" si="890"/>
        <v>63</v>
      </c>
      <c r="C2536">
        <f t="shared" ca="1" si="870"/>
        <v>60</v>
      </c>
      <c r="D2536" t="str">
        <f t="shared" si="891"/>
        <v>L63</v>
      </c>
      <c r="E2536" t="str">
        <f t="shared" ca="1" si="892"/>
        <v/>
      </c>
      <c r="F2536" t="str">
        <f t="shared" ca="1" si="893"/>
        <v xml:space="preserve">Enter a 'New Construction Eligible Basis' for  building 60 in cell L63.
</v>
      </c>
      <c r="G2536" s="9" t="str">
        <f t="shared" ca="1" si="894"/>
        <v xml:space="preserve">Enter a value for 'Number of Floors in the Tallest Building' in cell B58.
</v>
      </c>
      <c r="H2536" s="52" t="str">
        <f t="shared" ca="1" si="895"/>
        <v>New Construction Eligible Basis</v>
      </c>
      <c r="I2536" s="52">
        <v>12</v>
      </c>
    </row>
    <row r="2537" spans="1:10" ht="15" customHeight="1">
      <c r="A2537" t="str">
        <f ca="1">IF(AND(OFFSET(A2537, -I2537 + 2, 4) &gt;  0, E2537="", Calculations!$B$7), F2537, "")</f>
        <v/>
      </c>
      <c r="B2537">
        <f t="shared" si="890"/>
        <v>63</v>
      </c>
      <c r="C2537">
        <f t="shared" ca="1" si="870"/>
        <v>60</v>
      </c>
      <c r="D2537" t="str">
        <f t="shared" si="891"/>
        <v>M63</v>
      </c>
      <c r="E2537" t="str">
        <f t="shared" ca="1" si="892"/>
        <v/>
      </c>
      <c r="F2537" t="str">
        <f t="shared" ca="1" si="893"/>
        <v xml:space="preserve">Enter a 'Eligible Basis for Rehab' for  building 60 in cell M63.
</v>
      </c>
      <c r="G2537" s="9" t="str">
        <f t="shared" ca="1" si="894"/>
        <v xml:space="preserve">Enter a value for 'Number of Floors in the Tallest Building' in cell B58.
</v>
      </c>
      <c r="H2537" s="52" t="str">
        <f t="shared" ca="1" si="895"/>
        <v>Eligible Basis for Rehab</v>
      </c>
      <c r="I2537" s="52">
        <v>13</v>
      </c>
    </row>
    <row r="2538" spans="1:10" ht="15" customHeight="1">
      <c r="A2538" t="str">
        <f ca="1">IF(AND(OFFSET(A2538, -I2538 + 2, 4) &gt;  0, E2538="", Calculations!$B$7), F2538, "")</f>
        <v/>
      </c>
      <c r="B2538">
        <f t="shared" si="890"/>
        <v>63</v>
      </c>
      <c r="C2538">
        <f t="shared" ca="1" si="870"/>
        <v>60</v>
      </c>
      <c r="D2538" t="str">
        <f t="shared" si="891"/>
        <v>N63</v>
      </c>
      <c r="E2538" t="str">
        <f t="shared" ca="1" si="892"/>
        <v/>
      </c>
      <c r="F2538" t="str">
        <f t="shared" ca="1" si="893"/>
        <v xml:space="preserve">Enter a 'Cost of Acquiring the Building***' for  building 60 in cell N63.
</v>
      </c>
      <c r="G2538" s="9" t="str">
        <f t="shared" ca="1" si="894"/>
        <v xml:space="preserve">Enter a value for 'Number of Floors in the Tallest Building' in cell B58.
</v>
      </c>
      <c r="H2538" s="52" t="str">
        <f t="shared" ca="1" si="895"/>
        <v>Cost of Acquiring the Building***</v>
      </c>
      <c r="I2538" s="52">
        <v>14</v>
      </c>
    </row>
    <row r="2539" spans="1:10" ht="15" customHeight="1">
      <c r="A2539" t="str">
        <f ca="1">IF(AND(OFFSET(A2539, -I2539 + 2, 4) &gt;  0, E2539="", Calculations!$B$7), F2539, "")</f>
        <v/>
      </c>
      <c r="B2539">
        <f t="shared" si="890"/>
        <v>63</v>
      </c>
      <c r="C2539">
        <f t="shared" ca="1" si="870"/>
        <v>60</v>
      </c>
      <c r="D2539" t="str">
        <f t="shared" si="891"/>
        <v>O63</v>
      </c>
      <c r="E2539" t="str">
        <f t="shared" ca="1" si="892"/>
        <v/>
      </c>
      <c r="F2539" t="str">
        <f t="shared" ca="1" si="893"/>
        <v xml:space="preserve">Enter a 'Higher of Land Purchase Price or Land Appraised Value****' for  building 60 in cell O63.
</v>
      </c>
      <c r="G2539" s="9" t="str">
        <f t="shared" ca="1" si="894"/>
        <v xml:space="preserve">Enter a value for 'Number of Floors in the Tallest Building' in cell B58.
</v>
      </c>
      <c r="H2539" s="52" t="str">
        <f t="shared" ca="1" si="895"/>
        <v>Higher of Land Purchase Price or Land Appraised Value****</v>
      </c>
      <c r="I2539" s="52">
        <v>15</v>
      </c>
    </row>
    <row r="2540" spans="1:10" ht="15" customHeight="1">
      <c r="A2540" t="str">
        <f ca="1">IF(AND(OFFSET(A2540, -I2540 + 2, 4) &gt;  0, E2540="", Calculations!$B$7), F2540, "")</f>
        <v/>
      </c>
      <c r="B2540">
        <f t="shared" si="890"/>
        <v>63</v>
      </c>
      <c r="C2540">
        <f t="shared" ca="1" si="870"/>
        <v>60</v>
      </c>
      <c r="D2540" t="str">
        <f t="shared" si="891"/>
        <v>P63</v>
      </c>
      <c r="E2540" t="str">
        <f t="shared" ca="1" si="892"/>
        <v/>
      </c>
      <c r="F2540" t="str">
        <f t="shared" ca="1" si="893"/>
        <v xml:space="preserve">Enter a 'Acquisition Placed-in-Service Date' for  building 60 in cell P63.
</v>
      </c>
      <c r="G2540" s="9" t="str">
        <f t="shared" ca="1" si="894"/>
        <v xml:space="preserve">Enter a value for 'Number of Floors in the Tallest Building' in cell B58.
</v>
      </c>
      <c r="H2540" s="52" t="str">
        <f t="shared" ca="1" si="895"/>
        <v>Acquisition Placed-in-Service Date</v>
      </c>
      <c r="I2540" s="52">
        <v>16</v>
      </c>
    </row>
    <row r="2541" spans="1:10" ht="15" customHeight="1">
      <c r="A2541" t="str">
        <f ca="1">IF(AND(OFFSET(A2541, -I2541 + 2, 4) &gt;  0, E2541="", Calculations!$B$7), F2541, "")</f>
        <v/>
      </c>
      <c r="B2541">
        <f t="shared" si="890"/>
        <v>63</v>
      </c>
      <c r="C2541">
        <f t="shared" ca="1" si="870"/>
        <v>60</v>
      </c>
      <c r="D2541" t="str">
        <f t="shared" si="891"/>
        <v>Q63</v>
      </c>
      <c r="E2541" t="str">
        <f t="shared" ca="1" si="892"/>
        <v/>
      </c>
      <c r="F2541" t="str">
        <f t="shared" ca="1" si="893"/>
        <v xml:space="preserve">Enter a 'Acquisition APR' for  building 60 in cell Q63.
</v>
      </c>
      <c r="G2541" s="9" t="str">
        <f t="shared" ca="1" si="894"/>
        <v xml:space="preserve">Enter a value for 'Number of Floors in the Tallest Building' in cell B58.
</v>
      </c>
      <c r="H2541" s="52" t="str">
        <f t="shared" ca="1" si="895"/>
        <v>Acquisition APR</v>
      </c>
      <c r="I2541" s="52">
        <v>17</v>
      </c>
    </row>
    <row r="2542" spans="1:10" ht="15" customHeight="1">
      <c r="A2542" t="str">
        <f ca="1">IF(AND(Calculations!$B$4,Calculations!$B$28&gt;=C2542, E2542 &lt;&gt; 13),F2542,"")</f>
        <v/>
      </c>
      <c r="B2542">
        <f>ROW('Final Building Profile'!C64)</f>
        <v>64</v>
      </c>
      <c r="C2542">
        <f t="shared" ref="C2542:C2605" ca="1" si="896">INDIRECT($F$1564 &amp; ADDRESS(B2542, 1,4  ))</f>
        <v>61</v>
      </c>
      <c r="D2542" t="str">
        <f>ADDRESS(B2542, 3,4  )</f>
        <v>C64</v>
      </c>
      <c r="E2542" s="52">
        <f ca="1">H2542+I2542</f>
        <v>0</v>
      </c>
      <c r="F2542" t="str">
        <f ca="1">CONCATENATE("Based upon the number of buildings specified, information for  building ", C2542, " required for a final application in row ", B2542, ".", CHAR(10))</f>
        <v xml:space="preserve">Based upon the number of buildings specified, information for  building 61 required for a final application in row 64.
</v>
      </c>
      <c r="G2542" s="9" t="str">
        <f t="shared" ca="1" si="894"/>
        <v xml:space="preserve">Enter a value for 'Number of Floors in the Tallest Building' in cell B58.
</v>
      </c>
      <c r="H2542" s="52">
        <f ca="1">SUMPRODUCT(--ISTEXT(INDIRECT(J2542)))</f>
        <v>0</v>
      </c>
      <c r="I2542" s="52">
        <f ca="1">SUMPRODUCT(--ISNUMBER(INDIRECT(J2542)))</f>
        <v>0</v>
      </c>
      <c r="J2542" s="52" t="str">
        <f>$F$1564&amp; ADDRESS(B2542,3,4) &amp; ":" &amp; ADDRESS(B2542,15,4)</f>
        <v>'Final Building Profile'!C64:O64</v>
      </c>
    </row>
    <row r="2543" spans="1:10" ht="15" customHeight="1">
      <c r="A2543" t="str">
        <f t="shared" ref="A2543:A2552" ca="1" si="897">IF(AND(OFFSET(A2543, -I2543 + 2, 4) &gt;  0, E2543=""), F2543, "")</f>
        <v/>
      </c>
      <c r="B2543">
        <f t="shared" ref="B2543:B2557" si="898">B2542</f>
        <v>64</v>
      </c>
      <c r="C2543">
        <f t="shared" ca="1" si="896"/>
        <v>61</v>
      </c>
      <c r="D2543" t="str">
        <f t="shared" ref="D2543:D2557" si="899">ADDRESS(B2543, I2543,4  )</f>
        <v>C64</v>
      </c>
      <c r="E2543" t="str">
        <f t="shared" ref="E2543:E2557" ca="1" si="900">IF(ISBLANK( INDIRECT($F$1564 &amp; D2543)),"", INDIRECT($F$1564 &amp; D2543))</f>
        <v/>
      </c>
      <c r="F2543" t="str">
        <f t="shared" ref="F2543:F2557" ca="1" si="901">CONCATENATE("Enter a '"&amp; H2543 &amp;"' for  building ", C2543, " in cell ", D2543, ".", CHAR(10))</f>
        <v xml:space="preserve">Enter a 'Building Street Address Only 
(DO NOT ENTER CITY, STATE, OR ZIP)' for  building 61 in cell C64.
</v>
      </c>
      <c r="G2543" s="9" t="str">
        <f t="shared" ca="1" si="894"/>
        <v xml:space="preserve">Enter a value for 'Number of Floors in the Tallest Building' in cell B58.
</v>
      </c>
      <c r="H2543" s="52" t="str">
        <f t="shared" ref="H2543:H2557" ca="1" si="902">OFFSET(INDIRECT($F$1564 &amp; D2543), -B2543 + 3, 0)</f>
        <v>Building Street Address Only 
(DO NOT ENTER CITY, STATE, OR ZIP)</v>
      </c>
      <c r="I2543" s="52">
        <v>3</v>
      </c>
    </row>
    <row r="2544" spans="1:10" ht="15" customHeight="1">
      <c r="A2544" t="str">
        <f t="shared" ca="1" si="897"/>
        <v/>
      </c>
      <c r="B2544">
        <f t="shared" si="898"/>
        <v>64</v>
      </c>
      <c r="C2544">
        <f t="shared" ca="1" si="896"/>
        <v>61</v>
      </c>
      <c r="D2544" t="str">
        <f t="shared" si="899"/>
        <v>D64</v>
      </c>
      <c r="E2544" t="str">
        <f t="shared" ca="1" si="900"/>
        <v/>
      </c>
      <c r="F2544" t="str">
        <f t="shared" ca="1" si="901"/>
        <v xml:space="preserve">Enter a 'Total Units in Building*' for  building 61 in cell D64.
</v>
      </c>
      <c r="G2544" s="9" t="str">
        <f t="shared" ca="1" si="894"/>
        <v xml:space="preserve">Enter a value for 'Number of Floors in the Tallest Building' in cell B58.
</v>
      </c>
      <c r="H2544" s="52" t="str">
        <f t="shared" ca="1" si="902"/>
        <v>Total Units in Building*</v>
      </c>
      <c r="I2544" s="52">
        <v>4</v>
      </c>
    </row>
    <row r="2545" spans="1:10" ht="15" customHeight="1">
      <c r="A2545" t="str">
        <f t="shared" ca="1" si="897"/>
        <v/>
      </c>
      <c r="B2545">
        <f t="shared" si="898"/>
        <v>64</v>
      </c>
      <c r="C2545">
        <f t="shared" ca="1" si="896"/>
        <v>61</v>
      </c>
      <c r="D2545" t="str">
        <f t="shared" si="899"/>
        <v>E64</v>
      </c>
      <c r="E2545" t="str">
        <f t="shared" ca="1" si="900"/>
        <v/>
      </c>
      <c r="F2545" t="str">
        <f t="shared" ca="1" si="901"/>
        <v xml:space="preserve">Enter a 'Employee Units' for  building 61 in cell E64.
</v>
      </c>
      <c r="G2545" s="9" t="str">
        <f t="shared" ca="1" si="894"/>
        <v xml:space="preserve">Enter a value for 'Number of Floors in the Tallest Building' in cell B58.
</v>
      </c>
      <c r="H2545" s="52" t="str">
        <f t="shared" ca="1" si="902"/>
        <v>Employee Units</v>
      </c>
      <c r="I2545" s="52">
        <v>5</v>
      </c>
    </row>
    <row r="2546" spans="1:10" ht="15" customHeight="1">
      <c r="A2546" t="str">
        <f t="shared" ca="1" si="897"/>
        <v/>
      </c>
      <c r="B2546">
        <f t="shared" si="898"/>
        <v>64</v>
      </c>
      <c r="C2546">
        <f t="shared" ca="1" si="896"/>
        <v>61</v>
      </c>
      <c r="D2546" t="str">
        <f t="shared" si="899"/>
        <v>F64</v>
      </c>
      <c r="E2546" t="str">
        <f t="shared" ca="1" si="900"/>
        <v/>
      </c>
      <c r="F2546" t="str">
        <f t="shared" ca="1" si="901"/>
        <v xml:space="preserve">Enter a 'Low-Income Units' for  building 61 in cell F64.
</v>
      </c>
      <c r="G2546" s="9" t="str">
        <f t="shared" ca="1" si="894"/>
        <v xml:space="preserve">Enter a value for 'Number of Floors in the Tallest Building' in cell B58.
</v>
      </c>
      <c r="H2546" s="52" t="str">
        <f t="shared" ca="1" si="902"/>
        <v>Low-Income Units</v>
      </c>
      <c r="I2546" s="52">
        <v>6</v>
      </c>
    </row>
    <row r="2547" spans="1:10" ht="15" customHeight="1">
      <c r="A2547" t="str">
        <f t="shared" ca="1" si="897"/>
        <v/>
      </c>
      <c r="B2547">
        <f t="shared" si="898"/>
        <v>64</v>
      </c>
      <c r="C2547">
        <f t="shared" ca="1" si="896"/>
        <v>61</v>
      </c>
      <c r="D2547" t="str">
        <f t="shared" si="899"/>
        <v>G64</v>
      </c>
      <c r="E2547" t="str">
        <f t="shared" ca="1" si="900"/>
        <v/>
      </c>
      <c r="F2547" t="str">
        <f t="shared" ca="1" si="901"/>
        <v xml:space="preserve">Enter a 'Residential Square Footage**' for  building 61 in cell G64.
</v>
      </c>
      <c r="G2547" s="9" t="str">
        <f t="shared" ca="1" si="894"/>
        <v xml:space="preserve">Enter a value for 'Number of Floors in the Tallest Building' in cell B58.
</v>
      </c>
      <c r="H2547" s="52" t="str">
        <f t="shared" ca="1" si="902"/>
        <v>Residential Square Footage**</v>
      </c>
      <c r="I2547" s="52">
        <v>7</v>
      </c>
    </row>
    <row r="2548" spans="1:10" ht="15" customHeight="1">
      <c r="A2548" t="str">
        <f t="shared" ca="1" si="897"/>
        <v/>
      </c>
      <c r="B2548">
        <f t="shared" si="898"/>
        <v>64</v>
      </c>
      <c r="C2548">
        <f t="shared" ca="1" si="896"/>
        <v>61</v>
      </c>
      <c r="D2548" t="str">
        <f t="shared" si="899"/>
        <v>H64</v>
      </c>
      <c r="E2548" t="str">
        <f t="shared" ca="1" si="900"/>
        <v/>
      </c>
      <c r="F2548" t="str">
        <f t="shared" ca="1" si="901"/>
        <v xml:space="preserve">Enter a 'Square Footage of Employee Units' for  building 61 in cell H64.
</v>
      </c>
      <c r="G2548" s="9" t="str">
        <f t="shared" ca="1" si="894"/>
        <v xml:space="preserve">Enter a value for 'Number of Floors in the Tallest Building' in cell B58.
</v>
      </c>
      <c r="H2548" s="52" t="str">
        <f t="shared" ca="1" si="902"/>
        <v>Square Footage of Employee Units</v>
      </c>
      <c r="I2548" s="52">
        <v>8</v>
      </c>
    </row>
    <row r="2549" spans="1:10" ht="15" customHeight="1">
      <c r="A2549" t="str">
        <f t="shared" ca="1" si="897"/>
        <v/>
      </c>
      <c r="B2549">
        <f t="shared" si="898"/>
        <v>64</v>
      </c>
      <c r="C2549">
        <f t="shared" ca="1" si="896"/>
        <v>61</v>
      </c>
      <c r="D2549" t="str">
        <f t="shared" si="899"/>
        <v>I64</v>
      </c>
      <c r="E2549" t="str">
        <f t="shared" ca="1" si="900"/>
        <v/>
      </c>
      <c r="F2549" t="str">
        <f t="shared" ca="1" si="901"/>
        <v xml:space="preserve">Enter a 'Square Footage of Low-Income Units' for  building 61 in cell I64.
</v>
      </c>
      <c r="G2549" s="9" t="str">
        <f t="shared" ca="1" si="894"/>
        <v xml:space="preserve">Enter a value for 'Number of Floors in the Tallest Building' in cell B58.
</v>
      </c>
      <c r="H2549" s="52" t="str">
        <f t="shared" ca="1" si="902"/>
        <v>Square Footage of Low-Income Units</v>
      </c>
      <c r="I2549" s="52">
        <v>9</v>
      </c>
    </row>
    <row r="2550" spans="1:10" ht="15" customHeight="1">
      <c r="A2550" t="str">
        <f t="shared" ca="1" si="897"/>
        <v/>
      </c>
      <c r="B2550">
        <f t="shared" si="898"/>
        <v>64</v>
      </c>
      <c r="C2550">
        <f t="shared" ca="1" si="896"/>
        <v>61</v>
      </c>
      <c r="D2550" t="str">
        <f t="shared" si="899"/>
        <v>J64</v>
      </c>
      <c r="E2550" t="str">
        <f t="shared" ca="1" si="900"/>
        <v/>
      </c>
      <c r="F2550" t="str">
        <f t="shared" ca="1" si="901"/>
        <v xml:space="preserve">Enter a 'Placed-In-Service Date' for  building 61 in cell J64.
</v>
      </c>
      <c r="G2550" s="9" t="str">
        <f t="shared" ca="1" si="894"/>
        <v xml:space="preserve">Enter a value for 'Number of Floors in the Tallest Building' in cell B58.
</v>
      </c>
      <c r="H2550" s="52" t="str">
        <f t="shared" ca="1" si="902"/>
        <v>Placed-In-Service Date</v>
      </c>
      <c r="I2550" s="52">
        <v>10</v>
      </c>
    </row>
    <row r="2551" spans="1:10" ht="15" customHeight="1">
      <c r="A2551" t="str">
        <f t="shared" ca="1" si="897"/>
        <v/>
      </c>
      <c r="B2551">
        <f t="shared" si="898"/>
        <v>64</v>
      </c>
      <c r="C2551">
        <f t="shared" ca="1" si="896"/>
        <v>61</v>
      </c>
      <c r="D2551" t="str">
        <f t="shared" si="899"/>
        <v>K64</v>
      </c>
      <c r="E2551" t="str">
        <f t="shared" ca="1" si="900"/>
        <v/>
      </c>
      <c r="F2551" t="str">
        <f t="shared" ca="1" si="901"/>
        <v xml:space="preserve">Enter a 'New Construction/ Rehab APR' for  building 61 in cell K64.
</v>
      </c>
      <c r="G2551" s="9" t="str">
        <f t="shared" ca="1" si="894"/>
        <v xml:space="preserve">Enter a value for 'Number of Floors in the Tallest Building' in cell B58.
</v>
      </c>
      <c r="H2551" s="52" t="str">
        <f t="shared" ca="1" si="902"/>
        <v>New Construction/ Rehab APR</v>
      </c>
      <c r="I2551" s="52">
        <v>11</v>
      </c>
    </row>
    <row r="2552" spans="1:10" ht="15" customHeight="1">
      <c r="A2552" t="str">
        <f t="shared" ca="1" si="897"/>
        <v/>
      </c>
      <c r="B2552">
        <f t="shared" si="898"/>
        <v>64</v>
      </c>
      <c r="C2552">
        <f t="shared" ca="1" si="896"/>
        <v>61</v>
      </c>
      <c r="D2552" t="str">
        <f t="shared" si="899"/>
        <v>L64</v>
      </c>
      <c r="E2552" t="str">
        <f t="shared" ca="1" si="900"/>
        <v/>
      </c>
      <c r="F2552" t="str">
        <f t="shared" ca="1" si="901"/>
        <v xml:space="preserve">Enter a 'New Construction Eligible Basis' for  building 61 in cell L64.
</v>
      </c>
      <c r="G2552" s="9" t="str">
        <f t="shared" ca="1" si="894"/>
        <v xml:space="preserve">Enter a value for 'Number of Floors in the Tallest Building' in cell B58.
</v>
      </c>
      <c r="H2552" s="52" t="str">
        <f t="shared" ca="1" si="902"/>
        <v>New Construction Eligible Basis</v>
      </c>
      <c r="I2552" s="52">
        <v>12</v>
      </c>
    </row>
    <row r="2553" spans="1:10" ht="15" customHeight="1">
      <c r="A2553" t="str">
        <f ca="1">IF(AND(OFFSET(A2553, -I2553 + 2, 4) &gt;  0, E2553="", Calculations!$B$7), F2553, "")</f>
        <v/>
      </c>
      <c r="B2553">
        <f t="shared" si="898"/>
        <v>64</v>
      </c>
      <c r="C2553">
        <f t="shared" ca="1" si="896"/>
        <v>61</v>
      </c>
      <c r="D2553" t="str">
        <f t="shared" si="899"/>
        <v>M64</v>
      </c>
      <c r="E2553" t="str">
        <f t="shared" ca="1" si="900"/>
        <v/>
      </c>
      <c r="F2553" t="str">
        <f t="shared" ca="1" si="901"/>
        <v xml:space="preserve">Enter a 'Eligible Basis for Rehab' for  building 61 in cell M64.
</v>
      </c>
      <c r="G2553" s="9" t="str">
        <f t="shared" ca="1" si="894"/>
        <v xml:space="preserve">Enter a value for 'Number of Floors in the Tallest Building' in cell B58.
</v>
      </c>
      <c r="H2553" s="52" t="str">
        <f t="shared" ca="1" si="902"/>
        <v>Eligible Basis for Rehab</v>
      </c>
      <c r="I2553" s="52">
        <v>13</v>
      </c>
    </row>
    <row r="2554" spans="1:10" ht="15" customHeight="1">
      <c r="A2554" t="str">
        <f ca="1">IF(AND(OFFSET(A2554, -I2554 + 2, 4) &gt;  0, E2554="", Calculations!$B$7), F2554, "")</f>
        <v/>
      </c>
      <c r="B2554">
        <f t="shared" si="898"/>
        <v>64</v>
      </c>
      <c r="C2554">
        <f t="shared" ca="1" si="896"/>
        <v>61</v>
      </c>
      <c r="D2554" t="str">
        <f t="shared" si="899"/>
        <v>N64</v>
      </c>
      <c r="E2554" t="str">
        <f t="shared" ca="1" si="900"/>
        <v/>
      </c>
      <c r="F2554" t="str">
        <f t="shared" ca="1" si="901"/>
        <v xml:space="preserve">Enter a 'Cost of Acquiring the Building***' for  building 61 in cell N64.
</v>
      </c>
      <c r="G2554" s="9" t="str">
        <f t="shared" ca="1" si="894"/>
        <v xml:space="preserve">Enter a value for 'Number of Floors in the Tallest Building' in cell B58.
</v>
      </c>
      <c r="H2554" s="52" t="str">
        <f t="shared" ca="1" si="902"/>
        <v>Cost of Acquiring the Building***</v>
      </c>
      <c r="I2554" s="52">
        <v>14</v>
      </c>
    </row>
    <row r="2555" spans="1:10" ht="15" customHeight="1">
      <c r="A2555" t="str">
        <f ca="1">IF(AND(OFFSET(A2555, -I2555 + 2, 4) &gt;  0, E2555="", Calculations!$B$7), F2555, "")</f>
        <v/>
      </c>
      <c r="B2555">
        <f t="shared" si="898"/>
        <v>64</v>
      </c>
      <c r="C2555">
        <f t="shared" ca="1" si="896"/>
        <v>61</v>
      </c>
      <c r="D2555" t="str">
        <f t="shared" si="899"/>
        <v>O64</v>
      </c>
      <c r="E2555" t="str">
        <f t="shared" ca="1" si="900"/>
        <v/>
      </c>
      <c r="F2555" t="str">
        <f t="shared" ca="1" si="901"/>
        <v xml:space="preserve">Enter a 'Higher of Land Purchase Price or Land Appraised Value****' for  building 61 in cell O64.
</v>
      </c>
      <c r="G2555" s="9" t="str">
        <f t="shared" ca="1" si="894"/>
        <v xml:space="preserve">Enter a value for 'Number of Floors in the Tallest Building' in cell B58.
</v>
      </c>
      <c r="H2555" s="52" t="str">
        <f t="shared" ca="1" si="902"/>
        <v>Higher of Land Purchase Price or Land Appraised Value****</v>
      </c>
      <c r="I2555" s="52">
        <v>15</v>
      </c>
    </row>
    <row r="2556" spans="1:10" ht="15" customHeight="1">
      <c r="A2556" t="str">
        <f ca="1">IF(AND(OFFSET(A2556, -I2556 + 2, 4) &gt;  0, E2556="", Calculations!$B$7), F2556, "")</f>
        <v/>
      </c>
      <c r="B2556">
        <f t="shared" si="898"/>
        <v>64</v>
      </c>
      <c r="C2556">
        <f t="shared" ca="1" si="896"/>
        <v>61</v>
      </c>
      <c r="D2556" t="str">
        <f t="shared" si="899"/>
        <v>P64</v>
      </c>
      <c r="E2556" t="str">
        <f t="shared" ca="1" si="900"/>
        <v/>
      </c>
      <c r="F2556" t="str">
        <f t="shared" ca="1" si="901"/>
        <v xml:space="preserve">Enter a 'Acquisition Placed-in-Service Date' for  building 61 in cell P64.
</v>
      </c>
      <c r="G2556" s="9" t="str">
        <f t="shared" ca="1" si="894"/>
        <v xml:space="preserve">Enter a value for 'Number of Floors in the Tallest Building' in cell B58.
</v>
      </c>
      <c r="H2556" s="52" t="str">
        <f t="shared" ca="1" si="902"/>
        <v>Acquisition Placed-in-Service Date</v>
      </c>
      <c r="I2556" s="52">
        <v>16</v>
      </c>
    </row>
    <row r="2557" spans="1:10" ht="15" customHeight="1">
      <c r="A2557" t="str">
        <f ca="1">IF(AND(OFFSET(A2557, -I2557 + 2, 4) &gt;  0, E2557="", Calculations!$B$7), F2557, "")</f>
        <v/>
      </c>
      <c r="B2557">
        <f t="shared" si="898"/>
        <v>64</v>
      </c>
      <c r="C2557">
        <f t="shared" ca="1" si="896"/>
        <v>61</v>
      </c>
      <c r="D2557" t="str">
        <f t="shared" si="899"/>
        <v>Q64</v>
      </c>
      <c r="E2557" t="str">
        <f t="shared" ca="1" si="900"/>
        <v/>
      </c>
      <c r="F2557" t="str">
        <f t="shared" ca="1" si="901"/>
        <v xml:space="preserve">Enter a 'Acquisition APR' for  building 61 in cell Q64.
</v>
      </c>
      <c r="G2557" s="9" t="str">
        <f t="shared" ca="1" si="894"/>
        <v xml:space="preserve">Enter a value for 'Number of Floors in the Tallest Building' in cell B58.
</v>
      </c>
      <c r="H2557" s="52" t="str">
        <f t="shared" ca="1" si="902"/>
        <v>Acquisition APR</v>
      </c>
      <c r="I2557" s="52">
        <v>17</v>
      </c>
    </row>
    <row r="2558" spans="1:10" ht="15" customHeight="1">
      <c r="A2558" t="str">
        <f ca="1">IF(AND(Calculations!$B$4,Calculations!$B$28&gt;=C2558, E2558 &lt;&gt; 13),F2558,"")</f>
        <v/>
      </c>
      <c r="B2558">
        <f>ROW('Final Building Profile'!C65)</f>
        <v>65</v>
      </c>
      <c r="C2558">
        <f t="shared" ca="1" si="896"/>
        <v>62</v>
      </c>
      <c r="D2558" t="str">
        <f>ADDRESS(B2558, 3,4  )</f>
        <v>C65</v>
      </c>
      <c r="E2558" s="52">
        <f ca="1">H2558+I2558</f>
        <v>0</v>
      </c>
      <c r="F2558" t="str">
        <f ca="1">CONCATENATE("Based upon the number of buildings specified, information for  building ", C2558, " required for a final application in row ", B2558, ".", CHAR(10))</f>
        <v xml:space="preserve">Based upon the number of buildings specified, information for  building 62 required for a final application in row 65.
</v>
      </c>
      <c r="G2558" s="9" t="str">
        <f t="shared" ca="1" si="894"/>
        <v xml:space="preserve">Enter a value for 'Number of Floors in the Tallest Building' in cell B58.
</v>
      </c>
      <c r="H2558" s="52">
        <f ca="1">SUMPRODUCT(--ISTEXT(INDIRECT(J2558)))</f>
        <v>0</v>
      </c>
      <c r="I2558" s="52">
        <f ca="1">SUMPRODUCT(--ISNUMBER(INDIRECT(J2558)))</f>
        <v>0</v>
      </c>
      <c r="J2558" s="52" t="str">
        <f>$F$1564&amp; ADDRESS(B2558,3,4) &amp; ":" &amp; ADDRESS(B2558,15,4)</f>
        <v>'Final Building Profile'!C65:O65</v>
      </c>
    </row>
    <row r="2559" spans="1:10" ht="15" customHeight="1">
      <c r="A2559" t="str">
        <f t="shared" ref="A2559:A2568" ca="1" si="903">IF(AND(OFFSET(A2559, -I2559 + 2, 4) &gt;  0, E2559=""), F2559, "")</f>
        <v/>
      </c>
      <c r="B2559">
        <f t="shared" ref="B2559:B2573" si="904">B2558</f>
        <v>65</v>
      </c>
      <c r="C2559">
        <f t="shared" ca="1" si="896"/>
        <v>62</v>
      </c>
      <c r="D2559" t="str">
        <f t="shared" ref="D2559:D2573" si="905">ADDRESS(B2559, I2559,4  )</f>
        <v>C65</v>
      </c>
      <c r="E2559" t="str">
        <f t="shared" ref="E2559:E2573" ca="1" si="906">IF(ISBLANK( INDIRECT($F$1564 &amp; D2559)),"", INDIRECT($F$1564 &amp; D2559))</f>
        <v/>
      </c>
      <c r="F2559" t="str">
        <f t="shared" ref="F2559:F2573" ca="1" si="907">CONCATENATE("Enter a '"&amp; H2559 &amp;"' for  building ", C2559, " in cell ", D2559, ".", CHAR(10))</f>
        <v xml:space="preserve">Enter a 'Building Street Address Only 
(DO NOT ENTER CITY, STATE, OR ZIP)' for  building 62 in cell C65.
</v>
      </c>
      <c r="G2559" s="9" t="str">
        <f t="shared" ca="1" si="894"/>
        <v xml:space="preserve">Enter a value for 'Number of Floors in the Tallest Building' in cell B58.
</v>
      </c>
      <c r="H2559" s="52" t="str">
        <f t="shared" ref="H2559:H2573" ca="1" si="908">OFFSET(INDIRECT($F$1564 &amp; D2559), -B2559 + 3, 0)</f>
        <v>Building Street Address Only 
(DO NOT ENTER CITY, STATE, OR ZIP)</v>
      </c>
      <c r="I2559" s="52">
        <v>3</v>
      </c>
    </row>
    <row r="2560" spans="1:10" ht="15" customHeight="1">
      <c r="A2560" t="str">
        <f t="shared" ca="1" si="903"/>
        <v/>
      </c>
      <c r="B2560">
        <f t="shared" si="904"/>
        <v>65</v>
      </c>
      <c r="C2560">
        <f t="shared" ca="1" si="896"/>
        <v>62</v>
      </c>
      <c r="D2560" t="str">
        <f t="shared" si="905"/>
        <v>D65</v>
      </c>
      <c r="E2560" t="str">
        <f t="shared" ca="1" si="906"/>
        <v/>
      </c>
      <c r="F2560" t="str">
        <f t="shared" ca="1" si="907"/>
        <v xml:space="preserve">Enter a 'Total Units in Building*' for  building 62 in cell D65.
</v>
      </c>
      <c r="G2560" s="9" t="str">
        <f t="shared" ca="1" si="894"/>
        <v xml:space="preserve">Enter a value for 'Number of Floors in the Tallest Building' in cell B58.
</v>
      </c>
      <c r="H2560" s="52" t="str">
        <f t="shared" ca="1" si="908"/>
        <v>Total Units in Building*</v>
      </c>
      <c r="I2560" s="52">
        <v>4</v>
      </c>
    </row>
    <row r="2561" spans="1:10" ht="15" customHeight="1">
      <c r="A2561" t="str">
        <f t="shared" ca="1" si="903"/>
        <v/>
      </c>
      <c r="B2561">
        <f t="shared" si="904"/>
        <v>65</v>
      </c>
      <c r="C2561">
        <f t="shared" ca="1" si="896"/>
        <v>62</v>
      </c>
      <c r="D2561" t="str">
        <f t="shared" si="905"/>
        <v>E65</v>
      </c>
      <c r="E2561" t="str">
        <f t="shared" ca="1" si="906"/>
        <v/>
      </c>
      <c r="F2561" t="str">
        <f t="shared" ca="1" si="907"/>
        <v xml:space="preserve">Enter a 'Employee Units' for  building 62 in cell E65.
</v>
      </c>
      <c r="G2561" s="9" t="str">
        <f t="shared" ca="1" si="894"/>
        <v xml:space="preserve">Enter a value for 'Number of Floors in the Tallest Building' in cell B58.
</v>
      </c>
      <c r="H2561" s="52" t="str">
        <f t="shared" ca="1" si="908"/>
        <v>Employee Units</v>
      </c>
      <c r="I2561" s="52">
        <v>5</v>
      </c>
    </row>
    <row r="2562" spans="1:10" ht="15" customHeight="1">
      <c r="A2562" t="str">
        <f t="shared" ca="1" si="903"/>
        <v/>
      </c>
      <c r="B2562">
        <f t="shared" si="904"/>
        <v>65</v>
      </c>
      <c r="C2562">
        <f t="shared" ca="1" si="896"/>
        <v>62</v>
      </c>
      <c r="D2562" t="str">
        <f t="shared" si="905"/>
        <v>F65</v>
      </c>
      <c r="E2562" t="str">
        <f t="shared" ca="1" si="906"/>
        <v/>
      </c>
      <c r="F2562" t="str">
        <f t="shared" ca="1" si="907"/>
        <v xml:space="preserve">Enter a 'Low-Income Units' for  building 62 in cell F65.
</v>
      </c>
      <c r="G2562" s="9" t="str">
        <f t="shared" ca="1" si="894"/>
        <v xml:space="preserve">Enter a value for 'Number of Floors in the Tallest Building' in cell B58.
</v>
      </c>
      <c r="H2562" s="52" t="str">
        <f t="shared" ca="1" si="908"/>
        <v>Low-Income Units</v>
      </c>
      <c r="I2562" s="52">
        <v>6</v>
      </c>
    </row>
    <row r="2563" spans="1:10" ht="15" customHeight="1">
      <c r="A2563" t="str">
        <f t="shared" ca="1" si="903"/>
        <v/>
      </c>
      <c r="B2563">
        <f t="shared" si="904"/>
        <v>65</v>
      </c>
      <c r="C2563">
        <f t="shared" ca="1" si="896"/>
        <v>62</v>
      </c>
      <c r="D2563" t="str">
        <f t="shared" si="905"/>
        <v>G65</v>
      </c>
      <c r="E2563" t="str">
        <f t="shared" ca="1" si="906"/>
        <v/>
      </c>
      <c r="F2563" t="str">
        <f t="shared" ca="1" si="907"/>
        <v xml:space="preserve">Enter a 'Residential Square Footage**' for  building 62 in cell G65.
</v>
      </c>
      <c r="G2563" s="9" t="str">
        <f t="shared" ca="1" si="894"/>
        <v xml:space="preserve">Enter a value for 'Number of Floors in the Tallest Building' in cell B58.
</v>
      </c>
      <c r="H2563" s="52" t="str">
        <f t="shared" ca="1" si="908"/>
        <v>Residential Square Footage**</v>
      </c>
      <c r="I2563" s="52">
        <v>7</v>
      </c>
    </row>
    <row r="2564" spans="1:10" ht="15" customHeight="1">
      <c r="A2564" t="str">
        <f t="shared" ca="1" si="903"/>
        <v/>
      </c>
      <c r="B2564">
        <f t="shared" si="904"/>
        <v>65</v>
      </c>
      <c r="C2564">
        <f t="shared" ca="1" si="896"/>
        <v>62</v>
      </c>
      <c r="D2564" t="str">
        <f t="shared" si="905"/>
        <v>H65</v>
      </c>
      <c r="E2564" t="str">
        <f t="shared" ca="1" si="906"/>
        <v/>
      </c>
      <c r="F2564" t="str">
        <f t="shared" ca="1" si="907"/>
        <v xml:space="preserve">Enter a 'Square Footage of Employee Units' for  building 62 in cell H65.
</v>
      </c>
      <c r="G2564" s="9" t="str">
        <f t="shared" ca="1" si="894"/>
        <v xml:space="preserve">Enter a value for 'Number of Floors in the Tallest Building' in cell B58.
</v>
      </c>
      <c r="H2564" s="52" t="str">
        <f t="shared" ca="1" si="908"/>
        <v>Square Footage of Employee Units</v>
      </c>
      <c r="I2564" s="52">
        <v>8</v>
      </c>
    </row>
    <row r="2565" spans="1:10" ht="15" customHeight="1">
      <c r="A2565" t="str">
        <f t="shared" ca="1" si="903"/>
        <v/>
      </c>
      <c r="B2565">
        <f t="shared" si="904"/>
        <v>65</v>
      </c>
      <c r="C2565">
        <f t="shared" ca="1" si="896"/>
        <v>62</v>
      </c>
      <c r="D2565" t="str">
        <f t="shared" si="905"/>
        <v>I65</v>
      </c>
      <c r="E2565" t="str">
        <f t="shared" ca="1" si="906"/>
        <v/>
      </c>
      <c r="F2565" t="str">
        <f t="shared" ca="1" si="907"/>
        <v xml:space="preserve">Enter a 'Square Footage of Low-Income Units' for  building 62 in cell I65.
</v>
      </c>
      <c r="G2565" s="9" t="str">
        <f t="shared" ca="1" si="894"/>
        <v xml:space="preserve">Enter a value for 'Number of Floors in the Tallest Building' in cell B58.
</v>
      </c>
      <c r="H2565" s="52" t="str">
        <f t="shared" ca="1" si="908"/>
        <v>Square Footage of Low-Income Units</v>
      </c>
      <c r="I2565" s="52">
        <v>9</v>
      </c>
    </row>
    <row r="2566" spans="1:10" ht="15" customHeight="1">
      <c r="A2566" t="str">
        <f t="shared" ca="1" si="903"/>
        <v/>
      </c>
      <c r="B2566">
        <f t="shared" si="904"/>
        <v>65</v>
      </c>
      <c r="C2566">
        <f t="shared" ca="1" si="896"/>
        <v>62</v>
      </c>
      <c r="D2566" t="str">
        <f t="shared" si="905"/>
        <v>J65</v>
      </c>
      <c r="E2566" t="str">
        <f t="shared" ca="1" si="906"/>
        <v/>
      </c>
      <c r="F2566" t="str">
        <f t="shared" ca="1" si="907"/>
        <v xml:space="preserve">Enter a 'Placed-In-Service Date' for  building 62 in cell J65.
</v>
      </c>
      <c r="G2566" s="9" t="str">
        <f t="shared" ca="1" si="894"/>
        <v xml:space="preserve">Enter a value for 'Number of Floors in the Tallest Building' in cell B58.
</v>
      </c>
      <c r="H2566" s="52" t="str">
        <f t="shared" ca="1" si="908"/>
        <v>Placed-In-Service Date</v>
      </c>
      <c r="I2566" s="52">
        <v>10</v>
      </c>
    </row>
    <row r="2567" spans="1:10" ht="15" customHeight="1">
      <c r="A2567" t="str">
        <f t="shared" ca="1" si="903"/>
        <v/>
      </c>
      <c r="B2567">
        <f t="shared" si="904"/>
        <v>65</v>
      </c>
      <c r="C2567">
        <f t="shared" ca="1" si="896"/>
        <v>62</v>
      </c>
      <c r="D2567" t="str">
        <f t="shared" si="905"/>
        <v>K65</v>
      </c>
      <c r="E2567" t="str">
        <f t="shared" ca="1" si="906"/>
        <v/>
      </c>
      <c r="F2567" t="str">
        <f t="shared" ca="1" si="907"/>
        <v xml:space="preserve">Enter a 'New Construction/ Rehab APR' for  building 62 in cell K65.
</v>
      </c>
      <c r="G2567" s="9" t="str">
        <f t="shared" ca="1" si="894"/>
        <v xml:space="preserve">Enter a value for 'Number of Floors in the Tallest Building' in cell B58.
</v>
      </c>
      <c r="H2567" s="52" t="str">
        <f t="shared" ca="1" si="908"/>
        <v>New Construction/ Rehab APR</v>
      </c>
      <c r="I2567" s="52">
        <v>11</v>
      </c>
    </row>
    <row r="2568" spans="1:10" ht="15" customHeight="1">
      <c r="A2568" t="str">
        <f t="shared" ca="1" si="903"/>
        <v/>
      </c>
      <c r="B2568">
        <f t="shared" si="904"/>
        <v>65</v>
      </c>
      <c r="C2568">
        <f t="shared" ca="1" si="896"/>
        <v>62</v>
      </c>
      <c r="D2568" t="str">
        <f t="shared" si="905"/>
        <v>L65</v>
      </c>
      <c r="E2568" t="str">
        <f t="shared" ca="1" si="906"/>
        <v/>
      </c>
      <c r="F2568" t="str">
        <f t="shared" ca="1" si="907"/>
        <v xml:space="preserve">Enter a 'New Construction Eligible Basis' for  building 62 in cell L65.
</v>
      </c>
      <c r="G2568" s="9" t="str">
        <f t="shared" ca="1" si="894"/>
        <v xml:space="preserve">Enter a value for 'Number of Floors in the Tallest Building' in cell B58.
</v>
      </c>
      <c r="H2568" s="52" t="str">
        <f t="shared" ca="1" si="908"/>
        <v>New Construction Eligible Basis</v>
      </c>
      <c r="I2568" s="52">
        <v>12</v>
      </c>
    </row>
    <row r="2569" spans="1:10" ht="15" customHeight="1">
      <c r="A2569" t="str">
        <f ca="1">IF(AND(OFFSET(A2569, -I2569 + 2, 4) &gt;  0, E2569="", Calculations!$B$7), F2569, "")</f>
        <v/>
      </c>
      <c r="B2569">
        <f t="shared" si="904"/>
        <v>65</v>
      </c>
      <c r="C2569">
        <f t="shared" ca="1" si="896"/>
        <v>62</v>
      </c>
      <c r="D2569" t="str">
        <f t="shared" si="905"/>
        <v>M65</v>
      </c>
      <c r="E2569" t="str">
        <f t="shared" ca="1" si="906"/>
        <v/>
      </c>
      <c r="F2569" t="str">
        <f t="shared" ca="1" si="907"/>
        <v xml:space="preserve">Enter a 'Eligible Basis for Rehab' for  building 62 in cell M65.
</v>
      </c>
      <c r="G2569" s="9" t="str">
        <f t="shared" ca="1" si="894"/>
        <v xml:space="preserve">Enter a value for 'Number of Floors in the Tallest Building' in cell B58.
</v>
      </c>
      <c r="H2569" s="52" t="str">
        <f t="shared" ca="1" si="908"/>
        <v>Eligible Basis for Rehab</v>
      </c>
      <c r="I2569" s="52">
        <v>13</v>
      </c>
    </row>
    <row r="2570" spans="1:10" ht="15" customHeight="1">
      <c r="A2570" t="str">
        <f ca="1">IF(AND(OFFSET(A2570, -I2570 + 2, 4) &gt;  0, E2570="", Calculations!$B$7), F2570, "")</f>
        <v/>
      </c>
      <c r="B2570">
        <f t="shared" si="904"/>
        <v>65</v>
      </c>
      <c r="C2570">
        <f t="shared" ca="1" si="896"/>
        <v>62</v>
      </c>
      <c r="D2570" t="str">
        <f t="shared" si="905"/>
        <v>N65</v>
      </c>
      <c r="E2570" t="str">
        <f t="shared" ca="1" si="906"/>
        <v/>
      </c>
      <c r="F2570" t="str">
        <f t="shared" ca="1" si="907"/>
        <v xml:space="preserve">Enter a 'Cost of Acquiring the Building***' for  building 62 in cell N65.
</v>
      </c>
      <c r="G2570" s="9" t="str">
        <f t="shared" ca="1" si="894"/>
        <v xml:space="preserve">Enter a value for 'Number of Floors in the Tallest Building' in cell B58.
</v>
      </c>
      <c r="H2570" s="52" t="str">
        <f t="shared" ca="1" si="908"/>
        <v>Cost of Acquiring the Building***</v>
      </c>
      <c r="I2570" s="52">
        <v>14</v>
      </c>
    </row>
    <row r="2571" spans="1:10" ht="15" customHeight="1">
      <c r="A2571" t="str">
        <f ca="1">IF(AND(OFFSET(A2571, -I2571 + 2, 4) &gt;  0, E2571="", Calculations!$B$7), F2571, "")</f>
        <v/>
      </c>
      <c r="B2571">
        <f t="shared" si="904"/>
        <v>65</v>
      </c>
      <c r="C2571">
        <f t="shared" ca="1" si="896"/>
        <v>62</v>
      </c>
      <c r="D2571" t="str">
        <f t="shared" si="905"/>
        <v>O65</v>
      </c>
      <c r="E2571" t="str">
        <f t="shared" ca="1" si="906"/>
        <v/>
      </c>
      <c r="F2571" t="str">
        <f t="shared" ca="1" si="907"/>
        <v xml:space="preserve">Enter a 'Higher of Land Purchase Price or Land Appraised Value****' for  building 62 in cell O65.
</v>
      </c>
      <c r="G2571" s="9" t="str">
        <f t="shared" ca="1" si="894"/>
        <v xml:space="preserve">Enter a value for 'Number of Floors in the Tallest Building' in cell B58.
</v>
      </c>
      <c r="H2571" s="52" t="str">
        <f t="shared" ca="1" si="908"/>
        <v>Higher of Land Purchase Price or Land Appraised Value****</v>
      </c>
      <c r="I2571" s="52">
        <v>15</v>
      </c>
    </row>
    <row r="2572" spans="1:10" ht="15" customHeight="1">
      <c r="A2572" t="str">
        <f ca="1">IF(AND(OFFSET(A2572, -I2572 + 2, 4) &gt;  0, E2572="", Calculations!$B$7), F2572, "")</f>
        <v/>
      </c>
      <c r="B2572">
        <f t="shared" si="904"/>
        <v>65</v>
      </c>
      <c r="C2572">
        <f t="shared" ca="1" si="896"/>
        <v>62</v>
      </c>
      <c r="D2572" t="str">
        <f t="shared" si="905"/>
        <v>P65</v>
      </c>
      <c r="E2572" t="str">
        <f t="shared" ca="1" si="906"/>
        <v/>
      </c>
      <c r="F2572" t="str">
        <f t="shared" ca="1" si="907"/>
        <v xml:space="preserve">Enter a 'Acquisition Placed-in-Service Date' for  building 62 in cell P65.
</v>
      </c>
      <c r="G2572" s="9" t="str">
        <f t="shared" ca="1" si="894"/>
        <v xml:space="preserve">Enter a value for 'Number of Floors in the Tallest Building' in cell B58.
</v>
      </c>
      <c r="H2572" s="52" t="str">
        <f t="shared" ca="1" si="908"/>
        <v>Acquisition Placed-in-Service Date</v>
      </c>
      <c r="I2572" s="52">
        <v>16</v>
      </c>
    </row>
    <row r="2573" spans="1:10" ht="15" customHeight="1">
      <c r="A2573" t="str">
        <f ca="1">IF(AND(OFFSET(A2573, -I2573 + 2, 4) &gt;  0, E2573="", Calculations!$B$7), F2573, "")</f>
        <v/>
      </c>
      <c r="B2573">
        <f t="shared" si="904"/>
        <v>65</v>
      </c>
      <c r="C2573">
        <f t="shared" ca="1" si="896"/>
        <v>62</v>
      </c>
      <c r="D2573" t="str">
        <f t="shared" si="905"/>
        <v>Q65</v>
      </c>
      <c r="E2573" t="str">
        <f t="shared" ca="1" si="906"/>
        <v/>
      </c>
      <c r="F2573" t="str">
        <f t="shared" ca="1" si="907"/>
        <v xml:space="preserve">Enter a 'Acquisition APR' for  building 62 in cell Q65.
</v>
      </c>
      <c r="G2573" s="9" t="str">
        <f t="shared" ca="1" si="894"/>
        <v xml:space="preserve">Enter a value for 'Number of Floors in the Tallest Building' in cell B58.
</v>
      </c>
      <c r="H2573" s="52" t="str">
        <f t="shared" ca="1" si="908"/>
        <v>Acquisition APR</v>
      </c>
      <c r="I2573" s="52">
        <v>17</v>
      </c>
    </row>
    <row r="2574" spans="1:10" ht="15" customHeight="1">
      <c r="A2574" t="str">
        <f ca="1">IF(AND(Calculations!$B$4,Calculations!$B$28&gt;=C2574, E2574 &lt;&gt; 13),F2574,"")</f>
        <v/>
      </c>
      <c r="B2574">
        <f>ROW('Final Building Profile'!C66)</f>
        <v>66</v>
      </c>
      <c r="C2574">
        <f t="shared" ca="1" si="896"/>
        <v>63</v>
      </c>
      <c r="D2574" t="str">
        <f>ADDRESS(B2574, 3,4  )</f>
        <v>C66</v>
      </c>
      <c r="E2574" s="52">
        <f ca="1">H2574+I2574</f>
        <v>0</v>
      </c>
      <c r="F2574" t="str">
        <f ca="1">CONCATENATE("Based upon the number of buildings specified, information for  building ", C2574, " required for a final application in row ", B2574, ".", CHAR(10))</f>
        <v xml:space="preserve">Based upon the number of buildings specified, information for  building 63 required for a final application in row 66.
</v>
      </c>
      <c r="G2574" s="9" t="str">
        <f t="shared" ca="1" si="894"/>
        <v xml:space="preserve">Enter a value for 'Number of Floors in the Tallest Building' in cell B58.
</v>
      </c>
      <c r="H2574" s="52">
        <f ca="1">SUMPRODUCT(--ISTEXT(INDIRECT(J2574)))</f>
        <v>0</v>
      </c>
      <c r="I2574" s="52">
        <f ca="1">SUMPRODUCT(--ISNUMBER(INDIRECT(J2574)))</f>
        <v>0</v>
      </c>
      <c r="J2574" s="52" t="str">
        <f>$F$1564&amp; ADDRESS(B2574,3,4) &amp; ":" &amp; ADDRESS(B2574,15,4)</f>
        <v>'Final Building Profile'!C66:O66</v>
      </c>
    </row>
    <row r="2575" spans="1:10" ht="15" customHeight="1">
      <c r="A2575" t="str">
        <f t="shared" ref="A2575:A2584" ca="1" si="909">IF(AND(OFFSET(A2575, -I2575 + 2, 4) &gt;  0, E2575=""), F2575, "")</f>
        <v/>
      </c>
      <c r="B2575">
        <f t="shared" ref="B2575:B2589" si="910">B2574</f>
        <v>66</v>
      </c>
      <c r="C2575">
        <f t="shared" ca="1" si="896"/>
        <v>63</v>
      </c>
      <c r="D2575" t="str">
        <f t="shared" ref="D2575:D2589" si="911">ADDRESS(B2575, I2575,4  )</f>
        <v>C66</v>
      </c>
      <c r="E2575" t="str">
        <f t="shared" ref="E2575:E2589" ca="1" si="912">IF(ISBLANK( INDIRECT($F$1564 &amp; D2575)),"", INDIRECT($F$1564 &amp; D2575))</f>
        <v/>
      </c>
      <c r="F2575" t="str">
        <f t="shared" ref="F2575:F2589" ca="1" si="913">CONCATENATE("Enter a '"&amp; H2575 &amp;"' for  building ", C2575, " in cell ", D2575, ".", CHAR(10))</f>
        <v xml:space="preserve">Enter a 'Building Street Address Only 
(DO NOT ENTER CITY, STATE, OR ZIP)' for  building 63 in cell C66.
</v>
      </c>
      <c r="G2575" s="9" t="str">
        <f t="shared" ca="1" si="894"/>
        <v xml:space="preserve">Enter a value for 'Number of Floors in the Tallest Building' in cell B58.
</v>
      </c>
      <c r="H2575" s="52" t="str">
        <f t="shared" ref="H2575:H2589" ca="1" si="914">OFFSET(INDIRECT($F$1564 &amp; D2575), -B2575 + 3, 0)</f>
        <v>Building Street Address Only 
(DO NOT ENTER CITY, STATE, OR ZIP)</v>
      </c>
      <c r="I2575" s="52">
        <v>3</v>
      </c>
    </row>
    <row r="2576" spans="1:10" ht="15" customHeight="1">
      <c r="A2576" t="str">
        <f t="shared" ca="1" si="909"/>
        <v/>
      </c>
      <c r="B2576">
        <f t="shared" si="910"/>
        <v>66</v>
      </c>
      <c r="C2576">
        <f t="shared" ca="1" si="896"/>
        <v>63</v>
      </c>
      <c r="D2576" t="str">
        <f t="shared" si="911"/>
        <v>D66</v>
      </c>
      <c r="E2576" t="str">
        <f t="shared" ca="1" si="912"/>
        <v/>
      </c>
      <c r="F2576" t="str">
        <f t="shared" ca="1" si="913"/>
        <v xml:space="preserve">Enter a 'Total Units in Building*' for  building 63 in cell D66.
</v>
      </c>
      <c r="G2576" s="9" t="str">
        <f t="shared" ca="1" si="894"/>
        <v xml:space="preserve">Enter a value for 'Number of Floors in the Tallest Building' in cell B58.
</v>
      </c>
      <c r="H2576" s="52" t="str">
        <f t="shared" ca="1" si="914"/>
        <v>Total Units in Building*</v>
      </c>
      <c r="I2576" s="52">
        <v>4</v>
      </c>
    </row>
    <row r="2577" spans="1:10" ht="15" customHeight="1">
      <c r="A2577" t="str">
        <f t="shared" ca="1" si="909"/>
        <v/>
      </c>
      <c r="B2577">
        <f t="shared" si="910"/>
        <v>66</v>
      </c>
      <c r="C2577">
        <f t="shared" ca="1" si="896"/>
        <v>63</v>
      </c>
      <c r="D2577" t="str">
        <f t="shared" si="911"/>
        <v>E66</v>
      </c>
      <c r="E2577" t="str">
        <f t="shared" ca="1" si="912"/>
        <v/>
      </c>
      <c r="F2577" t="str">
        <f t="shared" ca="1" si="913"/>
        <v xml:space="preserve">Enter a 'Employee Units' for  building 63 in cell E66.
</v>
      </c>
      <c r="G2577" s="9" t="str">
        <f t="shared" ca="1" si="894"/>
        <v xml:space="preserve">Enter a value for 'Number of Floors in the Tallest Building' in cell B58.
</v>
      </c>
      <c r="H2577" s="52" t="str">
        <f t="shared" ca="1" si="914"/>
        <v>Employee Units</v>
      </c>
      <c r="I2577" s="52">
        <v>5</v>
      </c>
    </row>
    <row r="2578" spans="1:10" ht="15" customHeight="1">
      <c r="A2578" t="str">
        <f t="shared" ca="1" si="909"/>
        <v/>
      </c>
      <c r="B2578">
        <f t="shared" si="910"/>
        <v>66</v>
      </c>
      <c r="C2578">
        <f t="shared" ca="1" si="896"/>
        <v>63</v>
      </c>
      <c r="D2578" t="str">
        <f t="shared" si="911"/>
        <v>F66</v>
      </c>
      <c r="E2578" t="str">
        <f t="shared" ca="1" si="912"/>
        <v/>
      </c>
      <c r="F2578" t="str">
        <f t="shared" ca="1" si="913"/>
        <v xml:space="preserve">Enter a 'Low-Income Units' for  building 63 in cell F66.
</v>
      </c>
      <c r="G2578" s="9" t="str">
        <f t="shared" ca="1" si="894"/>
        <v xml:space="preserve">Enter a value for 'Number of Floors in the Tallest Building' in cell B58.
</v>
      </c>
      <c r="H2578" s="52" t="str">
        <f t="shared" ca="1" si="914"/>
        <v>Low-Income Units</v>
      </c>
      <c r="I2578" s="52">
        <v>6</v>
      </c>
    </row>
    <row r="2579" spans="1:10" ht="15" customHeight="1">
      <c r="A2579" t="str">
        <f t="shared" ca="1" si="909"/>
        <v/>
      </c>
      <c r="B2579">
        <f t="shared" si="910"/>
        <v>66</v>
      </c>
      <c r="C2579">
        <f t="shared" ca="1" si="896"/>
        <v>63</v>
      </c>
      <c r="D2579" t="str">
        <f t="shared" si="911"/>
        <v>G66</v>
      </c>
      <c r="E2579" t="str">
        <f t="shared" ca="1" si="912"/>
        <v/>
      </c>
      <c r="F2579" t="str">
        <f t="shared" ca="1" si="913"/>
        <v xml:space="preserve">Enter a 'Residential Square Footage**' for  building 63 in cell G66.
</v>
      </c>
      <c r="G2579" s="9" t="str">
        <f t="shared" ca="1" si="894"/>
        <v xml:space="preserve">Enter a value for 'Number of Floors in the Tallest Building' in cell B58.
</v>
      </c>
      <c r="H2579" s="52" t="str">
        <f t="shared" ca="1" si="914"/>
        <v>Residential Square Footage**</v>
      </c>
      <c r="I2579" s="52">
        <v>7</v>
      </c>
    </row>
    <row r="2580" spans="1:10" ht="15" customHeight="1">
      <c r="A2580" t="str">
        <f t="shared" ca="1" si="909"/>
        <v/>
      </c>
      <c r="B2580">
        <f t="shared" si="910"/>
        <v>66</v>
      </c>
      <c r="C2580">
        <f t="shared" ca="1" si="896"/>
        <v>63</v>
      </c>
      <c r="D2580" t="str">
        <f t="shared" si="911"/>
        <v>H66</v>
      </c>
      <c r="E2580" t="str">
        <f t="shared" ca="1" si="912"/>
        <v/>
      </c>
      <c r="F2580" t="str">
        <f t="shared" ca="1" si="913"/>
        <v xml:space="preserve">Enter a 'Square Footage of Employee Units' for  building 63 in cell H66.
</v>
      </c>
      <c r="G2580" s="9" t="str">
        <f t="shared" ca="1" si="894"/>
        <v xml:space="preserve">Enter a value for 'Number of Floors in the Tallest Building' in cell B58.
</v>
      </c>
      <c r="H2580" s="52" t="str">
        <f t="shared" ca="1" si="914"/>
        <v>Square Footage of Employee Units</v>
      </c>
      <c r="I2580" s="52">
        <v>8</v>
      </c>
    </row>
    <row r="2581" spans="1:10" ht="15" customHeight="1">
      <c r="A2581" t="str">
        <f t="shared" ca="1" si="909"/>
        <v/>
      </c>
      <c r="B2581">
        <f t="shared" si="910"/>
        <v>66</v>
      </c>
      <c r="C2581">
        <f t="shared" ca="1" si="896"/>
        <v>63</v>
      </c>
      <c r="D2581" t="str">
        <f t="shared" si="911"/>
        <v>I66</v>
      </c>
      <c r="E2581" t="str">
        <f t="shared" ca="1" si="912"/>
        <v/>
      </c>
      <c r="F2581" t="str">
        <f t="shared" ca="1" si="913"/>
        <v xml:space="preserve">Enter a 'Square Footage of Low-Income Units' for  building 63 in cell I66.
</v>
      </c>
      <c r="G2581" s="9" t="str">
        <f t="shared" ca="1" si="894"/>
        <v xml:space="preserve">Enter a value for 'Number of Floors in the Tallest Building' in cell B58.
</v>
      </c>
      <c r="H2581" s="52" t="str">
        <f t="shared" ca="1" si="914"/>
        <v>Square Footage of Low-Income Units</v>
      </c>
      <c r="I2581" s="52">
        <v>9</v>
      </c>
    </row>
    <row r="2582" spans="1:10" ht="15" customHeight="1">
      <c r="A2582" t="str">
        <f t="shared" ca="1" si="909"/>
        <v/>
      </c>
      <c r="B2582">
        <f t="shared" si="910"/>
        <v>66</v>
      </c>
      <c r="C2582">
        <f t="shared" ca="1" si="896"/>
        <v>63</v>
      </c>
      <c r="D2582" t="str">
        <f t="shared" si="911"/>
        <v>J66</v>
      </c>
      <c r="E2582" t="str">
        <f t="shared" ca="1" si="912"/>
        <v/>
      </c>
      <c r="F2582" t="str">
        <f t="shared" ca="1" si="913"/>
        <v xml:space="preserve">Enter a 'Placed-In-Service Date' for  building 63 in cell J66.
</v>
      </c>
      <c r="G2582" s="9" t="str">
        <f t="shared" ca="1" si="894"/>
        <v xml:space="preserve">Enter a value for 'Number of Floors in the Tallest Building' in cell B58.
</v>
      </c>
      <c r="H2582" s="52" t="str">
        <f t="shared" ca="1" si="914"/>
        <v>Placed-In-Service Date</v>
      </c>
      <c r="I2582" s="52">
        <v>10</v>
      </c>
    </row>
    <row r="2583" spans="1:10" ht="15" customHeight="1">
      <c r="A2583" t="str">
        <f t="shared" ca="1" si="909"/>
        <v/>
      </c>
      <c r="B2583">
        <f t="shared" si="910"/>
        <v>66</v>
      </c>
      <c r="C2583">
        <f t="shared" ca="1" si="896"/>
        <v>63</v>
      </c>
      <c r="D2583" t="str">
        <f t="shared" si="911"/>
        <v>K66</v>
      </c>
      <c r="E2583" t="str">
        <f t="shared" ca="1" si="912"/>
        <v/>
      </c>
      <c r="F2583" t="str">
        <f t="shared" ca="1" si="913"/>
        <v xml:space="preserve">Enter a 'New Construction/ Rehab APR' for  building 63 in cell K66.
</v>
      </c>
      <c r="G2583" s="9" t="str">
        <f t="shared" ca="1" si="894"/>
        <v xml:space="preserve">Enter a value for 'Number of Floors in the Tallest Building' in cell B58.
</v>
      </c>
      <c r="H2583" s="52" t="str">
        <f t="shared" ca="1" si="914"/>
        <v>New Construction/ Rehab APR</v>
      </c>
      <c r="I2583" s="52">
        <v>11</v>
      </c>
    </row>
    <row r="2584" spans="1:10" ht="15" customHeight="1">
      <c r="A2584" t="str">
        <f t="shared" ca="1" si="909"/>
        <v/>
      </c>
      <c r="B2584">
        <f t="shared" si="910"/>
        <v>66</v>
      </c>
      <c r="C2584">
        <f t="shared" ca="1" si="896"/>
        <v>63</v>
      </c>
      <c r="D2584" t="str">
        <f t="shared" si="911"/>
        <v>L66</v>
      </c>
      <c r="E2584" t="str">
        <f t="shared" ca="1" si="912"/>
        <v/>
      </c>
      <c r="F2584" t="str">
        <f t="shared" ca="1" si="913"/>
        <v xml:space="preserve">Enter a 'New Construction Eligible Basis' for  building 63 in cell L66.
</v>
      </c>
      <c r="G2584" s="9" t="str">
        <f t="shared" ca="1" si="894"/>
        <v xml:space="preserve">Enter a value for 'Number of Floors in the Tallest Building' in cell B58.
</v>
      </c>
      <c r="H2584" s="52" t="str">
        <f t="shared" ca="1" si="914"/>
        <v>New Construction Eligible Basis</v>
      </c>
      <c r="I2584" s="52">
        <v>12</v>
      </c>
    </row>
    <row r="2585" spans="1:10" ht="15" customHeight="1">
      <c r="A2585" t="str">
        <f ca="1">IF(AND(OFFSET(A2585, -I2585 + 2, 4) &gt;  0, E2585="", Calculations!$B$7), F2585, "")</f>
        <v/>
      </c>
      <c r="B2585">
        <f t="shared" si="910"/>
        <v>66</v>
      </c>
      <c r="C2585">
        <f t="shared" ca="1" si="896"/>
        <v>63</v>
      </c>
      <c r="D2585" t="str">
        <f t="shared" si="911"/>
        <v>M66</v>
      </c>
      <c r="E2585" t="str">
        <f t="shared" ca="1" si="912"/>
        <v/>
      </c>
      <c r="F2585" t="str">
        <f t="shared" ca="1" si="913"/>
        <v xml:space="preserve">Enter a 'Eligible Basis for Rehab' for  building 63 in cell M66.
</v>
      </c>
      <c r="G2585" s="9" t="str">
        <f t="shared" ca="1" si="894"/>
        <v xml:space="preserve">Enter a value for 'Number of Floors in the Tallest Building' in cell B58.
</v>
      </c>
      <c r="H2585" s="52" t="str">
        <f t="shared" ca="1" si="914"/>
        <v>Eligible Basis for Rehab</v>
      </c>
      <c r="I2585" s="52">
        <v>13</v>
      </c>
    </row>
    <row r="2586" spans="1:10" ht="15" customHeight="1">
      <c r="A2586" t="str">
        <f ca="1">IF(AND(OFFSET(A2586, -I2586 + 2, 4) &gt;  0, E2586="", Calculations!$B$7), F2586, "")</f>
        <v/>
      </c>
      <c r="B2586">
        <f t="shared" si="910"/>
        <v>66</v>
      </c>
      <c r="C2586">
        <f t="shared" ca="1" si="896"/>
        <v>63</v>
      </c>
      <c r="D2586" t="str">
        <f t="shared" si="911"/>
        <v>N66</v>
      </c>
      <c r="E2586" t="str">
        <f t="shared" ca="1" si="912"/>
        <v/>
      </c>
      <c r="F2586" t="str">
        <f t="shared" ca="1" si="913"/>
        <v xml:space="preserve">Enter a 'Cost of Acquiring the Building***' for  building 63 in cell N66.
</v>
      </c>
      <c r="G2586" s="9" t="str">
        <f t="shared" ca="1" si="894"/>
        <v xml:space="preserve">Enter a value for 'Number of Floors in the Tallest Building' in cell B58.
</v>
      </c>
      <c r="H2586" s="52" t="str">
        <f t="shared" ca="1" si="914"/>
        <v>Cost of Acquiring the Building***</v>
      </c>
      <c r="I2586" s="52">
        <v>14</v>
      </c>
    </row>
    <row r="2587" spans="1:10" ht="15" customHeight="1">
      <c r="A2587" t="str">
        <f ca="1">IF(AND(OFFSET(A2587, -I2587 + 2, 4) &gt;  0, E2587="", Calculations!$B$7), F2587, "")</f>
        <v/>
      </c>
      <c r="B2587">
        <f t="shared" si="910"/>
        <v>66</v>
      </c>
      <c r="C2587">
        <f t="shared" ca="1" si="896"/>
        <v>63</v>
      </c>
      <c r="D2587" t="str">
        <f t="shared" si="911"/>
        <v>O66</v>
      </c>
      <c r="E2587" t="str">
        <f t="shared" ca="1" si="912"/>
        <v/>
      </c>
      <c r="F2587" t="str">
        <f t="shared" ca="1" si="913"/>
        <v xml:space="preserve">Enter a 'Higher of Land Purchase Price or Land Appraised Value****' for  building 63 in cell O66.
</v>
      </c>
      <c r="G2587" s="9" t="str">
        <f t="shared" ca="1" si="894"/>
        <v xml:space="preserve">Enter a value for 'Number of Floors in the Tallest Building' in cell B58.
</v>
      </c>
      <c r="H2587" s="52" t="str">
        <f t="shared" ca="1" si="914"/>
        <v>Higher of Land Purchase Price or Land Appraised Value****</v>
      </c>
      <c r="I2587" s="52">
        <v>15</v>
      </c>
    </row>
    <row r="2588" spans="1:10" ht="15" customHeight="1">
      <c r="A2588" t="str">
        <f ca="1">IF(AND(OFFSET(A2588, -I2588 + 2, 4) &gt;  0, E2588="", Calculations!$B$7), F2588, "")</f>
        <v/>
      </c>
      <c r="B2588">
        <f t="shared" si="910"/>
        <v>66</v>
      </c>
      <c r="C2588">
        <f t="shared" ca="1" si="896"/>
        <v>63</v>
      </c>
      <c r="D2588" t="str">
        <f t="shared" si="911"/>
        <v>P66</v>
      </c>
      <c r="E2588" t="str">
        <f t="shared" ca="1" si="912"/>
        <v/>
      </c>
      <c r="F2588" t="str">
        <f t="shared" ca="1" si="913"/>
        <v xml:space="preserve">Enter a 'Acquisition Placed-in-Service Date' for  building 63 in cell P66.
</v>
      </c>
      <c r="G2588" s="9" t="str">
        <f t="shared" ca="1" si="894"/>
        <v xml:space="preserve">Enter a value for 'Number of Floors in the Tallest Building' in cell B58.
</v>
      </c>
      <c r="H2588" s="52" t="str">
        <f t="shared" ca="1" si="914"/>
        <v>Acquisition Placed-in-Service Date</v>
      </c>
      <c r="I2588" s="52">
        <v>16</v>
      </c>
    </row>
    <row r="2589" spans="1:10" ht="15" customHeight="1">
      <c r="A2589" t="str">
        <f ca="1">IF(AND(OFFSET(A2589, -I2589 + 2, 4) &gt;  0, E2589="", Calculations!$B$7), F2589, "")</f>
        <v/>
      </c>
      <c r="B2589">
        <f t="shared" si="910"/>
        <v>66</v>
      </c>
      <c r="C2589">
        <f t="shared" ca="1" si="896"/>
        <v>63</v>
      </c>
      <c r="D2589" t="str">
        <f t="shared" si="911"/>
        <v>Q66</v>
      </c>
      <c r="E2589" t="str">
        <f t="shared" ca="1" si="912"/>
        <v/>
      </c>
      <c r="F2589" t="str">
        <f t="shared" ca="1" si="913"/>
        <v xml:space="preserve">Enter a 'Acquisition APR' for  building 63 in cell Q66.
</v>
      </c>
      <c r="G2589" s="9" t="str">
        <f t="shared" ca="1" si="894"/>
        <v xml:space="preserve">Enter a value for 'Number of Floors in the Tallest Building' in cell B58.
</v>
      </c>
      <c r="H2589" s="52" t="str">
        <f t="shared" ca="1" si="914"/>
        <v>Acquisition APR</v>
      </c>
      <c r="I2589" s="52">
        <v>17</v>
      </c>
    </row>
    <row r="2590" spans="1:10" ht="15" customHeight="1">
      <c r="A2590" t="str">
        <f ca="1">IF(AND(Calculations!$B$4,Calculations!$B$28&gt;=C2590, E2590 &lt;&gt; 13),F2590,"")</f>
        <v/>
      </c>
      <c r="B2590">
        <f>ROW('Final Building Profile'!C67)</f>
        <v>67</v>
      </c>
      <c r="C2590">
        <f t="shared" ca="1" si="896"/>
        <v>64</v>
      </c>
      <c r="D2590" t="str">
        <f>ADDRESS(B2590, 3,4  )</f>
        <v>C67</v>
      </c>
      <c r="E2590" s="52">
        <f ca="1">H2590+I2590</f>
        <v>0</v>
      </c>
      <c r="F2590" t="str">
        <f ca="1">CONCATENATE("Based upon the number of buildings specified, information for  building ", C2590, " required for a final application in row ", B2590, ".", CHAR(10))</f>
        <v xml:space="preserve">Based upon the number of buildings specified, information for  building 64 required for a final application in row 67.
</v>
      </c>
      <c r="G2590" s="9" t="str">
        <f t="shared" ca="1" si="894"/>
        <v xml:space="preserve">Enter a value for 'Number of Floors in the Tallest Building' in cell B58.
</v>
      </c>
      <c r="H2590" s="52">
        <f ca="1">SUMPRODUCT(--ISTEXT(INDIRECT(J2590)))</f>
        <v>0</v>
      </c>
      <c r="I2590" s="52">
        <f ca="1">SUMPRODUCT(--ISNUMBER(INDIRECT(J2590)))</f>
        <v>0</v>
      </c>
      <c r="J2590" s="52" t="str">
        <f>$F$1564&amp; ADDRESS(B2590,3,4) &amp; ":" &amp; ADDRESS(B2590,15,4)</f>
        <v>'Final Building Profile'!C67:O67</v>
      </c>
    </row>
    <row r="2591" spans="1:10" ht="15" customHeight="1">
      <c r="A2591" t="str">
        <f t="shared" ref="A2591:A2600" ca="1" si="915">IF(AND(OFFSET(A2591, -I2591 + 2, 4) &gt;  0, E2591=""), F2591, "")</f>
        <v/>
      </c>
      <c r="B2591">
        <f t="shared" ref="B2591:B2605" si="916">B2590</f>
        <v>67</v>
      </c>
      <c r="C2591">
        <f t="shared" ca="1" si="896"/>
        <v>64</v>
      </c>
      <c r="D2591" t="str">
        <f t="shared" ref="D2591:D2605" si="917">ADDRESS(B2591, I2591,4  )</f>
        <v>C67</v>
      </c>
      <c r="E2591" t="str">
        <f t="shared" ref="E2591:E2605" ca="1" si="918">IF(ISBLANK( INDIRECT($F$1564 &amp; D2591)),"", INDIRECT($F$1564 &amp; D2591))</f>
        <v/>
      </c>
      <c r="F2591" t="str">
        <f t="shared" ref="F2591:F2605" ca="1" si="919">CONCATENATE("Enter a '"&amp; H2591 &amp;"' for  building ", C2591, " in cell ", D2591, ".", CHAR(10))</f>
        <v xml:space="preserve">Enter a 'Building Street Address Only 
(DO NOT ENTER CITY, STATE, OR ZIP)' for  building 64 in cell C67.
</v>
      </c>
      <c r="G2591" s="9" t="str">
        <f t="shared" ref="G2591:G2654" ca="1" si="920">OFFSET(G2591, -1, 0) &amp; A2591</f>
        <v xml:space="preserve">Enter a value for 'Number of Floors in the Tallest Building' in cell B58.
</v>
      </c>
      <c r="H2591" s="52" t="str">
        <f t="shared" ref="H2591:H2605" ca="1" si="921">OFFSET(INDIRECT($F$1564 &amp; D2591), -B2591 + 3, 0)</f>
        <v>Building Street Address Only 
(DO NOT ENTER CITY, STATE, OR ZIP)</v>
      </c>
      <c r="I2591" s="52">
        <v>3</v>
      </c>
    </row>
    <row r="2592" spans="1:10" ht="15" customHeight="1">
      <c r="A2592" t="str">
        <f t="shared" ca="1" si="915"/>
        <v/>
      </c>
      <c r="B2592">
        <f t="shared" si="916"/>
        <v>67</v>
      </c>
      <c r="C2592">
        <f t="shared" ca="1" si="896"/>
        <v>64</v>
      </c>
      <c r="D2592" t="str">
        <f t="shared" si="917"/>
        <v>D67</v>
      </c>
      <c r="E2592" t="str">
        <f t="shared" ca="1" si="918"/>
        <v/>
      </c>
      <c r="F2592" t="str">
        <f t="shared" ca="1" si="919"/>
        <v xml:space="preserve">Enter a 'Total Units in Building*' for  building 64 in cell D67.
</v>
      </c>
      <c r="G2592" s="9" t="str">
        <f t="shared" ca="1" si="920"/>
        <v xml:space="preserve">Enter a value for 'Number of Floors in the Tallest Building' in cell B58.
</v>
      </c>
      <c r="H2592" s="52" t="str">
        <f t="shared" ca="1" si="921"/>
        <v>Total Units in Building*</v>
      </c>
      <c r="I2592" s="52">
        <v>4</v>
      </c>
    </row>
    <row r="2593" spans="1:10" ht="15" customHeight="1">
      <c r="A2593" t="str">
        <f t="shared" ca="1" si="915"/>
        <v/>
      </c>
      <c r="B2593">
        <f t="shared" si="916"/>
        <v>67</v>
      </c>
      <c r="C2593">
        <f t="shared" ca="1" si="896"/>
        <v>64</v>
      </c>
      <c r="D2593" t="str">
        <f t="shared" si="917"/>
        <v>E67</v>
      </c>
      <c r="E2593" t="str">
        <f t="shared" ca="1" si="918"/>
        <v/>
      </c>
      <c r="F2593" t="str">
        <f t="shared" ca="1" si="919"/>
        <v xml:space="preserve">Enter a 'Employee Units' for  building 64 in cell E67.
</v>
      </c>
      <c r="G2593" s="9" t="str">
        <f t="shared" ca="1" si="920"/>
        <v xml:space="preserve">Enter a value for 'Number of Floors in the Tallest Building' in cell B58.
</v>
      </c>
      <c r="H2593" s="52" t="str">
        <f t="shared" ca="1" si="921"/>
        <v>Employee Units</v>
      </c>
      <c r="I2593" s="52">
        <v>5</v>
      </c>
    </row>
    <row r="2594" spans="1:10" ht="15" customHeight="1">
      <c r="A2594" t="str">
        <f t="shared" ca="1" si="915"/>
        <v/>
      </c>
      <c r="B2594">
        <f t="shared" si="916"/>
        <v>67</v>
      </c>
      <c r="C2594">
        <f t="shared" ca="1" si="896"/>
        <v>64</v>
      </c>
      <c r="D2594" t="str">
        <f t="shared" si="917"/>
        <v>F67</v>
      </c>
      <c r="E2594" t="str">
        <f t="shared" ca="1" si="918"/>
        <v/>
      </c>
      <c r="F2594" t="str">
        <f t="shared" ca="1" si="919"/>
        <v xml:space="preserve">Enter a 'Low-Income Units' for  building 64 in cell F67.
</v>
      </c>
      <c r="G2594" s="9" t="str">
        <f t="shared" ca="1" si="920"/>
        <v xml:space="preserve">Enter a value for 'Number of Floors in the Tallest Building' in cell B58.
</v>
      </c>
      <c r="H2594" s="52" t="str">
        <f t="shared" ca="1" si="921"/>
        <v>Low-Income Units</v>
      </c>
      <c r="I2594" s="52">
        <v>6</v>
      </c>
    </row>
    <row r="2595" spans="1:10" ht="15" customHeight="1">
      <c r="A2595" t="str">
        <f t="shared" ca="1" si="915"/>
        <v/>
      </c>
      <c r="B2595">
        <f t="shared" si="916"/>
        <v>67</v>
      </c>
      <c r="C2595">
        <f t="shared" ca="1" si="896"/>
        <v>64</v>
      </c>
      <c r="D2595" t="str">
        <f t="shared" si="917"/>
        <v>G67</v>
      </c>
      <c r="E2595" t="str">
        <f t="shared" ca="1" si="918"/>
        <v/>
      </c>
      <c r="F2595" t="str">
        <f t="shared" ca="1" si="919"/>
        <v xml:space="preserve">Enter a 'Residential Square Footage**' for  building 64 in cell G67.
</v>
      </c>
      <c r="G2595" s="9" t="str">
        <f t="shared" ca="1" si="920"/>
        <v xml:space="preserve">Enter a value for 'Number of Floors in the Tallest Building' in cell B58.
</v>
      </c>
      <c r="H2595" s="52" t="str">
        <f t="shared" ca="1" si="921"/>
        <v>Residential Square Footage**</v>
      </c>
      <c r="I2595" s="52">
        <v>7</v>
      </c>
    </row>
    <row r="2596" spans="1:10" ht="15" customHeight="1">
      <c r="A2596" t="str">
        <f t="shared" ca="1" si="915"/>
        <v/>
      </c>
      <c r="B2596">
        <f t="shared" si="916"/>
        <v>67</v>
      </c>
      <c r="C2596">
        <f t="shared" ca="1" si="896"/>
        <v>64</v>
      </c>
      <c r="D2596" t="str">
        <f t="shared" si="917"/>
        <v>H67</v>
      </c>
      <c r="E2596" t="str">
        <f t="shared" ca="1" si="918"/>
        <v/>
      </c>
      <c r="F2596" t="str">
        <f t="shared" ca="1" si="919"/>
        <v xml:space="preserve">Enter a 'Square Footage of Employee Units' for  building 64 in cell H67.
</v>
      </c>
      <c r="G2596" s="9" t="str">
        <f t="shared" ca="1" si="920"/>
        <v xml:space="preserve">Enter a value for 'Number of Floors in the Tallest Building' in cell B58.
</v>
      </c>
      <c r="H2596" s="52" t="str">
        <f t="shared" ca="1" si="921"/>
        <v>Square Footage of Employee Units</v>
      </c>
      <c r="I2596" s="52">
        <v>8</v>
      </c>
    </row>
    <row r="2597" spans="1:10" ht="15" customHeight="1">
      <c r="A2597" t="str">
        <f t="shared" ca="1" si="915"/>
        <v/>
      </c>
      <c r="B2597">
        <f t="shared" si="916"/>
        <v>67</v>
      </c>
      <c r="C2597">
        <f t="shared" ca="1" si="896"/>
        <v>64</v>
      </c>
      <c r="D2597" t="str">
        <f t="shared" si="917"/>
        <v>I67</v>
      </c>
      <c r="E2597" t="str">
        <f t="shared" ca="1" si="918"/>
        <v/>
      </c>
      <c r="F2597" t="str">
        <f t="shared" ca="1" si="919"/>
        <v xml:space="preserve">Enter a 'Square Footage of Low-Income Units' for  building 64 in cell I67.
</v>
      </c>
      <c r="G2597" s="9" t="str">
        <f t="shared" ca="1" si="920"/>
        <v xml:space="preserve">Enter a value for 'Number of Floors in the Tallest Building' in cell B58.
</v>
      </c>
      <c r="H2597" s="52" t="str">
        <f t="shared" ca="1" si="921"/>
        <v>Square Footage of Low-Income Units</v>
      </c>
      <c r="I2597" s="52">
        <v>9</v>
      </c>
    </row>
    <row r="2598" spans="1:10" ht="15" customHeight="1">
      <c r="A2598" t="str">
        <f t="shared" ca="1" si="915"/>
        <v/>
      </c>
      <c r="B2598">
        <f t="shared" si="916"/>
        <v>67</v>
      </c>
      <c r="C2598">
        <f t="shared" ca="1" si="896"/>
        <v>64</v>
      </c>
      <c r="D2598" t="str">
        <f t="shared" si="917"/>
        <v>J67</v>
      </c>
      <c r="E2598" t="str">
        <f t="shared" ca="1" si="918"/>
        <v/>
      </c>
      <c r="F2598" t="str">
        <f t="shared" ca="1" si="919"/>
        <v xml:space="preserve">Enter a 'Placed-In-Service Date' for  building 64 in cell J67.
</v>
      </c>
      <c r="G2598" s="9" t="str">
        <f t="shared" ca="1" si="920"/>
        <v xml:space="preserve">Enter a value for 'Number of Floors in the Tallest Building' in cell B58.
</v>
      </c>
      <c r="H2598" s="52" t="str">
        <f t="shared" ca="1" si="921"/>
        <v>Placed-In-Service Date</v>
      </c>
      <c r="I2598" s="52">
        <v>10</v>
      </c>
    </row>
    <row r="2599" spans="1:10" ht="15" customHeight="1">
      <c r="A2599" t="str">
        <f t="shared" ca="1" si="915"/>
        <v/>
      </c>
      <c r="B2599">
        <f t="shared" si="916"/>
        <v>67</v>
      </c>
      <c r="C2599">
        <f t="shared" ca="1" si="896"/>
        <v>64</v>
      </c>
      <c r="D2599" t="str">
        <f t="shared" si="917"/>
        <v>K67</v>
      </c>
      <c r="E2599" t="str">
        <f t="shared" ca="1" si="918"/>
        <v/>
      </c>
      <c r="F2599" t="str">
        <f t="shared" ca="1" si="919"/>
        <v xml:space="preserve">Enter a 'New Construction/ Rehab APR' for  building 64 in cell K67.
</v>
      </c>
      <c r="G2599" s="9" t="str">
        <f t="shared" ca="1" si="920"/>
        <v xml:space="preserve">Enter a value for 'Number of Floors in the Tallest Building' in cell B58.
</v>
      </c>
      <c r="H2599" s="52" t="str">
        <f t="shared" ca="1" si="921"/>
        <v>New Construction/ Rehab APR</v>
      </c>
      <c r="I2599" s="52">
        <v>11</v>
      </c>
    </row>
    <row r="2600" spans="1:10" ht="15" customHeight="1">
      <c r="A2600" t="str">
        <f t="shared" ca="1" si="915"/>
        <v/>
      </c>
      <c r="B2600">
        <f t="shared" si="916"/>
        <v>67</v>
      </c>
      <c r="C2600">
        <f t="shared" ca="1" si="896"/>
        <v>64</v>
      </c>
      <c r="D2600" t="str">
        <f t="shared" si="917"/>
        <v>L67</v>
      </c>
      <c r="E2600" t="str">
        <f t="shared" ca="1" si="918"/>
        <v/>
      </c>
      <c r="F2600" t="str">
        <f t="shared" ca="1" si="919"/>
        <v xml:space="preserve">Enter a 'New Construction Eligible Basis' for  building 64 in cell L67.
</v>
      </c>
      <c r="G2600" s="9" t="str">
        <f t="shared" ca="1" si="920"/>
        <v xml:space="preserve">Enter a value for 'Number of Floors in the Tallest Building' in cell B58.
</v>
      </c>
      <c r="H2600" s="52" t="str">
        <f t="shared" ca="1" si="921"/>
        <v>New Construction Eligible Basis</v>
      </c>
      <c r="I2600" s="52">
        <v>12</v>
      </c>
    </row>
    <row r="2601" spans="1:10" ht="15" customHeight="1">
      <c r="A2601" t="str">
        <f ca="1">IF(AND(OFFSET(A2601, -I2601 + 2, 4) &gt;  0, E2601="", Calculations!$B$7), F2601, "")</f>
        <v/>
      </c>
      <c r="B2601">
        <f t="shared" si="916"/>
        <v>67</v>
      </c>
      <c r="C2601">
        <f t="shared" ca="1" si="896"/>
        <v>64</v>
      </c>
      <c r="D2601" t="str">
        <f t="shared" si="917"/>
        <v>M67</v>
      </c>
      <c r="E2601" t="str">
        <f t="shared" ca="1" si="918"/>
        <v/>
      </c>
      <c r="F2601" t="str">
        <f t="shared" ca="1" si="919"/>
        <v xml:space="preserve">Enter a 'Eligible Basis for Rehab' for  building 64 in cell M67.
</v>
      </c>
      <c r="G2601" s="9" t="str">
        <f t="shared" ca="1" si="920"/>
        <v xml:space="preserve">Enter a value for 'Number of Floors in the Tallest Building' in cell B58.
</v>
      </c>
      <c r="H2601" s="52" t="str">
        <f t="shared" ca="1" si="921"/>
        <v>Eligible Basis for Rehab</v>
      </c>
      <c r="I2601" s="52">
        <v>13</v>
      </c>
    </row>
    <row r="2602" spans="1:10" ht="15" customHeight="1">
      <c r="A2602" t="str">
        <f ca="1">IF(AND(OFFSET(A2602, -I2602 + 2, 4) &gt;  0, E2602="", Calculations!$B$7), F2602, "")</f>
        <v/>
      </c>
      <c r="B2602">
        <f t="shared" si="916"/>
        <v>67</v>
      </c>
      <c r="C2602">
        <f t="shared" ca="1" si="896"/>
        <v>64</v>
      </c>
      <c r="D2602" t="str">
        <f t="shared" si="917"/>
        <v>N67</v>
      </c>
      <c r="E2602" t="str">
        <f t="shared" ca="1" si="918"/>
        <v/>
      </c>
      <c r="F2602" t="str">
        <f t="shared" ca="1" si="919"/>
        <v xml:space="preserve">Enter a 'Cost of Acquiring the Building***' for  building 64 in cell N67.
</v>
      </c>
      <c r="G2602" s="9" t="str">
        <f t="shared" ca="1" si="920"/>
        <v xml:space="preserve">Enter a value for 'Number of Floors in the Tallest Building' in cell B58.
</v>
      </c>
      <c r="H2602" s="52" t="str">
        <f t="shared" ca="1" si="921"/>
        <v>Cost of Acquiring the Building***</v>
      </c>
      <c r="I2602" s="52">
        <v>14</v>
      </c>
    </row>
    <row r="2603" spans="1:10" ht="15" customHeight="1">
      <c r="A2603" t="str">
        <f ca="1">IF(AND(OFFSET(A2603, -I2603 + 2, 4) &gt;  0, E2603="", Calculations!$B$7), F2603, "")</f>
        <v/>
      </c>
      <c r="B2603">
        <f t="shared" si="916"/>
        <v>67</v>
      </c>
      <c r="C2603">
        <f t="shared" ca="1" si="896"/>
        <v>64</v>
      </c>
      <c r="D2603" t="str">
        <f t="shared" si="917"/>
        <v>O67</v>
      </c>
      <c r="E2603" t="str">
        <f t="shared" ca="1" si="918"/>
        <v/>
      </c>
      <c r="F2603" t="str">
        <f t="shared" ca="1" si="919"/>
        <v xml:space="preserve">Enter a 'Higher of Land Purchase Price or Land Appraised Value****' for  building 64 in cell O67.
</v>
      </c>
      <c r="G2603" s="9" t="str">
        <f t="shared" ca="1" si="920"/>
        <v xml:space="preserve">Enter a value for 'Number of Floors in the Tallest Building' in cell B58.
</v>
      </c>
      <c r="H2603" s="52" t="str">
        <f t="shared" ca="1" si="921"/>
        <v>Higher of Land Purchase Price or Land Appraised Value****</v>
      </c>
      <c r="I2603" s="52">
        <v>15</v>
      </c>
    </row>
    <row r="2604" spans="1:10" ht="15" customHeight="1">
      <c r="A2604" t="str">
        <f ca="1">IF(AND(OFFSET(A2604, -I2604 + 2, 4) &gt;  0, E2604="", Calculations!$B$7), F2604, "")</f>
        <v/>
      </c>
      <c r="B2604">
        <f t="shared" si="916"/>
        <v>67</v>
      </c>
      <c r="C2604">
        <f t="shared" ca="1" si="896"/>
        <v>64</v>
      </c>
      <c r="D2604" t="str">
        <f t="shared" si="917"/>
        <v>P67</v>
      </c>
      <c r="E2604" t="str">
        <f t="shared" ca="1" si="918"/>
        <v/>
      </c>
      <c r="F2604" t="str">
        <f t="shared" ca="1" si="919"/>
        <v xml:space="preserve">Enter a 'Acquisition Placed-in-Service Date' for  building 64 in cell P67.
</v>
      </c>
      <c r="G2604" s="9" t="str">
        <f t="shared" ca="1" si="920"/>
        <v xml:space="preserve">Enter a value for 'Number of Floors in the Tallest Building' in cell B58.
</v>
      </c>
      <c r="H2604" s="52" t="str">
        <f t="shared" ca="1" si="921"/>
        <v>Acquisition Placed-in-Service Date</v>
      </c>
      <c r="I2604" s="52">
        <v>16</v>
      </c>
    </row>
    <row r="2605" spans="1:10" ht="15" customHeight="1">
      <c r="A2605" t="str">
        <f ca="1">IF(AND(OFFSET(A2605, -I2605 + 2, 4) &gt;  0, E2605="", Calculations!$B$7), F2605, "")</f>
        <v/>
      </c>
      <c r="B2605">
        <f t="shared" si="916"/>
        <v>67</v>
      </c>
      <c r="C2605">
        <f t="shared" ca="1" si="896"/>
        <v>64</v>
      </c>
      <c r="D2605" t="str">
        <f t="shared" si="917"/>
        <v>Q67</v>
      </c>
      <c r="E2605" t="str">
        <f t="shared" ca="1" si="918"/>
        <v/>
      </c>
      <c r="F2605" t="str">
        <f t="shared" ca="1" si="919"/>
        <v xml:space="preserve">Enter a 'Acquisition APR' for  building 64 in cell Q67.
</v>
      </c>
      <c r="G2605" s="9" t="str">
        <f t="shared" ca="1" si="920"/>
        <v xml:space="preserve">Enter a value for 'Number of Floors in the Tallest Building' in cell B58.
</v>
      </c>
      <c r="H2605" s="52" t="str">
        <f t="shared" ca="1" si="921"/>
        <v>Acquisition APR</v>
      </c>
      <c r="I2605" s="52">
        <v>17</v>
      </c>
    </row>
    <row r="2606" spans="1:10" ht="15" customHeight="1">
      <c r="A2606" t="str">
        <f ca="1">IF(AND(Calculations!$B$4,Calculations!$B$28&gt;=C2606, E2606 &lt;&gt; 13),F2606,"")</f>
        <v/>
      </c>
      <c r="B2606">
        <f>ROW('Final Building Profile'!C68)</f>
        <v>68</v>
      </c>
      <c r="C2606">
        <f t="shared" ref="C2606:C2669" ca="1" si="922">INDIRECT($F$1564 &amp; ADDRESS(B2606, 1,4  ))</f>
        <v>65</v>
      </c>
      <c r="D2606" t="str">
        <f>ADDRESS(B2606, 3,4  )</f>
        <v>C68</v>
      </c>
      <c r="E2606" s="52">
        <f ca="1">H2606+I2606</f>
        <v>0</v>
      </c>
      <c r="F2606" t="str">
        <f ca="1">CONCATENATE("Based upon the number of buildings specified, information for  building ", C2606, " required for a final application in row ", B2606, ".", CHAR(10))</f>
        <v xml:space="preserve">Based upon the number of buildings specified, information for  building 65 required for a final application in row 68.
</v>
      </c>
      <c r="G2606" s="9" t="str">
        <f t="shared" ca="1" si="920"/>
        <v xml:space="preserve">Enter a value for 'Number of Floors in the Tallest Building' in cell B58.
</v>
      </c>
      <c r="H2606" s="52">
        <f ca="1">SUMPRODUCT(--ISTEXT(INDIRECT(J2606)))</f>
        <v>0</v>
      </c>
      <c r="I2606" s="52">
        <f ca="1">SUMPRODUCT(--ISNUMBER(INDIRECT(J2606)))</f>
        <v>0</v>
      </c>
      <c r="J2606" s="52" t="str">
        <f>$F$1564&amp; ADDRESS(B2606,3,4) &amp; ":" &amp; ADDRESS(B2606,15,4)</f>
        <v>'Final Building Profile'!C68:O68</v>
      </c>
    </row>
    <row r="2607" spans="1:10" ht="15" customHeight="1">
      <c r="A2607" t="str">
        <f t="shared" ref="A2607:A2616" ca="1" si="923">IF(AND(OFFSET(A2607, -I2607 + 2, 4) &gt;  0, E2607=""), F2607, "")</f>
        <v/>
      </c>
      <c r="B2607">
        <f t="shared" ref="B2607:B2621" si="924">B2606</f>
        <v>68</v>
      </c>
      <c r="C2607">
        <f t="shared" ca="1" si="922"/>
        <v>65</v>
      </c>
      <c r="D2607" t="str">
        <f t="shared" ref="D2607:D2621" si="925">ADDRESS(B2607, I2607,4  )</f>
        <v>C68</v>
      </c>
      <c r="E2607" t="str">
        <f t="shared" ref="E2607:E2621" ca="1" si="926">IF(ISBLANK( INDIRECT($F$1564 &amp; D2607)),"", INDIRECT($F$1564 &amp; D2607))</f>
        <v/>
      </c>
      <c r="F2607" t="str">
        <f t="shared" ref="F2607:F2621" ca="1" si="927">CONCATENATE("Enter a '"&amp; H2607 &amp;"' for  building ", C2607, " in cell ", D2607, ".", CHAR(10))</f>
        <v xml:space="preserve">Enter a 'Building Street Address Only 
(DO NOT ENTER CITY, STATE, OR ZIP)' for  building 65 in cell C68.
</v>
      </c>
      <c r="G2607" s="9" t="str">
        <f t="shared" ca="1" si="920"/>
        <v xml:space="preserve">Enter a value for 'Number of Floors in the Tallest Building' in cell B58.
</v>
      </c>
      <c r="H2607" s="52" t="str">
        <f t="shared" ref="H2607:H2621" ca="1" si="928">OFFSET(INDIRECT($F$1564 &amp; D2607), -B2607 + 3, 0)</f>
        <v>Building Street Address Only 
(DO NOT ENTER CITY, STATE, OR ZIP)</v>
      </c>
      <c r="I2607" s="52">
        <v>3</v>
      </c>
    </row>
    <row r="2608" spans="1:10" ht="15" customHeight="1">
      <c r="A2608" t="str">
        <f t="shared" ca="1" si="923"/>
        <v/>
      </c>
      <c r="B2608">
        <f t="shared" si="924"/>
        <v>68</v>
      </c>
      <c r="C2608">
        <f t="shared" ca="1" si="922"/>
        <v>65</v>
      </c>
      <c r="D2608" t="str">
        <f t="shared" si="925"/>
        <v>D68</v>
      </c>
      <c r="E2608" t="str">
        <f t="shared" ca="1" si="926"/>
        <v/>
      </c>
      <c r="F2608" t="str">
        <f t="shared" ca="1" si="927"/>
        <v xml:space="preserve">Enter a 'Total Units in Building*' for  building 65 in cell D68.
</v>
      </c>
      <c r="G2608" s="9" t="str">
        <f t="shared" ca="1" si="920"/>
        <v xml:space="preserve">Enter a value for 'Number of Floors in the Tallest Building' in cell B58.
</v>
      </c>
      <c r="H2608" s="52" t="str">
        <f t="shared" ca="1" si="928"/>
        <v>Total Units in Building*</v>
      </c>
      <c r="I2608" s="52">
        <v>4</v>
      </c>
    </row>
    <row r="2609" spans="1:10" ht="15" customHeight="1">
      <c r="A2609" t="str">
        <f t="shared" ca="1" si="923"/>
        <v/>
      </c>
      <c r="B2609">
        <f t="shared" si="924"/>
        <v>68</v>
      </c>
      <c r="C2609">
        <f t="shared" ca="1" si="922"/>
        <v>65</v>
      </c>
      <c r="D2609" t="str">
        <f t="shared" si="925"/>
        <v>E68</v>
      </c>
      <c r="E2609" t="str">
        <f t="shared" ca="1" si="926"/>
        <v/>
      </c>
      <c r="F2609" t="str">
        <f t="shared" ca="1" si="927"/>
        <v xml:space="preserve">Enter a 'Employee Units' for  building 65 in cell E68.
</v>
      </c>
      <c r="G2609" s="9" t="str">
        <f t="shared" ca="1" si="920"/>
        <v xml:space="preserve">Enter a value for 'Number of Floors in the Tallest Building' in cell B58.
</v>
      </c>
      <c r="H2609" s="52" t="str">
        <f t="shared" ca="1" si="928"/>
        <v>Employee Units</v>
      </c>
      <c r="I2609" s="52">
        <v>5</v>
      </c>
    </row>
    <row r="2610" spans="1:10" ht="15" customHeight="1">
      <c r="A2610" t="str">
        <f t="shared" ca="1" si="923"/>
        <v/>
      </c>
      <c r="B2610">
        <f t="shared" si="924"/>
        <v>68</v>
      </c>
      <c r="C2610">
        <f t="shared" ca="1" si="922"/>
        <v>65</v>
      </c>
      <c r="D2610" t="str">
        <f t="shared" si="925"/>
        <v>F68</v>
      </c>
      <c r="E2610" t="str">
        <f t="shared" ca="1" si="926"/>
        <v/>
      </c>
      <c r="F2610" t="str">
        <f t="shared" ca="1" si="927"/>
        <v xml:space="preserve">Enter a 'Low-Income Units' for  building 65 in cell F68.
</v>
      </c>
      <c r="G2610" s="9" t="str">
        <f t="shared" ca="1" si="920"/>
        <v xml:space="preserve">Enter a value for 'Number of Floors in the Tallest Building' in cell B58.
</v>
      </c>
      <c r="H2610" s="52" t="str">
        <f t="shared" ca="1" si="928"/>
        <v>Low-Income Units</v>
      </c>
      <c r="I2610" s="52">
        <v>6</v>
      </c>
    </row>
    <row r="2611" spans="1:10" ht="15" customHeight="1">
      <c r="A2611" t="str">
        <f t="shared" ca="1" si="923"/>
        <v/>
      </c>
      <c r="B2611">
        <f t="shared" si="924"/>
        <v>68</v>
      </c>
      <c r="C2611">
        <f t="shared" ca="1" si="922"/>
        <v>65</v>
      </c>
      <c r="D2611" t="str">
        <f t="shared" si="925"/>
        <v>G68</v>
      </c>
      <c r="E2611" t="str">
        <f t="shared" ca="1" si="926"/>
        <v/>
      </c>
      <c r="F2611" t="str">
        <f t="shared" ca="1" si="927"/>
        <v xml:space="preserve">Enter a 'Residential Square Footage**' for  building 65 in cell G68.
</v>
      </c>
      <c r="G2611" s="9" t="str">
        <f t="shared" ca="1" si="920"/>
        <v xml:space="preserve">Enter a value for 'Number of Floors in the Tallest Building' in cell B58.
</v>
      </c>
      <c r="H2611" s="52" t="str">
        <f t="shared" ca="1" si="928"/>
        <v>Residential Square Footage**</v>
      </c>
      <c r="I2611" s="52">
        <v>7</v>
      </c>
    </row>
    <row r="2612" spans="1:10" ht="15" customHeight="1">
      <c r="A2612" t="str">
        <f t="shared" ca="1" si="923"/>
        <v/>
      </c>
      <c r="B2612">
        <f t="shared" si="924"/>
        <v>68</v>
      </c>
      <c r="C2612">
        <f t="shared" ca="1" si="922"/>
        <v>65</v>
      </c>
      <c r="D2612" t="str">
        <f t="shared" si="925"/>
        <v>H68</v>
      </c>
      <c r="E2612" t="str">
        <f t="shared" ca="1" si="926"/>
        <v/>
      </c>
      <c r="F2612" t="str">
        <f t="shared" ca="1" si="927"/>
        <v xml:space="preserve">Enter a 'Square Footage of Employee Units' for  building 65 in cell H68.
</v>
      </c>
      <c r="G2612" s="9" t="str">
        <f t="shared" ca="1" si="920"/>
        <v xml:space="preserve">Enter a value for 'Number of Floors in the Tallest Building' in cell B58.
</v>
      </c>
      <c r="H2612" s="52" t="str">
        <f t="shared" ca="1" si="928"/>
        <v>Square Footage of Employee Units</v>
      </c>
      <c r="I2612" s="52">
        <v>8</v>
      </c>
    </row>
    <row r="2613" spans="1:10" ht="15" customHeight="1">
      <c r="A2613" t="str">
        <f t="shared" ca="1" si="923"/>
        <v/>
      </c>
      <c r="B2613">
        <f t="shared" si="924"/>
        <v>68</v>
      </c>
      <c r="C2613">
        <f t="shared" ca="1" si="922"/>
        <v>65</v>
      </c>
      <c r="D2613" t="str">
        <f t="shared" si="925"/>
        <v>I68</v>
      </c>
      <c r="E2613" t="str">
        <f t="shared" ca="1" si="926"/>
        <v/>
      </c>
      <c r="F2613" t="str">
        <f t="shared" ca="1" si="927"/>
        <v xml:space="preserve">Enter a 'Square Footage of Low-Income Units' for  building 65 in cell I68.
</v>
      </c>
      <c r="G2613" s="9" t="str">
        <f t="shared" ca="1" si="920"/>
        <v xml:space="preserve">Enter a value for 'Number of Floors in the Tallest Building' in cell B58.
</v>
      </c>
      <c r="H2613" s="52" t="str">
        <f t="shared" ca="1" si="928"/>
        <v>Square Footage of Low-Income Units</v>
      </c>
      <c r="I2613" s="52">
        <v>9</v>
      </c>
    </row>
    <row r="2614" spans="1:10" ht="15" customHeight="1">
      <c r="A2614" t="str">
        <f t="shared" ca="1" si="923"/>
        <v/>
      </c>
      <c r="B2614">
        <f t="shared" si="924"/>
        <v>68</v>
      </c>
      <c r="C2614">
        <f t="shared" ca="1" si="922"/>
        <v>65</v>
      </c>
      <c r="D2614" t="str">
        <f t="shared" si="925"/>
        <v>J68</v>
      </c>
      <c r="E2614" t="str">
        <f t="shared" ca="1" si="926"/>
        <v/>
      </c>
      <c r="F2614" t="str">
        <f t="shared" ca="1" si="927"/>
        <v xml:space="preserve">Enter a 'Placed-In-Service Date' for  building 65 in cell J68.
</v>
      </c>
      <c r="G2614" s="9" t="str">
        <f t="shared" ca="1" si="920"/>
        <v xml:space="preserve">Enter a value for 'Number of Floors in the Tallest Building' in cell B58.
</v>
      </c>
      <c r="H2614" s="52" t="str">
        <f t="shared" ca="1" si="928"/>
        <v>Placed-In-Service Date</v>
      </c>
      <c r="I2614" s="52">
        <v>10</v>
      </c>
    </row>
    <row r="2615" spans="1:10" ht="15" customHeight="1">
      <c r="A2615" t="str">
        <f t="shared" ca="1" si="923"/>
        <v/>
      </c>
      <c r="B2615">
        <f t="shared" si="924"/>
        <v>68</v>
      </c>
      <c r="C2615">
        <f t="shared" ca="1" si="922"/>
        <v>65</v>
      </c>
      <c r="D2615" t="str">
        <f t="shared" si="925"/>
        <v>K68</v>
      </c>
      <c r="E2615" t="str">
        <f t="shared" ca="1" si="926"/>
        <v/>
      </c>
      <c r="F2615" t="str">
        <f t="shared" ca="1" si="927"/>
        <v xml:space="preserve">Enter a 'New Construction/ Rehab APR' for  building 65 in cell K68.
</v>
      </c>
      <c r="G2615" s="9" t="str">
        <f t="shared" ca="1" si="920"/>
        <v xml:space="preserve">Enter a value for 'Number of Floors in the Tallest Building' in cell B58.
</v>
      </c>
      <c r="H2615" s="52" t="str">
        <f t="shared" ca="1" si="928"/>
        <v>New Construction/ Rehab APR</v>
      </c>
      <c r="I2615" s="52">
        <v>11</v>
      </c>
    </row>
    <row r="2616" spans="1:10" ht="15" customHeight="1">
      <c r="A2616" t="str">
        <f t="shared" ca="1" si="923"/>
        <v/>
      </c>
      <c r="B2616">
        <f t="shared" si="924"/>
        <v>68</v>
      </c>
      <c r="C2616">
        <f t="shared" ca="1" si="922"/>
        <v>65</v>
      </c>
      <c r="D2616" t="str">
        <f t="shared" si="925"/>
        <v>L68</v>
      </c>
      <c r="E2616" t="str">
        <f t="shared" ca="1" si="926"/>
        <v/>
      </c>
      <c r="F2616" t="str">
        <f t="shared" ca="1" si="927"/>
        <v xml:space="preserve">Enter a 'New Construction Eligible Basis' for  building 65 in cell L68.
</v>
      </c>
      <c r="G2616" s="9" t="str">
        <f t="shared" ca="1" si="920"/>
        <v xml:space="preserve">Enter a value for 'Number of Floors in the Tallest Building' in cell B58.
</v>
      </c>
      <c r="H2616" s="52" t="str">
        <f t="shared" ca="1" si="928"/>
        <v>New Construction Eligible Basis</v>
      </c>
      <c r="I2616" s="52">
        <v>12</v>
      </c>
    </row>
    <row r="2617" spans="1:10" ht="15" customHeight="1">
      <c r="A2617" t="str">
        <f ca="1">IF(AND(OFFSET(A2617, -I2617 + 2, 4) &gt;  0, E2617="", Calculations!$B$7), F2617, "")</f>
        <v/>
      </c>
      <c r="B2617">
        <f t="shared" si="924"/>
        <v>68</v>
      </c>
      <c r="C2617">
        <f t="shared" ca="1" si="922"/>
        <v>65</v>
      </c>
      <c r="D2617" t="str">
        <f t="shared" si="925"/>
        <v>M68</v>
      </c>
      <c r="E2617" t="str">
        <f t="shared" ca="1" si="926"/>
        <v/>
      </c>
      <c r="F2617" t="str">
        <f t="shared" ca="1" si="927"/>
        <v xml:space="preserve">Enter a 'Eligible Basis for Rehab' for  building 65 in cell M68.
</v>
      </c>
      <c r="G2617" s="9" t="str">
        <f t="shared" ca="1" si="920"/>
        <v xml:space="preserve">Enter a value for 'Number of Floors in the Tallest Building' in cell B58.
</v>
      </c>
      <c r="H2617" s="52" t="str">
        <f t="shared" ca="1" si="928"/>
        <v>Eligible Basis for Rehab</v>
      </c>
      <c r="I2617" s="52">
        <v>13</v>
      </c>
    </row>
    <row r="2618" spans="1:10" ht="15" customHeight="1">
      <c r="A2618" t="str">
        <f ca="1">IF(AND(OFFSET(A2618, -I2618 + 2, 4) &gt;  0, E2618="", Calculations!$B$7), F2618, "")</f>
        <v/>
      </c>
      <c r="B2618">
        <f t="shared" si="924"/>
        <v>68</v>
      </c>
      <c r="C2618">
        <f t="shared" ca="1" si="922"/>
        <v>65</v>
      </c>
      <c r="D2618" t="str">
        <f t="shared" si="925"/>
        <v>N68</v>
      </c>
      <c r="E2618" t="str">
        <f t="shared" ca="1" si="926"/>
        <v/>
      </c>
      <c r="F2618" t="str">
        <f t="shared" ca="1" si="927"/>
        <v xml:space="preserve">Enter a 'Cost of Acquiring the Building***' for  building 65 in cell N68.
</v>
      </c>
      <c r="G2618" s="9" t="str">
        <f t="shared" ca="1" si="920"/>
        <v xml:space="preserve">Enter a value for 'Number of Floors in the Tallest Building' in cell B58.
</v>
      </c>
      <c r="H2618" s="52" t="str">
        <f t="shared" ca="1" si="928"/>
        <v>Cost of Acquiring the Building***</v>
      </c>
      <c r="I2618" s="52">
        <v>14</v>
      </c>
    </row>
    <row r="2619" spans="1:10" ht="15" customHeight="1">
      <c r="A2619" t="str">
        <f ca="1">IF(AND(OFFSET(A2619, -I2619 + 2, 4) &gt;  0, E2619="", Calculations!$B$7), F2619, "")</f>
        <v/>
      </c>
      <c r="B2619">
        <f t="shared" si="924"/>
        <v>68</v>
      </c>
      <c r="C2619">
        <f t="shared" ca="1" si="922"/>
        <v>65</v>
      </c>
      <c r="D2619" t="str">
        <f t="shared" si="925"/>
        <v>O68</v>
      </c>
      <c r="E2619" t="str">
        <f t="shared" ca="1" si="926"/>
        <v/>
      </c>
      <c r="F2619" t="str">
        <f t="shared" ca="1" si="927"/>
        <v xml:space="preserve">Enter a 'Higher of Land Purchase Price or Land Appraised Value****' for  building 65 in cell O68.
</v>
      </c>
      <c r="G2619" s="9" t="str">
        <f t="shared" ca="1" si="920"/>
        <v xml:space="preserve">Enter a value for 'Number of Floors in the Tallest Building' in cell B58.
</v>
      </c>
      <c r="H2619" s="52" t="str">
        <f t="shared" ca="1" si="928"/>
        <v>Higher of Land Purchase Price or Land Appraised Value****</v>
      </c>
      <c r="I2619" s="52">
        <v>15</v>
      </c>
    </row>
    <row r="2620" spans="1:10" ht="15" customHeight="1">
      <c r="A2620" t="str">
        <f ca="1">IF(AND(OFFSET(A2620, -I2620 + 2, 4) &gt;  0, E2620="", Calculations!$B$7), F2620, "")</f>
        <v/>
      </c>
      <c r="B2620">
        <f t="shared" si="924"/>
        <v>68</v>
      </c>
      <c r="C2620">
        <f t="shared" ca="1" si="922"/>
        <v>65</v>
      </c>
      <c r="D2620" t="str">
        <f t="shared" si="925"/>
        <v>P68</v>
      </c>
      <c r="E2620" t="str">
        <f t="shared" ca="1" si="926"/>
        <v/>
      </c>
      <c r="F2620" t="str">
        <f t="shared" ca="1" si="927"/>
        <v xml:space="preserve">Enter a 'Acquisition Placed-in-Service Date' for  building 65 in cell P68.
</v>
      </c>
      <c r="G2620" s="9" t="str">
        <f t="shared" ca="1" si="920"/>
        <v xml:space="preserve">Enter a value for 'Number of Floors in the Tallest Building' in cell B58.
</v>
      </c>
      <c r="H2620" s="52" t="str">
        <f t="shared" ca="1" si="928"/>
        <v>Acquisition Placed-in-Service Date</v>
      </c>
      <c r="I2620" s="52">
        <v>16</v>
      </c>
    </row>
    <row r="2621" spans="1:10" ht="15" customHeight="1">
      <c r="A2621" t="str">
        <f ca="1">IF(AND(OFFSET(A2621, -I2621 + 2, 4) &gt;  0, E2621="", Calculations!$B$7), F2621, "")</f>
        <v/>
      </c>
      <c r="B2621">
        <f t="shared" si="924"/>
        <v>68</v>
      </c>
      <c r="C2621">
        <f t="shared" ca="1" si="922"/>
        <v>65</v>
      </c>
      <c r="D2621" t="str">
        <f t="shared" si="925"/>
        <v>Q68</v>
      </c>
      <c r="E2621" t="str">
        <f t="shared" ca="1" si="926"/>
        <v/>
      </c>
      <c r="F2621" t="str">
        <f t="shared" ca="1" si="927"/>
        <v xml:space="preserve">Enter a 'Acquisition APR' for  building 65 in cell Q68.
</v>
      </c>
      <c r="G2621" s="9" t="str">
        <f t="shared" ca="1" si="920"/>
        <v xml:space="preserve">Enter a value for 'Number of Floors in the Tallest Building' in cell B58.
</v>
      </c>
      <c r="H2621" s="52" t="str">
        <f t="shared" ca="1" si="928"/>
        <v>Acquisition APR</v>
      </c>
      <c r="I2621" s="52">
        <v>17</v>
      </c>
    </row>
    <row r="2622" spans="1:10" ht="15" customHeight="1">
      <c r="A2622" t="str">
        <f ca="1">IF(AND(Calculations!$B$4,Calculations!$B$28&gt;=C2622, E2622 &lt;&gt; 13),F2622,"")</f>
        <v/>
      </c>
      <c r="B2622">
        <f>ROW('Final Building Profile'!C69)</f>
        <v>69</v>
      </c>
      <c r="C2622">
        <f t="shared" ca="1" si="922"/>
        <v>66</v>
      </c>
      <c r="D2622" t="str">
        <f>ADDRESS(B2622, 3,4  )</f>
        <v>C69</v>
      </c>
      <c r="E2622" s="52">
        <f ca="1">H2622+I2622</f>
        <v>0</v>
      </c>
      <c r="F2622" t="str">
        <f ca="1">CONCATENATE("Based upon the number of buildings specified, information for  building ", C2622, " required for a final application in row ", B2622, ".", CHAR(10))</f>
        <v xml:space="preserve">Based upon the number of buildings specified, information for  building 66 required for a final application in row 69.
</v>
      </c>
      <c r="G2622" s="9" t="str">
        <f t="shared" ca="1" si="920"/>
        <v xml:space="preserve">Enter a value for 'Number of Floors in the Tallest Building' in cell B58.
</v>
      </c>
      <c r="H2622" s="52">
        <f ca="1">SUMPRODUCT(--ISTEXT(INDIRECT(J2622)))</f>
        <v>0</v>
      </c>
      <c r="I2622" s="52">
        <f ca="1">SUMPRODUCT(--ISNUMBER(INDIRECT(J2622)))</f>
        <v>0</v>
      </c>
      <c r="J2622" s="52" t="str">
        <f>$F$1564&amp; ADDRESS(B2622,3,4) &amp; ":" &amp; ADDRESS(B2622,15,4)</f>
        <v>'Final Building Profile'!C69:O69</v>
      </c>
    </row>
    <row r="2623" spans="1:10" ht="15" customHeight="1">
      <c r="A2623" t="str">
        <f t="shared" ref="A2623:A2632" ca="1" si="929">IF(AND(OFFSET(A2623, -I2623 + 2, 4) &gt;  0, E2623=""), F2623, "")</f>
        <v/>
      </c>
      <c r="B2623">
        <f t="shared" ref="B2623:B2637" si="930">B2622</f>
        <v>69</v>
      </c>
      <c r="C2623">
        <f t="shared" ca="1" si="922"/>
        <v>66</v>
      </c>
      <c r="D2623" t="str">
        <f t="shared" ref="D2623:D2637" si="931">ADDRESS(B2623, I2623,4  )</f>
        <v>C69</v>
      </c>
      <c r="E2623" t="str">
        <f t="shared" ref="E2623:E2637" ca="1" si="932">IF(ISBLANK( INDIRECT($F$1564 &amp; D2623)),"", INDIRECT($F$1564 &amp; D2623))</f>
        <v/>
      </c>
      <c r="F2623" t="str">
        <f t="shared" ref="F2623:F2637" ca="1" si="933">CONCATENATE("Enter a '"&amp; H2623 &amp;"' for  building ", C2623, " in cell ", D2623, ".", CHAR(10))</f>
        <v xml:space="preserve">Enter a 'Building Street Address Only 
(DO NOT ENTER CITY, STATE, OR ZIP)' for  building 66 in cell C69.
</v>
      </c>
      <c r="G2623" s="9" t="str">
        <f t="shared" ca="1" si="920"/>
        <v xml:space="preserve">Enter a value for 'Number of Floors in the Tallest Building' in cell B58.
</v>
      </c>
      <c r="H2623" s="52" t="str">
        <f t="shared" ref="H2623:H2637" ca="1" si="934">OFFSET(INDIRECT($F$1564 &amp; D2623), -B2623 + 3, 0)</f>
        <v>Building Street Address Only 
(DO NOT ENTER CITY, STATE, OR ZIP)</v>
      </c>
      <c r="I2623" s="52">
        <v>3</v>
      </c>
    </row>
    <row r="2624" spans="1:10" ht="15" customHeight="1">
      <c r="A2624" t="str">
        <f t="shared" ca="1" si="929"/>
        <v/>
      </c>
      <c r="B2624">
        <f t="shared" si="930"/>
        <v>69</v>
      </c>
      <c r="C2624">
        <f t="shared" ca="1" si="922"/>
        <v>66</v>
      </c>
      <c r="D2624" t="str">
        <f t="shared" si="931"/>
        <v>D69</v>
      </c>
      <c r="E2624" t="str">
        <f t="shared" ca="1" si="932"/>
        <v/>
      </c>
      <c r="F2624" t="str">
        <f t="shared" ca="1" si="933"/>
        <v xml:space="preserve">Enter a 'Total Units in Building*' for  building 66 in cell D69.
</v>
      </c>
      <c r="G2624" s="9" t="str">
        <f t="shared" ca="1" si="920"/>
        <v xml:space="preserve">Enter a value for 'Number of Floors in the Tallest Building' in cell B58.
</v>
      </c>
      <c r="H2624" s="52" t="str">
        <f t="shared" ca="1" si="934"/>
        <v>Total Units in Building*</v>
      </c>
      <c r="I2624" s="52">
        <v>4</v>
      </c>
    </row>
    <row r="2625" spans="1:10" ht="15" customHeight="1">
      <c r="A2625" t="str">
        <f t="shared" ca="1" si="929"/>
        <v/>
      </c>
      <c r="B2625">
        <f t="shared" si="930"/>
        <v>69</v>
      </c>
      <c r="C2625">
        <f t="shared" ca="1" si="922"/>
        <v>66</v>
      </c>
      <c r="D2625" t="str">
        <f t="shared" si="931"/>
        <v>E69</v>
      </c>
      <c r="E2625" t="str">
        <f t="shared" ca="1" si="932"/>
        <v/>
      </c>
      <c r="F2625" t="str">
        <f t="shared" ca="1" si="933"/>
        <v xml:space="preserve">Enter a 'Employee Units' for  building 66 in cell E69.
</v>
      </c>
      <c r="G2625" s="9" t="str">
        <f t="shared" ca="1" si="920"/>
        <v xml:space="preserve">Enter a value for 'Number of Floors in the Tallest Building' in cell B58.
</v>
      </c>
      <c r="H2625" s="52" t="str">
        <f t="shared" ca="1" si="934"/>
        <v>Employee Units</v>
      </c>
      <c r="I2625" s="52">
        <v>5</v>
      </c>
    </row>
    <row r="2626" spans="1:10" ht="15" customHeight="1">
      <c r="A2626" t="str">
        <f t="shared" ca="1" si="929"/>
        <v/>
      </c>
      <c r="B2626">
        <f t="shared" si="930"/>
        <v>69</v>
      </c>
      <c r="C2626">
        <f t="shared" ca="1" si="922"/>
        <v>66</v>
      </c>
      <c r="D2626" t="str">
        <f t="shared" si="931"/>
        <v>F69</v>
      </c>
      <c r="E2626" t="str">
        <f t="shared" ca="1" si="932"/>
        <v/>
      </c>
      <c r="F2626" t="str">
        <f t="shared" ca="1" si="933"/>
        <v xml:space="preserve">Enter a 'Low-Income Units' for  building 66 in cell F69.
</v>
      </c>
      <c r="G2626" s="9" t="str">
        <f t="shared" ca="1" si="920"/>
        <v xml:space="preserve">Enter a value for 'Number of Floors in the Tallest Building' in cell B58.
</v>
      </c>
      <c r="H2626" s="52" t="str">
        <f t="shared" ca="1" si="934"/>
        <v>Low-Income Units</v>
      </c>
      <c r="I2626" s="52">
        <v>6</v>
      </c>
    </row>
    <row r="2627" spans="1:10" ht="15" customHeight="1">
      <c r="A2627" t="str">
        <f t="shared" ca="1" si="929"/>
        <v/>
      </c>
      <c r="B2627">
        <f t="shared" si="930"/>
        <v>69</v>
      </c>
      <c r="C2627">
        <f t="shared" ca="1" si="922"/>
        <v>66</v>
      </c>
      <c r="D2627" t="str">
        <f t="shared" si="931"/>
        <v>G69</v>
      </c>
      <c r="E2627" t="str">
        <f t="shared" ca="1" si="932"/>
        <v/>
      </c>
      <c r="F2627" t="str">
        <f t="shared" ca="1" si="933"/>
        <v xml:space="preserve">Enter a 'Residential Square Footage**' for  building 66 in cell G69.
</v>
      </c>
      <c r="G2627" s="9" t="str">
        <f t="shared" ca="1" si="920"/>
        <v xml:space="preserve">Enter a value for 'Number of Floors in the Tallest Building' in cell B58.
</v>
      </c>
      <c r="H2627" s="52" t="str">
        <f t="shared" ca="1" si="934"/>
        <v>Residential Square Footage**</v>
      </c>
      <c r="I2627" s="52">
        <v>7</v>
      </c>
    </row>
    <row r="2628" spans="1:10" ht="15" customHeight="1">
      <c r="A2628" t="str">
        <f t="shared" ca="1" si="929"/>
        <v/>
      </c>
      <c r="B2628">
        <f t="shared" si="930"/>
        <v>69</v>
      </c>
      <c r="C2628">
        <f t="shared" ca="1" si="922"/>
        <v>66</v>
      </c>
      <c r="D2628" t="str">
        <f t="shared" si="931"/>
        <v>H69</v>
      </c>
      <c r="E2628" t="str">
        <f t="shared" ca="1" si="932"/>
        <v/>
      </c>
      <c r="F2628" t="str">
        <f t="shared" ca="1" si="933"/>
        <v xml:space="preserve">Enter a 'Square Footage of Employee Units' for  building 66 in cell H69.
</v>
      </c>
      <c r="G2628" s="9" t="str">
        <f t="shared" ca="1" si="920"/>
        <v xml:space="preserve">Enter a value for 'Number of Floors in the Tallest Building' in cell B58.
</v>
      </c>
      <c r="H2628" s="52" t="str">
        <f t="shared" ca="1" si="934"/>
        <v>Square Footage of Employee Units</v>
      </c>
      <c r="I2628" s="52">
        <v>8</v>
      </c>
    </row>
    <row r="2629" spans="1:10" ht="15" customHeight="1">
      <c r="A2629" t="str">
        <f t="shared" ca="1" si="929"/>
        <v/>
      </c>
      <c r="B2629">
        <f t="shared" si="930"/>
        <v>69</v>
      </c>
      <c r="C2629">
        <f t="shared" ca="1" si="922"/>
        <v>66</v>
      </c>
      <c r="D2629" t="str">
        <f t="shared" si="931"/>
        <v>I69</v>
      </c>
      <c r="E2629" t="str">
        <f t="shared" ca="1" si="932"/>
        <v/>
      </c>
      <c r="F2629" t="str">
        <f t="shared" ca="1" si="933"/>
        <v xml:space="preserve">Enter a 'Square Footage of Low-Income Units' for  building 66 in cell I69.
</v>
      </c>
      <c r="G2629" s="9" t="str">
        <f t="shared" ca="1" si="920"/>
        <v xml:space="preserve">Enter a value for 'Number of Floors in the Tallest Building' in cell B58.
</v>
      </c>
      <c r="H2629" s="52" t="str">
        <f t="shared" ca="1" si="934"/>
        <v>Square Footage of Low-Income Units</v>
      </c>
      <c r="I2629" s="52">
        <v>9</v>
      </c>
    </row>
    <row r="2630" spans="1:10" ht="15" customHeight="1">
      <c r="A2630" t="str">
        <f t="shared" ca="1" si="929"/>
        <v/>
      </c>
      <c r="B2630">
        <f t="shared" si="930"/>
        <v>69</v>
      </c>
      <c r="C2630">
        <f t="shared" ca="1" si="922"/>
        <v>66</v>
      </c>
      <c r="D2630" t="str">
        <f t="shared" si="931"/>
        <v>J69</v>
      </c>
      <c r="E2630" t="str">
        <f t="shared" ca="1" si="932"/>
        <v/>
      </c>
      <c r="F2630" t="str">
        <f t="shared" ca="1" si="933"/>
        <v xml:space="preserve">Enter a 'Placed-In-Service Date' for  building 66 in cell J69.
</v>
      </c>
      <c r="G2630" s="9" t="str">
        <f t="shared" ca="1" si="920"/>
        <v xml:space="preserve">Enter a value for 'Number of Floors in the Tallest Building' in cell B58.
</v>
      </c>
      <c r="H2630" s="52" t="str">
        <f t="shared" ca="1" si="934"/>
        <v>Placed-In-Service Date</v>
      </c>
      <c r="I2630" s="52">
        <v>10</v>
      </c>
    </row>
    <row r="2631" spans="1:10" ht="15" customHeight="1">
      <c r="A2631" t="str">
        <f t="shared" ca="1" si="929"/>
        <v/>
      </c>
      <c r="B2631">
        <f t="shared" si="930"/>
        <v>69</v>
      </c>
      <c r="C2631">
        <f t="shared" ca="1" si="922"/>
        <v>66</v>
      </c>
      <c r="D2631" t="str">
        <f t="shared" si="931"/>
        <v>K69</v>
      </c>
      <c r="E2631" t="str">
        <f t="shared" ca="1" si="932"/>
        <v/>
      </c>
      <c r="F2631" t="str">
        <f t="shared" ca="1" si="933"/>
        <v xml:space="preserve">Enter a 'New Construction/ Rehab APR' for  building 66 in cell K69.
</v>
      </c>
      <c r="G2631" s="9" t="str">
        <f t="shared" ca="1" si="920"/>
        <v xml:space="preserve">Enter a value for 'Number of Floors in the Tallest Building' in cell B58.
</v>
      </c>
      <c r="H2631" s="52" t="str">
        <f t="shared" ca="1" si="934"/>
        <v>New Construction/ Rehab APR</v>
      </c>
      <c r="I2631" s="52">
        <v>11</v>
      </c>
    </row>
    <row r="2632" spans="1:10" ht="15" customHeight="1">
      <c r="A2632" t="str">
        <f t="shared" ca="1" si="929"/>
        <v/>
      </c>
      <c r="B2632">
        <f t="shared" si="930"/>
        <v>69</v>
      </c>
      <c r="C2632">
        <f t="shared" ca="1" si="922"/>
        <v>66</v>
      </c>
      <c r="D2632" t="str">
        <f t="shared" si="931"/>
        <v>L69</v>
      </c>
      <c r="E2632" t="str">
        <f t="shared" ca="1" si="932"/>
        <v/>
      </c>
      <c r="F2632" t="str">
        <f t="shared" ca="1" si="933"/>
        <v xml:space="preserve">Enter a 'New Construction Eligible Basis' for  building 66 in cell L69.
</v>
      </c>
      <c r="G2632" s="9" t="str">
        <f t="shared" ca="1" si="920"/>
        <v xml:space="preserve">Enter a value for 'Number of Floors in the Tallest Building' in cell B58.
</v>
      </c>
      <c r="H2632" s="52" t="str">
        <f t="shared" ca="1" si="934"/>
        <v>New Construction Eligible Basis</v>
      </c>
      <c r="I2632" s="52">
        <v>12</v>
      </c>
    </row>
    <row r="2633" spans="1:10" ht="15" customHeight="1">
      <c r="A2633" t="str">
        <f ca="1">IF(AND(OFFSET(A2633, -I2633 + 2, 4) &gt;  0, E2633="", Calculations!$B$7), F2633, "")</f>
        <v/>
      </c>
      <c r="B2633">
        <f t="shared" si="930"/>
        <v>69</v>
      </c>
      <c r="C2633">
        <f t="shared" ca="1" si="922"/>
        <v>66</v>
      </c>
      <c r="D2633" t="str">
        <f t="shared" si="931"/>
        <v>M69</v>
      </c>
      <c r="E2633" t="str">
        <f t="shared" ca="1" si="932"/>
        <v/>
      </c>
      <c r="F2633" t="str">
        <f t="shared" ca="1" si="933"/>
        <v xml:space="preserve">Enter a 'Eligible Basis for Rehab' for  building 66 in cell M69.
</v>
      </c>
      <c r="G2633" s="9" t="str">
        <f t="shared" ca="1" si="920"/>
        <v xml:space="preserve">Enter a value for 'Number of Floors in the Tallest Building' in cell B58.
</v>
      </c>
      <c r="H2633" s="52" t="str">
        <f t="shared" ca="1" si="934"/>
        <v>Eligible Basis for Rehab</v>
      </c>
      <c r="I2633" s="52">
        <v>13</v>
      </c>
    </row>
    <row r="2634" spans="1:10" ht="15" customHeight="1">
      <c r="A2634" t="str">
        <f ca="1">IF(AND(OFFSET(A2634, -I2634 + 2, 4) &gt;  0, E2634="", Calculations!$B$7), F2634, "")</f>
        <v/>
      </c>
      <c r="B2634">
        <f t="shared" si="930"/>
        <v>69</v>
      </c>
      <c r="C2634">
        <f t="shared" ca="1" si="922"/>
        <v>66</v>
      </c>
      <c r="D2634" t="str">
        <f t="shared" si="931"/>
        <v>N69</v>
      </c>
      <c r="E2634" t="str">
        <f t="shared" ca="1" si="932"/>
        <v/>
      </c>
      <c r="F2634" t="str">
        <f t="shared" ca="1" si="933"/>
        <v xml:space="preserve">Enter a 'Cost of Acquiring the Building***' for  building 66 in cell N69.
</v>
      </c>
      <c r="G2634" s="9" t="str">
        <f t="shared" ca="1" si="920"/>
        <v xml:space="preserve">Enter a value for 'Number of Floors in the Tallest Building' in cell B58.
</v>
      </c>
      <c r="H2634" s="52" t="str">
        <f t="shared" ca="1" si="934"/>
        <v>Cost of Acquiring the Building***</v>
      </c>
      <c r="I2634" s="52">
        <v>14</v>
      </c>
    </row>
    <row r="2635" spans="1:10" ht="15" customHeight="1">
      <c r="A2635" t="str">
        <f ca="1">IF(AND(OFFSET(A2635, -I2635 + 2, 4) &gt;  0, E2635="", Calculations!$B$7), F2635, "")</f>
        <v/>
      </c>
      <c r="B2635">
        <f t="shared" si="930"/>
        <v>69</v>
      </c>
      <c r="C2635">
        <f t="shared" ca="1" si="922"/>
        <v>66</v>
      </c>
      <c r="D2635" t="str">
        <f t="shared" si="931"/>
        <v>O69</v>
      </c>
      <c r="E2635" t="str">
        <f t="shared" ca="1" si="932"/>
        <v/>
      </c>
      <c r="F2635" t="str">
        <f t="shared" ca="1" si="933"/>
        <v xml:space="preserve">Enter a 'Higher of Land Purchase Price or Land Appraised Value****' for  building 66 in cell O69.
</v>
      </c>
      <c r="G2635" s="9" t="str">
        <f t="shared" ca="1" si="920"/>
        <v xml:space="preserve">Enter a value for 'Number of Floors in the Tallest Building' in cell B58.
</v>
      </c>
      <c r="H2635" s="52" t="str">
        <f t="shared" ca="1" si="934"/>
        <v>Higher of Land Purchase Price or Land Appraised Value****</v>
      </c>
      <c r="I2635" s="52">
        <v>15</v>
      </c>
    </row>
    <row r="2636" spans="1:10" ht="15" customHeight="1">
      <c r="A2636" t="str">
        <f ca="1">IF(AND(OFFSET(A2636, -I2636 + 2, 4) &gt;  0, E2636="", Calculations!$B$7), F2636, "")</f>
        <v/>
      </c>
      <c r="B2636">
        <f t="shared" si="930"/>
        <v>69</v>
      </c>
      <c r="C2636">
        <f t="shared" ca="1" si="922"/>
        <v>66</v>
      </c>
      <c r="D2636" t="str">
        <f t="shared" si="931"/>
        <v>P69</v>
      </c>
      <c r="E2636" t="str">
        <f t="shared" ca="1" si="932"/>
        <v/>
      </c>
      <c r="F2636" t="str">
        <f t="shared" ca="1" si="933"/>
        <v xml:space="preserve">Enter a 'Acquisition Placed-in-Service Date' for  building 66 in cell P69.
</v>
      </c>
      <c r="G2636" s="9" t="str">
        <f t="shared" ca="1" si="920"/>
        <v xml:space="preserve">Enter a value for 'Number of Floors in the Tallest Building' in cell B58.
</v>
      </c>
      <c r="H2636" s="52" t="str">
        <f t="shared" ca="1" si="934"/>
        <v>Acquisition Placed-in-Service Date</v>
      </c>
      <c r="I2636" s="52">
        <v>16</v>
      </c>
    </row>
    <row r="2637" spans="1:10" ht="15" customHeight="1">
      <c r="A2637" t="str">
        <f ca="1">IF(AND(OFFSET(A2637, -I2637 + 2, 4) &gt;  0, E2637="", Calculations!$B$7), F2637, "")</f>
        <v/>
      </c>
      <c r="B2637">
        <f t="shared" si="930"/>
        <v>69</v>
      </c>
      <c r="C2637">
        <f t="shared" ca="1" si="922"/>
        <v>66</v>
      </c>
      <c r="D2637" t="str">
        <f t="shared" si="931"/>
        <v>Q69</v>
      </c>
      <c r="E2637" t="str">
        <f t="shared" ca="1" si="932"/>
        <v/>
      </c>
      <c r="F2637" t="str">
        <f t="shared" ca="1" si="933"/>
        <v xml:space="preserve">Enter a 'Acquisition APR' for  building 66 in cell Q69.
</v>
      </c>
      <c r="G2637" s="9" t="str">
        <f t="shared" ca="1" si="920"/>
        <v xml:space="preserve">Enter a value for 'Number of Floors in the Tallest Building' in cell B58.
</v>
      </c>
      <c r="H2637" s="52" t="str">
        <f t="shared" ca="1" si="934"/>
        <v>Acquisition APR</v>
      </c>
      <c r="I2637" s="52">
        <v>17</v>
      </c>
    </row>
    <row r="2638" spans="1:10" ht="15" customHeight="1">
      <c r="A2638" t="str">
        <f ca="1">IF(AND(Calculations!$B$4,Calculations!$B$28&gt;=C2638, E2638 &lt;&gt; 13),F2638,"")</f>
        <v/>
      </c>
      <c r="B2638">
        <f>ROW('Final Building Profile'!C70)</f>
        <v>70</v>
      </c>
      <c r="C2638">
        <f t="shared" ca="1" si="922"/>
        <v>67</v>
      </c>
      <c r="D2638" t="str">
        <f>ADDRESS(B2638, 3,4  )</f>
        <v>C70</v>
      </c>
      <c r="E2638" s="52">
        <f ca="1">H2638+I2638</f>
        <v>0</v>
      </c>
      <c r="F2638" t="str">
        <f ca="1">CONCATENATE("Based upon the number of buildings specified, information for  building ", C2638, " required for a final application in row ", B2638, ".", CHAR(10))</f>
        <v xml:space="preserve">Based upon the number of buildings specified, information for  building 67 required for a final application in row 70.
</v>
      </c>
      <c r="G2638" s="9" t="str">
        <f t="shared" ca="1" si="920"/>
        <v xml:space="preserve">Enter a value for 'Number of Floors in the Tallest Building' in cell B58.
</v>
      </c>
      <c r="H2638" s="52">
        <f ca="1">SUMPRODUCT(--ISTEXT(INDIRECT(J2638)))</f>
        <v>0</v>
      </c>
      <c r="I2638" s="52">
        <f ca="1">SUMPRODUCT(--ISNUMBER(INDIRECT(J2638)))</f>
        <v>0</v>
      </c>
      <c r="J2638" s="52" t="str">
        <f>$F$1564&amp; ADDRESS(B2638,3,4) &amp; ":" &amp; ADDRESS(B2638,15,4)</f>
        <v>'Final Building Profile'!C70:O70</v>
      </c>
    </row>
    <row r="2639" spans="1:10" ht="15" customHeight="1">
      <c r="A2639" t="str">
        <f t="shared" ref="A2639:A2648" ca="1" si="935">IF(AND(OFFSET(A2639, -I2639 + 2, 4) &gt;  0, E2639=""), F2639, "")</f>
        <v/>
      </c>
      <c r="B2639">
        <f t="shared" ref="B2639:B2653" si="936">B2638</f>
        <v>70</v>
      </c>
      <c r="C2639">
        <f t="shared" ca="1" si="922"/>
        <v>67</v>
      </c>
      <c r="D2639" t="str">
        <f t="shared" ref="D2639:D2653" si="937">ADDRESS(B2639, I2639,4  )</f>
        <v>C70</v>
      </c>
      <c r="E2639" t="str">
        <f t="shared" ref="E2639:E2653" ca="1" si="938">IF(ISBLANK( INDIRECT($F$1564 &amp; D2639)),"", INDIRECT($F$1564 &amp; D2639))</f>
        <v/>
      </c>
      <c r="F2639" t="str">
        <f t="shared" ref="F2639:F2653" ca="1" si="939">CONCATENATE("Enter a '"&amp; H2639 &amp;"' for  building ", C2639, " in cell ", D2639, ".", CHAR(10))</f>
        <v xml:space="preserve">Enter a 'Building Street Address Only 
(DO NOT ENTER CITY, STATE, OR ZIP)' for  building 67 in cell C70.
</v>
      </c>
      <c r="G2639" s="9" t="str">
        <f t="shared" ca="1" si="920"/>
        <v xml:space="preserve">Enter a value for 'Number of Floors in the Tallest Building' in cell B58.
</v>
      </c>
      <c r="H2639" s="52" t="str">
        <f t="shared" ref="H2639:H2653" ca="1" si="940">OFFSET(INDIRECT($F$1564 &amp; D2639), -B2639 + 3, 0)</f>
        <v>Building Street Address Only 
(DO NOT ENTER CITY, STATE, OR ZIP)</v>
      </c>
      <c r="I2639" s="52">
        <v>3</v>
      </c>
    </row>
    <row r="2640" spans="1:10" ht="15" customHeight="1">
      <c r="A2640" t="str">
        <f t="shared" ca="1" si="935"/>
        <v/>
      </c>
      <c r="B2640">
        <f t="shared" si="936"/>
        <v>70</v>
      </c>
      <c r="C2640">
        <f t="shared" ca="1" si="922"/>
        <v>67</v>
      </c>
      <c r="D2640" t="str">
        <f t="shared" si="937"/>
        <v>D70</v>
      </c>
      <c r="E2640" t="str">
        <f t="shared" ca="1" si="938"/>
        <v/>
      </c>
      <c r="F2640" t="str">
        <f t="shared" ca="1" si="939"/>
        <v xml:space="preserve">Enter a 'Total Units in Building*' for  building 67 in cell D70.
</v>
      </c>
      <c r="G2640" s="9" t="str">
        <f t="shared" ca="1" si="920"/>
        <v xml:space="preserve">Enter a value for 'Number of Floors in the Tallest Building' in cell B58.
</v>
      </c>
      <c r="H2640" s="52" t="str">
        <f t="shared" ca="1" si="940"/>
        <v>Total Units in Building*</v>
      </c>
      <c r="I2640" s="52">
        <v>4</v>
      </c>
    </row>
    <row r="2641" spans="1:10" ht="15" customHeight="1">
      <c r="A2641" t="str">
        <f t="shared" ca="1" si="935"/>
        <v/>
      </c>
      <c r="B2641">
        <f t="shared" si="936"/>
        <v>70</v>
      </c>
      <c r="C2641">
        <f t="shared" ca="1" si="922"/>
        <v>67</v>
      </c>
      <c r="D2641" t="str">
        <f t="shared" si="937"/>
        <v>E70</v>
      </c>
      <c r="E2641" t="str">
        <f t="shared" ca="1" si="938"/>
        <v/>
      </c>
      <c r="F2641" t="str">
        <f t="shared" ca="1" si="939"/>
        <v xml:space="preserve">Enter a 'Employee Units' for  building 67 in cell E70.
</v>
      </c>
      <c r="G2641" s="9" t="str">
        <f t="shared" ca="1" si="920"/>
        <v xml:space="preserve">Enter a value for 'Number of Floors in the Tallest Building' in cell B58.
</v>
      </c>
      <c r="H2641" s="52" t="str">
        <f t="shared" ca="1" si="940"/>
        <v>Employee Units</v>
      </c>
      <c r="I2641" s="52">
        <v>5</v>
      </c>
    </row>
    <row r="2642" spans="1:10" ht="15" customHeight="1">
      <c r="A2642" t="str">
        <f t="shared" ca="1" si="935"/>
        <v/>
      </c>
      <c r="B2642">
        <f t="shared" si="936"/>
        <v>70</v>
      </c>
      <c r="C2642">
        <f t="shared" ca="1" si="922"/>
        <v>67</v>
      </c>
      <c r="D2642" t="str">
        <f t="shared" si="937"/>
        <v>F70</v>
      </c>
      <c r="E2642" t="str">
        <f t="shared" ca="1" si="938"/>
        <v/>
      </c>
      <c r="F2642" t="str">
        <f t="shared" ca="1" si="939"/>
        <v xml:space="preserve">Enter a 'Low-Income Units' for  building 67 in cell F70.
</v>
      </c>
      <c r="G2642" s="9" t="str">
        <f t="shared" ca="1" si="920"/>
        <v xml:space="preserve">Enter a value for 'Number of Floors in the Tallest Building' in cell B58.
</v>
      </c>
      <c r="H2642" s="52" t="str">
        <f t="shared" ca="1" si="940"/>
        <v>Low-Income Units</v>
      </c>
      <c r="I2642" s="52">
        <v>6</v>
      </c>
    </row>
    <row r="2643" spans="1:10" ht="15" customHeight="1">
      <c r="A2643" t="str">
        <f t="shared" ca="1" si="935"/>
        <v/>
      </c>
      <c r="B2643">
        <f t="shared" si="936"/>
        <v>70</v>
      </c>
      <c r="C2643">
        <f t="shared" ca="1" si="922"/>
        <v>67</v>
      </c>
      <c r="D2643" t="str">
        <f t="shared" si="937"/>
        <v>G70</v>
      </c>
      <c r="E2643" t="str">
        <f t="shared" ca="1" si="938"/>
        <v/>
      </c>
      <c r="F2643" t="str">
        <f t="shared" ca="1" si="939"/>
        <v xml:space="preserve">Enter a 'Residential Square Footage**' for  building 67 in cell G70.
</v>
      </c>
      <c r="G2643" s="9" t="str">
        <f t="shared" ca="1" si="920"/>
        <v xml:space="preserve">Enter a value for 'Number of Floors in the Tallest Building' in cell B58.
</v>
      </c>
      <c r="H2643" s="52" t="str">
        <f t="shared" ca="1" si="940"/>
        <v>Residential Square Footage**</v>
      </c>
      <c r="I2643" s="52">
        <v>7</v>
      </c>
    </row>
    <row r="2644" spans="1:10" ht="15" customHeight="1">
      <c r="A2644" t="str">
        <f t="shared" ca="1" si="935"/>
        <v/>
      </c>
      <c r="B2644">
        <f t="shared" si="936"/>
        <v>70</v>
      </c>
      <c r="C2644">
        <f t="shared" ca="1" si="922"/>
        <v>67</v>
      </c>
      <c r="D2644" t="str">
        <f t="shared" si="937"/>
        <v>H70</v>
      </c>
      <c r="E2644" t="str">
        <f t="shared" ca="1" si="938"/>
        <v/>
      </c>
      <c r="F2644" t="str">
        <f t="shared" ca="1" si="939"/>
        <v xml:space="preserve">Enter a 'Square Footage of Employee Units' for  building 67 in cell H70.
</v>
      </c>
      <c r="G2644" s="9" t="str">
        <f t="shared" ca="1" si="920"/>
        <v xml:space="preserve">Enter a value for 'Number of Floors in the Tallest Building' in cell B58.
</v>
      </c>
      <c r="H2644" s="52" t="str">
        <f t="shared" ca="1" si="940"/>
        <v>Square Footage of Employee Units</v>
      </c>
      <c r="I2644" s="52">
        <v>8</v>
      </c>
    </row>
    <row r="2645" spans="1:10" ht="15" customHeight="1">
      <c r="A2645" t="str">
        <f t="shared" ca="1" si="935"/>
        <v/>
      </c>
      <c r="B2645">
        <f t="shared" si="936"/>
        <v>70</v>
      </c>
      <c r="C2645">
        <f t="shared" ca="1" si="922"/>
        <v>67</v>
      </c>
      <c r="D2645" t="str">
        <f t="shared" si="937"/>
        <v>I70</v>
      </c>
      <c r="E2645" t="str">
        <f t="shared" ca="1" si="938"/>
        <v/>
      </c>
      <c r="F2645" t="str">
        <f t="shared" ca="1" si="939"/>
        <v xml:space="preserve">Enter a 'Square Footage of Low-Income Units' for  building 67 in cell I70.
</v>
      </c>
      <c r="G2645" s="9" t="str">
        <f t="shared" ca="1" si="920"/>
        <v xml:space="preserve">Enter a value for 'Number of Floors in the Tallest Building' in cell B58.
</v>
      </c>
      <c r="H2645" s="52" t="str">
        <f t="shared" ca="1" si="940"/>
        <v>Square Footage of Low-Income Units</v>
      </c>
      <c r="I2645" s="52">
        <v>9</v>
      </c>
    </row>
    <row r="2646" spans="1:10" ht="15" customHeight="1">
      <c r="A2646" t="str">
        <f t="shared" ca="1" si="935"/>
        <v/>
      </c>
      <c r="B2646">
        <f t="shared" si="936"/>
        <v>70</v>
      </c>
      <c r="C2646">
        <f t="shared" ca="1" si="922"/>
        <v>67</v>
      </c>
      <c r="D2646" t="str">
        <f t="shared" si="937"/>
        <v>J70</v>
      </c>
      <c r="E2646" t="str">
        <f t="shared" ca="1" si="938"/>
        <v/>
      </c>
      <c r="F2646" t="str">
        <f t="shared" ca="1" si="939"/>
        <v xml:space="preserve">Enter a 'Placed-In-Service Date' for  building 67 in cell J70.
</v>
      </c>
      <c r="G2646" s="9" t="str">
        <f t="shared" ca="1" si="920"/>
        <v xml:space="preserve">Enter a value for 'Number of Floors in the Tallest Building' in cell B58.
</v>
      </c>
      <c r="H2646" s="52" t="str">
        <f t="shared" ca="1" si="940"/>
        <v>Placed-In-Service Date</v>
      </c>
      <c r="I2646" s="52">
        <v>10</v>
      </c>
    </row>
    <row r="2647" spans="1:10" ht="15" customHeight="1">
      <c r="A2647" t="str">
        <f t="shared" ca="1" si="935"/>
        <v/>
      </c>
      <c r="B2647">
        <f t="shared" si="936"/>
        <v>70</v>
      </c>
      <c r="C2647">
        <f t="shared" ca="1" si="922"/>
        <v>67</v>
      </c>
      <c r="D2647" t="str">
        <f t="shared" si="937"/>
        <v>K70</v>
      </c>
      <c r="E2647" t="str">
        <f t="shared" ca="1" si="938"/>
        <v/>
      </c>
      <c r="F2647" t="str">
        <f t="shared" ca="1" si="939"/>
        <v xml:space="preserve">Enter a 'New Construction/ Rehab APR' for  building 67 in cell K70.
</v>
      </c>
      <c r="G2647" s="9" t="str">
        <f t="shared" ca="1" si="920"/>
        <v xml:space="preserve">Enter a value for 'Number of Floors in the Tallest Building' in cell B58.
</v>
      </c>
      <c r="H2647" s="52" t="str">
        <f t="shared" ca="1" si="940"/>
        <v>New Construction/ Rehab APR</v>
      </c>
      <c r="I2647" s="52">
        <v>11</v>
      </c>
    </row>
    <row r="2648" spans="1:10" ht="15" customHeight="1">
      <c r="A2648" t="str">
        <f t="shared" ca="1" si="935"/>
        <v/>
      </c>
      <c r="B2648">
        <f t="shared" si="936"/>
        <v>70</v>
      </c>
      <c r="C2648">
        <f t="shared" ca="1" si="922"/>
        <v>67</v>
      </c>
      <c r="D2648" t="str">
        <f t="shared" si="937"/>
        <v>L70</v>
      </c>
      <c r="E2648" t="str">
        <f t="shared" ca="1" si="938"/>
        <v/>
      </c>
      <c r="F2648" t="str">
        <f t="shared" ca="1" si="939"/>
        <v xml:space="preserve">Enter a 'New Construction Eligible Basis' for  building 67 in cell L70.
</v>
      </c>
      <c r="G2648" s="9" t="str">
        <f t="shared" ca="1" si="920"/>
        <v xml:space="preserve">Enter a value for 'Number of Floors in the Tallest Building' in cell B58.
</v>
      </c>
      <c r="H2648" s="52" t="str">
        <f t="shared" ca="1" si="940"/>
        <v>New Construction Eligible Basis</v>
      </c>
      <c r="I2648" s="52">
        <v>12</v>
      </c>
    </row>
    <row r="2649" spans="1:10" ht="15" customHeight="1">
      <c r="A2649" t="str">
        <f ca="1">IF(AND(OFFSET(A2649, -I2649 + 2, 4) &gt;  0, E2649="", Calculations!$B$7), F2649, "")</f>
        <v/>
      </c>
      <c r="B2649">
        <f t="shared" si="936"/>
        <v>70</v>
      </c>
      <c r="C2649">
        <f t="shared" ca="1" si="922"/>
        <v>67</v>
      </c>
      <c r="D2649" t="str">
        <f t="shared" si="937"/>
        <v>M70</v>
      </c>
      <c r="E2649" t="str">
        <f t="shared" ca="1" si="938"/>
        <v/>
      </c>
      <c r="F2649" t="str">
        <f t="shared" ca="1" si="939"/>
        <v xml:space="preserve">Enter a 'Eligible Basis for Rehab' for  building 67 in cell M70.
</v>
      </c>
      <c r="G2649" s="9" t="str">
        <f t="shared" ca="1" si="920"/>
        <v xml:space="preserve">Enter a value for 'Number of Floors in the Tallest Building' in cell B58.
</v>
      </c>
      <c r="H2649" s="52" t="str">
        <f t="shared" ca="1" si="940"/>
        <v>Eligible Basis for Rehab</v>
      </c>
      <c r="I2649" s="52">
        <v>13</v>
      </c>
    </row>
    <row r="2650" spans="1:10" ht="15" customHeight="1">
      <c r="A2650" t="str">
        <f ca="1">IF(AND(OFFSET(A2650, -I2650 + 2, 4) &gt;  0, E2650="", Calculations!$B$7), F2650, "")</f>
        <v/>
      </c>
      <c r="B2650">
        <f t="shared" si="936"/>
        <v>70</v>
      </c>
      <c r="C2650">
        <f t="shared" ca="1" si="922"/>
        <v>67</v>
      </c>
      <c r="D2650" t="str">
        <f t="shared" si="937"/>
        <v>N70</v>
      </c>
      <c r="E2650" t="str">
        <f t="shared" ca="1" si="938"/>
        <v/>
      </c>
      <c r="F2650" t="str">
        <f t="shared" ca="1" si="939"/>
        <v xml:space="preserve">Enter a 'Cost of Acquiring the Building***' for  building 67 in cell N70.
</v>
      </c>
      <c r="G2650" s="9" t="str">
        <f t="shared" ca="1" si="920"/>
        <v xml:space="preserve">Enter a value for 'Number of Floors in the Tallest Building' in cell B58.
</v>
      </c>
      <c r="H2650" s="52" t="str">
        <f t="shared" ca="1" si="940"/>
        <v>Cost of Acquiring the Building***</v>
      </c>
      <c r="I2650" s="52">
        <v>14</v>
      </c>
    </row>
    <row r="2651" spans="1:10" ht="15" customHeight="1">
      <c r="A2651" t="str">
        <f ca="1">IF(AND(OFFSET(A2651, -I2651 + 2, 4) &gt;  0, E2651="", Calculations!$B$7), F2651, "")</f>
        <v/>
      </c>
      <c r="B2651">
        <f t="shared" si="936"/>
        <v>70</v>
      </c>
      <c r="C2651">
        <f t="shared" ca="1" si="922"/>
        <v>67</v>
      </c>
      <c r="D2651" t="str">
        <f t="shared" si="937"/>
        <v>O70</v>
      </c>
      <c r="E2651" t="str">
        <f t="shared" ca="1" si="938"/>
        <v/>
      </c>
      <c r="F2651" t="str">
        <f t="shared" ca="1" si="939"/>
        <v xml:space="preserve">Enter a 'Higher of Land Purchase Price or Land Appraised Value****' for  building 67 in cell O70.
</v>
      </c>
      <c r="G2651" s="9" t="str">
        <f t="shared" ca="1" si="920"/>
        <v xml:space="preserve">Enter a value for 'Number of Floors in the Tallest Building' in cell B58.
</v>
      </c>
      <c r="H2651" s="52" t="str">
        <f t="shared" ca="1" si="940"/>
        <v>Higher of Land Purchase Price or Land Appraised Value****</v>
      </c>
      <c r="I2651" s="52">
        <v>15</v>
      </c>
    </row>
    <row r="2652" spans="1:10" ht="15" customHeight="1">
      <c r="A2652" t="str">
        <f ca="1">IF(AND(OFFSET(A2652, -I2652 + 2, 4) &gt;  0, E2652="", Calculations!$B$7), F2652, "")</f>
        <v/>
      </c>
      <c r="B2652">
        <f t="shared" si="936"/>
        <v>70</v>
      </c>
      <c r="C2652">
        <f t="shared" ca="1" si="922"/>
        <v>67</v>
      </c>
      <c r="D2652" t="str">
        <f t="shared" si="937"/>
        <v>P70</v>
      </c>
      <c r="E2652" t="str">
        <f t="shared" ca="1" si="938"/>
        <v/>
      </c>
      <c r="F2652" t="str">
        <f t="shared" ca="1" si="939"/>
        <v xml:space="preserve">Enter a 'Acquisition Placed-in-Service Date' for  building 67 in cell P70.
</v>
      </c>
      <c r="G2652" s="9" t="str">
        <f t="shared" ca="1" si="920"/>
        <v xml:space="preserve">Enter a value for 'Number of Floors in the Tallest Building' in cell B58.
</v>
      </c>
      <c r="H2652" s="52" t="str">
        <f t="shared" ca="1" si="940"/>
        <v>Acquisition Placed-in-Service Date</v>
      </c>
      <c r="I2652" s="52">
        <v>16</v>
      </c>
    </row>
    <row r="2653" spans="1:10" ht="15" customHeight="1">
      <c r="A2653" t="str">
        <f ca="1">IF(AND(OFFSET(A2653, -I2653 + 2, 4) &gt;  0, E2653="", Calculations!$B$7), F2653, "")</f>
        <v/>
      </c>
      <c r="B2653">
        <f t="shared" si="936"/>
        <v>70</v>
      </c>
      <c r="C2653">
        <f t="shared" ca="1" si="922"/>
        <v>67</v>
      </c>
      <c r="D2653" t="str">
        <f t="shared" si="937"/>
        <v>Q70</v>
      </c>
      <c r="E2653" t="str">
        <f t="shared" ca="1" si="938"/>
        <v/>
      </c>
      <c r="F2653" t="str">
        <f t="shared" ca="1" si="939"/>
        <v xml:space="preserve">Enter a 'Acquisition APR' for  building 67 in cell Q70.
</v>
      </c>
      <c r="G2653" s="9" t="str">
        <f t="shared" ca="1" si="920"/>
        <v xml:space="preserve">Enter a value for 'Number of Floors in the Tallest Building' in cell B58.
</v>
      </c>
      <c r="H2653" s="52" t="str">
        <f t="shared" ca="1" si="940"/>
        <v>Acquisition APR</v>
      </c>
      <c r="I2653" s="52">
        <v>17</v>
      </c>
    </row>
    <row r="2654" spans="1:10" ht="15" customHeight="1">
      <c r="A2654" t="str">
        <f ca="1">IF(AND(Calculations!$B$4,Calculations!$B$28&gt;=C2654, E2654 &lt;&gt; 13),F2654,"")</f>
        <v/>
      </c>
      <c r="B2654">
        <f>ROW('Final Building Profile'!C71)</f>
        <v>71</v>
      </c>
      <c r="C2654">
        <f t="shared" ca="1" si="922"/>
        <v>68</v>
      </c>
      <c r="D2654" t="str">
        <f>ADDRESS(B2654, 3,4  )</f>
        <v>C71</v>
      </c>
      <c r="E2654" s="52">
        <f ca="1">H2654+I2654</f>
        <v>0</v>
      </c>
      <c r="F2654" t="str">
        <f ca="1">CONCATENATE("Based upon the number of buildings specified, information for  building ", C2654, " required for a final application in row ", B2654, ".", CHAR(10))</f>
        <v xml:space="preserve">Based upon the number of buildings specified, information for  building 68 required for a final application in row 71.
</v>
      </c>
      <c r="G2654" s="9" t="str">
        <f t="shared" ca="1" si="920"/>
        <v xml:space="preserve">Enter a value for 'Number of Floors in the Tallest Building' in cell B58.
</v>
      </c>
      <c r="H2654" s="52">
        <f ca="1">SUMPRODUCT(--ISTEXT(INDIRECT(J2654)))</f>
        <v>0</v>
      </c>
      <c r="I2654" s="52">
        <f ca="1">SUMPRODUCT(--ISNUMBER(INDIRECT(J2654)))</f>
        <v>0</v>
      </c>
      <c r="J2654" s="52" t="str">
        <f>$F$1564&amp; ADDRESS(B2654,3,4) &amp; ":" &amp; ADDRESS(B2654,15,4)</f>
        <v>'Final Building Profile'!C71:O71</v>
      </c>
    </row>
    <row r="2655" spans="1:10" ht="15" customHeight="1">
      <c r="A2655" t="str">
        <f t="shared" ref="A2655:A2664" ca="1" si="941">IF(AND(OFFSET(A2655, -I2655 + 2, 4) &gt;  0, E2655=""), F2655, "")</f>
        <v/>
      </c>
      <c r="B2655">
        <f t="shared" ref="B2655:B2669" si="942">B2654</f>
        <v>71</v>
      </c>
      <c r="C2655">
        <f t="shared" ca="1" si="922"/>
        <v>68</v>
      </c>
      <c r="D2655" t="str">
        <f t="shared" ref="D2655:D2669" si="943">ADDRESS(B2655, I2655,4  )</f>
        <v>C71</v>
      </c>
      <c r="E2655" t="str">
        <f t="shared" ref="E2655:E2669" ca="1" si="944">IF(ISBLANK( INDIRECT($F$1564 &amp; D2655)),"", INDIRECT($F$1564 &amp; D2655))</f>
        <v/>
      </c>
      <c r="F2655" t="str">
        <f t="shared" ref="F2655:F2669" ca="1" si="945">CONCATENATE("Enter a '"&amp; H2655 &amp;"' for  building ", C2655, " in cell ", D2655, ".", CHAR(10))</f>
        <v xml:space="preserve">Enter a 'Building Street Address Only 
(DO NOT ENTER CITY, STATE, OR ZIP)' for  building 68 in cell C71.
</v>
      </c>
      <c r="G2655" s="9" t="str">
        <f t="shared" ref="G2655:G2718" ca="1" si="946">OFFSET(G2655, -1, 0) &amp; A2655</f>
        <v xml:space="preserve">Enter a value for 'Number of Floors in the Tallest Building' in cell B58.
</v>
      </c>
      <c r="H2655" s="52" t="str">
        <f t="shared" ref="H2655:H2669" ca="1" si="947">OFFSET(INDIRECT($F$1564 &amp; D2655), -B2655 + 3, 0)</f>
        <v>Building Street Address Only 
(DO NOT ENTER CITY, STATE, OR ZIP)</v>
      </c>
      <c r="I2655" s="52">
        <v>3</v>
      </c>
    </row>
    <row r="2656" spans="1:10" ht="15" customHeight="1">
      <c r="A2656" t="str">
        <f t="shared" ca="1" si="941"/>
        <v/>
      </c>
      <c r="B2656">
        <f t="shared" si="942"/>
        <v>71</v>
      </c>
      <c r="C2656">
        <f t="shared" ca="1" si="922"/>
        <v>68</v>
      </c>
      <c r="D2656" t="str">
        <f t="shared" si="943"/>
        <v>D71</v>
      </c>
      <c r="E2656" t="str">
        <f t="shared" ca="1" si="944"/>
        <v/>
      </c>
      <c r="F2656" t="str">
        <f t="shared" ca="1" si="945"/>
        <v xml:space="preserve">Enter a 'Total Units in Building*' for  building 68 in cell D71.
</v>
      </c>
      <c r="G2656" s="9" t="str">
        <f t="shared" ca="1" si="946"/>
        <v xml:space="preserve">Enter a value for 'Number of Floors in the Tallest Building' in cell B58.
</v>
      </c>
      <c r="H2656" s="52" t="str">
        <f t="shared" ca="1" si="947"/>
        <v>Total Units in Building*</v>
      </c>
      <c r="I2656" s="52">
        <v>4</v>
      </c>
    </row>
    <row r="2657" spans="1:10" ht="15" customHeight="1">
      <c r="A2657" t="str">
        <f t="shared" ca="1" si="941"/>
        <v/>
      </c>
      <c r="B2657">
        <f t="shared" si="942"/>
        <v>71</v>
      </c>
      <c r="C2657">
        <f t="shared" ca="1" si="922"/>
        <v>68</v>
      </c>
      <c r="D2657" t="str">
        <f t="shared" si="943"/>
        <v>E71</v>
      </c>
      <c r="E2657" t="str">
        <f t="shared" ca="1" si="944"/>
        <v/>
      </c>
      <c r="F2657" t="str">
        <f t="shared" ca="1" si="945"/>
        <v xml:space="preserve">Enter a 'Employee Units' for  building 68 in cell E71.
</v>
      </c>
      <c r="G2657" s="9" t="str">
        <f t="shared" ca="1" si="946"/>
        <v xml:space="preserve">Enter a value for 'Number of Floors in the Tallest Building' in cell B58.
</v>
      </c>
      <c r="H2657" s="52" t="str">
        <f t="shared" ca="1" si="947"/>
        <v>Employee Units</v>
      </c>
      <c r="I2657" s="52">
        <v>5</v>
      </c>
    </row>
    <row r="2658" spans="1:10" ht="15" customHeight="1">
      <c r="A2658" t="str">
        <f t="shared" ca="1" si="941"/>
        <v/>
      </c>
      <c r="B2658">
        <f t="shared" si="942"/>
        <v>71</v>
      </c>
      <c r="C2658">
        <f t="shared" ca="1" si="922"/>
        <v>68</v>
      </c>
      <c r="D2658" t="str">
        <f t="shared" si="943"/>
        <v>F71</v>
      </c>
      <c r="E2658" t="str">
        <f t="shared" ca="1" si="944"/>
        <v/>
      </c>
      <c r="F2658" t="str">
        <f t="shared" ca="1" si="945"/>
        <v xml:space="preserve">Enter a 'Low-Income Units' for  building 68 in cell F71.
</v>
      </c>
      <c r="G2658" s="9" t="str">
        <f t="shared" ca="1" si="946"/>
        <v xml:space="preserve">Enter a value for 'Number of Floors in the Tallest Building' in cell B58.
</v>
      </c>
      <c r="H2658" s="52" t="str">
        <f t="shared" ca="1" si="947"/>
        <v>Low-Income Units</v>
      </c>
      <c r="I2658" s="52">
        <v>6</v>
      </c>
    </row>
    <row r="2659" spans="1:10" ht="15" customHeight="1">
      <c r="A2659" t="str">
        <f t="shared" ca="1" si="941"/>
        <v/>
      </c>
      <c r="B2659">
        <f t="shared" si="942"/>
        <v>71</v>
      </c>
      <c r="C2659">
        <f t="shared" ca="1" si="922"/>
        <v>68</v>
      </c>
      <c r="D2659" t="str">
        <f t="shared" si="943"/>
        <v>G71</v>
      </c>
      <c r="E2659" t="str">
        <f t="shared" ca="1" si="944"/>
        <v/>
      </c>
      <c r="F2659" t="str">
        <f t="shared" ca="1" si="945"/>
        <v xml:space="preserve">Enter a 'Residential Square Footage**' for  building 68 in cell G71.
</v>
      </c>
      <c r="G2659" s="9" t="str">
        <f t="shared" ca="1" si="946"/>
        <v xml:space="preserve">Enter a value for 'Number of Floors in the Tallest Building' in cell B58.
</v>
      </c>
      <c r="H2659" s="52" t="str">
        <f t="shared" ca="1" si="947"/>
        <v>Residential Square Footage**</v>
      </c>
      <c r="I2659" s="52">
        <v>7</v>
      </c>
    </row>
    <row r="2660" spans="1:10" ht="15" customHeight="1">
      <c r="A2660" t="str">
        <f t="shared" ca="1" si="941"/>
        <v/>
      </c>
      <c r="B2660">
        <f t="shared" si="942"/>
        <v>71</v>
      </c>
      <c r="C2660">
        <f t="shared" ca="1" si="922"/>
        <v>68</v>
      </c>
      <c r="D2660" t="str">
        <f t="shared" si="943"/>
        <v>H71</v>
      </c>
      <c r="E2660" t="str">
        <f t="shared" ca="1" si="944"/>
        <v/>
      </c>
      <c r="F2660" t="str">
        <f t="shared" ca="1" si="945"/>
        <v xml:space="preserve">Enter a 'Square Footage of Employee Units' for  building 68 in cell H71.
</v>
      </c>
      <c r="G2660" s="9" t="str">
        <f t="shared" ca="1" si="946"/>
        <v xml:space="preserve">Enter a value for 'Number of Floors in the Tallest Building' in cell B58.
</v>
      </c>
      <c r="H2660" s="52" t="str">
        <f t="shared" ca="1" si="947"/>
        <v>Square Footage of Employee Units</v>
      </c>
      <c r="I2660" s="52">
        <v>8</v>
      </c>
    </row>
    <row r="2661" spans="1:10" ht="15" customHeight="1">
      <c r="A2661" t="str">
        <f t="shared" ca="1" si="941"/>
        <v/>
      </c>
      <c r="B2661">
        <f t="shared" si="942"/>
        <v>71</v>
      </c>
      <c r="C2661">
        <f t="shared" ca="1" si="922"/>
        <v>68</v>
      </c>
      <c r="D2661" t="str">
        <f t="shared" si="943"/>
        <v>I71</v>
      </c>
      <c r="E2661" t="str">
        <f t="shared" ca="1" si="944"/>
        <v/>
      </c>
      <c r="F2661" t="str">
        <f t="shared" ca="1" si="945"/>
        <v xml:space="preserve">Enter a 'Square Footage of Low-Income Units' for  building 68 in cell I71.
</v>
      </c>
      <c r="G2661" s="9" t="str">
        <f t="shared" ca="1" si="946"/>
        <v xml:space="preserve">Enter a value for 'Number of Floors in the Tallest Building' in cell B58.
</v>
      </c>
      <c r="H2661" s="52" t="str">
        <f t="shared" ca="1" si="947"/>
        <v>Square Footage of Low-Income Units</v>
      </c>
      <c r="I2661" s="52">
        <v>9</v>
      </c>
    </row>
    <row r="2662" spans="1:10" ht="15" customHeight="1">
      <c r="A2662" t="str">
        <f t="shared" ca="1" si="941"/>
        <v/>
      </c>
      <c r="B2662">
        <f t="shared" si="942"/>
        <v>71</v>
      </c>
      <c r="C2662">
        <f t="shared" ca="1" si="922"/>
        <v>68</v>
      </c>
      <c r="D2662" t="str">
        <f t="shared" si="943"/>
        <v>J71</v>
      </c>
      <c r="E2662" t="str">
        <f t="shared" ca="1" si="944"/>
        <v/>
      </c>
      <c r="F2662" t="str">
        <f t="shared" ca="1" si="945"/>
        <v xml:space="preserve">Enter a 'Placed-In-Service Date' for  building 68 in cell J71.
</v>
      </c>
      <c r="G2662" s="9" t="str">
        <f t="shared" ca="1" si="946"/>
        <v xml:space="preserve">Enter a value for 'Number of Floors in the Tallest Building' in cell B58.
</v>
      </c>
      <c r="H2662" s="52" t="str">
        <f t="shared" ca="1" si="947"/>
        <v>Placed-In-Service Date</v>
      </c>
      <c r="I2662" s="52">
        <v>10</v>
      </c>
    </row>
    <row r="2663" spans="1:10" ht="15" customHeight="1">
      <c r="A2663" t="str">
        <f t="shared" ca="1" si="941"/>
        <v/>
      </c>
      <c r="B2663">
        <f t="shared" si="942"/>
        <v>71</v>
      </c>
      <c r="C2663">
        <f t="shared" ca="1" si="922"/>
        <v>68</v>
      </c>
      <c r="D2663" t="str">
        <f t="shared" si="943"/>
        <v>K71</v>
      </c>
      <c r="E2663" t="str">
        <f t="shared" ca="1" si="944"/>
        <v/>
      </c>
      <c r="F2663" t="str">
        <f t="shared" ca="1" si="945"/>
        <v xml:space="preserve">Enter a 'New Construction/ Rehab APR' for  building 68 in cell K71.
</v>
      </c>
      <c r="G2663" s="9" t="str">
        <f t="shared" ca="1" si="946"/>
        <v xml:space="preserve">Enter a value for 'Number of Floors in the Tallest Building' in cell B58.
</v>
      </c>
      <c r="H2663" s="52" t="str">
        <f t="shared" ca="1" si="947"/>
        <v>New Construction/ Rehab APR</v>
      </c>
      <c r="I2663" s="52">
        <v>11</v>
      </c>
    </row>
    <row r="2664" spans="1:10" ht="15" customHeight="1">
      <c r="A2664" t="str">
        <f t="shared" ca="1" si="941"/>
        <v/>
      </c>
      <c r="B2664">
        <f t="shared" si="942"/>
        <v>71</v>
      </c>
      <c r="C2664">
        <f t="shared" ca="1" si="922"/>
        <v>68</v>
      </c>
      <c r="D2664" t="str">
        <f t="shared" si="943"/>
        <v>L71</v>
      </c>
      <c r="E2664" t="str">
        <f t="shared" ca="1" si="944"/>
        <v/>
      </c>
      <c r="F2664" t="str">
        <f t="shared" ca="1" si="945"/>
        <v xml:space="preserve">Enter a 'New Construction Eligible Basis' for  building 68 in cell L71.
</v>
      </c>
      <c r="G2664" s="9" t="str">
        <f t="shared" ca="1" si="946"/>
        <v xml:space="preserve">Enter a value for 'Number of Floors in the Tallest Building' in cell B58.
</v>
      </c>
      <c r="H2664" s="52" t="str">
        <f t="shared" ca="1" si="947"/>
        <v>New Construction Eligible Basis</v>
      </c>
      <c r="I2664" s="52">
        <v>12</v>
      </c>
    </row>
    <row r="2665" spans="1:10" ht="15" customHeight="1">
      <c r="A2665" t="str">
        <f ca="1">IF(AND(OFFSET(A2665, -I2665 + 2, 4) &gt;  0, E2665="", Calculations!$B$7), F2665, "")</f>
        <v/>
      </c>
      <c r="B2665">
        <f t="shared" si="942"/>
        <v>71</v>
      </c>
      <c r="C2665">
        <f t="shared" ca="1" si="922"/>
        <v>68</v>
      </c>
      <c r="D2665" t="str">
        <f t="shared" si="943"/>
        <v>M71</v>
      </c>
      <c r="E2665" t="str">
        <f t="shared" ca="1" si="944"/>
        <v/>
      </c>
      <c r="F2665" t="str">
        <f t="shared" ca="1" si="945"/>
        <v xml:space="preserve">Enter a 'Eligible Basis for Rehab' for  building 68 in cell M71.
</v>
      </c>
      <c r="G2665" s="9" t="str">
        <f t="shared" ca="1" si="946"/>
        <v xml:space="preserve">Enter a value for 'Number of Floors in the Tallest Building' in cell B58.
</v>
      </c>
      <c r="H2665" s="52" t="str">
        <f t="shared" ca="1" si="947"/>
        <v>Eligible Basis for Rehab</v>
      </c>
      <c r="I2665" s="52">
        <v>13</v>
      </c>
    </row>
    <row r="2666" spans="1:10" ht="15" customHeight="1">
      <c r="A2666" t="str">
        <f ca="1">IF(AND(OFFSET(A2666, -I2666 + 2, 4) &gt;  0, E2666="", Calculations!$B$7), F2666, "")</f>
        <v/>
      </c>
      <c r="B2666">
        <f t="shared" si="942"/>
        <v>71</v>
      </c>
      <c r="C2666">
        <f t="shared" ca="1" si="922"/>
        <v>68</v>
      </c>
      <c r="D2666" t="str">
        <f t="shared" si="943"/>
        <v>N71</v>
      </c>
      <c r="E2666" t="str">
        <f t="shared" ca="1" si="944"/>
        <v/>
      </c>
      <c r="F2666" t="str">
        <f t="shared" ca="1" si="945"/>
        <v xml:space="preserve">Enter a 'Cost of Acquiring the Building***' for  building 68 in cell N71.
</v>
      </c>
      <c r="G2666" s="9" t="str">
        <f t="shared" ca="1" si="946"/>
        <v xml:space="preserve">Enter a value for 'Number of Floors in the Tallest Building' in cell B58.
</v>
      </c>
      <c r="H2666" s="52" t="str">
        <f t="shared" ca="1" si="947"/>
        <v>Cost of Acquiring the Building***</v>
      </c>
      <c r="I2666" s="52">
        <v>14</v>
      </c>
    </row>
    <row r="2667" spans="1:10" ht="15" customHeight="1">
      <c r="A2667" t="str">
        <f ca="1">IF(AND(OFFSET(A2667, -I2667 + 2, 4) &gt;  0, E2667="", Calculations!$B$7), F2667, "")</f>
        <v/>
      </c>
      <c r="B2667">
        <f t="shared" si="942"/>
        <v>71</v>
      </c>
      <c r="C2667">
        <f t="shared" ca="1" si="922"/>
        <v>68</v>
      </c>
      <c r="D2667" t="str">
        <f t="shared" si="943"/>
        <v>O71</v>
      </c>
      <c r="E2667" t="str">
        <f t="shared" ca="1" si="944"/>
        <v/>
      </c>
      <c r="F2667" t="str">
        <f t="shared" ca="1" si="945"/>
        <v xml:space="preserve">Enter a 'Higher of Land Purchase Price or Land Appraised Value****' for  building 68 in cell O71.
</v>
      </c>
      <c r="G2667" s="9" t="str">
        <f t="shared" ca="1" si="946"/>
        <v xml:space="preserve">Enter a value for 'Number of Floors in the Tallest Building' in cell B58.
</v>
      </c>
      <c r="H2667" s="52" t="str">
        <f t="shared" ca="1" si="947"/>
        <v>Higher of Land Purchase Price or Land Appraised Value****</v>
      </c>
      <c r="I2667" s="52">
        <v>15</v>
      </c>
    </row>
    <row r="2668" spans="1:10" ht="15" customHeight="1">
      <c r="A2668" t="str">
        <f ca="1">IF(AND(OFFSET(A2668, -I2668 + 2, 4) &gt;  0, E2668="", Calculations!$B$7), F2668, "")</f>
        <v/>
      </c>
      <c r="B2668">
        <f t="shared" si="942"/>
        <v>71</v>
      </c>
      <c r="C2668">
        <f t="shared" ca="1" si="922"/>
        <v>68</v>
      </c>
      <c r="D2668" t="str">
        <f t="shared" si="943"/>
        <v>P71</v>
      </c>
      <c r="E2668" t="str">
        <f t="shared" ca="1" si="944"/>
        <v/>
      </c>
      <c r="F2668" t="str">
        <f t="shared" ca="1" si="945"/>
        <v xml:space="preserve">Enter a 'Acquisition Placed-in-Service Date' for  building 68 in cell P71.
</v>
      </c>
      <c r="G2668" s="9" t="str">
        <f t="shared" ca="1" si="946"/>
        <v xml:space="preserve">Enter a value for 'Number of Floors in the Tallest Building' in cell B58.
</v>
      </c>
      <c r="H2668" s="52" t="str">
        <f t="shared" ca="1" si="947"/>
        <v>Acquisition Placed-in-Service Date</v>
      </c>
      <c r="I2668" s="52">
        <v>16</v>
      </c>
    </row>
    <row r="2669" spans="1:10" ht="15" customHeight="1">
      <c r="A2669" t="str">
        <f ca="1">IF(AND(OFFSET(A2669, -I2669 + 2, 4) &gt;  0, E2669="", Calculations!$B$7), F2669, "")</f>
        <v/>
      </c>
      <c r="B2669">
        <f t="shared" si="942"/>
        <v>71</v>
      </c>
      <c r="C2669">
        <f t="shared" ca="1" si="922"/>
        <v>68</v>
      </c>
      <c r="D2669" t="str">
        <f t="shared" si="943"/>
        <v>Q71</v>
      </c>
      <c r="E2669" t="str">
        <f t="shared" ca="1" si="944"/>
        <v/>
      </c>
      <c r="F2669" t="str">
        <f t="shared" ca="1" si="945"/>
        <v xml:space="preserve">Enter a 'Acquisition APR' for  building 68 in cell Q71.
</v>
      </c>
      <c r="G2669" s="9" t="str">
        <f t="shared" ca="1" si="946"/>
        <v xml:space="preserve">Enter a value for 'Number of Floors in the Tallest Building' in cell B58.
</v>
      </c>
      <c r="H2669" s="52" t="str">
        <f t="shared" ca="1" si="947"/>
        <v>Acquisition APR</v>
      </c>
      <c r="I2669" s="52">
        <v>17</v>
      </c>
    </row>
    <row r="2670" spans="1:10" ht="15" customHeight="1">
      <c r="A2670" t="str">
        <f ca="1">IF(AND(Calculations!$B$4,Calculations!$B$28&gt;=C2670, E2670 &lt;&gt; 13),F2670,"")</f>
        <v/>
      </c>
      <c r="B2670">
        <f>ROW('Final Building Profile'!C72)</f>
        <v>72</v>
      </c>
      <c r="C2670">
        <f t="shared" ref="C2670:C2733" ca="1" si="948">INDIRECT($F$1564 &amp; ADDRESS(B2670, 1,4  ))</f>
        <v>69</v>
      </c>
      <c r="D2670" t="str">
        <f>ADDRESS(B2670, 3,4  )</f>
        <v>C72</v>
      </c>
      <c r="E2670" s="52">
        <f ca="1">H2670+I2670</f>
        <v>0</v>
      </c>
      <c r="F2670" t="str">
        <f ca="1">CONCATENATE("Based upon the number of buildings specified, information for  building ", C2670, " required for a final application in row ", B2670, ".", CHAR(10))</f>
        <v xml:space="preserve">Based upon the number of buildings specified, information for  building 69 required for a final application in row 72.
</v>
      </c>
      <c r="G2670" s="9" t="str">
        <f t="shared" ca="1" si="946"/>
        <v xml:space="preserve">Enter a value for 'Number of Floors in the Tallest Building' in cell B58.
</v>
      </c>
      <c r="H2670" s="52">
        <f ca="1">SUMPRODUCT(--ISTEXT(INDIRECT(J2670)))</f>
        <v>0</v>
      </c>
      <c r="I2670" s="52">
        <f ca="1">SUMPRODUCT(--ISNUMBER(INDIRECT(J2670)))</f>
        <v>0</v>
      </c>
      <c r="J2670" s="52" t="str">
        <f>$F$1564&amp; ADDRESS(B2670,3,4) &amp; ":" &amp; ADDRESS(B2670,15,4)</f>
        <v>'Final Building Profile'!C72:O72</v>
      </c>
    </row>
    <row r="2671" spans="1:10" ht="15" customHeight="1">
      <c r="A2671" t="str">
        <f t="shared" ref="A2671:A2680" ca="1" si="949">IF(AND(OFFSET(A2671, -I2671 + 2, 4) &gt;  0, E2671=""), F2671, "")</f>
        <v/>
      </c>
      <c r="B2671">
        <f t="shared" ref="B2671:B2685" si="950">B2670</f>
        <v>72</v>
      </c>
      <c r="C2671">
        <f t="shared" ca="1" si="948"/>
        <v>69</v>
      </c>
      <c r="D2671" t="str">
        <f t="shared" ref="D2671:D2685" si="951">ADDRESS(B2671, I2671,4  )</f>
        <v>C72</v>
      </c>
      <c r="E2671" t="str">
        <f t="shared" ref="E2671:E2685" ca="1" si="952">IF(ISBLANK( INDIRECT($F$1564 &amp; D2671)),"", INDIRECT($F$1564 &amp; D2671))</f>
        <v/>
      </c>
      <c r="F2671" t="str">
        <f t="shared" ref="F2671:F2685" ca="1" si="953">CONCATENATE("Enter a '"&amp; H2671 &amp;"' for  building ", C2671, " in cell ", D2671, ".", CHAR(10))</f>
        <v xml:space="preserve">Enter a 'Building Street Address Only 
(DO NOT ENTER CITY, STATE, OR ZIP)' for  building 69 in cell C72.
</v>
      </c>
      <c r="G2671" s="9" t="str">
        <f t="shared" ca="1" si="946"/>
        <v xml:space="preserve">Enter a value for 'Number of Floors in the Tallest Building' in cell B58.
</v>
      </c>
      <c r="H2671" s="52" t="str">
        <f t="shared" ref="H2671:H2685" ca="1" si="954">OFFSET(INDIRECT($F$1564 &amp; D2671), -B2671 + 3, 0)</f>
        <v>Building Street Address Only 
(DO NOT ENTER CITY, STATE, OR ZIP)</v>
      </c>
      <c r="I2671" s="52">
        <v>3</v>
      </c>
    </row>
    <row r="2672" spans="1:10" ht="15" customHeight="1">
      <c r="A2672" t="str">
        <f t="shared" ca="1" si="949"/>
        <v/>
      </c>
      <c r="B2672">
        <f t="shared" si="950"/>
        <v>72</v>
      </c>
      <c r="C2672">
        <f t="shared" ca="1" si="948"/>
        <v>69</v>
      </c>
      <c r="D2672" t="str">
        <f t="shared" si="951"/>
        <v>D72</v>
      </c>
      <c r="E2672" t="str">
        <f t="shared" ca="1" si="952"/>
        <v/>
      </c>
      <c r="F2672" t="str">
        <f t="shared" ca="1" si="953"/>
        <v xml:space="preserve">Enter a 'Total Units in Building*' for  building 69 in cell D72.
</v>
      </c>
      <c r="G2672" s="9" t="str">
        <f t="shared" ca="1" si="946"/>
        <v xml:space="preserve">Enter a value for 'Number of Floors in the Tallest Building' in cell B58.
</v>
      </c>
      <c r="H2672" s="52" t="str">
        <f t="shared" ca="1" si="954"/>
        <v>Total Units in Building*</v>
      </c>
      <c r="I2672" s="52">
        <v>4</v>
      </c>
    </row>
    <row r="2673" spans="1:10" ht="15" customHeight="1">
      <c r="A2673" t="str">
        <f t="shared" ca="1" si="949"/>
        <v/>
      </c>
      <c r="B2673">
        <f t="shared" si="950"/>
        <v>72</v>
      </c>
      <c r="C2673">
        <f t="shared" ca="1" si="948"/>
        <v>69</v>
      </c>
      <c r="D2673" t="str">
        <f t="shared" si="951"/>
        <v>E72</v>
      </c>
      <c r="E2673" t="str">
        <f t="shared" ca="1" si="952"/>
        <v/>
      </c>
      <c r="F2673" t="str">
        <f t="shared" ca="1" si="953"/>
        <v xml:space="preserve">Enter a 'Employee Units' for  building 69 in cell E72.
</v>
      </c>
      <c r="G2673" s="9" t="str">
        <f t="shared" ca="1" si="946"/>
        <v xml:space="preserve">Enter a value for 'Number of Floors in the Tallest Building' in cell B58.
</v>
      </c>
      <c r="H2673" s="52" t="str">
        <f t="shared" ca="1" si="954"/>
        <v>Employee Units</v>
      </c>
      <c r="I2673" s="52">
        <v>5</v>
      </c>
    </row>
    <row r="2674" spans="1:10" ht="15" customHeight="1">
      <c r="A2674" t="str">
        <f t="shared" ca="1" si="949"/>
        <v/>
      </c>
      <c r="B2674">
        <f t="shared" si="950"/>
        <v>72</v>
      </c>
      <c r="C2674">
        <f t="shared" ca="1" si="948"/>
        <v>69</v>
      </c>
      <c r="D2674" t="str">
        <f t="shared" si="951"/>
        <v>F72</v>
      </c>
      <c r="E2674" t="str">
        <f t="shared" ca="1" si="952"/>
        <v/>
      </c>
      <c r="F2674" t="str">
        <f t="shared" ca="1" si="953"/>
        <v xml:space="preserve">Enter a 'Low-Income Units' for  building 69 in cell F72.
</v>
      </c>
      <c r="G2674" s="9" t="str">
        <f t="shared" ca="1" si="946"/>
        <v xml:space="preserve">Enter a value for 'Number of Floors in the Tallest Building' in cell B58.
</v>
      </c>
      <c r="H2674" s="52" t="str">
        <f t="shared" ca="1" si="954"/>
        <v>Low-Income Units</v>
      </c>
      <c r="I2674" s="52">
        <v>6</v>
      </c>
    </row>
    <row r="2675" spans="1:10" ht="15" customHeight="1">
      <c r="A2675" t="str">
        <f t="shared" ca="1" si="949"/>
        <v/>
      </c>
      <c r="B2675">
        <f t="shared" si="950"/>
        <v>72</v>
      </c>
      <c r="C2675">
        <f t="shared" ca="1" si="948"/>
        <v>69</v>
      </c>
      <c r="D2675" t="str">
        <f t="shared" si="951"/>
        <v>G72</v>
      </c>
      <c r="E2675" t="str">
        <f t="shared" ca="1" si="952"/>
        <v/>
      </c>
      <c r="F2675" t="str">
        <f t="shared" ca="1" si="953"/>
        <v xml:space="preserve">Enter a 'Residential Square Footage**' for  building 69 in cell G72.
</v>
      </c>
      <c r="G2675" s="9" t="str">
        <f t="shared" ca="1" si="946"/>
        <v xml:space="preserve">Enter a value for 'Number of Floors in the Tallest Building' in cell B58.
</v>
      </c>
      <c r="H2675" s="52" t="str">
        <f t="shared" ca="1" si="954"/>
        <v>Residential Square Footage**</v>
      </c>
      <c r="I2675" s="52">
        <v>7</v>
      </c>
    </row>
    <row r="2676" spans="1:10" ht="15" customHeight="1">
      <c r="A2676" t="str">
        <f t="shared" ca="1" si="949"/>
        <v/>
      </c>
      <c r="B2676">
        <f t="shared" si="950"/>
        <v>72</v>
      </c>
      <c r="C2676">
        <f t="shared" ca="1" si="948"/>
        <v>69</v>
      </c>
      <c r="D2676" t="str">
        <f t="shared" si="951"/>
        <v>H72</v>
      </c>
      <c r="E2676" t="str">
        <f t="shared" ca="1" si="952"/>
        <v/>
      </c>
      <c r="F2676" t="str">
        <f t="shared" ca="1" si="953"/>
        <v xml:space="preserve">Enter a 'Square Footage of Employee Units' for  building 69 in cell H72.
</v>
      </c>
      <c r="G2676" s="9" t="str">
        <f t="shared" ca="1" si="946"/>
        <v xml:space="preserve">Enter a value for 'Number of Floors in the Tallest Building' in cell B58.
</v>
      </c>
      <c r="H2676" s="52" t="str">
        <f t="shared" ca="1" si="954"/>
        <v>Square Footage of Employee Units</v>
      </c>
      <c r="I2676" s="52">
        <v>8</v>
      </c>
    </row>
    <row r="2677" spans="1:10" ht="15" customHeight="1">
      <c r="A2677" t="str">
        <f t="shared" ca="1" si="949"/>
        <v/>
      </c>
      <c r="B2677">
        <f t="shared" si="950"/>
        <v>72</v>
      </c>
      <c r="C2677">
        <f t="shared" ca="1" si="948"/>
        <v>69</v>
      </c>
      <c r="D2677" t="str">
        <f t="shared" si="951"/>
        <v>I72</v>
      </c>
      <c r="E2677" t="str">
        <f t="shared" ca="1" si="952"/>
        <v/>
      </c>
      <c r="F2677" t="str">
        <f t="shared" ca="1" si="953"/>
        <v xml:space="preserve">Enter a 'Square Footage of Low-Income Units' for  building 69 in cell I72.
</v>
      </c>
      <c r="G2677" s="9" t="str">
        <f t="shared" ca="1" si="946"/>
        <v xml:space="preserve">Enter a value for 'Number of Floors in the Tallest Building' in cell B58.
</v>
      </c>
      <c r="H2677" s="52" t="str">
        <f t="shared" ca="1" si="954"/>
        <v>Square Footage of Low-Income Units</v>
      </c>
      <c r="I2677" s="52">
        <v>9</v>
      </c>
    </row>
    <row r="2678" spans="1:10" ht="15" customHeight="1">
      <c r="A2678" t="str">
        <f t="shared" ca="1" si="949"/>
        <v/>
      </c>
      <c r="B2678">
        <f t="shared" si="950"/>
        <v>72</v>
      </c>
      <c r="C2678">
        <f t="shared" ca="1" si="948"/>
        <v>69</v>
      </c>
      <c r="D2678" t="str">
        <f t="shared" si="951"/>
        <v>J72</v>
      </c>
      <c r="E2678" t="str">
        <f t="shared" ca="1" si="952"/>
        <v/>
      </c>
      <c r="F2678" t="str">
        <f t="shared" ca="1" si="953"/>
        <v xml:space="preserve">Enter a 'Placed-In-Service Date' for  building 69 in cell J72.
</v>
      </c>
      <c r="G2678" s="9" t="str">
        <f t="shared" ca="1" si="946"/>
        <v xml:space="preserve">Enter a value for 'Number of Floors in the Tallest Building' in cell B58.
</v>
      </c>
      <c r="H2678" s="52" t="str">
        <f t="shared" ca="1" si="954"/>
        <v>Placed-In-Service Date</v>
      </c>
      <c r="I2678" s="52">
        <v>10</v>
      </c>
    </row>
    <row r="2679" spans="1:10" ht="15" customHeight="1">
      <c r="A2679" t="str">
        <f t="shared" ca="1" si="949"/>
        <v/>
      </c>
      <c r="B2679">
        <f t="shared" si="950"/>
        <v>72</v>
      </c>
      <c r="C2679">
        <f t="shared" ca="1" si="948"/>
        <v>69</v>
      </c>
      <c r="D2679" t="str">
        <f t="shared" si="951"/>
        <v>K72</v>
      </c>
      <c r="E2679" t="str">
        <f t="shared" ca="1" si="952"/>
        <v/>
      </c>
      <c r="F2679" t="str">
        <f t="shared" ca="1" si="953"/>
        <v xml:space="preserve">Enter a 'New Construction/ Rehab APR' for  building 69 in cell K72.
</v>
      </c>
      <c r="G2679" s="9" t="str">
        <f t="shared" ca="1" si="946"/>
        <v xml:space="preserve">Enter a value for 'Number of Floors in the Tallest Building' in cell B58.
</v>
      </c>
      <c r="H2679" s="52" t="str">
        <f t="shared" ca="1" si="954"/>
        <v>New Construction/ Rehab APR</v>
      </c>
      <c r="I2679" s="52">
        <v>11</v>
      </c>
    </row>
    <row r="2680" spans="1:10" ht="15" customHeight="1">
      <c r="A2680" t="str">
        <f t="shared" ca="1" si="949"/>
        <v/>
      </c>
      <c r="B2680">
        <f t="shared" si="950"/>
        <v>72</v>
      </c>
      <c r="C2680">
        <f t="shared" ca="1" si="948"/>
        <v>69</v>
      </c>
      <c r="D2680" t="str">
        <f t="shared" si="951"/>
        <v>L72</v>
      </c>
      <c r="E2680" t="str">
        <f t="shared" ca="1" si="952"/>
        <v/>
      </c>
      <c r="F2680" t="str">
        <f t="shared" ca="1" si="953"/>
        <v xml:space="preserve">Enter a 'New Construction Eligible Basis' for  building 69 in cell L72.
</v>
      </c>
      <c r="G2680" s="9" t="str">
        <f t="shared" ca="1" si="946"/>
        <v xml:space="preserve">Enter a value for 'Number of Floors in the Tallest Building' in cell B58.
</v>
      </c>
      <c r="H2680" s="52" t="str">
        <f t="shared" ca="1" si="954"/>
        <v>New Construction Eligible Basis</v>
      </c>
      <c r="I2680" s="52">
        <v>12</v>
      </c>
    </row>
    <row r="2681" spans="1:10" ht="15" customHeight="1">
      <c r="A2681" t="str">
        <f ca="1">IF(AND(OFFSET(A2681, -I2681 + 2, 4) &gt;  0, E2681="", Calculations!$B$7), F2681, "")</f>
        <v/>
      </c>
      <c r="B2681">
        <f t="shared" si="950"/>
        <v>72</v>
      </c>
      <c r="C2681">
        <f t="shared" ca="1" si="948"/>
        <v>69</v>
      </c>
      <c r="D2681" t="str">
        <f t="shared" si="951"/>
        <v>M72</v>
      </c>
      <c r="E2681" t="str">
        <f t="shared" ca="1" si="952"/>
        <v/>
      </c>
      <c r="F2681" t="str">
        <f t="shared" ca="1" si="953"/>
        <v xml:space="preserve">Enter a 'Eligible Basis for Rehab' for  building 69 in cell M72.
</v>
      </c>
      <c r="G2681" s="9" t="str">
        <f t="shared" ca="1" si="946"/>
        <v xml:space="preserve">Enter a value for 'Number of Floors in the Tallest Building' in cell B58.
</v>
      </c>
      <c r="H2681" s="52" t="str">
        <f t="shared" ca="1" si="954"/>
        <v>Eligible Basis for Rehab</v>
      </c>
      <c r="I2681" s="52">
        <v>13</v>
      </c>
    </row>
    <row r="2682" spans="1:10" ht="15" customHeight="1">
      <c r="A2682" t="str">
        <f ca="1">IF(AND(OFFSET(A2682, -I2682 + 2, 4) &gt;  0, E2682="", Calculations!$B$7), F2682, "")</f>
        <v/>
      </c>
      <c r="B2682">
        <f t="shared" si="950"/>
        <v>72</v>
      </c>
      <c r="C2682">
        <f t="shared" ca="1" si="948"/>
        <v>69</v>
      </c>
      <c r="D2682" t="str">
        <f t="shared" si="951"/>
        <v>N72</v>
      </c>
      <c r="E2682" t="str">
        <f t="shared" ca="1" si="952"/>
        <v/>
      </c>
      <c r="F2682" t="str">
        <f t="shared" ca="1" si="953"/>
        <v xml:space="preserve">Enter a 'Cost of Acquiring the Building***' for  building 69 in cell N72.
</v>
      </c>
      <c r="G2682" s="9" t="str">
        <f t="shared" ca="1" si="946"/>
        <v xml:space="preserve">Enter a value for 'Number of Floors in the Tallest Building' in cell B58.
</v>
      </c>
      <c r="H2682" s="52" t="str">
        <f t="shared" ca="1" si="954"/>
        <v>Cost of Acquiring the Building***</v>
      </c>
      <c r="I2682" s="52">
        <v>14</v>
      </c>
    </row>
    <row r="2683" spans="1:10" ht="15" customHeight="1">
      <c r="A2683" t="str">
        <f ca="1">IF(AND(OFFSET(A2683, -I2683 + 2, 4) &gt;  0, E2683="", Calculations!$B$7), F2683, "")</f>
        <v/>
      </c>
      <c r="B2683">
        <f t="shared" si="950"/>
        <v>72</v>
      </c>
      <c r="C2683">
        <f t="shared" ca="1" si="948"/>
        <v>69</v>
      </c>
      <c r="D2683" t="str">
        <f t="shared" si="951"/>
        <v>O72</v>
      </c>
      <c r="E2683" t="str">
        <f t="shared" ca="1" si="952"/>
        <v/>
      </c>
      <c r="F2683" t="str">
        <f t="shared" ca="1" si="953"/>
        <v xml:space="preserve">Enter a 'Higher of Land Purchase Price or Land Appraised Value****' for  building 69 in cell O72.
</v>
      </c>
      <c r="G2683" s="9" t="str">
        <f t="shared" ca="1" si="946"/>
        <v xml:space="preserve">Enter a value for 'Number of Floors in the Tallest Building' in cell B58.
</v>
      </c>
      <c r="H2683" s="52" t="str">
        <f t="shared" ca="1" si="954"/>
        <v>Higher of Land Purchase Price or Land Appraised Value****</v>
      </c>
      <c r="I2683" s="52">
        <v>15</v>
      </c>
    </row>
    <row r="2684" spans="1:10" ht="15" customHeight="1">
      <c r="A2684" t="str">
        <f ca="1">IF(AND(OFFSET(A2684, -I2684 + 2, 4) &gt;  0, E2684="", Calculations!$B$7), F2684, "")</f>
        <v/>
      </c>
      <c r="B2684">
        <f t="shared" si="950"/>
        <v>72</v>
      </c>
      <c r="C2684">
        <f t="shared" ca="1" si="948"/>
        <v>69</v>
      </c>
      <c r="D2684" t="str">
        <f t="shared" si="951"/>
        <v>P72</v>
      </c>
      <c r="E2684" t="str">
        <f t="shared" ca="1" si="952"/>
        <v/>
      </c>
      <c r="F2684" t="str">
        <f t="shared" ca="1" si="953"/>
        <v xml:space="preserve">Enter a 'Acquisition Placed-in-Service Date' for  building 69 in cell P72.
</v>
      </c>
      <c r="G2684" s="9" t="str">
        <f t="shared" ca="1" si="946"/>
        <v xml:space="preserve">Enter a value for 'Number of Floors in the Tallest Building' in cell B58.
</v>
      </c>
      <c r="H2684" s="52" t="str">
        <f t="shared" ca="1" si="954"/>
        <v>Acquisition Placed-in-Service Date</v>
      </c>
      <c r="I2684" s="52">
        <v>16</v>
      </c>
    </row>
    <row r="2685" spans="1:10" ht="15" customHeight="1">
      <c r="A2685" t="str">
        <f ca="1">IF(AND(OFFSET(A2685, -I2685 + 2, 4) &gt;  0, E2685="", Calculations!$B$7), F2685, "")</f>
        <v/>
      </c>
      <c r="B2685">
        <f t="shared" si="950"/>
        <v>72</v>
      </c>
      <c r="C2685">
        <f t="shared" ca="1" si="948"/>
        <v>69</v>
      </c>
      <c r="D2685" t="str">
        <f t="shared" si="951"/>
        <v>Q72</v>
      </c>
      <c r="E2685" t="str">
        <f t="shared" ca="1" si="952"/>
        <v/>
      </c>
      <c r="F2685" t="str">
        <f t="shared" ca="1" si="953"/>
        <v xml:space="preserve">Enter a 'Acquisition APR' for  building 69 in cell Q72.
</v>
      </c>
      <c r="G2685" s="9" t="str">
        <f t="shared" ca="1" si="946"/>
        <v xml:space="preserve">Enter a value for 'Number of Floors in the Tallest Building' in cell B58.
</v>
      </c>
      <c r="H2685" s="52" t="str">
        <f t="shared" ca="1" si="954"/>
        <v>Acquisition APR</v>
      </c>
      <c r="I2685" s="52">
        <v>17</v>
      </c>
    </row>
    <row r="2686" spans="1:10" ht="15" customHeight="1">
      <c r="A2686" t="str">
        <f ca="1">IF(AND(Calculations!$B$4,Calculations!$B$28&gt;=C2686, E2686 &lt;&gt; 13),F2686,"")</f>
        <v/>
      </c>
      <c r="B2686">
        <f>ROW('Final Building Profile'!C73)</f>
        <v>73</v>
      </c>
      <c r="C2686">
        <f t="shared" ca="1" si="948"/>
        <v>70</v>
      </c>
      <c r="D2686" t="str">
        <f>ADDRESS(B2686, 3,4  )</f>
        <v>C73</v>
      </c>
      <c r="E2686" s="52">
        <f ca="1">H2686+I2686</f>
        <v>0</v>
      </c>
      <c r="F2686" t="str">
        <f ca="1">CONCATENATE("Based upon the number of buildings specified, information for  building ", C2686, " required for a final application in row ", B2686, ".", CHAR(10))</f>
        <v xml:space="preserve">Based upon the number of buildings specified, information for  building 70 required for a final application in row 73.
</v>
      </c>
      <c r="G2686" s="9" t="str">
        <f t="shared" ca="1" si="946"/>
        <v xml:space="preserve">Enter a value for 'Number of Floors in the Tallest Building' in cell B58.
</v>
      </c>
      <c r="H2686" s="52">
        <f ca="1">SUMPRODUCT(--ISTEXT(INDIRECT(J2686)))</f>
        <v>0</v>
      </c>
      <c r="I2686" s="52">
        <f ca="1">SUMPRODUCT(--ISNUMBER(INDIRECT(J2686)))</f>
        <v>0</v>
      </c>
      <c r="J2686" s="52" t="str">
        <f>$F$1564&amp; ADDRESS(B2686,3,4) &amp; ":" &amp; ADDRESS(B2686,15,4)</f>
        <v>'Final Building Profile'!C73:O73</v>
      </c>
    </row>
    <row r="2687" spans="1:10" ht="15" customHeight="1">
      <c r="A2687" t="str">
        <f t="shared" ref="A2687:A2696" ca="1" si="955">IF(AND(OFFSET(A2687, -I2687 + 2, 4) &gt;  0, E2687=""), F2687, "")</f>
        <v/>
      </c>
      <c r="B2687">
        <f t="shared" ref="B2687:B2701" si="956">B2686</f>
        <v>73</v>
      </c>
      <c r="C2687">
        <f t="shared" ca="1" si="948"/>
        <v>70</v>
      </c>
      <c r="D2687" t="str">
        <f t="shared" ref="D2687:D2701" si="957">ADDRESS(B2687, I2687,4  )</f>
        <v>C73</v>
      </c>
      <c r="E2687" t="str">
        <f t="shared" ref="E2687:E2701" ca="1" si="958">IF(ISBLANK( INDIRECT($F$1564 &amp; D2687)),"", INDIRECT($F$1564 &amp; D2687))</f>
        <v/>
      </c>
      <c r="F2687" t="str">
        <f t="shared" ref="F2687:F2701" ca="1" si="959">CONCATENATE("Enter a '"&amp; H2687 &amp;"' for  building ", C2687, " in cell ", D2687, ".", CHAR(10))</f>
        <v xml:space="preserve">Enter a 'Building Street Address Only 
(DO NOT ENTER CITY, STATE, OR ZIP)' for  building 70 in cell C73.
</v>
      </c>
      <c r="G2687" s="9" t="str">
        <f t="shared" ca="1" si="946"/>
        <v xml:space="preserve">Enter a value for 'Number of Floors in the Tallest Building' in cell B58.
</v>
      </c>
      <c r="H2687" s="52" t="str">
        <f t="shared" ref="H2687:H2701" ca="1" si="960">OFFSET(INDIRECT($F$1564 &amp; D2687), -B2687 + 3, 0)</f>
        <v>Building Street Address Only 
(DO NOT ENTER CITY, STATE, OR ZIP)</v>
      </c>
      <c r="I2687" s="52">
        <v>3</v>
      </c>
    </row>
    <row r="2688" spans="1:10" ht="15" customHeight="1">
      <c r="A2688" t="str">
        <f t="shared" ca="1" si="955"/>
        <v/>
      </c>
      <c r="B2688">
        <f t="shared" si="956"/>
        <v>73</v>
      </c>
      <c r="C2688">
        <f t="shared" ca="1" si="948"/>
        <v>70</v>
      </c>
      <c r="D2688" t="str">
        <f t="shared" si="957"/>
        <v>D73</v>
      </c>
      <c r="E2688" t="str">
        <f t="shared" ca="1" si="958"/>
        <v/>
      </c>
      <c r="F2688" t="str">
        <f t="shared" ca="1" si="959"/>
        <v xml:space="preserve">Enter a 'Total Units in Building*' for  building 70 in cell D73.
</v>
      </c>
      <c r="G2688" s="9" t="str">
        <f t="shared" ca="1" si="946"/>
        <v xml:space="preserve">Enter a value for 'Number of Floors in the Tallest Building' in cell B58.
</v>
      </c>
      <c r="H2688" s="52" t="str">
        <f t="shared" ca="1" si="960"/>
        <v>Total Units in Building*</v>
      </c>
      <c r="I2688" s="52">
        <v>4</v>
      </c>
    </row>
    <row r="2689" spans="1:10" ht="15" customHeight="1">
      <c r="A2689" t="str">
        <f t="shared" ca="1" si="955"/>
        <v/>
      </c>
      <c r="B2689">
        <f t="shared" si="956"/>
        <v>73</v>
      </c>
      <c r="C2689">
        <f t="shared" ca="1" si="948"/>
        <v>70</v>
      </c>
      <c r="D2689" t="str">
        <f t="shared" si="957"/>
        <v>E73</v>
      </c>
      <c r="E2689" t="str">
        <f t="shared" ca="1" si="958"/>
        <v/>
      </c>
      <c r="F2689" t="str">
        <f t="shared" ca="1" si="959"/>
        <v xml:space="preserve">Enter a 'Employee Units' for  building 70 in cell E73.
</v>
      </c>
      <c r="G2689" s="9" t="str">
        <f t="shared" ca="1" si="946"/>
        <v xml:space="preserve">Enter a value for 'Number of Floors in the Tallest Building' in cell B58.
</v>
      </c>
      <c r="H2689" s="52" t="str">
        <f t="shared" ca="1" si="960"/>
        <v>Employee Units</v>
      </c>
      <c r="I2689" s="52">
        <v>5</v>
      </c>
    </row>
    <row r="2690" spans="1:10" ht="15" customHeight="1">
      <c r="A2690" t="str">
        <f t="shared" ca="1" si="955"/>
        <v/>
      </c>
      <c r="B2690">
        <f t="shared" si="956"/>
        <v>73</v>
      </c>
      <c r="C2690">
        <f t="shared" ca="1" si="948"/>
        <v>70</v>
      </c>
      <c r="D2690" t="str">
        <f t="shared" si="957"/>
        <v>F73</v>
      </c>
      <c r="E2690" t="str">
        <f t="shared" ca="1" si="958"/>
        <v/>
      </c>
      <c r="F2690" t="str">
        <f t="shared" ca="1" si="959"/>
        <v xml:space="preserve">Enter a 'Low-Income Units' for  building 70 in cell F73.
</v>
      </c>
      <c r="G2690" s="9" t="str">
        <f t="shared" ca="1" si="946"/>
        <v xml:space="preserve">Enter a value for 'Number of Floors in the Tallest Building' in cell B58.
</v>
      </c>
      <c r="H2690" s="52" t="str">
        <f t="shared" ca="1" si="960"/>
        <v>Low-Income Units</v>
      </c>
      <c r="I2690" s="52">
        <v>6</v>
      </c>
    </row>
    <row r="2691" spans="1:10" ht="15" customHeight="1">
      <c r="A2691" t="str">
        <f t="shared" ca="1" si="955"/>
        <v/>
      </c>
      <c r="B2691">
        <f t="shared" si="956"/>
        <v>73</v>
      </c>
      <c r="C2691">
        <f t="shared" ca="1" si="948"/>
        <v>70</v>
      </c>
      <c r="D2691" t="str">
        <f t="shared" si="957"/>
        <v>G73</v>
      </c>
      <c r="E2691" t="str">
        <f t="shared" ca="1" si="958"/>
        <v/>
      </c>
      <c r="F2691" t="str">
        <f t="shared" ca="1" si="959"/>
        <v xml:space="preserve">Enter a 'Residential Square Footage**' for  building 70 in cell G73.
</v>
      </c>
      <c r="G2691" s="9" t="str">
        <f t="shared" ca="1" si="946"/>
        <v xml:space="preserve">Enter a value for 'Number of Floors in the Tallest Building' in cell B58.
</v>
      </c>
      <c r="H2691" s="52" t="str">
        <f t="shared" ca="1" si="960"/>
        <v>Residential Square Footage**</v>
      </c>
      <c r="I2691" s="52">
        <v>7</v>
      </c>
    </row>
    <row r="2692" spans="1:10" ht="15" customHeight="1">
      <c r="A2692" t="str">
        <f t="shared" ca="1" si="955"/>
        <v/>
      </c>
      <c r="B2692">
        <f t="shared" si="956"/>
        <v>73</v>
      </c>
      <c r="C2692">
        <f t="shared" ca="1" si="948"/>
        <v>70</v>
      </c>
      <c r="D2692" t="str">
        <f t="shared" si="957"/>
        <v>H73</v>
      </c>
      <c r="E2692" t="str">
        <f t="shared" ca="1" si="958"/>
        <v/>
      </c>
      <c r="F2692" t="str">
        <f t="shared" ca="1" si="959"/>
        <v xml:space="preserve">Enter a 'Square Footage of Employee Units' for  building 70 in cell H73.
</v>
      </c>
      <c r="G2692" s="9" t="str">
        <f t="shared" ca="1" si="946"/>
        <v xml:space="preserve">Enter a value for 'Number of Floors in the Tallest Building' in cell B58.
</v>
      </c>
      <c r="H2692" s="52" t="str">
        <f t="shared" ca="1" si="960"/>
        <v>Square Footage of Employee Units</v>
      </c>
      <c r="I2692" s="52">
        <v>8</v>
      </c>
    </row>
    <row r="2693" spans="1:10" ht="15" customHeight="1">
      <c r="A2693" t="str">
        <f t="shared" ca="1" si="955"/>
        <v/>
      </c>
      <c r="B2693">
        <f t="shared" si="956"/>
        <v>73</v>
      </c>
      <c r="C2693">
        <f t="shared" ca="1" si="948"/>
        <v>70</v>
      </c>
      <c r="D2693" t="str">
        <f t="shared" si="957"/>
        <v>I73</v>
      </c>
      <c r="E2693" t="str">
        <f t="shared" ca="1" si="958"/>
        <v/>
      </c>
      <c r="F2693" t="str">
        <f t="shared" ca="1" si="959"/>
        <v xml:space="preserve">Enter a 'Square Footage of Low-Income Units' for  building 70 in cell I73.
</v>
      </c>
      <c r="G2693" s="9" t="str">
        <f t="shared" ca="1" si="946"/>
        <v xml:space="preserve">Enter a value for 'Number of Floors in the Tallest Building' in cell B58.
</v>
      </c>
      <c r="H2693" s="52" t="str">
        <f t="shared" ca="1" si="960"/>
        <v>Square Footage of Low-Income Units</v>
      </c>
      <c r="I2693" s="52">
        <v>9</v>
      </c>
    </row>
    <row r="2694" spans="1:10" ht="15" customHeight="1">
      <c r="A2694" t="str">
        <f t="shared" ca="1" si="955"/>
        <v/>
      </c>
      <c r="B2694">
        <f t="shared" si="956"/>
        <v>73</v>
      </c>
      <c r="C2694">
        <f t="shared" ca="1" si="948"/>
        <v>70</v>
      </c>
      <c r="D2694" t="str">
        <f t="shared" si="957"/>
        <v>J73</v>
      </c>
      <c r="E2694" t="str">
        <f t="shared" ca="1" si="958"/>
        <v/>
      </c>
      <c r="F2694" t="str">
        <f t="shared" ca="1" si="959"/>
        <v xml:space="preserve">Enter a 'Placed-In-Service Date' for  building 70 in cell J73.
</v>
      </c>
      <c r="G2694" s="9" t="str">
        <f t="shared" ca="1" si="946"/>
        <v xml:space="preserve">Enter a value for 'Number of Floors in the Tallest Building' in cell B58.
</v>
      </c>
      <c r="H2694" s="52" t="str">
        <f t="shared" ca="1" si="960"/>
        <v>Placed-In-Service Date</v>
      </c>
      <c r="I2694" s="52">
        <v>10</v>
      </c>
    </row>
    <row r="2695" spans="1:10" ht="15" customHeight="1">
      <c r="A2695" t="str">
        <f t="shared" ca="1" si="955"/>
        <v/>
      </c>
      <c r="B2695">
        <f t="shared" si="956"/>
        <v>73</v>
      </c>
      <c r="C2695">
        <f t="shared" ca="1" si="948"/>
        <v>70</v>
      </c>
      <c r="D2695" t="str">
        <f t="shared" si="957"/>
        <v>K73</v>
      </c>
      <c r="E2695" t="str">
        <f t="shared" ca="1" si="958"/>
        <v/>
      </c>
      <c r="F2695" t="str">
        <f t="shared" ca="1" si="959"/>
        <v xml:space="preserve">Enter a 'New Construction/ Rehab APR' for  building 70 in cell K73.
</v>
      </c>
      <c r="G2695" s="9" t="str">
        <f t="shared" ca="1" si="946"/>
        <v xml:space="preserve">Enter a value for 'Number of Floors in the Tallest Building' in cell B58.
</v>
      </c>
      <c r="H2695" s="52" t="str">
        <f t="shared" ca="1" si="960"/>
        <v>New Construction/ Rehab APR</v>
      </c>
      <c r="I2695" s="52">
        <v>11</v>
      </c>
    </row>
    <row r="2696" spans="1:10" ht="15" customHeight="1">
      <c r="A2696" t="str">
        <f t="shared" ca="1" si="955"/>
        <v/>
      </c>
      <c r="B2696">
        <f t="shared" si="956"/>
        <v>73</v>
      </c>
      <c r="C2696">
        <f t="shared" ca="1" si="948"/>
        <v>70</v>
      </c>
      <c r="D2696" t="str">
        <f t="shared" si="957"/>
        <v>L73</v>
      </c>
      <c r="E2696" t="str">
        <f t="shared" ca="1" si="958"/>
        <v/>
      </c>
      <c r="F2696" t="str">
        <f t="shared" ca="1" si="959"/>
        <v xml:space="preserve">Enter a 'New Construction Eligible Basis' for  building 70 in cell L73.
</v>
      </c>
      <c r="G2696" s="9" t="str">
        <f t="shared" ca="1" si="946"/>
        <v xml:space="preserve">Enter a value for 'Number of Floors in the Tallest Building' in cell B58.
</v>
      </c>
      <c r="H2696" s="52" t="str">
        <f t="shared" ca="1" si="960"/>
        <v>New Construction Eligible Basis</v>
      </c>
      <c r="I2696" s="52">
        <v>12</v>
      </c>
    </row>
    <row r="2697" spans="1:10" ht="15" customHeight="1">
      <c r="A2697" t="str">
        <f ca="1">IF(AND(OFFSET(A2697, -I2697 + 2, 4) &gt;  0, E2697="", Calculations!$B$7), F2697, "")</f>
        <v/>
      </c>
      <c r="B2697">
        <f t="shared" si="956"/>
        <v>73</v>
      </c>
      <c r="C2697">
        <f t="shared" ca="1" si="948"/>
        <v>70</v>
      </c>
      <c r="D2697" t="str">
        <f t="shared" si="957"/>
        <v>M73</v>
      </c>
      <c r="E2697" t="str">
        <f t="shared" ca="1" si="958"/>
        <v/>
      </c>
      <c r="F2697" t="str">
        <f t="shared" ca="1" si="959"/>
        <v xml:space="preserve">Enter a 'Eligible Basis for Rehab' for  building 70 in cell M73.
</v>
      </c>
      <c r="G2697" s="9" t="str">
        <f t="shared" ca="1" si="946"/>
        <v xml:space="preserve">Enter a value for 'Number of Floors in the Tallest Building' in cell B58.
</v>
      </c>
      <c r="H2697" s="52" t="str">
        <f t="shared" ca="1" si="960"/>
        <v>Eligible Basis for Rehab</v>
      </c>
      <c r="I2697" s="52">
        <v>13</v>
      </c>
    </row>
    <row r="2698" spans="1:10" ht="15" customHeight="1">
      <c r="A2698" t="str">
        <f ca="1">IF(AND(OFFSET(A2698, -I2698 + 2, 4) &gt;  0, E2698="", Calculations!$B$7), F2698, "")</f>
        <v/>
      </c>
      <c r="B2698">
        <f t="shared" si="956"/>
        <v>73</v>
      </c>
      <c r="C2698">
        <f t="shared" ca="1" si="948"/>
        <v>70</v>
      </c>
      <c r="D2698" t="str">
        <f t="shared" si="957"/>
        <v>N73</v>
      </c>
      <c r="E2698" t="str">
        <f t="shared" ca="1" si="958"/>
        <v/>
      </c>
      <c r="F2698" t="str">
        <f t="shared" ca="1" si="959"/>
        <v xml:space="preserve">Enter a 'Cost of Acquiring the Building***' for  building 70 in cell N73.
</v>
      </c>
      <c r="G2698" s="9" t="str">
        <f t="shared" ca="1" si="946"/>
        <v xml:space="preserve">Enter a value for 'Number of Floors in the Tallest Building' in cell B58.
</v>
      </c>
      <c r="H2698" s="52" t="str">
        <f t="shared" ca="1" si="960"/>
        <v>Cost of Acquiring the Building***</v>
      </c>
      <c r="I2698" s="52">
        <v>14</v>
      </c>
    </row>
    <row r="2699" spans="1:10" ht="15" customHeight="1">
      <c r="A2699" t="str">
        <f ca="1">IF(AND(OFFSET(A2699, -I2699 + 2, 4) &gt;  0, E2699="", Calculations!$B$7), F2699, "")</f>
        <v/>
      </c>
      <c r="B2699">
        <f t="shared" si="956"/>
        <v>73</v>
      </c>
      <c r="C2699">
        <f t="shared" ca="1" si="948"/>
        <v>70</v>
      </c>
      <c r="D2699" t="str">
        <f t="shared" si="957"/>
        <v>O73</v>
      </c>
      <c r="E2699" t="str">
        <f t="shared" ca="1" si="958"/>
        <v/>
      </c>
      <c r="F2699" t="str">
        <f t="shared" ca="1" si="959"/>
        <v xml:space="preserve">Enter a 'Higher of Land Purchase Price or Land Appraised Value****' for  building 70 in cell O73.
</v>
      </c>
      <c r="G2699" s="9" t="str">
        <f t="shared" ca="1" si="946"/>
        <v xml:space="preserve">Enter a value for 'Number of Floors in the Tallest Building' in cell B58.
</v>
      </c>
      <c r="H2699" s="52" t="str">
        <f t="shared" ca="1" si="960"/>
        <v>Higher of Land Purchase Price or Land Appraised Value****</v>
      </c>
      <c r="I2699" s="52">
        <v>15</v>
      </c>
    </row>
    <row r="2700" spans="1:10" ht="15" customHeight="1">
      <c r="A2700" t="str">
        <f ca="1">IF(AND(OFFSET(A2700, -I2700 + 2, 4) &gt;  0, E2700="", Calculations!$B$7), F2700, "")</f>
        <v/>
      </c>
      <c r="B2700">
        <f t="shared" si="956"/>
        <v>73</v>
      </c>
      <c r="C2700">
        <f t="shared" ca="1" si="948"/>
        <v>70</v>
      </c>
      <c r="D2700" t="str">
        <f t="shared" si="957"/>
        <v>P73</v>
      </c>
      <c r="E2700" t="str">
        <f t="shared" ca="1" si="958"/>
        <v/>
      </c>
      <c r="F2700" t="str">
        <f t="shared" ca="1" si="959"/>
        <v xml:space="preserve">Enter a 'Acquisition Placed-in-Service Date' for  building 70 in cell P73.
</v>
      </c>
      <c r="G2700" s="9" t="str">
        <f t="shared" ca="1" si="946"/>
        <v xml:space="preserve">Enter a value for 'Number of Floors in the Tallest Building' in cell B58.
</v>
      </c>
      <c r="H2700" s="52" t="str">
        <f t="shared" ca="1" si="960"/>
        <v>Acquisition Placed-in-Service Date</v>
      </c>
      <c r="I2700" s="52">
        <v>16</v>
      </c>
    </row>
    <row r="2701" spans="1:10" ht="15" customHeight="1">
      <c r="A2701" t="str">
        <f ca="1">IF(AND(OFFSET(A2701, -I2701 + 2, 4) &gt;  0, E2701="", Calculations!$B$7), F2701, "")</f>
        <v/>
      </c>
      <c r="B2701">
        <f t="shared" si="956"/>
        <v>73</v>
      </c>
      <c r="C2701">
        <f t="shared" ca="1" si="948"/>
        <v>70</v>
      </c>
      <c r="D2701" t="str">
        <f t="shared" si="957"/>
        <v>Q73</v>
      </c>
      <c r="E2701" t="str">
        <f t="shared" ca="1" si="958"/>
        <v/>
      </c>
      <c r="F2701" t="str">
        <f t="shared" ca="1" si="959"/>
        <v xml:space="preserve">Enter a 'Acquisition APR' for  building 70 in cell Q73.
</v>
      </c>
      <c r="G2701" s="9" t="str">
        <f t="shared" ca="1" si="946"/>
        <v xml:space="preserve">Enter a value for 'Number of Floors in the Tallest Building' in cell B58.
</v>
      </c>
      <c r="H2701" s="52" t="str">
        <f t="shared" ca="1" si="960"/>
        <v>Acquisition APR</v>
      </c>
      <c r="I2701" s="52">
        <v>17</v>
      </c>
    </row>
    <row r="2702" spans="1:10" ht="15" customHeight="1">
      <c r="A2702" t="str">
        <f ca="1">IF(AND(Calculations!$B$4,Calculations!$B$28&gt;=C2702, E2702 &lt;&gt; 13),F2702,"")</f>
        <v/>
      </c>
      <c r="B2702">
        <f>ROW('Final Building Profile'!C74)</f>
        <v>74</v>
      </c>
      <c r="C2702">
        <f t="shared" ca="1" si="948"/>
        <v>71</v>
      </c>
      <c r="D2702" t="str">
        <f>ADDRESS(B2702, 3,4  )</f>
        <v>C74</v>
      </c>
      <c r="E2702" s="52">
        <f ca="1">H2702+I2702</f>
        <v>0</v>
      </c>
      <c r="F2702" t="str">
        <f ca="1">CONCATENATE("Based upon the number of buildings specified, information for  building ", C2702, " required for a final application in row ", B2702, ".", CHAR(10))</f>
        <v xml:space="preserve">Based upon the number of buildings specified, information for  building 71 required for a final application in row 74.
</v>
      </c>
      <c r="G2702" s="9" t="str">
        <f t="shared" ca="1" si="946"/>
        <v xml:space="preserve">Enter a value for 'Number of Floors in the Tallest Building' in cell B58.
</v>
      </c>
      <c r="H2702" s="52">
        <f ca="1">SUMPRODUCT(--ISTEXT(INDIRECT(J2702)))</f>
        <v>0</v>
      </c>
      <c r="I2702" s="52">
        <f ca="1">SUMPRODUCT(--ISNUMBER(INDIRECT(J2702)))</f>
        <v>0</v>
      </c>
      <c r="J2702" s="52" t="str">
        <f>$F$1564&amp; ADDRESS(B2702,3,4) &amp; ":" &amp; ADDRESS(B2702,15,4)</f>
        <v>'Final Building Profile'!C74:O74</v>
      </c>
    </row>
    <row r="2703" spans="1:10" ht="15" customHeight="1">
      <c r="A2703" t="str">
        <f t="shared" ref="A2703:A2712" ca="1" si="961">IF(AND(OFFSET(A2703, -I2703 + 2, 4) &gt;  0, E2703=""), F2703, "")</f>
        <v/>
      </c>
      <c r="B2703">
        <f t="shared" ref="B2703:B2717" si="962">B2702</f>
        <v>74</v>
      </c>
      <c r="C2703">
        <f t="shared" ca="1" si="948"/>
        <v>71</v>
      </c>
      <c r="D2703" t="str">
        <f t="shared" ref="D2703:D2717" si="963">ADDRESS(B2703, I2703,4  )</f>
        <v>C74</v>
      </c>
      <c r="E2703" t="str">
        <f t="shared" ref="E2703:E2717" ca="1" si="964">IF(ISBLANK( INDIRECT($F$1564 &amp; D2703)),"", INDIRECT($F$1564 &amp; D2703))</f>
        <v/>
      </c>
      <c r="F2703" t="str">
        <f t="shared" ref="F2703:F2717" ca="1" si="965">CONCATENATE("Enter a '"&amp; H2703 &amp;"' for  building ", C2703, " in cell ", D2703, ".", CHAR(10))</f>
        <v xml:space="preserve">Enter a 'Building Street Address Only 
(DO NOT ENTER CITY, STATE, OR ZIP)' for  building 71 in cell C74.
</v>
      </c>
      <c r="G2703" s="9" t="str">
        <f t="shared" ca="1" si="946"/>
        <v xml:space="preserve">Enter a value for 'Number of Floors in the Tallest Building' in cell B58.
</v>
      </c>
      <c r="H2703" s="52" t="str">
        <f t="shared" ref="H2703:H2717" ca="1" si="966">OFFSET(INDIRECT($F$1564 &amp; D2703), -B2703 + 3, 0)</f>
        <v>Building Street Address Only 
(DO NOT ENTER CITY, STATE, OR ZIP)</v>
      </c>
      <c r="I2703" s="52">
        <v>3</v>
      </c>
    </row>
    <row r="2704" spans="1:10" ht="15" customHeight="1">
      <c r="A2704" t="str">
        <f t="shared" ca="1" si="961"/>
        <v/>
      </c>
      <c r="B2704">
        <f t="shared" si="962"/>
        <v>74</v>
      </c>
      <c r="C2704">
        <f t="shared" ca="1" si="948"/>
        <v>71</v>
      </c>
      <c r="D2704" t="str">
        <f t="shared" si="963"/>
        <v>D74</v>
      </c>
      <c r="E2704" t="str">
        <f t="shared" ca="1" si="964"/>
        <v/>
      </c>
      <c r="F2704" t="str">
        <f t="shared" ca="1" si="965"/>
        <v xml:space="preserve">Enter a 'Total Units in Building*' for  building 71 in cell D74.
</v>
      </c>
      <c r="G2704" s="9" t="str">
        <f t="shared" ca="1" si="946"/>
        <v xml:space="preserve">Enter a value for 'Number of Floors in the Tallest Building' in cell B58.
</v>
      </c>
      <c r="H2704" s="52" t="str">
        <f t="shared" ca="1" si="966"/>
        <v>Total Units in Building*</v>
      </c>
      <c r="I2704" s="52">
        <v>4</v>
      </c>
    </row>
    <row r="2705" spans="1:10" ht="15" customHeight="1">
      <c r="A2705" t="str">
        <f t="shared" ca="1" si="961"/>
        <v/>
      </c>
      <c r="B2705">
        <f t="shared" si="962"/>
        <v>74</v>
      </c>
      <c r="C2705">
        <f t="shared" ca="1" si="948"/>
        <v>71</v>
      </c>
      <c r="D2705" t="str">
        <f t="shared" si="963"/>
        <v>E74</v>
      </c>
      <c r="E2705" t="str">
        <f t="shared" ca="1" si="964"/>
        <v/>
      </c>
      <c r="F2705" t="str">
        <f t="shared" ca="1" si="965"/>
        <v xml:space="preserve">Enter a 'Employee Units' for  building 71 in cell E74.
</v>
      </c>
      <c r="G2705" s="9" t="str">
        <f t="shared" ca="1" si="946"/>
        <v xml:space="preserve">Enter a value for 'Number of Floors in the Tallest Building' in cell B58.
</v>
      </c>
      <c r="H2705" s="52" t="str">
        <f t="shared" ca="1" si="966"/>
        <v>Employee Units</v>
      </c>
      <c r="I2705" s="52">
        <v>5</v>
      </c>
    </row>
    <row r="2706" spans="1:10" ht="15" customHeight="1">
      <c r="A2706" t="str">
        <f t="shared" ca="1" si="961"/>
        <v/>
      </c>
      <c r="B2706">
        <f t="shared" si="962"/>
        <v>74</v>
      </c>
      <c r="C2706">
        <f t="shared" ca="1" si="948"/>
        <v>71</v>
      </c>
      <c r="D2706" t="str">
        <f t="shared" si="963"/>
        <v>F74</v>
      </c>
      <c r="E2706" t="str">
        <f t="shared" ca="1" si="964"/>
        <v/>
      </c>
      <c r="F2706" t="str">
        <f t="shared" ca="1" si="965"/>
        <v xml:space="preserve">Enter a 'Low-Income Units' for  building 71 in cell F74.
</v>
      </c>
      <c r="G2706" s="9" t="str">
        <f t="shared" ca="1" si="946"/>
        <v xml:space="preserve">Enter a value for 'Number of Floors in the Tallest Building' in cell B58.
</v>
      </c>
      <c r="H2706" s="52" t="str">
        <f t="shared" ca="1" si="966"/>
        <v>Low-Income Units</v>
      </c>
      <c r="I2706" s="52">
        <v>6</v>
      </c>
    </row>
    <row r="2707" spans="1:10" ht="15" customHeight="1">
      <c r="A2707" t="str">
        <f t="shared" ca="1" si="961"/>
        <v/>
      </c>
      <c r="B2707">
        <f t="shared" si="962"/>
        <v>74</v>
      </c>
      <c r="C2707">
        <f t="shared" ca="1" si="948"/>
        <v>71</v>
      </c>
      <c r="D2707" t="str">
        <f t="shared" si="963"/>
        <v>G74</v>
      </c>
      <c r="E2707" t="str">
        <f t="shared" ca="1" si="964"/>
        <v/>
      </c>
      <c r="F2707" t="str">
        <f t="shared" ca="1" si="965"/>
        <v xml:space="preserve">Enter a 'Residential Square Footage**' for  building 71 in cell G74.
</v>
      </c>
      <c r="G2707" s="9" t="str">
        <f t="shared" ca="1" si="946"/>
        <v xml:space="preserve">Enter a value for 'Number of Floors in the Tallest Building' in cell B58.
</v>
      </c>
      <c r="H2707" s="52" t="str">
        <f t="shared" ca="1" si="966"/>
        <v>Residential Square Footage**</v>
      </c>
      <c r="I2707" s="52">
        <v>7</v>
      </c>
    </row>
    <row r="2708" spans="1:10" ht="15" customHeight="1">
      <c r="A2708" t="str">
        <f t="shared" ca="1" si="961"/>
        <v/>
      </c>
      <c r="B2708">
        <f t="shared" si="962"/>
        <v>74</v>
      </c>
      <c r="C2708">
        <f t="shared" ca="1" si="948"/>
        <v>71</v>
      </c>
      <c r="D2708" t="str">
        <f t="shared" si="963"/>
        <v>H74</v>
      </c>
      <c r="E2708" t="str">
        <f t="shared" ca="1" si="964"/>
        <v/>
      </c>
      <c r="F2708" t="str">
        <f t="shared" ca="1" si="965"/>
        <v xml:space="preserve">Enter a 'Square Footage of Employee Units' for  building 71 in cell H74.
</v>
      </c>
      <c r="G2708" s="9" t="str">
        <f t="shared" ca="1" si="946"/>
        <v xml:space="preserve">Enter a value for 'Number of Floors in the Tallest Building' in cell B58.
</v>
      </c>
      <c r="H2708" s="52" t="str">
        <f t="shared" ca="1" si="966"/>
        <v>Square Footage of Employee Units</v>
      </c>
      <c r="I2708" s="52">
        <v>8</v>
      </c>
    </row>
    <row r="2709" spans="1:10" ht="15" customHeight="1">
      <c r="A2709" t="str">
        <f t="shared" ca="1" si="961"/>
        <v/>
      </c>
      <c r="B2709">
        <f t="shared" si="962"/>
        <v>74</v>
      </c>
      <c r="C2709">
        <f t="shared" ca="1" si="948"/>
        <v>71</v>
      </c>
      <c r="D2709" t="str">
        <f t="shared" si="963"/>
        <v>I74</v>
      </c>
      <c r="E2709" t="str">
        <f t="shared" ca="1" si="964"/>
        <v/>
      </c>
      <c r="F2709" t="str">
        <f t="shared" ca="1" si="965"/>
        <v xml:space="preserve">Enter a 'Square Footage of Low-Income Units' for  building 71 in cell I74.
</v>
      </c>
      <c r="G2709" s="9" t="str">
        <f t="shared" ca="1" si="946"/>
        <v xml:space="preserve">Enter a value for 'Number of Floors in the Tallest Building' in cell B58.
</v>
      </c>
      <c r="H2709" s="52" t="str">
        <f t="shared" ca="1" si="966"/>
        <v>Square Footage of Low-Income Units</v>
      </c>
      <c r="I2709" s="52">
        <v>9</v>
      </c>
    </row>
    <row r="2710" spans="1:10" ht="15" customHeight="1">
      <c r="A2710" t="str">
        <f t="shared" ca="1" si="961"/>
        <v/>
      </c>
      <c r="B2710">
        <f t="shared" si="962"/>
        <v>74</v>
      </c>
      <c r="C2710">
        <f t="shared" ca="1" si="948"/>
        <v>71</v>
      </c>
      <c r="D2710" t="str">
        <f t="shared" si="963"/>
        <v>J74</v>
      </c>
      <c r="E2710" t="str">
        <f t="shared" ca="1" si="964"/>
        <v/>
      </c>
      <c r="F2710" t="str">
        <f t="shared" ca="1" si="965"/>
        <v xml:space="preserve">Enter a 'Placed-In-Service Date' for  building 71 in cell J74.
</v>
      </c>
      <c r="G2710" s="9" t="str">
        <f t="shared" ca="1" si="946"/>
        <v xml:space="preserve">Enter a value for 'Number of Floors in the Tallest Building' in cell B58.
</v>
      </c>
      <c r="H2710" s="52" t="str">
        <f t="shared" ca="1" si="966"/>
        <v>Placed-In-Service Date</v>
      </c>
      <c r="I2710" s="52">
        <v>10</v>
      </c>
    </row>
    <row r="2711" spans="1:10" ht="15" customHeight="1">
      <c r="A2711" t="str">
        <f t="shared" ca="1" si="961"/>
        <v/>
      </c>
      <c r="B2711">
        <f t="shared" si="962"/>
        <v>74</v>
      </c>
      <c r="C2711">
        <f t="shared" ca="1" si="948"/>
        <v>71</v>
      </c>
      <c r="D2711" t="str">
        <f t="shared" si="963"/>
        <v>K74</v>
      </c>
      <c r="E2711" t="str">
        <f t="shared" ca="1" si="964"/>
        <v/>
      </c>
      <c r="F2711" t="str">
        <f t="shared" ca="1" si="965"/>
        <v xml:space="preserve">Enter a 'New Construction/ Rehab APR' for  building 71 in cell K74.
</v>
      </c>
      <c r="G2711" s="9" t="str">
        <f t="shared" ca="1" si="946"/>
        <v xml:space="preserve">Enter a value for 'Number of Floors in the Tallest Building' in cell B58.
</v>
      </c>
      <c r="H2711" s="52" t="str">
        <f t="shared" ca="1" si="966"/>
        <v>New Construction/ Rehab APR</v>
      </c>
      <c r="I2711" s="52">
        <v>11</v>
      </c>
    </row>
    <row r="2712" spans="1:10" ht="15" customHeight="1">
      <c r="A2712" t="str">
        <f t="shared" ca="1" si="961"/>
        <v/>
      </c>
      <c r="B2712">
        <f t="shared" si="962"/>
        <v>74</v>
      </c>
      <c r="C2712">
        <f t="shared" ca="1" si="948"/>
        <v>71</v>
      </c>
      <c r="D2712" t="str">
        <f t="shared" si="963"/>
        <v>L74</v>
      </c>
      <c r="E2712" t="str">
        <f t="shared" ca="1" si="964"/>
        <v/>
      </c>
      <c r="F2712" t="str">
        <f t="shared" ca="1" si="965"/>
        <v xml:space="preserve">Enter a 'New Construction Eligible Basis' for  building 71 in cell L74.
</v>
      </c>
      <c r="G2712" s="9" t="str">
        <f t="shared" ca="1" si="946"/>
        <v xml:space="preserve">Enter a value for 'Number of Floors in the Tallest Building' in cell B58.
</v>
      </c>
      <c r="H2712" s="52" t="str">
        <f t="shared" ca="1" si="966"/>
        <v>New Construction Eligible Basis</v>
      </c>
      <c r="I2712" s="52">
        <v>12</v>
      </c>
    </row>
    <row r="2713" spans="1:10" ht="15" customHeight="1">
      <c r="A2713" t="str">
        <f ca="1">IF(AND(OFFSET(A2713, -I2713 + 2, 4) &gt;  0, E2713="", Calculations!$B$7), F2713, "")</f>
        <v/>
      </c>
      <c r="B2713">
        <f t="shared" si="962"/>
        <v>74</v>
      </c>
      <c r="C2713">
        <f t="shared" ca="1" si="948"/>
        <v>71</v>
      </c>
      <c r="D2713" t="str">
        <f t="shared" si="963"/>
        <v>M74</v>
      </c>
      <c r="E2713" t="str">
        <f t="shared" ca="1" si="964"/>
        <v/>
      </c>
      <c r="F2713" t="str">
        <f t="shared" ca="1" si="965"/>
        <v xml:space="preserve">Enter a 'Eligible Basis for Rehab' for  building 71 in cell M74.
</v>
      </c>
      <c r="G2713" s="9" t="str">
        <f t="shared" ca="1" si="946"/>
        <v xml:space="preserve">Enter a value for 'Number of Floors in the Tallest Building' in cell B58.
</v>
      </c>
      <c r="H2713" s="52" t="str">
        <f t="shared" ca="1" si="966"/>
        <v>Eligible Basis for Rehab</v>
      </c>
      <c r="I2713" s="52">
        <v>13</v>
      </c>
    </row>
    <row r="2714" spans="1:10" ht="15" customHeight="1">
      <c r="A2714" t="str">
        <f ca="1">IF(AND(OFFSET(A2714, -I2714 + 2, 4) &gt;  0, E2714="", Calculations!$B$7), F2714, "")</f>
        <v/>
      </c>
      <c r="B2714">
        <f t="shared" si="962"/>
        <v>74</v>
      </c>
      <c r="C2714">
        <f t="shared" ca="1" si="948"/>
        <v>71</v>
      </c>
      <c r="D2714" t="str">
        <f t="shared" si="963"/>
        <v>N74</v>
      </c>
      <c r="E2714" t="str">
        <f t="shared" ca="1" si="964"/>
        <v/>
      </c>
      <c r="F2714" t="str">
        <f t="shared" ca="1" si="965"/>
        <v xml:space="preserve">Enter a 'Cost of Acquiring the Building***' for  building 71 in cell N74.
</v>
      </c>
      <c r="G2714" s="9" t="str">
        <f t="shared" ca="1" si="946"/>
        <v xml:space="preserve">Enter a value for 'Number of Floors in the Tallest Building' in cell B58.
</v>
      </c>
      <c r="H2714" s="52" t="str">
        <f t="shared" ca="1" si="966"/>
        <v>Cost of Acquiring the Building***</v>
      </c>
      <c r="I2714" s="52">
        <v>14</v>
      </c>
    </row>
    <row r="2715" spans="1:10" ht="15" customHeight="1">
      <c r="A2715" t="str">
        <f ca="1">IF(AND(OFFSET(A2715, -I2715 + 2, 4) &gt;  0, E2715="", Calculations!$B$7), F2715, "")</f>
        <v/>
      </c>
      <c r="B2715">
        <f t="shared" si="962"/>
        <v>74</v>
      </c>
      <c r="C2715">
        <f t="shared" ca="1" si="948"/>
        <v>71</v>
      </c>
      <c r="D2715" t="str">
        <f t="shared" si="963"/>
        <v>O74</v>
      </c>
      <c r="E2715" t="str">
        <f t="shared" ca="1" si="964"/>
        <v/>
      </c>
      <c r="F2715" t="str">
        <f t="shared" ca="1" si="965"/>
        <v xml:space="preserve">Enter a 'Higher of Land Purchase Price or Land Appraised Value****' for  building 71 in cell O74.
</v>
      </c>
      <c r="G2715" s="9" t="str">
        <f t="shared" ca="1" si="946"/>
        <v xml:space="preserve">Enter a value for 'Number of Floors in the Tallest Building' in cell B58.
</v>
      </c>
      <c r="H2715" s="52" t="str">
        <f t="shared" ca="1" si="966"/>
        <v>Higher of Land Purchase Price or Land Appraised Value****</v>
      </c>
      <c r="I2715" s="52">
        <v>15</v>
      </c>
    </row>
    <row r="2716" spans="1:10" ht="15" customHeight="1">
      <c r="A2716" t="str">
        <f ca="1">IF(AND(OFFSET(A2716, -I2716 + 2, 4) &gt;  0, E2716="", Calculations!$B$7), F2716, "")</f>
        <v/>
      </c>
      <c r="B2716">
        <f t="shared" si="962"/>
        <v>74</v>
      </c>
      <c r="C2716">
        <f t="shared" ca="1" si="948"/>
        <v>71</v>
      </c>
      <c r="D2716" t="str">
        <f t="shared" si="963"/>
        <v>P74</v>
      </c>
      <c r="E2716" t="str">
        <f t="shared" ca="1" si="964"/>
        <v/>
      </c>
      <c r="F2716" t="str">
        <f t="shared" ca="1" si="965"/>
        <v xml:space="preserve">Enter a 'Acquisition Placed-in-Service Date' for  building 71 in cell P74.
</v>
      </c>
      <c r="G2716" s="9" t="str">
        <f t="shared" ca="1" si="946"/>
        <v xml:space="preserve">Enter a value for 'Number of Floors in the Tallest Building' in cell B58.
</v>
      </c>
      <c r="H2716" s="52" t="str">
        <f t="shared" ca="1" si="966"/>
        <v>Acquisition Placed-in-Service Date</v>
      </c>
      <c r="I2716" s="52">
        <v>16</v>
      </c>
    </row>
    <row r="2717" spans="1:10" ht="15" customHeight="1">
      <c r="A2717" t="str">
        <f ca="1">IF(AND(OFFSET(A2717, -I2717 + 2, 4) &gt;  0, E2717="", Calculations!$B$7), F2717, "")</f>
        <v/>
      </c>
      <c r="B2717">
        <f t="shared" si="962"/>
        <v>74</v>
      </c>
      <c r="C2717">
        <f t="shared" ca="1" si="948"/>
        <v>71</v>
      </c>
      <c r="D2717" t="str">
        <f t="shared" si="963"/>
        <v>Q74</v>
      </c>
      <c r="E2717" t="str">
        <f t="shared" ca="1" si="964"/>
        <v/>
      </c>
      <c r="F2717" t="str">
        <f t="shared" ca="1" si="965"/>
        <v xml:space="preserve">Enter a 'Acquisition APR' for  building 71 in cell Q74.
</v>
      </c>
      <c r="G2717" s="9" t="str">
        <f t="shared" ca="1" si="946"/>
        <v xml:space="preserve">Enter a value for 'Number of Floors in the Tallest Building' in cell B58.
</v>
      </c>
      <c r="H2717" s="52" t="str">
        <f t="shared" ca="1" si="966"/>
        <v>Acquisition APR</v>
      </c>
      <c r="I2717" s="52">
        <v>17</v>
      </c>
    </row>
    <row r="2718" spans="1:10" ht="15" customHeight="1">
      <c r="A2718" t="str">
        <f ca="1">IF(AND(Calculations!$B$4,Calculations!$B$28&gt;=C2718, E2718 &lt;&gt; 13),F2718,"")</f>
        <v/>
      </c>
      <c r="B2718">
        <f>ROW('Final Building Profile'!C75)</f>
        <v>75</v>
      </c>
      <c r="C2718">
        <f t="shared" ca="1" si="948"/>
        <v>72</v>
      </c>
      <c r="D2718" t="str">
        <f>ADDRESS(B2718, 3,4  )</f>
        <v>C75</v>
      </c>
      <c r="E2718" s="52">
        <f ca="1">H2718+I2718</f>
        <v>0</v>
      </c>
      <c r="F2718" t="str">
        <f ca="1">CONCATENATE("Based upon the number of buildings specified, information for  building ", C2718, " required for a final application in row ", B2718, ".", CHAR(10))</f>
        <v xml:space="preserve">Based upon the number of buildings specified, information for  building 72 required for a final application in row 75.
</v>
      </c>
      <c r="G2718" s="9" t="str">
        <f t="shared" ca="1" si="946"/>
        <v xml:space="preserve">Enter a value for 'Number of Floors in the Tallest Building' in cell B58.
</v>
      </c>
      <c r="H2718" s="52">
        <f ca="1">SUMPRODUCT(--ISTEXT(INDIRECT(J2718)))</f>
        <v>0</v>
      </c>
      <c r="I2718" s="52">
        <f ca="1">SUMPRODUCT(--ISNUMBER(INDIRECT(J2718)))</f>
        <v>0</v>
      </c>
      <c r="J2718" s="52" t="str">
        <f>$F$1564&amp; ADDRESS(B2718,3,4) &amp; ":" &amp; ADDRESS(B2718,15,4)</f>
        <v>'Final Building Profile'!C75:O75</v>
      </c>
    </row>
    <row r="2719" spans="1:10" ht="15" customHeight="1">
      <c r="A2719" t="str">
        <f t="shared" ref="A2719:A2728" ca="1" si="967">IF(AND(OFFSET(A2719, -I2719 + 2, 4) &gt;  0, E2719=""), F2719, "")</f>
        <v/>
      </c>
      <c r="B2719">
        <f t="shared" ref="B2719:B2733" si="968">B2718</f>
        <v>75</v>
      </c>
      <c r="C2719">
        <f t="shared" ca="1" si="948"/>
        <v>72</v>
      </c>
      <c r="D2719" t="str">
        <f t="shared" ref="D2719:D2733" si="969">ADDRESS(B2719, I2719,4  )</f>
        <v>C75</v>
      </c>
      <c r="E2719" t="str">
        <f t="shared" ref="E2719:E2733" ca="1" si="970">IF(ISBLANK( INDIRECT($F$1564 &amp; D2719)),"", INDIRECT($F$1564 &amp; D2719))</f>
        <v/>
      </c>
      <c r="F2719" t="str">
        <f t="shared" ref="F2719:F2733" ca="1" si="971">CONCATENATE("Enter a '"&amp; H2719 &amp;"' for  building ", C2719, " in cell ", D2719, ".", CHAR(10))</f>
        <v xml:space="preserve">Enter a 'Building Street Address Only 
(DO NOT ENTER CITY, STATE, OR ZIP)' for  building 72 in cell C75.
</v>
      </c>
      <c r="G2719" s="9" t="str">
        <f t="shared" ref="G2719:G2782" ca="1" si="972">OFFSET(G2719, -1, 0) &amp; A2719</f>
        <v xml:space="preserve">Enter a value for 'Number of Floors in the Tallest Building' in cell B58.
</v>
      </c>
      <c r="H2719" s="52" t="str">
        <f t="shared" ref="H2719:H2733" ca="1" si="973">OFFSET(INDIRECT($F$1564 &amp; D2719), -B2719 + 3, 0)</f>
        <v>Building Street Address Only 
(DO NOT ENTER CITY, STATE, OR ZIP)</v>
      </c>
      <c r="I2719" s="52">
        <v>3</v>
      </c>
    </row>
    <row r="2720" spans="1:10" ht="15" customHeight="1">
      <c r="A2720" t="str">
        <f t="shared" ca="1" si="967"/>
        <v/>
      </c>
      <c r="B2720">
        <f t="shared" si="968"/>
        <v>75</v>
      </c>
      <c r="C2720">
        <f t="shared" ca="1" si="948"/>
        <v>72</v>
      </c>
      <c r="D2720" t="str">
        <f t="shared" si="969"/>
        <v>D75</v>
      </c>
      <c r="E2720" t="str">
        <f t="shared" ca="1" si="970"/>
        <v/>
      </c>
      <c r="F2720" t="str">
        <f t="shared" ca="1" si="971"/>
        <v xml:space="preserve">Enter a 'Total Units in Building*' for  building 72 in cell D75.
</v>
      </c>
      <c r="G2720" s="9" t="str">
        <f t="shared" ca="1" si="972"/>
        <v xml:space="preserve">Enter a value for 'Number of Floors in the Tallest Building' in cell B58.
</v>
      </c>
      <c r="H2720" s="52" t="str">
        <f t="shared" ca="1" si="973"/>
        <v>Total Units in Building*</v>
      </c>
      <c r="I2720" s="52">
        <v>4</v>
      </c>
    </row>
    <row r="2721" spans="1:10" ht="15" customHeight="1">
      <c r="A2721" t="str">
        <f t="shared" ca="1" si="967"/>
        <v/>
      </c>
      <c r="B2721">
        <f t="shared" si="968"/>
        <v>75</v>
      </c>
      <c r="C2721">
        <f t="shared" ca="1" si="948"/>
        <v>72</v>
      </c>
      <c r="D2721" t="str">
        <f t="shared" si="969"/>
        <v>E75</v>
      </c>
      <c r="E2721" t="str">
        <f t="shared" ca="1" si="970"/>
        <v/>
      </c>
      <c r="F2721" t="str">
        <f t="shared" ca="1" si="971"/>
        <v xml:space="preserve">Enter a 'Employee Units' for  building 72 in cell E75.
</v>
      </c>
      <c r="G2721" s="9" t="str">
        <f t="shared" ca="1" si="972"/>
        <v xml:space="preserve">Enter a value for 'Number of Floors in the Tallest Building' in cell B58.
</v>
      </c>
      <c r="H2721" s="52" t="str">
        <f t="shared" ca="1" si="973"/>
        <v>Employee Units</v>
      </c>
      <c r="I2721" s="52">
        <v>5</v>
      </c>
    </row>
    <row r="2722" spans="1:10" ht="15" customHeight="1">
      <c r="A2722" t="str">
        <f t="shared" ca="1" si="967"/>
        <v/>
      </c>
      <c r="B2722">
        <f t="shared" si="968"/>
        <v>75</v>
      </c>
      <c r="C2722">
        <f t="shared" ca="1" si="948"/>
        <v>72</v>
      </c>
      <c r="D2722" t="str">
        <f t="shared" si="969"/>
        <v>F75</v>
      </c>
      <c r="E2722" t="str">
        <f t="shared" ca="1" si="970"/>
        <v/>
      </c>
      <c r="F2722" t="str">
        <f t="shared" ca="1" si="971"/>
        <v xml:space="preserve">Enter a 'Low-Income Units' for  building 72 in cell F75.
</v>
      </c>
      <c r="G2722" s="9" t="str">
        <f t="shared" ca="1" si="972"/>
        <v xml:space="preserve">Enter a value for 'Number of Floors in the Tallest Building' in cell B58.
</v>
      </c>
      <c r="H2722" s="52" t="str">
        <f t="shared" ca="1" si="973"/>
        <v>Low-Income Units</v>
      </c>
      <c r="I2722" s="52">
        <v>6</v>
      </c>
    </row>
    <row r="2723" spans="1:10" ht="15" customHeight="1">
      <c r="A2723" t="str">
        <f t="shared" ca="1" si="967"/>
        <v/>
      </c>
      <c r="B2723">
        <f t="shared" si="968"/>
        <v>75</v>
      </c>
      <c r="C2723">
        <f t="shared" ca="1" si="948"/>
        <v>72</v>
      </c>
      <c r="D2723" t="str">
        <f t="shared" si="969"/>
        <v>G75</v>
      </c>
      <c r="E2723" t="str">
        <f t="shared" ca="1" si="970"/>
        <v/>
      </c>
      <c r="F2723" t="str">
        <f t="shared" ca="1" si="971"/>
        <v xml:space="preserve">Enter a 'Residential Square Footage**' for  building 72 in cell G75.
</v>
      </c>
      <c r="G2723" s="9" t="str">
        <f t="shared" ca="1" si="972"/>
        <v xml:space="preserve">Enter a value for 'Number of Floors in the Tallest Building' in cell B58.
</v>
      </c>
      <c r="H2723" s="52" t="str">
        <f t="shared" ca="1" si="973"/>
        <v>Residential Square Footage**</v>
      </c>
      <c r="I2723" s="52">
        <v>7</v>
      </c>
    </row>
    <row r="2724" spans="1:10" ht="15" customHeight="1">
      <c r="A2724" t="str">
        <f t="shared" ca="1" si="967"/>
        <v/>
      </c>
      <c r="B2724">
        <f t="shared" si="968"/>
        <v>75</v>
      </c>
      <c r="C2724">
        <f t="shared" ca="1" si="948"/>
        <v>72</v>
      </c>
      <c r="D2724" t="str">
        <f t="shared" si="969"/>
        <v>H75</v>
      </c>
      <c r="E2724" t="str">
        <f t="shared" ca="1" si="970"/>
        <v/>
      </c>
      <c r="F2724" t="str">
        <f t="shared" ca="1" si="971"/>
        <v xml:space="preserve">Enter a 'Square Footage of Employee Units' for  building 72 in cell H75.
</v>
      </c>
      <c r="G2724" s="9" t="str">
        <f t="shared" ca="1" si="972"/>
        <v xml:space="preserve">Enter a value for 'Number of Floors in the Tallest Building' in cell B58.
</v>
      </c>
      <c r="H2724" s="52" t="str">
        <f t="shared" ca="1" si="973"/>
        <v>Square Footage of Employee Units</v>
      </c>
      <c r="I2724" s="52">
        <v>8</v>
      </c>
    </row>
    <row r="2725" spans="1:10" ht="15" customHeight="1">
      <c r="A2725" t="str">
        <f t="shared" ca="1" si="967"/>
        <v/>
      </c>
      <c r="B2725">
        <f t="shared" si="968"/>
        <v>75</v>
      </c>
      <c r="C2725">
        <f t="shared" ca="1" si="948"/>
        <v>72</v>
      </c>
      <c r="D2725" t="str">
        <f t="shared" si="969"/>
        <v>I75</v>
      </c>
      <c r="E2725" t="str">
        <f t="shared" ca="1" si="970"/>
        <v/>
      </c>
      <c r="F2725" t="str">
        <f t="shared" ca="1" si="971"/>
        <v xml:space="preserve">Enter a 'Square Footage of Low-Income Units' for  building 72 in cell I75.
</v>
      </c>
      <c r="G2725" s="9" t="str">
        <f t="shared" ca="1" si="972"/>
        <v xml:space="preserve">Enter a value for 'Number of Floors in the Tallest Building' in cell B58.
</v>
      </c>
      <c r="H2725" s="52" t="str">
        <f t="shared" ca="1" si="973"/>
        <v>Square Footage of Low-Income Units</v>
      </c>
      <c r="I2725" s="52">
        <v>9</v>
      </c>
    </row>
    <row r="2726" spans="1:10" ht="15" customHeight="1">
      <c r="A2726" t="str">
        <f t="shared" ca="1" si="967"/>
        <v/>
      </c>
      <c r="B2726">
        <f t="shared" si="968"/>
        <v>75</v>
      </c>
      <c r="C2726">
        <f t="shared" ca="1" si="948"/>
        <v>72</v>
      </c>
      <c r="D2726" t="str">
        <f t="shared" si="969"/>
        <v>J75</v>
      </c>
      <c r="E2726" t="str">
        <f t="shared" ca="1" si="970"/>
        <v/>
      </c>
      <c r="F2726" t="str">
        <f t="shared" ca="1" si="971"/>
        <v xml:space="preserve">Enter a 'Placed-In-Service Date' for  building 72 in cell J75.
</v>
      </c>
      <c r="G2726" s="9" t="str">
        <f t="shared" ca="1" si="972"/>
        <v xml:space="preserve">Enter a value for 'Number of Floors in the Tallest Building' in cell B58.
</v>
      </c>
      <c r="H2726" s="52" t="str">
        <f t="shared" ca="1" si="973"/>
        <v>Placed-In-Service Date</v>
      </c>
      <c r="I2726" s="52">
        <v>10</v>
      </c>
    </row>
    <row r="2727" spans="1:10" ht="15" customHeight="1">
      <c r="A2727" t="str">
        <f t="shared" ca="1" si="967"/>
        <v/>
      </c>
      <c r="B2727">
        <f t="shared" si="968"/>
        <v>75</v>
      </c>
      <c r="C2727">
        <f t="shared" ca="1" si="948"/>
        <v>72</v>
      </c>
      <c r="D2727" t="str">
        <f t="shared" si="969"/>
        <v>K75</v>
      </c>
      <c r="E2727" t="str">
        <f t="shared" ca="1" si="970"/>
        <v/>
      </c>
      <c r="F2727" t="str">
        <f t="shared" ca="1" si="971"/>
        <v xml:space="preserve">Enter a 'New Construction/ Rehab APR' for  building 72 in cell K75.
</v>
      </c>
      <c r="G2727" s="9" t="str">
        <f t="shared" ca="1" si="972"/>
        <v xml:space="preserve">Enter a value for 'Number of Floors in the Tallest Building' in cell B58.
</v>
      </c>
      <c r="H2727" s="52" t="str">
        <f t="shared" ca="1" si="973"/>
        <v>New Construction/ Rehab APR</v>
      </c>
      <c r="I2727" s="52">
        <v>11</v>
      </c>
    </row>
    <row r="2728" spans="1:10" ht="15" customHeight="1">
      <c r="A2728" t="str">
        <f t="shared" ca="1" si="967"/>
        <v/>
      </c>
      <c r="B2728">
        <f t="shared" si="968"/>
        <v>75</v>
      </c>
      <c r="C2728">
        <f t="shared" ca="1" si="948"/>
        <v>72</v>
      </c>
      <c r="D2728" t="str">
        <f t="shared" si="969"/>
        <v>L75</v>
      </c>
      <c r="E2728" t="str">
        <f t="shared" ca="1" si="970"/>
        <v/>
      </c>
      <c r="F2728" t="str">
        <f t="shared" ca="1" si="971"/>
        <v xml:space="preserve">Enter a 'New Construction Eligible Basis' for  building 72 in cell L75.
</v>
      </c>
      <c r="G2728" s="9" t="str">
        <f t="shared" ca="1" si="972"/>
        <v xml:space="preserve">Enter a value for 'Number of Floors in the Tallest Building' in cell B58.
</v>
      </c>
      <c r="H2728" s="52" t="str">
        <f t="shared" ca="1" si="973"/>
        <v>New Construction Eligible Basis</v>
      </c>
      <c r="I2728" s="52">
        <v>12</v>
      </c>
    </row>
    <row r="2729" spans="1:10" ht="15" customHeight="1">
      <c r="A2729" t="str">
        <f ca="1">IF(AND(OFFSET(A2729, -I2729 + 2, 4) &gt;  0, E2729="", Calculations!$B$7), F2729, "")</f>
        <v/>
      </c>
      <c r="B2729">
        <f t="shared" si="968"/>
        <v>75</v>
      </c>
      <c r="C2729">
        <f t="shared" ca="1" si="948"/>
        <v>72</v>
      </c>
      <c r="D2729" t="str">
        <f t="shared" si="969"/>
        <v>M75</v>
      </c>
      <c r="E2729" t="str">
        <f t="shared" ca="1" si="970"/>
        <v/>
      </c>
      <c r="F2729" t="str">
        <f t="shared" ca="1" si="971"/>
        <v xml:space="preserve">Enter a 'Eligible Basis for Rehab' for  building 72 in cell M75.
</v>
      </c>
      <c r="G2729" s="9" t="str">
        <f t="shared" ca="1" si="972"/>
        <v xml:space="preserve">Enter a value for 'Number of Floors in the Tallest Building' in cell B58.
</v>
      </c>
      <c r="H2729" s="52" t="str">
        <f t="shared" ca="1" si="973"/>
        <v>Eligible Basis for Rehab</v>
      </c>
      <c r="I2729" s="52">
        <v>13</v>
      </c>
    </row>
    <row r="2730" spans="1:10" ht="15" customHeight="1">
      <c r="A2730" t="str">
        <f ca="1">IF(AND(OFFSET(A2730, -I2730 + 2, 4) &gt;  0, E2730="", Calculations!$B$7), F2730, "")</f>
        <v/>
      </c>
      <c r="B2730">
        <f t="shared" si="968"/>
        <v>75</v>
      </c>
      <c r="C2730">
        <f t="shared" ca="1" si="948"/>
        <v>72</v>
      </c>
      <c r="D2730" t="str">
        <f t="shared" si="969"/>
        <v>N75</v>
      </c>
      <c r="E2730" t="str">
        <f t="shared" ca="1" si="970"/>
        <v/>
      </c>
      <c r="F2730" t="str">
        <f t="shared" ca="1" si="971"/>
        <v xml:space="preserve">Enter a 'Cost of Acquiring the Building***' for  building 72 in cell N75.
</v>
      </c>
      <c r="G2730" s="9" t="str">
        <f t="shared" ca="1" si="972"/>
        <v xml:space="preserve">Enter a value for 'Number of Floors in the Tallest Building' in cell B58.
</v>
      </c>
      <c r="H2730" s="52" t="str">
        <f t="shared" ca="1" si="973"/>
        <v>Cost of Acquiring the Building***</v>
      </c>
      <c r="I2730" s="52">
        <v>14</v>
      </c>
    </row>
    <row r="2731" spans="1:10" ht="15" customHeight="1">
      <c r="A2731" t="str">
        <f ca="1">IF(AND(OFFSET(A2731, -I2731 + 2, 4) &gt;  0, E2731="", Calculations!$B$7), F2731, "")</f>
        <v/>
      </c>
      <c r="B2731">
        <f t="shared" si="968"/>
        <v>75</v>
      </c>
      <c r="C2731">
        <f t="shared" ca="1" si="948"/>
        <v>72</v>
      </c>
      <c r="D2731" t="str">
        <f t="shared" si="969"/>
        <v>O75</v>
      </c>
      <c r="E2731" t="str">
        <f t="shared" ca="1" si="970"/>
        <v/>
      </c>
      <c r="F2731" t="str">
        <f t="shared" ca="1" si="971"/>
        <v xml:space="preserve">Enter a 'Higher of Land Purchase Price or Land Appraised Value****' for  building 72 in cell O75.
</v>
      </c>
      <c r="G2731" s="9" t="str">
        <f t="shared" ca="1" si="972"/>
        <v xml:space="preserve">Enter a value for 'Number of Floors in the Tallest Building' in cell B58.
</v>
      </c>
      <c r="H2731" s="52" t="str">
        <f t="shared" ca="1" si="973"/>
        <v>Higher of Land Purchase Price or Land Appraised Value****</v>
      </c>
      <c r="I2731" s="52">
        <v>15</v>
      </c>
    </row>
    <row r="2732" spans="1:10" ht="15" customHeight="1">
      <c r="A2732" t="str">
        <f ca="1">IF(AND(OFFSET(A2732, -I2732 + 2, 4) &gt;  0, E2732="", Calculations!$B$7), F2732, "")</f>
        <v/>
      </c>
      <c r="B2732">
        <f t="shared" si="968"/>
        <v>75</v>
      </c>
      <c r="C2732">
        <f t="shared" ca="1" si="948"/>
        <v>72</v>
      </c>
      <c r="D2732" t="str">
        <f t="shared" si="969"/>
        <v>P75</v>
      </c>
      <c r="E2732" t="str">
        <f t="shared" ca="1" si="970"/>
        <v/>
      </c>
      <c r="F2732" t="str">
        <f t="shared" ca="1" si="971"/>
        <v xml:space="preserve">Enter a 'Acquisition Placed-in-Service Date' for  building 72 in cell P75.
</v>
      </c>
      <c r="G2732" s="9" t="str">
        <f t="shared" ca="1" si="972"/>
        <v xml:space="preserve">Enter a value for 'Number of Floors in the Tallest Building' in cell B58.
</v>
      </c>
      <c r="H2732" s="52" t="str">
        <f t="shared" ca="1" si="973"/>
        <v>Acquisition Placed-in-Service Date</v>
      </c>
      <c r="I2732" s="52">
        <v>16</v>
      </c>
    </row>
    <row r="2733" spans="1:10" ht="15" customHeight="1">
      <c r="A2733" t="str">
        <f ca="1">IF(AND(OFFSET(A2733, -I2733 + 2, 4) &gt;  0, E2733="", Calculations!$B$7), F2733, "")</f>
        <v/>
      </c>
      <c r="B2733">
        <f t="shared" si="968"/>
        <v>75</v>
      </c>
      <c r="C2733">
        <f t="shared" ca="1" si="948"/>
        <v>72</v>
      </c>
      <c r="D2733" t="str">
        <f t="shared" si="969"/>
        <v>Q75</v>
      </c>
      <c r="E2733" t="str">
        <f t="shared" ca="1" si="970"/>
        <v/>
      </c>
      <c r="F2733" t="str">
        <f t="shared" ca="1" si="971"/>
        <v xml:space="preserve">Enter a 'Acquisition APR' for  building 72 in cell Q75.
</v>
      </c>
      <c r="G2733" s="9" t="str">
        <f t="shared" ca="1" si="972"/>
        <v xml:space="preserve">Enter a value for 'Number of Floors in the Tallest Building' in cell B58.
</v>
      </c>
      <c r="H2733" s="52" t="str">
        <f t="shared" ca="1" si="973"/>
        <v>Acquisition APR</v>
      </c>
      <c r="I2733" s="52">
        <v>17</v>
      </c>
    </row>
    <row r="2734" spans="1:10" ht="15" customHeight="1">
      <c r="A2734" t="str">
        <f ca="1">IF(AND(Calculations!$B$4,Calculations!$B$28&gt;=C2734, E2734 &lt;&gt; 13),F2734,"")</f>
        <v/>
      </c>
      <c r="B2734">
        <f>ROW('Final Building Profile'!C76)</f>
        <v>76</v>
      </c>
      <c r="C2734">
        <f t="shared" ref="C2734:C2797" ca="1" si="974">INDIRECT($F$1564 &amp; ADDRESS(B2734, 1,4  ))</f>
        <v>73</v>
      </c>
      <c r="D2734" t="str">
        <f>ADDRESS(B2734, 3,4  )</f>
        <v>C76</v>
      </c>
      <c r="E2734" s="52">
        <f ca="1">H2734+I2734</f>
        <v>0</v>
      </c>
      <c r="F2734" t="str">
        <f ca="1">CONCATENATE("Based upon the number of buildings specified, information for  building ", C2734, " required for a final application in row ", B2734, ".", CHAR(10))</f>
        <v xml:space="preserve">Based upon the number of buildings specified, information for  building 73 required for a final application in row 76.
</v>
      </c>
      <c r="G2734" s="9" t="str">
        <f t="shared" ca="1" si="972"/>
        <v xml:space="preserve">Enter a value for 'Number of Floors in the Tallest Building' in cell B58.
</v>
      </c>
      <c r="H2734" s="52">
        <f ca="1">SUMPRODUCT(--ISTEXT(INDIRECT(J2734)))</f>
        <v>0</v>
      </c>
      <c r="I2734" s="52">
        <f ca="1">SUMPRODUCT(--ISNUMBER(INDIRECT(J2734)))</f>
        <v>0</v>
      </c>
      <c r="J2734" s="52" t="str">
        <f>$F$1564&amp; ADDRESS(B2734,3,4) &amp; ":" &amp; ADDRESS(B2734,15,4)</f>
        <v>'Final Building Profile'!C76:O76</v>
      </c>
    </row>
    <row r="2735" spans="1:10" ht="15" customHeight="1">
      <c r="A2735" t="str">
        <f t="shared" ref="A2735:A2744" ca="1" si="975">IF(AND(OFFSET(A2735, -I2735 + 2, 4) &gt;  0, E2735=""), F2735, "")</f>
        <v/>
      </c>
      <c r="B2735">
        <f t="shared" ref="B2735:B2749" si="976">B2734</f>
        <v>76</v>
      </c>
      <c r="C2735">
        <f t="shared" ca="1" si="974"/>
        <v>73</v>
      </c>
      <c r="D2735" t="str">
        <f t="shared" ref="D2735:D2749" si="977">ADDRESS(B2735, I2735,4  )</f>
        <v>C76</v>
      </c>
      <c r="E2735" t="str">
        <f t="shared" ref="E2735:E2749" ca="1" si="978">IF(ISBLANK( INDIRECT($F$1564 &amp; D2735)),"", INDIRECT($F$1564 &amp; D2735))</f>
        <v/>
      </c>
      <c r="F2735" t="str">
        <f t="shared" ref="F2735:F2749" ca="1" si="979">CONCATENATE("Enter a '"&amp; H2735 &amp;"' for  building ", C2735, " in cell ", D2735, ".", CHAR(10))</f>
        <v xml:space="preserve">Enter a 'Building Street Address Only 
(DO NOT ENTER CITY, STATE, OR ZIP)' for  building 73 in cell C76.
</v>
      </c>
      <c r="G2735" s="9" t="str">
        <f t="shared" ca="1" si="972"/>
        <v xml:space="preserve">Enter a value for 'Number of Floors in the Tallest Building' in cell B58.
</v>
      </c>
      <c r="H2735" s="52" t="str">
        <f t="shared" ref="H2735:H2749" ca="1" si="980">OFFSET(INDIRECT($F$1564 &amp; D2735), -B2735 + 3, 0)</f>
        <v>Building Street Address Only 
(DO NOT ENTER CITY, STATE, OR ZIP)</v>
      </c>
      <c r="I2735" s="52">
        <v>3</v>
      </c>
    </row>
    <row r="2736" spans="1:10" ht="15" customHeight="1">
      <c r="A2736" t="str">
        <f t="shared" ca="1" si="975"/>
        <v/>
      </c>
      <c r="B2736">
        <f t="shared" si="976"/>
        <v>76</v>
      </c>
      <c r="C2736">
        <f t="shared" ca="1" si="974"/>
        <v>73</v>
      </c>
      <c r="D2736" t="str">
        <f t="shared" si="977"/>
        <v>D76</v>
      </c>
      <c r="E2736" t="str">
        <f t="shared" ca="1" si="978"/>
        <v/>
      </c>
      <c r="F2736" t="str">
        <f t="shared" ca="1" si="979"/>
        <v xml:space="preserve">Enter a 'Total Units in Building*' for  building 73 in cell D76.
</v>
      </c>
      <c r="G2736" s="9" t="str">
        <f t="shared" ca="1" si="972"/>
        <v xml:space="preserve">Enter a value for 'Number of Floors in the Tallest Building' in cell B58.
</v>
      </c>
      <c r="H2736" s="52" t="str">
        <f t="shared" ca="1" si="980"/>
        <v>Total Units in Building*</v>
      </c>
      <c r="I2736" s="52">
        <v>4</v>
      </c>
    </row>
    <row r="2737" spans="1:10" ht="15" customHeight="1">
      <c r="A2737" t="str">
        <f t="shared" ca="1" si="975"/>
        <v/>
      </c>
      <c r="B2737">
        <f t="shared" si="976"/>
        <v>76</v>
      </c>
      <c r="C2737">
        <f t="shared" ca="1" si="974"/>
        <v>73</v>
      </c>
      <c r="D2737" t="str">
        <f t="shared" si="977"/>
        <v>E76</v>
      </c>
      <c r="E2737" t="str">
        <f t="shared" ca="1" si="978"/>
        <v/>
      </c>
      <c r="F2737" t="str">
        <f t="shared" ca="1" si="979"/>
        <v xml:space="preserve">Enter a 'Employee Units' for  building 73 in cell E76.
</v>
      </c>
      <c r="G2737" s="9" t="str">
        <f t="shared" ca="1" si="972"/>
        <v xml:space="preserve">Enter a value for 'Number of Floors in the Tallest Building' in cell B58.
</v>
      </c>
      <c r="H2737" s="52" t="str">
        <f t="shared" ca="1" si="980"/>
        <v>Employee Units</v>
      </c>
      <c r="I2737" s="52">
        <v>5</v>
      </c>
    </row>
    <row r="2738" spans="1:10" ht="15" customHeight="1">
      <c r="A2738" t="str">
        <f t="shared" ca="1" si="975"/>
        <v/>
      </c>
      <c r="B2738">
        <f t="shared" si="976"/>
        <v>76</v>
      </c>
      <c r="C2738">
        <f t="shared" ca="1" si="974"/>
        <v>73</v>
      </c>
      <c r="D2738" t="str">
        <f t="shared" si="977"/>
        <v>F76</v>
      </c>
      <c r="E2738" t="str">
        <f t="shared" ca="1" si="978"/>
        <v/>
      </c>
      <c r="F2738" t="str">
        <f t="shared" ca="1" si="979"/>
        <v xml:space="preserve">Enter a 'Low-Income Units' for  building 73 in cell F76.
</v>
      </c>
      <c r="G2738" s="9" t="str">
        <f t="shared" ca="1" si="972"/>
        <v xml:space="preserve">Enter a value for 'Number of Floors in the Tallest Building' in cell B58.
</v>
      </c>
      <c r="H2738" s="52" t="str">
        <f t="shared" ca="1" si="980"/>
        <v>Low-Income Units</v>
      </c>
      <c r="I2738" s="52">
        <v>6</v>
      </c>
    </row>
    <row r="2739" spans="1:10" ht="15" customHeight="1">
      <c r="A2739" t="str">
        <f t="shared" ca="1" si="975"/>
        <v/>
      </c>
      <c r="B2739">
        <f t="shared" si="976"/>
        <v>76</v>
      </c>
      <c r="C2739">
        <f t="shared" ca="1" si="974"/>
        <v>73</v>
      </c>
      <c r="D2739" t="str">
        <f t="shared" si="977"/>
        <v>G76</v>
      </c>
      <c r="E2739" t="str">
        <f t="shared" ca="1" si="978"/>
        <v/>
      </c>
      <c r="F2739" t="str">
        <f t="shared" ca="1" si="979"/>
        <v xml:space="preserve">Enter a 'Residential Square Footage**' for  building 73 in cell G76.
</v>
      </c>
      <c r="G2739" s="9" t="str">
        <f t="shared" ca="1" si="972"/>
        <v xml:space="preserve">Enter a value for 'Number of Floors in the Tallest Building' in cell B58.
</v>
      </c>
      <c r="H2739" s="52" t="str">
        <f t="shared" ca="1" si="980"/>
        <v>Residential Square Footage**</v>
      </c>
      <c r="I2739" s="52">
        <v>7</v>
      </c>
    </row>
    <row r="2740" spans="1:10" ht="15" customHeight="1">
      <c r="A2740" t="str">
        <f t="shared" ca="1" si="975"/>
        <v/>
      </c>
      <c r="B2740">
        <f t="shared" si="976"/>
        <v>76</v>
      </c>
      <c r="C2740">
        <f t="shared" ca="1" si="974"/>
        <v>73</v>
      </c>
      <c r="D2740" t="str">
        <f t="shared" si="977"/>
        <v>H76</v>
      </c>
      <c r="E2740" t="str">
        <f t="shared" ca="1" si="978"/>
        <v/>
      </c>
      <c r="F2740" t="str">
        <f t="shared" ca="1" si="979"/>
        <v xml:space="preserve">Enter a 'Square Footage of Employee Units' for  building 73 in cell H76.
</v>
      </c>
      <c r="G2740" s="9" t="str">
        <f t="shared" ca="1" si="972"/>
        <v xml:space="preserve">Enter a value for 'Number of Floors in the Tallest Building' in cell B58.
</v>
      </c>
      <c r="H2740" s="52" t="str">
        <f t="shared" ca="1" si="980"/>
        <v>Square Footage of Employee Units</v>
      </c>
      <c r="I2740" s="52">
        <v>8</v>
      </c>
    </row>
    <row r="2741" spans="1:10" ht="15" customHeight="1">
      <c r="A2741" t="str">
        <f t="shared" ca="1" si="975"/>
        <v/>
      </c>
      <c r="B2741">
        <f t="shared" si="976"/>
        <v>76</v>
      </c>
      <c r="C2741">
        <f t="shared" ca="1" si="974"/>
        <v>73</v>
      </c>
      <c r="D2741" t="str">
        <f t="shared" si="977"/>
        <v>I76</v>
      </c>
      <c r="E2741" t="str">
        <f t="shared" ca="1" si="978"/>
        <v/>
      </c>
      <c r="F2741" t="str">
        <f t="shared" ca="1" si="979"/>
        <v xml:space="preserve">Enter a 'Square Footage of Low-Income Units' for  building 73 in cell I76.
</v>
      </c>
      <c r="G2741" s="9" t="str">
        <f t="shared" ca="1" si="972"/>
        <v xml:space="preserve">Enter a value for 'Number of Floors in the Tallest Building' in cell B58.
</v>
      </c>
      <c r="H2741" s="52" t="str">
        <f t="shared" ca="1" si="980"/>
        <v>Square Footage of Low-Income Units</v>
      </c>
      <c r="I2741" s="52">
        <v>9</v>
      </c>
    </row>
    <row r="2742" spans="1:10" ht="15" customHeight="1">
      <c r="A2742" t="str">
        <f t="shared" ca="1" si="975"/>
        <v/>
      </c>
      <c r="B2742">
        <f t="shared" si="976"/>
        <v>76</v>
      </c>
      <c r="C2742">
        <f t="shared" ca="1" si="974"/>
        <v>73</v>
      </c>
      <c r="D2742" t="str">
        <f t="shared" si="977"/>
        <v>J76</v>
      </c>
      <c r="E2742" t="str">
        <f t="shared" ca="1" si="978"/>
        <v/>
      </c>
      <c r="F2742" t="str">
        <f t="shared" ca="1" si="979"/>
        <v xml:space="preserve">Enter a 'Placed-In-Service Date' for  building 73 in cell J76.
</v>
      </c>
      <c r="G2742" s="9" t="str">
        <f t="shared" ca="1" si="972"/>
        <v xml:space="preserve">Enter a value for 'Number of Floors in the Tallest Building' in cell B58.
</v>
      </c>
      <c r="H2742" s="52" t="str">
        <f t="shared" ca="1" si="980"/>
        <v>Placed-In-Service Date</v>
      </c>
      <c r="I2742" s="52">
        <v>10</v>
      </c>
    </row>
    <row r="2743" spans="1:10" ht="15" customHeight="1">
      <c r="A2743" t="str">
        <f t="shared" ca="1" si="975"/>
        <v/>
      </c>
      <c r="B2743">
        <f t="shared" si="976"/>
        <v>76</v>
      </c>
      <c r="C2743">
        <f t="shared" ca="1" si="974"/>
        <v>73</v>
      </c>
      <c r="D2743" t="str">
        <f t="shared" si="977"/>
        <v>K76</v>
      </c>
      <c r="E2743" t="str">
        <f t="shared" ca="1" si="978"/>
        <v/>
      </c>
      <c r="F2743" t="str">
        <f t="shared" ca="1" si="979"/>
        <v xml:space="preserve">Enter a 'New Construction/ Rehab APR' for  building 73 in cell K76.
</v>
      </c>
      <c r="G2743" s="9" t="str">
        <f t="shared" ca="1" si="972"/>
        <v xml:space="preserve">Enter a value for 'Number of Floors in the Tallest Building' in cell B58.
</v>
      </c>
      <c r="H2743" s="52" t="str">
        <f t="shared" ca="1" si="980"/>
        <v>New Construction/ Rehab APR</v>
      </c>
      <c r="I2743" s="52">
        <v>11</v>
      </c>
    </row>
    <row r="2744" spans="1:10" ht="15" customHeight="1">
      <c r="A2744" t="str">
        <f t="shared" ca="1" si="975"/>
        <v/>
      </c>
      <c r="B2744">
        <f t="shared" si="976"/>
        <v>76</v>
      </c>
      <c r="C2744">
        <f t="shared" ca="1" si="974"/>
        <v>73</v>
      </c>
      <c r="D2744" t="str">
        <f t="shared" si="977"/>
        <v>L76</v>
      </c>
      <c r="E2744" t="str">
        <f t="shared" ca="1" si="978"/>
        <v/>
      </c>
      <c r="F2744" t="str">
        <f t="shared" ca="1" si="979"/>
        <v xml:space="preserve">Enter a 'New Construction Eligible Basis' for  building 73 in cell L76.
</v>
      </c>
      <c r="G2744" s="9" t="str">
        <f t="shared" ca="1" si="972"/>
        <v xml:space="preserve">Enter a value for 'Number of Floors in the Tallest Building' in cell B58.
</v>
      </c>
      <c r="H2744" s="52" t="str">
        <f t="shared" ca="1" si="980"/>
        <v>New Construction Eligible Basis</v>
      </c>
      <c r="I2744" s="52">
        <v>12</v>
      </c>
    </row>
    <row r="2745" spans="1:10" ht="15" customHeight="1">
      <c r="A2745" t="str">
        <f ca="1">IF(AND(OFFSET(A2745, -I2745 + 2, 4) &gt;  0, E2745="", Calculations!$B$7), F2745, "")</f>
        <v/>
      </c>
      <c r="B2745">
        <f t="shared" si="976"/>
        <v>76</v>
      </c>
      <c r="C2745">
        <f t="shared" ca="1" si="974"/>
        <v>73</v>
      </c>
      <c r="D2745" t="str">
        <f t="shared" si="977"/>
        <v>M76</v>
      </c>
      <c r="E2745" t="str">
        <f t="shared" ca="1" si="978"/>
        <v/>
      </c>
      <c r="F2745" t="str">
        <f t="shared" ca="1" si="979"/>
        <v xml:space="preserve">Enter a 'Eligible Basis for Rehab' for  building 73 in cell M76.
</v>
      </c>
      <c r="G2745" s="9" t="str">
        <f t="shared" ca="1" si="972"/>
        <v xml:space="preserve">Enter a value for 'Number of Floors in the Tallest Building' in cell B58.
</v>
      </c>
      <c r="H2745" s="52" t="str">
        <f t="shared" ca="1" si="980"/>
        <v>Eligible Basis for Rehab</v>
      </c>
      <c r="I2745" s="52">
        <v>13</v>
      </c>
    </row>
    <row r="2746" spans="1:10" ht="15" customHeight="1">
      <c r="A2746" t="str">
        <f ca="1">IF(AND(OFFSET(A2746, -I2746 + 2, 4) &gt;  0, E2746="", Calculations!$B$7), F2746, "")</f>
        <v/>
      </c>
      <c r="B2746">
        <f t="shared" si="976"/>
        <v>76</v>
      </c>
      <c r="C2746">
        <f t="shared" ca="1" si="974"/>
        <v>73</v>
      </c>
      <c r="D2746" t="str">
        <f t="shared" si="977"/>
        <v>N76</v>
      </c>
      <c r="E2746" t="str">
        <f t="shared" ca="1" si="978"/>
        <v/>
      </c>
      <c r="F2746" t="str">
        <f t="shared" ca="1" si="979"/>
        <v xml:space="preserve">Enter a 'Cost of Acquiring the Building***' for  building 73 in cell N76.
</v>
      </c>
      <c r="G2746" s="9" t="str">
        <f t="shared" ca="1" si="972"/>
        <v xml:space="preserve">Enter a value for 'Number of Floors in the Tallest Building' in cell B58.
</v>
      </c>
      <c r="H2746" s="52" t="str">
        <f t="shared" ca="1" si="980"/>
        <v>Cost of Acquiring the Building***</v>
      </c>
      <c r="I2746" s="52">
        <v>14</v>
      </c>
    </row>
    <row r="2747" spans="1:10" ht="15" customHeight="1">
      <c r="A2747" t="str">
        <f ca="1">IF(AND(OFFSET(A2747, -I2747 + 2, 4) &gt;  0, E2747="", Calculations!$B$7), F2747, "")</f>
        <v/>
      </c>
      <c r="B2747">
        <f t="shared" si="976"/>
        <v>76</v>
      </c>
      <c r="C2747">
        <f t="shared" ca="1" si="974"/>
        <v>73</v>
      </c>
      <c r="D2747" t="str">
        <f t="shared" si="977"/>
        <v>O76</v>
      </c>
      <c r="E2747" t="str">
        <f t="shared" ca="1" si="978"/>
        <v/>
      </c>
      <c r="F2747" t="str">
        <f t="shared" ca="1" si="979"/>
        <v xml:space="preserve">Enter a 'Higher of Land Purchase Price or Land Appraised Value****' for  building 73 in cell O76.
</v>
      </c>
      <c r="G2747" s="9" t="str">
        <f t="shared" ca="1" si="972"/>
        <v xml:space="preserve">Enter a value for 'Number of Floors in the Tallest Building' in cell B58.
</v>
      </c>
      <c r="H2747" s="52" t="str">
        <f t="shared" ca="1" si="980"/>
        <v>Higher of Land Purchase Price or Land Appraised Value****</v>
      </c>
      <c r="I2747" s="52">
        <v>15</v>
      </c>
    </row>
    <row r="2748" spans="1:10" ht="15" customHeight="1">
      <c r="A2748" t="str">
        <f ca="1">IF(AND(OFFSET(A2748, -I2748 + 2, 4) &gt;  0, E2748="", Calculations!$B$7), F2748, "")</f>
        <v/>
      </c>
      <c r="B2748">
        <f t="shared" si="976"/>
        <v>76</v>
      </c>
      <c r="C2748">
        <f t="shared" ca="1" si="974"/>
        <v>73</v>
      </c>
      <c r="D2748" t="str">
        <f t="shared" si="977"/>
        <v>P76</v>
      </c>
      <c r="E2748" t="str">
        <f t="shared" ca="1" si="978"/>
        <v/>
      </c>
      <c r="F2748" t="str">
        <f t="shared" ca="1" si="979"/>
        <v xml:space="preserve">Enter a 'Acquisition Placed-in-Service Date' for  building 73 in cell P76.
</v>
      </c>
      <c r="G2748" s="9" t="str">
        <f t="shared" ca="1" si="972"/>
        <v xml:space="preserve">Enter a value for 'Number of Floors in the Tallest Building' in cell B58.
</v>
      </c>
      <c r="H2748" s="52" t="str">
        <f t="shared" ca="1" si="980"/>
        <v>Acquisition Placed-in-Service Date</v>
      </c>
      <c r="I2748" s="52">
        <v>16</v>
      </c>
    </row>
    <row r="2749" spans="1:10" ht="15" customHeight="1">
      <c r="A2749" t="str">
        <f ca="1">IF(AND(OFFSET(A2749, -I2749 + 2, 4) &gt;  0, E2749="", Calculations!$B$7), F2749, "")</f>
        <v/>
      </c>
      <c r="B2749">
        <f t="shared" si="976"/>
        <v>76</v>
      </c>
      <c r="C2749">
        <f t="shared" ca="1" si="974"/>
        <v>73</v>
      </c>
      <c r="D2749" t="str">
        <f t="shared" si="977"/>
        <v>Q76</v>
      </c>
      <c r="E2749" t="str">
        <f t="shared" ca="1" si="978"/>
        <v/>
      </c>
      <c r="F2749" t="str">
        <f t="shared" ca="1" si="979"/>
        <v xml:space="preserve">Enter a 'Acquisition APR' for  building 73 in cell Q76.
</v>
      </c>
      <c r="G2749" s="9" t="str">
        <f t="shared" ca="1" si="972"/>
        <v xml:space="preserve">Enter a value for 'Number of Floors in the Tallest Building' in cell B58.
</v>
      </c>
      <c r="H2749" s="52" t="str">
        <f t="shared" ca="1" si="980"/>
        <v>Acquisition APR</v>
      </c>
      <c r="I2749" s="52">
        <v>17</v>
      </c>
    </row>
    <row r="2750" spans="1:10" ht="15" customHeight="1">
      <c r="A2750" t="str">
        <f ca="1">IF(AND(Calculations!$B$4,Calculations!$B$28&gt;=C2750, E2750 &lt;&gt; 13),F2750,"")</f>
        <v/>
      </c>
      <c r="B2750">
        <f>ROW('Final Building Profile'!C77)</f>
        <v>77</v>
      </c>
      <c r="C2750">
        <f t="shared" ca="1" si="974"/>
        <v>74</v>
      </c>
      <c r="D2750" t="str">
        <f>ADDRESS(B2750, 3,4  )</f>
        <v>C77</v>
      </c>
      <c r="E2750" s="52">
        <f ca="1">H2750+I2750</f>
        <v>0</v>
      </c>
      <c r="F2750" t="str">
        <f ca="1">CONCATENATE("Based upon the number of buildings specified, information for  building ", C2750, " required for a final application in row ", B2750, ".", CHAR(10))</f>
        <v xml:space="preserve">Based upon the number of buildings specified, information for  building 74 required for a final application in row 77.
</v>
      </c>
      <c r="G2750" s="9" t="str">
        <f t="shared" ca="1" si="972"/>
        <v xml:space="preserve">Enter a value for 'Number of Floors in the Tallest Building' in cell B58.
</v>
      </c>
      <c r="H2750" s="52">
        <f ca="1">SUMPRODUCT(--ISTEXT(INDIRECT(J2750)))</f>
        <v>0</v>
      </c>
      <c r="I2750" s="52">
        <f ca="1">SUMPRODUCT(--ISNUMBER(INDIRECT(J2750)))</f>
        <v>0</v>
      </c>
      <c r="J2750" s="52" t="str">
        <f>$F$1564&amp; ADDRESS(B2750,3,4) &amp; ":" &amp; ADDRESS(B2750,15,4)</f>
        <v>'Final Building Profile'!C77:O77</v>
      </c>
    </row>
    <row r="2751" spans="1:10" ht="15" customHeight="1">
      <c r="A2751" t="str">
        <f t="shared" ref="A2751:A2760" ca="1" si="981">IF(AND(OFFSET(A2751, -I2751 + 2, 4) &gt;  0, E2751=""), F2751, "")</f>
        <v/>
      </c>
      <c r="B2751">
        <f t="shared" ref="B2751:B2765" si="982">B2750</f>
        <v>77</v>
      </c>
      <c r="C2751">
        <f t="shared" ca="1" si="974"/>
        <v>74</v>
      </c>
      <c r="D2751" t="str">
        <f t="shared" ref="D2751:D2765" si="983">ADDRESS(B2751, I2751,4  )</f>
        <v>C77</v>
      </c>
      <c r="E2751" t="str">
        <f t="shared" ref="E2751:E2765" ca="1" si="984">IF(ISBLANK( INDIRECT($F$1564 &amp; D2751)),"", INDIRECT($F$1564 &amp; D2751))</f>
        <v/>
      </c>
      <c r="F2751" t="str">
        <f t="shared" ref="F2751:F2765" ca="1" si="985">CONCATENATE("Enter a '"&amp; H2751 &amp;"' for  building ", C2751, " in cell ", D2751, ".", CHAR(10))</f>
        <v xml:space="preserve">Enter a 'Building Street Address Only 
(DO NOT ENTER CITY, STATE, OR ZIP)' for  building 74 in cell C77.
</v>
      </c>
      <c r="G2751" s="9" t="str">
        <f t="shared" ca="1" si="972"/>
        <v xml:space="preserve">Enter a value for 'Number of Floors in the Tallest Building' in cell B58.
</v>
      </c>
      <c r="H2751" s="52" t="str">
        <f t="shared" ref="H2751:H2765" ca="1" si="986">OFFSET(INDIRECT($F$1564 &amp; D2751), -B2751 + 3, 0)</f>
        <v>Building Street Address Only 
(DO NOT ENTER CITY, STATE, OR ZIP)</v>
      </c>
      <c r="I2751" s="52">
        <v>3</v>
      </c>
    </row>
    <row r="2752" spans="1:10" ht="15" customHeight="1">
      <c r="A2752" t="str">
        <f t="shared" ca="1" si="981"/>
        <v/>
      </c>
      <c r="B2752">
        <f t="shared" si="982"/>
        <v>77</v>
      </c>
      <c r="C2752">
        <f t="shared" ca="1" si="974"/>
        <v>74</v>
      </c>
      <c r="D2752" t="str">
        <f t="shared" si="983"/>
        <v>D77</v>
      </c>
      <c r="E2752" t="str">
        <f t="shared" ca="1" si="984"/>
        <v/>
      </c>
      <c r="F2752" t="str">
        <f t="shared" ca="1" si="985"/>
        <v xml:space="preserve">Enter a 'Total Units in Building*' for  building 74 in cell D77.
</v>
      </c>
      <c r="G2752" s="9" t="str">
        <f t="shared" ca="1" si="972"/>
        <v xml:space="preserve">Enter a value for 'Number of Floors in the Tallest Building' in cell B58.
</v>
      </c>
      <c r="H2752" s="52" t="str">
        <f t="shared" ca="1" si="986"/>
        <v>Total Units in Building*</v>
      </c>
      <c r="I2752" s="52">
        <v>4</v>
      </c>
    </row>
    <row r="2753" spans="1:10" ht="15" customHeight="1">
      <c r="A2753" t="str">
        <f t="shared" ca="1" si="981"/>
        <v/>
      </c>
      <c r="B2753">
        <f t="shared" si="982"/>
        <v>77</v>
      </c>
      <c r="C2753">
        <f t="shared" ca="1" si="974"/>
        <v>74</v>
      </c>
      <c r="D2753" t="str">
        <f t="shared" si="983"/>
        <v>E77</v>
      </c>
      <c r="E2753" t="str">
        <f t="shared" ca="1" si="984"/>
        <v/>
      </c>
      <c r="F2753" t="str">
        <f t="shared" ca="1" si="985"/>
        <v xml:space="preserve">Enter a 'Employee Units' for  building 74 in cell E77.
</v>
      </c>
      <c r="G2753" s="9" t="str">
        <f t="shared" ca="1" si="972"/>
        <v xml:space="preserve">Enter a value for 'Number of Floors in the Tallest Building' in cell B58.
</v>
      </c>
      <c r="H2753" s="52" t="str">
        <f t="shared" ca="1" si="986"/>
        <v>Employee Units</v>
      </c>
      <c r="I2753" s="52">
        <v>5</v>
      </c>
    </row>
    <row r="2754" spans="1:10" ht="15" customHeight="1">
      <c r="A2754" t="str">
        <f t="shared" ca="1" si="981"/>
        <v/>
      </c>
      <c r="B2754">
        <f t="shared" si="982"/>
        <v>77</v>
      </c>
      <c r="C2754">
        <f t="shared" ca="1" si="974"/>
        <v>74</v>
      </c>
      <c r="D2754" t="str">
        <f t="shared" si="983"/>
        <v>F77</v>
      </c>
      <c r="E2754" t="str">
        <f t="shared" ca="1" si="984"/>
        <v/>
      </c>
      <c r="F2754" t="str">
        <f t="shared" ca="1" si="985"/>
        <v xml:space="preserve">Enter a 'Low-Income Units' for  building 74 in cell F77.
</v>
      </c>
      <c r="G2754" s="9" t="str">
        <f t="shared" ca="1" si="972"/>
        <v xml:space="preserve">Enter a value for 'Number of Floors in the Tallest Building' in cell B58.
</v>
      </c>
      <c r="H2754" s="52" t="str">
        <f t="shared" ca="1" si="986"/>
        <v>Low-Income Units</v>
      </c>
      <c r="I2754" s="52">
        <v>6</v>
      </c>
    </row>
    <row r="2755" spans="1:10" ht="15" customHeight="1">
      <c r="A2755" t="str">
        <f t="shared" ca="1" si="981"/>
        <v/>
      </c>
      <c r="B2755">
        <f t="shared" si="982"/>
        <v>77</v>
      </c>
      <c r="C2755">
        <f t="shared" ca="1" si="974"/>
        <v>74</v>
      </c>
      <c r="D2755" t="str">
        <f t="shared" si="983"/>
        <v>G77</v>
      </c>
      <c r="E2755" t="str">
        <f t="shared" ca="1" si="984"/>
        <v/>
      </c>
      <c r="F2755" t="str">
        <f t="shared" ca="1" si="985"/>
        <v xml:space="preserve">Enter a 'Residential Square Footage**' for  building 74 in cell G77.
</v>
      </c>
      <c r="G2755" s="9" t="str">
        <f t="shared" ca="1" si="972"/>
        <v xml:space="preserve">Enter a value for 'Number of Floors in the Tallest Building' in cell B58.
</v>
      </c>
      <c r="H2755" s="52" t="str">
        <f t="shared" ca="1" si="986"/>
        <v>Residential Square Footage**</v>
      </c>
      <c r="I2755" s="52">
        <v>7</v>
      </c>
    </row>
    <row r="2756" spans="1:10" ht="15" customHeight="1">
      <c r="A2756" t="str">
        <f t="shared" ca="1" si="981"/>
        <v/>
      </c>
      <c r="B2756">
        <f t="shared" si="982"/>
        <v>77</v>
      </c>
      <c r="C2756">
        <f t="shared" ca="1" si="974"/>
        <v>74</v>
      </c>
      <c r="D2756" t="str">
        <f t="shared" si="983"/>
        <v>H77</v>
      </c>
      <c r="E2756" t="str">
        <f t="shared" ca="1" si="984"/>
        <v/>
      </c>
      <c r="F2756" t="str">
        <f t="shared" ca="1" si="985"/>
        <v xml:space="preserve">Enter a 'Square Footage of Employee Units' for  building 74 in cell H77.
</v>
      </c>
      <c r="G2756" s="9" t="str">
        <f t="shared" ca="1" si="972"/>
        <v xml:space="preserve">Enter a value for 'Number of Floors in the Tallest Building' in cell B58.
</v>
      </c>
      <c r="H2756" s="52" t="str">
        <f t="shared" ca="1" si="986"/>
        <v>Square Footage of Employee Units</v>
      </c>
      <c r="I2756" s="52">
        <v>8</v>
      </c>
    </row>
    <row r="2757" spans="1:10" ht="15" customHeight="1">
      <c r="A2757" t="str">
        <f t="shared" ca="1" si="981"/>
        <v/>
      </c>
      <c r="B2757">
        <f t="shared" si="982"/>
        <v>77</v>
      </c>
      <c r="C2757">
        <f t="shared" ca="1" si="974"/>
        <v>74</v>
      </c>
      <c r="D2757" t="str">
        <f t="shared" si="983"/>
        <v>I77</v>
      </c>
      <c r="E2757" t="str">
        <f t="shared" ca="1" si="984"/>
        <v/>
      </c>
      <c r="F2757" t="str">
        <f t="shared" ca="1" si="985"/>
        <v xml:space="preserve">Enter a 'Square Footage of Low-Income Units' for  building 74 in cell I77.
</v>
      </c>
      <c r="G2757" s="9" t="str">
        <f t="shared" ca="1" si="972"/>
        <v xml:space="preserve">Enter a value for 'Number of Floors in the Tallest Building' in cell B58.
</v>
      </c>
      <c r="H2757" s="52" t="str">
        <f t="shared" ca="1" si="986"/>
        <v>Square Footage of Low-Income Units</v>
      </c>
      <c r="I2757" s="52">
        <v>9</v>
      </c>
    </row>
    <row r="2758" spans="1:10" ht="15" customHeight="1">
      <c r="A2758" t="str">
        <f t="shared" ca="1" si="981"/>
        <v/>
      </c>
      <c r="B2758">
        <f t="shared" si="982"/>
        <v>77</v>
      </c>
      <c r="C2758">
        <f t="shared" ca="1" si="974"/>
        <v>74</v>
      </c>
      <c r="D2758" t="str">
        <f t="shared" si="983"/>
        <v>J77</v>
      </c>
      <c r="E2758" t="str">
        <f t="shared" ca="1" si="984"/>
        <v/>
      </c>
      <c r="F2758" t="str">
        <f t="shared" ca="1" si="985"/>
        <v xml:space="preserve">Enter a 'Placed-In-Service Date' for  building 74 in cell J77.
</v>
      </c>
      <c r="G2758" s="9" t="str">
        <f t="shared" ca="1" si="972"/>
        <v xml:space="preserve">Enter a value for 'Number of Floors in the Tallest Building' in cell B58.
</v>
      </c>
      <c r="H2758" s="52" t="str">
        <f t="shared" ca="1" si="986"/>
        <v>Placed-In-Service Date</v>
      </c>
      <c r="I2758" s="52">
        <v>10</v>
      </c>
    </row>
    <row r="2759" spans="1:10" ht="15" customHeight="1">
      <c r="A2759" t="str">
        <f t="shared" ca="1" si="981"/>
        <v/>
      </c>
      <c r="B2759">
        <f t="shared" si="982"/>
        <v>77</v>
      </c>
      <c r="C2759">
        <f t="shared" ca="1" si="974"/>
        <v>74</v>
      </c>
      <c r="D2759" t="str">
        <f t="shared" si="983"/>
        <v>K77</v>
      </c>
      <c r="E2759" t="str">
        <f t="shared" ca="1" si="984"/>
        <v/>
      </c>
      <c r="F2759" t="str">
        <f t="shared" ca="1" si="985"/>
        <v xml:space="preserve">Enter a 'New Construction/ Rehab APR' for  building 74 in cell K77.
</v>
      </c>
      <c r="G2759" s="9" t="str">
        <f t="shared" ca="1" si="972"/>
        <v xml:space="preserve">Enter a value for 'Number of Floors in the Tallest Building' in cell B58.
</v>
      </c>
      <c r="H2759" s="52" t="str">
        <f t="shared" ca="1" si="986"/>
        <v>New Construction/ Rehab APR</v>
      </c>
      <c r="I2759" s="52">
        <v>11</v>
      </c>
    </row>
    <row r="2760" spans="1:10" ht="15" customHeight="1">
      <c r="A2760" t="str">
        <f t="shared" ca="1" si="981"/>
        <v/>
      </c>
      <c r="B2760">
        <f t="shared" si="982"/>
        <v>77</v>
      </c>
      <c r="C2760">
        <f t="shared" ca="1" si="974"/>
        <v>74</v>
      </c>
      <c r="D2760" t="str">
        <f t="shared" si="983"/>
        <v>L77</v>
      </c>
      <c r="E2760" t="str">
        <f t="shared" ca="1" si="984"/>
        <v/>
      </c>
      <c r="F2760" t="str">
        <f t="shared" ca="1" si="985"/>
        <v xml:space="preserve">Enter a 'New Construction Eligible Basis' for  building 74 in cell L77.
</v>
      </c>
      <c r="G2760" s="9" t="str">
        <f t="shared" ca="1" si="972"/>
        <v xml:space="preserve">Enter a value for 'Number of Floors in the Tallest Building' in cell B58.
</v>
      </c>
      <c r="H2760" s="52" t="str">
        <f t="shared" ca="1" si="986"/>
        <v>New Construction Eligible Basis</v>
      </c>
      <c r="I2760" s="52">
        <v>12</v>
      </c>
    </row>
    <row r="2761" spans="1:10" ht="15" customHeight="1">
      <c r="A2761" t="str">
        <f ca="1">IF(AND(OFFSET(A2761, -I2761 + 2, 4) &gt;  0, E2761="", Calculations!$B$7), F2761, "")</f>
        <v/>
      </c>
      <c r="B2761">
        <f t="shared" si="982"/>
        <v>77</v>
      </c>
      <c r="C2761">
        <f t="shared" ca="1" si="974"/>
        <v>74</v>
      </c>
      <c r="D2761" t="str">
        <f t="shared" si="983"/>
        <v>M77</v>
      </c>
      <c r="E2761" t="str">
        <f t="shared" ca="1" si="984"/>
        <v/>
      </c>
      <c r="F2761" t="str">
        <f t="shared" ca="1" si="985"/>
        <v xml:space="preserve">Enter a 'Eligible Basis for Rehab' for  building 74 in cell M77.
</v>
      </c>
      <c r="G2761" s="9" t="str">
        <f t="shared" ca="1" si="972"/>
        <v xml:space="preserve">Enter a value for 'Number of Floors in the Tallest Building' in cell B58.
</v>
      </c>
      <c r="H2761" s="52" t="str">
        <f t="shared" ca="1" si="986"/>
        <v>Eligible Basis for Rehab</v>
      </c>
      <c r="I2761" s="52">
        <v>13</v>
      </c>
    </row>
    <row r="2762" spans="1:10" ht="15" customHeight="1">
      <c r="A2762" t="str">
        <f ca="1">IF(AND(OFFSET(A2762, -I2762 + 2, 4) &gt;  0, E2762="", Calculations!$B$7), F2762, "")</f>
        <v/>
      </c>
      <c r="B2762">
        <f t="shared" si="982"/>
        <v>77</v>
      </c>
      <c r="C2762">
        <f t="shared" ca="1" si="974"/>
        <v>74</v>
      </c>
      <c r="D2762" t="str">
        <f t="shared" si="983"/>
        <v>N77</v>
      </c>
      <c r="E2762" t="str">
        <f t="shared" ca="1" si="984"/>
        <v/>
      </c>
      <c r="F2762" t="str">
        <f t="shared" ca="1" si="985"/>
        <v xml:space="preserve">Enter a 'Cost of Acquiring the Building***' for  building 74 in cell N77.
</v>
      </c>
      <c r="G2762" s="9" t="str">
        <f t="shared" ca="1" si="972"/>
        <v xml:space="preserve">Enter a value for 'Number of Floors in the Tallest Building' in cell B58.
</v>
      </c>
      <c r="H2762" s="52" t="str">
        <f t="shared" ca="1" si="986"/>
        <v>Cost of Acquiring the Building***</v>
      </c>
      <c r="I2762" s="52">
        <v>14</v>
      </c>
    </row>
    <row r="2763" spans="1:10" ht="15" customHeight="1">
      <c r="A2763" t="str">
        <f ca="1">IF(AND(OFFSET(A2763, -I2763 + 2, 4) &gt;  0, E2763="", Calculations!$B$7), F2763, "")</f>
        <v/>
      </c>
      <c r="B2763">
        <f t="shared" si="982"/>
        <v>77</v>
      </c>
      <c r="C2763">
        <f t="shared" ca="1" si="974"/>
        <v>74</v>
      </c>
      <c r="D2763" t="str">
        <f t="shared" si="983"/>
        <v>O77</v>
      </c>
      <c r="E2763" t="str">
        <f t="shared" ca="1" si="984"/>
        <v/>
      </c>
      <c r="F2763" t="str">
        <f t="shared" ca="1" si="985"/>
        <v xml:space="preserve">Enter a 'Higher of Land Purchase Price or Land Appraised Value****' for  building 74 in cell O77.
</v>
      </c>
      <c r="G2763" s="9" t="str">
        <f t="shared" ca="1" si="972"/>
        <v xml:space="preserve">Enter a value for 'Number of Floors in the Tallest Building' in cell B58.
</v>
      </c>
      <c r="H2763" s="52" t="str">
        <f t="shared" ca="1" si="986"/>
        <v>Higher of Land Purchase Price or Land Appraised Value****</v>
      </c>
      <c r="I2763" s="52">
        <v>15</v>
      </c>
    </row>
    <row r="2764" spans="1:10" ht="15" customHeight="1">
      <c r="A2764" t="str">
        <f ca="1">IF(AND(OFFSET(A2764, -I2764 + 2, 4) &gt;  0, E2764="", Calculations!$B$7), F2764, "")</f>
        <v/>
      </c>
      <c r="B2764">
        <f t="shared" si="982"/>
        <v>77</v>
      </c>
      <c r="C2764">
        <f t="shared" ca="1" si="974"/>
        <v>74</v>
      </c>
      <c r="D2764" t="str">
        <f t="shared" si="983"/>
        <v>P77</v>
      </c>
      <c r="E2764" t="str">
        <f t="shared" ca="1" si="984"/>
        <v/>
      </c>
      <c r="F2764" t="str">
        <f t="shared" ca="1" si="985"/>
        <v xml:space="preserve">Enter a 'Acquisition Placed-in-Service Date' for  building 74 in cell P77.
</v>
      </c>
      <c r="G2764" s="9" t="str">
        <f t="shared" ca="1" si="972"/>
        <v xml:space="preserve">Enter a value for 'Number of Floors in the Tallest Building' in cell B58.
</v>
      </c>
      <c r="H2764" s="52" t="str">
        <f t="shared" ca="1" si="986"/>
        <v>Acquisition Placed-in-Service Date</v>
      </c>
      <c r="I2764" s="52">
        <v>16</v>
      </c>
    </row>
    <row r="2765" spans="1:10" ht="15" customHeight="1">
      <c r="A2765" t="str">
        <f ca="1">IF(AND(OFFSET(A2765, -I2765 + 2, 4) &gt;  0, E2765="", Calculations!$B$7), F2765, "")</f>
        <v/>
      </c>
      <c r="B2765">
        <f t="shared" si="982"/>
        <v>77</v>
      </c>
      <c r="C2765">
        <f t="shared" ca="1" si="974"/>
        <v>74</v>
      </c>
      <c r="D2765" t="str">
        <f t="shared" si="983"/>
        <v>Q77</v>
      </c>
      <c r="E2765" t="str">
        <f t="shared" ca="1" si="984"/>
        <v/>
      </c>
      <c r="F2765" t="str">
        <f t="shared" ca="1" si="985"/>
        <v xml:space="preserve">Enter a 'Acquisition APR' for  building 74 in cell Q77.
</v>
      </c>
      <c r="G2765" s="9" t="str">
        <f t="shared" ca="1" si="972"/>
        <v xml:space="preserve">Enter a value for 'Number of Floors in the Tallest Building' in cell B58.
</v>
      </c>
      <c r="H2765" s="52" t="str">
        <f t="shared" ca="1" si="986"/>
        <v>Acquisition APR</v>
      </c>
      <c r="I2765" s="52">
        <v>17</v>
      </c>
    </row>
    <row r="2766" spans="1:10" ht="15" customHeight="1">
      <c r="A2766" t="str">
        <f ca="1">IF(AND(Calculations!$B$4,Calculations!$B$28&gt;=C2766, E2766 &lt;&gt; 13),F2766,"")</f>
        <v/>
      </c>
      <c r="B2766">
        <f>ROW('Final Building Profile'!C78)</f>
        <v>78</v>
      </c>
      <c r="C2766">
        <f t="shared" ca="1" si="974"/>
        <v>75</v>
      </c>
      <c r="D2766" t="str">
        <f>ADDRESS(B2766, 3,4  )</f>
        <v>C78</v>
      </c>
      <c r="E2766" s="52">
        <f ca="1">H2766+I2766</f>
        <v>0</v>
      </c>
      <c r="F2766" t="str">
        <f ca="1">CONCATENATE("Based upon the number of buildings specified, information for  building ", C2766, " required for a final application in row ", B2766, ".", CHAR(10))</f>
        <v xml:space="preserve">Based upon the number of buildings specified, information for  building 75 required for a final application in row 78.
</v>
      </c>
      <c r="G2766" s="9" t="str">
        <f t="shared" ca="1" si="972"/>
        <v xml:space="preserve">Enter a value for 'Number of Floors in the Tallest Building' in cell B58.
</v>
      </c>
      <c r="H2766" s="52">
        <f ca="1">SUMPRODUCT(--ISTEXT(INDIRECT(J2766)))</f>
        <v>0</v>
      </c>
      <c r="I2766" s="52">
        <f ca="1">SUMPRODUCT(--ISNUMBER(INDIRECT(J2766)))</f>
        <v>0</v>
      </c>
      <c r="J2766" s="52" t="str">
        <f>$F$1564&amp; ADDRESS(B2766,3,4) &amp; ":" &amp; ADDRESS(B2766,15,4)</f>
        <v>'Final Building Profile'!C78:O78</v>
      </c>
    </row>
    <row r="2767" spans="1:10" ht="15" customHeight="1">
      <c r="A2767" t="str">
        <f t="shared" ref="A2767:A2776" ca="1" si="987">IF(AND(OFFSET(A2767, -I2767 + 2, 4) &gt;  0, E2767=""), F2767, "")</f>
        <v/>
      </c>
      <c r="B2767">
        <f t="shared" ref="B2767:B2781" si="988">B2766</f>
        <v>78</v>
      </c>
      <c r="C2767">
        <f t="shared" ca="1" si="974"/>
        <v>75</v>
      </c>
      <c r="D2767" t="str">
        <f t="shared" ref="D2767:D2781" si="989">ADDRESS(B2767, I2767,4  )</f>
        <v>C78</v>
      </c>
      <c r="E2767" t="str">
        <f t="shared" ref="E2767:E2781" ca="1" si="990">IF(ISBLANK( INDIRECT($F$1564 &amp; D2767)),"", INDIRECT($F$1564 &amp; D2767))</f>
        <v/>
      </c>
      <c r="F2767" t="str">
        <f t="shared" ref="F2767:F2781" ca="1" si="991">CONCATENATE("Enter a '"&amp; H2767 &amp;"' for  building ", C2767, " in cell ", D2767, ".", CHAR(10))</f>
        <v xml:space="preserve">Enter a 'Building Street Address Only 
(DO NOT ENTER CITY, STATE, OR ZIP)' for  building 75 in cell C78.
</v>
      </c>
      <c r="G2767" s="9" t="str">
        <f t="shared" ca="1" si="972"/>
        <v xml:space="preserve">Enter a value for 'Number of Floors in the Tallest Building' in cell B58.
</v>
      </c>
      <c r="H2767" s="52" t="str">
        <f t="shared" ref="H2767:H2781" ca="1" si="992">OFFSET(INDIRECT($F$1564 &amp; D2767), -B2767 + 3, 0)</f>
        <v>Building Street Address Only 
(DO NOT ENTER CITY, STATE, OR ZIP)</v>
      </c>
      <c r="I2767" s="52">
        <v>3</v>
      </c>
    </row>
    <row r="2768" spans="1:10" ht="15" customHeight="1">
      <c r="A2768" t="str">
        <f t="shared" ca="1" si="987"/>
        <v/>
      </c>
      <c r="B2768">
        <f t="shared" si="988"/>
        <v>78</v>
      </c>
      <c r="C2768">
        <f t="shared" ca="1" si="974"/>
        <v>75</v>
      </c>
      <c r="D2768" t="str">
        <f t="shared" si="989"/>
        <v>D78</v>
      </c>
      <c r="E2768" t="str">
        <f t="shared" ca="1" si="990"/>
        <v/>
      </c>
      <c r="F2768" t="str">
        <f t="shared" ca="1" si="991"/>
        <v xml:space="preserve">Enter a 'Total Units in Building*' for  building 75 in cell D78.
</v>
      </c>
      <c r="G2768" s="9" t="str">
        <f t="shared" ca="1" si="972"/>
        <v xml:space="preserve">Enter a value for 'Number of Floors in the Tallest Building' in cell B58.
</v>
      </c>
      <c r="H2768" s="52" t="str">
        <f t="shared" ca="1" si="992"/>
        <v>Total Units in Building*</v>
      </c>
      <c r="I2768" s="52">
        <v>4</v>
      </c>
    </row>
    <row r="2769" spans="1:10" ht="15" customHeight="1">
      <c r="A2769" t="str">
        <f t="shared" ca="1" si="987"/>
        <v/>
      </c>
      <c r="B2769">
        <f t="shared" si="988"/>
        <v>78</v>
      </c>
      <c r="C2769">
        <f t="shared" ca="1" si="974"/>
        <v>75</v>
      </c>
      <c r="D2769" t="str">
        <f t="shared" si="989"/>
        <v>E78</v>
      </c>
      <c r="E2769" t="str">
        <f t="shared" ca="1" si="990"/>
        <v/>
      </c>
      <c r="F2769" t="str">
        <f t="shared" ca="1" si="991"/>
        <v xml:space="preserve">Enter a 'Employee Units' for  building 75 in cell E78.
</v>
      </c>
      <c r="G2769" s="9" t="str">
        <f t="shared" ca="1" si="972"/>
        <v xml:space="preserve">Enter a value for 'Number of Floors in the Tallest Building' in cell B58.
</v>
      </c>
      <c r="H2769" s="52" t="str">
        <f t="shared" ca="1" si="992"/>
        <v>Employee Units</v>
      </c>
      <c r="I2769" s="52">
        <v>5</v>
      </c>
    </row>
    <row r="2770" spans="1:10" ht="15" customHeight="1">
      <c r="A2770" t="str">
        <f t="shared" ca="1" si="987"/>
        <v/>
      </c>
      <c r="B2770">
        <f t="shared" si="988"/>
        <v>78</v>
      </c>
      <c r="C2770">
        <f t="shared" ca="1" si="974"/>
        <v>75</v>
      </c>
      <c r="D2770" t="str">
        <f t="shared" si="989"/>
        <v>F78</v>
      </c>
      <c r="E2770" t="str">
        <f t="shared" ca="1" si="990"/>
        <v/>
      </c>
      <c r="F2770" t="str">
        <f t="shared" ca="1" si="991"/>
        <v xml:space="preserve">Enter a 'Low-Income Units' for  building 75 in cell F78.
</v>
      </c>
      <c r="G2770" s="9" t="str">
        <f t="shared" ca="1" si="972"/>
        <v xml:space="preserve">Enter a value for 'Number of Floors in the Tallest Building' in cell B58.
</v>
      </c>
      <c r="H2770" s="52" t="str">
        <f t="shared" ca="1" si="992"/>
        <v>Low-Income Units</v>
      </c>
      <c r="I2770" s="52">
        <v>6</v>
      </c>
    </row>
    <row r="2771" spans="1:10" ht="15" customHeight="1">
      <c r="A2771" t="str">
        <f t="shared" ca="1" si="987"/>
        <v/>
      </c>
      <c r="B2771">
        <f t="shared" si="988"/>
        <v>78</v>
      </c>
      <c r="C2771">
        <f t="shared" ca="1" si="974"/>
        <v>75</v>
      </c>
      <c r="D2771" t="str">
        <f t="shared" si="989"/>
        <v>G78</v>
      </c>
      <c r="E2771" t="str">
        <f t="shared" ca="1" si="990"/>
        <v/>
      </c>
      <c r="F2771" t="str">
        <f t="shared" ca="1" si="991"/>
        <v xml:space="preserve">Enter a 'Residential Square Footage**' for  building 75 in cell G78.
</v>
      </c>
      <c r="G2771" s="9" t="str">
        <f t="shared" ca="1" si="972"/>
        <v xml:space="preserve">Enter a value for 'Number of Floors in the Tallest Building' in cell B58.
</v>
      </c>
      <c r="H2771" s="52" t="str">
        <f t="shared" ca="1" si="992"/>
        <v>Residential Square Footage**</v>
      </c>
      <c r="I2771" s="52">
        <v>7</v>
      </c>
    </row>
    <row r="2772" spans="1:10" ht="15" customHeight="1">
      <c r="A2772" t="str">
        <f t="shared" ca="1" si="987"/>
        <v/>
      </c>
      <c r="B2772">
        <f t="shared" si="988"/>
        <v>78</v>
      </c>
      <c r="C2772">
        <f t="shared" ca="1" si="974"/>
        <v>75</v>
      </c>
      <c r="D2772" t="str">
        <f t="shared" si="989"/>
        <v>H78</v>
      </c>
      <c r="E2772" t="str">
        <f t="shared" ca="1" si="990"/>
        <v/>
      </c>
      <c r="F2772" t="str">
        <f t="shared" ca="1" si="991"/>
        <v xml:space="preserve">Enter a 'Square Footage of Employee Units' for  building 75 in cell H78.
</v>
      </c>
      <c r="G2772" s="9" t="str">
        <f t="shared" ca="1" si="972"/>
        <v xml:space="preserve">Enter a value for 'Number of Floors in the Tallest Building' in cell B58.
</v>
      </c>
      <c r="H2772" s="52" t="str">
        <f t="shared" ca="1" si="992"/>
        <v>Square Footage of Employee Units</v>
      </c>
      <c r="I2772" s="52">
        <v>8</v>
      </c>
    </row>
    <row r="2773" spans="1:10" ht="15" customHeight="1">
      <c r="A2773" t="str">
        <f t="shared" ca="1" si="987"/>
        <v/>
      </c>
      <c r="B2773">
        <f t="shared" si="988"/>
        <v>78</v>
      </c>
      <c r="C2773">
        <f t="shared" ca="1" si="974"/>
        <v>75</v>
      </c>
      <c r="D2773" t="str">
        <f t="shared" si="989"/>
        <v>I78</v>
      </c>
      <c r="E2773" t="str">
        <f t="shared" ca="1" si="990"/>
        <v/>
      </c>
      <c r="F2773" t="str">
        <f t="shared" ca="1" si="991"/>
        <v xml:space="preserve">Enter a 'Square Footage of Low-Income Units' for  building 75 in cell I78.
</v>
      </c>
      <c r="G2773" s="9" t="str">
        <f t="shared" ca="1" si="972"/>
        <v xml:space="preserve">Enter a value for 'Number of Floors in the Tallest Building' in cell B58.
</v>
      </c>
      <c r="H2773" s="52" t="str">
        <f t="shared" ca="1" si="992"/>
        <v>Square Footage of Low-Income Units</v>
      </c>
      <c r="I2773" s="52">
        <v>9</v>
      </c>
    </row>
    <row r="2774" spans="1:10" ht="15" customHeight="1">
      <c r="A2774" t="str">
        <f t="shared" ca="1" si="987"/>
        <v/>
      </c>
      <c r="B2774">
        <f t="shared" si="988"/>
        <v>78</v>
      </c>
      <c r="C2774">
        <f t="shared" ca="1" si="974"/>
        <v>75</v>
      </c>
      <c r="D2774" t="str">
        <f t="shared" si="989"/>
        <v>J78</v>
      </c>
      <c r="E2774" t="str">
        <f t="shared" ca="1" si="990"/>
        <v/>
      </c>
      <c r="F2774" t="str">
        <f t="shared" ca="1" si="991"/>
        <v xml:space="preserve">Enter a 'Placed-In-Service Date' for  building 75 in cell J78.
</v>
      </c>
      <c r="G2774" s="9" t="str">
        <f t="shared" ca="1" si="972"/>
        <v xml:space="preserve">Enter a value for 'Number of Floors in the Tallest Building' in cell B58.
</v>
      </c>
      <c r="H2774" s="52" t="str">
        <f t="shared" ca="1" si="992"/>
        <v>Placed-In-Service Date</v>
      </c>
      <c r="I2774" s="52">
        <v>10</v>
      </c>
    </row>
    <row r="2775" spans="1:10" ht="15" customHeight="1">
      <c r="A2775" t="str">
        <f t="shared" ca="1" si="987"/>
        <v/>
      </c>
      <c r="B2775">
        <f t="shared" si="988"/>
        <v>78</v>
      </c>
      <c r="C2775">
        <f t="shared" ca="1" si="974"/>
        <v>75</v>
      </c>
      <c r="D2775" t="str">
        <f t="shared" si="989"/>
        <v>K78</v>
      </c>
      <c r="E2775" t="str">
        <f t="shared" ca="1" si="990"/>
        <v/>
      </c>
      <c r="F2775" t="str">
        <f t="shared" ca="1" si="991"/>
        <v xml:space="preserve">Enter a 'New Construction/ Rehab APR' for  building 75 in cell K78.
</v>
      </c>
      <c r="G2775" s="9" t="str">
        <f t="shared" ca="1" si="972"/>
        <v xml:space="preserve">Enter a value for 'Number of Floors in the Tallest Building' in cell B58.
</v>
      </c>
      <c r="H2775" s="52" t="str">
        <f t="shared" ca="1" si="992"/>
        <v>New Construction/ Rehab APR</v>
      </c>
      <c r="I2775" s="52">
        <v>11</v>
      </c>
    </row>
    <row r="2776" spans="1:10" ht="15" customHeight="1">
      <c r="A2776" t="str">
        <f t="shared" ca="1" si="987"/>
        <v/>
      </c>
      <c r="B2776">
        <f t="shared" si="988"/>
        <v>78</v>
      </c>
      <c r="C2776">
        <f t="shared" ca="1" si="974"/>
        <v>75</v>
      </c>
      <c r="D2776" t="str">
        <f t="shared" si="989"/>
        <v>L78</v>
      </c>
      <c r="E2776" t="str">
        <f t="shared" ca="1" si="990"/>
        <v/>
      </c>
      <c r="F2776" t="str">
        <f t="shared" ca="1" si="991"/>
        <v xml:space="preserve">Enter a 'New Construction Eligible Basis' for  building 75 in cell L78.
</v>
      </c>
      <c r="G2776" s="9" t="str">
        <f t="shared" ca="1" si="972"/>
        <v xml:space="preserve">Enter a value for 'Number of Floors in the Tallest Building' in cell B58.
</v>
      </c>
      <c r="H2776" s="52" t="str">
        <f t="shared" ca="1" si="992"/>
        <v>New Construction Eligible Basis</v>
      </c>
      <c r="I2776" s="52">
        <v>12</v>
      </c>
    </row>
    <row r="2777" spans="1:10" ht="15" customHeight="1">
      <c r="A2777" t="str">
        <f ca="1">IF(AND(OFFSET(A2777, -I2777 + 2, 4) &gt;  0, E2777="", Calculations!$B$7), F2777, "")</f>
        <v/>
      </c>
      <c r="B2777">
        <f t="shared" si="988"/>
        <v>78</v>
      </c>
      <c r="C2777">
        <f t="shared" ca="1" si="974"/>
        <v>75</v>
      </c>
      <c r="D2777" t="str">
        <f t="shared" si="989"/>
        <v>M78</v>
      </c>
      <c r="E2777" t="str">
        <f t="shared" ca="1" si="990"/>
        <v/>
      </c>
      <c r="F2777" t="str">
        <f t="shared" ca="1" si="991"/>
        <v xml:space="preserve">Enter a 'Eligible Basis for Rehab' for  building 75 in cell M78.
</v>
      </c>
      <c r="G2777" s="9" t="str">
        <f t="shared" ca="1" si="972"/>
        <v xml:space="preserve">Enter a value for 'Number of Floors in the Tallest Building' in cell B58.
</v>
      </c>
      <c r="H2777" s="52" t="str">
        <f t="shared" ca="1" si="992"/>
        <v>Eligible Basis for Rehab</v>
      </c>
      <c r="I2777" s="52">
        <v>13</v>
      </c>
    </row>
    <row r="2778" spans="1:10" ht="15" customHeight="1">
      <c r="A2778" t="str">
        <f ca="1">IF(AND(OFFSET(A2778, -I2778 + 2, 4) &gt;  0, E2778="", Calculations!$B$7), F2778, "")</f>
        <v/>
      </c>
      <c r="B2778">
        <f t="shared" si="988"/>
        <v>78</v>
      </c>
      <c r="C2778">
        <f t="shared" ca="1" si="974"/>
        <v>75</v>
      </c>
      <c r="D2778" t="str">
        <f t="shared" si="989"/>
        <v>N78</v>
      </c>
      <c r="E2778" t="str">
        <f t="shared" ca="1" si="990"/>
        <v/>
      </c>
      <c r="F2778" t="str">
        <f t="shared" ca="1" si="991"/>
        <v xml:space="preserve">Enter a 'Cost of Acquiring the Building***' for  building 75 in cell N78.
</v>
      </c>
      <c r="G2778" s="9" t="str">
        <f t="shared" ca="1" si="972"/>
        <v xml:space="preserve">Enter a value for 'Number of Floors in the Tallest Building' in cell B58.
</v>
      </c>
      <c r="H2778" s="52" t="str">
        <f t="shared" ca="1" si="992"/>
        <v>Cost of Acquiring the Building***</v>
      </c>
      <c r="I2778" s="52">
        <v>14</v>
      </c>
    </row>
    <row r="2779" spans="1:10" ht="15" customHeight="1">
      <c r="A2779" t="str">
        <f ca="1">IF(AND(OFFSET(A2779, -I2779 + 2, 4) &gt;  0, E2779="", Calculations!$B$7), F2779, "")</f>
        <v/>
      </c>
      <c r="B2779">
        <f t="shared" si="988"/>
        <v>78</v>
      </c>
      <c r="C2779">
        <f t="shared" ca="1" si="974"/>
        <v>75</v>
      </c>
      <c r="D2779" t="str">
        <f t="shared" si="989"/>
        <v>O78</v>
      </c>
      <c r="E2779" t="str">
        <f t="shared" ca="1" si="990"/>
        <v/>
      </c>
      <c r="F2779" t="str">
        <f t="shared" ca="1" si="991"/>
        <v xml:space="preserve">Enter a 'Higher of Land Purchase Price or Land Appraised Value****' for  building 75 in cell O78.
</v>
      </c>
      <c r="G2779" s="9" t="str">
        <f t="shared" ca="1" si="972"/>
        <v xml:space="preserve">Enter a value for 'Number of Floors in the Tallest Building' in cell B58.
</v>
      </c>
      <c r="H2779" s="52" t="str">
        <f t="shared" ca="1" si="992"/>
        <v>Higher of Land Purchase Price or Land Appraised Value****</v>
      </c>
      <c r="I2779" s="52">
        <v>15</v>
      </c>
    </row>
    <row r="2780" spans="1:10" ht="15" customHeight="1">
      <c r="A2780" t="str">
        <f ca="1">IF(AND(OFFSET(A2780, -I2780 + 2, 4) &gt;  0, E2780="", Calculations!$B$7), F2780, "")</f>
        <v/>
      </c>
      <c r="B2780">
        <f t="shared" si="988"/>
        <v>78</v>
      </c>
      <c r="C2780">
        <f t="shared" ca="1" si="974"/>
        <v>75</v>
      </c>
      <c r="D2780" t="str">
        <f t="shared" si="989"/>
        <v>P78</v>
      </c>
      <c r="E2780" t="str">
        <f t="shared" ca="1" si="990"/>
        <v/>
      </c>
      <c r="F2780" t="str">
        <f t="shared" ca="1" si="991"/>
        <v xml:space="preserve">Enter a 'Acquisition Placed-in-Service Date' for  building 75 in cell P78.
</v>
      </c>
      <c r="G2780" s="9" t="str">
        <f t="shared" ca="1" si="972"/>
        <v xml:space="preserve">Enter a value for 'Number of Floors in the Tallest Building' in cell B58.
</v>
      </c>
      <c r="H2780" s="52" t="str">
        <f t="shared" ca="1" si="992"/>
        <v>Acquisition Placed-in-Service Date</v>
      </c>
      <c r="I2780" s="52">
        <v>16</v>
      </c>
    </row>
    <row r="2781" spans="1:10" ht="15" customHeight="1">
      <c r="A2781" t="str">
        <f ca="1">IF(AND(OFFSET(A2781, -I2781 + 2, 4) &gt;  0, E2781="", Calculations!$B$7), F2781, "")</f>
        <v/>
      </c>
      <c r="B2781">
        <f t="shared" si="988"/>
        <v>78</v>
      </c>
      <c r="C2781">
        <f t="shared" ca="1" si="974"/>
        <v>75</v>
      </c>
      <c r="D2781" t="str">
        <f t="shared" si="989"/>
        <v>Q78</v>
      </c>
      <c r="E2781" t="str">
        <f t="shared" ca="1" si="990"/>
        <v/>
      </c>
      <c r="F2781" t="str">
        <f t="shared" ca="1" si="991"/>
        <v xml:space="preserve">Enter a 'Acquisition APR' for  building 75 in cell Q78.
</v>
      </c>
      <c r="G2781" s="9" t="str">
        <f t="shared" ca="1" si="972"/>
        <v xml:space="preserve">Enter a value for 'Number of Floors in the Tallest Building' in cell B58.
</v>
      </c>
      <c r="H2781" s="52" t="str">
        <f t="shared" ca="1" si="992"/>
        <v>Acquisition APR</v>
      </c>
      <c r="I2781" s="52">
        <v>17</v>
      </c>
    </row>
    <row r="2782" spans="1:10" ht="15" customHeight="1">
      <c r="A2782" t="str">
        <f ca="1">IF(AND(Calculations!$B$4,Calculations!$B$28&gt;=C2782, E2782 &lt;&gt; 13),F2782,"")</f>
        <v/>
      </c>
      <c r="B2782">
        <f>ROW('Final Building Profile'!C79)</f>
        <v>79</v>
      </c>
      <c r="C2782">
        <f t="shared" ca="1" si="974"/>
        <v>76</v>
      </c>
      <c r="D2782" t="str">
        <f>ADDRESS(B2782, 3,4  )</f>
        <v>C79</v>
      </c>
      <c r="E2782" s="52">
        <f ca="1">H2782+I2782</f>
        <v>0</v>
      </c>
      <c r="F2782" t="str">
        <f ca="1">CONCATENATE("Based upon the number of buildings specified, information for  building ", C2782, " required for a final application in row ", B2782, ".", CHAR(10))</f>
        <v xml:space="preserve">Based upon the number of buildings specified, information for  building 76 required for a final application in row 79.
</v>
      </c>
      <c r="G2782" s="9" t="str">
        <f t="shared" ca="1" si="972"/>
        <v xml:space="preserve">Enter a value for 'Number of Floors in the Tallest Building' in cell B58.
</v>
      </c>
      <c r="H2782" s="52">
        <f ca="1">SUMPRODUCT(--ISTEXT(INDIRECT(J2782)))</f>
        <v>0</v>
      </c>
      <c r="I2782" s="52">
        <f ca="1">SUMPRODUCT(--ISNUMBER(INDIRECT(J2782)))</f>
        <v>0</v>
      </c>
      <c r="J2782" s="52" t="str">
        <f>$F$1564&amp; ADDRESS(B2782,3,4) &amp; ":" &amp; ADDRESS(B2782,15,4)</f>
        <v>'Final Building Profile'!C79:O79</v>
      </c>
    </row>
    <row r="2783" spans="1:10" ht="15" customHeight="1">
      <c r="A2783" t="str">
        <f t="shared" ref="A2783:A2792" ca="1" si="993">IF(AND(OFFSET(A2783, -I2783 + 2, 4) &gt;  0, E2783=""), F2783, "")</f>
        <v/>
      </c>
      <c r="B2783">
        <f t="shared" ref="B2783:B2797" si="994">B2782</f>
        <v>79</v>
      </c>
      <c r="C2783">
        <f t="shared" ca="1" si="974"/>
        <v>76</v>
      </c>
      <c r="D2783" t="str">
        <f t="shared" ref="D2783:D2797" si="995">ADDRESS(B2783, I2783,4  )</f>
        <v>C79</v>
      </c>
      <c r="E2783" t="str">
        <f t="shared" ref="E2783:E2797" ca="1" si="996">IF(ISBLANK( INDIRECT($F$1564 &amp; D2783)),"", INDIRECT($F$1564 &amp; D2783))</f>
        <v/>
      </c>
      <c r="F2783" t="str">
        <f t="shared" ref="F2783:F2797" ca="1" si="997">CONCATENATE("Enter a '"&amp; H2783 &amp;"' for  building ", C2783, " in cell ", D2783, ".", CHAR(10))</f>
        <v xml:space="preserve">Enter a 'Building Street Address Only 
(DO NOT ENTER CITY, STATE, OR ZIP)' for  building 76 in cell C79.
</v>
      </c>
      <c r="G2783" s="9" t="str">
        <f t="shared" ref="G2783:G2846" ca="1" si="998">OFFSET(G2783, -1, 0) &amp; A2783</f>
        <v xml:space="preserve">Enter a value for 'Number of Floors in the Tallest Building' in cell B58.
</v>
      </c>
      <c r="H2783" s="52" t="str">
        <f t="shared" ref="H2783:H2797" ca="1" si="999">OFFSET(INDIRECT($F$1564 &amp; D2783), -B2783 + 3, 0)</f>
        <v>Building Street Address Only 
(DO NOT ENTER CITY, STATE, OR ZIP)</v>
      </c>
      <c r="I2783" s="52">
        <v>3</v>
      </c>
    </row>
    <row r="2784" spans="1:10" ht="15" customHeight="1">
      <c r="A2784" t="str">
        <f t="shared" ca="1" si="993"/>
        <v/>
      </c>
      <c r="B2784">
        <f t="shared" si="994"/>
        <v>79</v>
      </c>
      <c r="C2784">
        <f t="shared" ca="1" si="974"/>
        <v>76</v>
      </c>
      <c r="D2784" t="str">
        <f t="shared" si="995"/>
        <v>D79</v>
      </c>
      <c r="E2784" t="str">
        <f t="shared" ca="1" si="996"/>
        <v/>
      </c>
      <c r="F2784" t="str">
        <f t="shared" ca="1" si="997"/>
        <v xml:space="preserve">Enter a 'Total Units in Building*' for  building 76 in cell D79.
</v>
      </c>
      <c r="G2784" s="9" t="str">
        <f t="shared" ca="1" si="998"/>
        <v xml:space="preserve">Enter a value for 'Number of Floors in the Tallest Building' in cell B58.
</v>
      </c>
      <c r="H2784" s="52" t="str">
        <f t="shared" ca="1" si="999"/>
        <v>Total Units in Building*</v>
      </c>
      <c r="I2784" s="52">
        <v>4</v>
      </c>
    </row>
    <row r="2785" spans="1:10" ht="15" customHeight="1">
      <c r="A2785" t="str">
        <f t="shared" ca="1" si="993"/>
        <v/>
      </c>
      <c r="B2785">
        <f t="shared" si="994"/>
        <v>79</v>
      </c>
      <c r="C2785">
        <f t="shared" ca="1" si="974"/>
        <v>76</v>
      </c>
      <c r="D2785" t="str">
        <f t="shared" si="995"/>
        <v>E79</v>
      </c>
      <c r="E2785" t="str">
        <f t="shared" ca="1" si="996"/>
        <v/>
      </c>
      <c r="F2785" t="str">
        <f t="shared" ca="1" si="997"/>
        <v xml:space="preserve">Enter a 'Employee Units' for  building 76 in cell E79.
</v>
      </c>
      <c r="G2785" s="9" t="str">
        <f t="shared" ca="1" si="998"/>
        <v xml:space="preserve">Enter a value for 'Number of Floors in the Tallest Building' in cell B58.
</v>
      </c>
      <c r="H2785" s="52" t="str">
        <f t="shared" ca="1" si="999"/>
        <v>Employee Units</v>
      </c>
      <c r="I2785" s="52">
        <v>5</v>
      </c>
    </row>
    <row r="2786" spans="1:10" ht="15" customHeight="1">
      <c r="A2786" t="str">
        <f t="shared" ca="1" si="993"/>
        <v/>
      </c>
      <c r="B2786">
        <f t="shared" si="994"/>
        <v>79</v>
      </c>
      <c r="C2786">
        <f t="shared" ca="1" si="974"/>
        <v>76</v>
      </c>
      <c r="D2786" t="str">
        <f t="shared" si="995"/>
        <v>F79</v>
      </c>
      <c r="E2786" t="str">
        <f t="shared" ca="1" si="996"/>
        <v/>
      </c>
      <c r="F2786" t="str">
        <f t="shared" ca="1" si="997"/>
        <v xml:space="preserve">Enter a 'Low-Income Units' for  building 76 in cell F79.
</v>
      </c>
      <c r="G2786" s="9" t="str">
        <f t="shared" ca="1" si="998"/>
        <v xml:space="preserve">Enter a value for 'Number of Floors in the Tallest Building' in cell B58.
</v>
      </c>
      <c r="H2786" s="52" t="str">
        <f t="shared" ca="1" si="999"/>
        <v>Low-Income Units</v>
      </c>
      <c r="I2786" s="52">
        <v>6</v>
      </c>
    </row>
    <row r="2787" spans="1:10" ht="15" customHeight="1">
      <c r="A2787" t="str">
        <f t="shared" ca="1" si="993"/>
        <v/>
      </c>
      <c r="B2787">
        <f t="shared" si="994"/>
        <v>79</v>
      </c>
      <c r="C2787">
        <f t="shared" ca="1" si="974"/>
        <v>76</v>
      </c>
      <c r="D2787" t="str">
        <f t="shared" si="995"/>
        <v>G79</v>
      </c>
      <c r="E2787" t="str">
        <f t="shared" ca="1" si="996"/>
        <v/>
      </c>
      <c r="F2787" t="str">
        <f t="shared" ca="1" si="997"/>
        <v xml:space="preserve">Enter a 'Residential Square Footage**' for  building 76 in cell G79.
</v>
      </c>
      <c r="G2787" s="9" t="str">
        <f t="shared" ca="1" si="998"/>
        <v xml:space="preserve">Enter a value for 'Number of Floors in the Tallest Building' in cell B58.
</v>
      </c>
      <c r="H2787" s="52" t="str">
        <f t="shared" ca="1" si="999"/>
        <v>Residential Square Footage**</v>
      </c>
      <c r="I2787" s="52">
        <v>7</v>
      </c>
    </row>
    <row r="2788" spans="1:10" ht="15" customHeight="1">
      <c r="A2788" t="str">
        <f t="shared" ca="1" si="993"/>
        <v/>
      </c>
      <c r="B2788">
        <f t="shared" si="994"/>
        <v>79</v>
      </c>
      <c r="C2788">
        <f t="shared" ca="1" si="974"/>
        <v>76</v>
      </c>
      <c r="D2788" t="str">
        <f t="shared" si="995"/>
        <v>H79</v>
      </c>
      <c r="E2788" t="str">
        <f t="shared" ca="1" si="996"/>
        <v/>
      </c>
      <c r="F2788" t="str">
        <f t="shared" ca="1" si="997"/>
        <v xml:space="preserve">Enter a 'Square Footage of Employee Units' for  building 76 in cell H79.
</v>
      </c>
      <c r="G2788" s="9" t="str">
        <f t="shared" ca="1" si="998"/>
        <v xml:space="preserve">Enter a value for 'Number of Floors in the Tallest Building' in cell B58.
</v>
      </c>
      <c r="H2788" s="52" t="str">
        <f t="shared" ca="1" si="999"/>
        <v>Square Footage of Employee Units</v>
      </c>
      <c r="I2788" s="52">
        <v>8</v>
      </c>
    </row>
    <row r="2789" spans="1:10" ht="15" customHeight="1">
      <c r="A2789" t="str">
        <f t="shared" ca="1" si="993"/>
        <v/>
      </c>
      <c r="B2789">
        <f t="shared" si="994"/>
        <v>79</v>
      </c>
      <c r="C2789">
        <f t="shared" ca="1" si="974"/>
        <v>76</v>
      </c>
      <c r="D2789" t="str">
        <f t="shared" si="995"/>
        <v>I79</v>
      </c>
      <c r="E2789" t="str">
        <f t="shared" ca="1" si="996"/>
        <v/>
      </c>
      <c r="F2789" t="str">
        <f t="shared" ca="1" si="997"/>
        <v xml:space="preserve">Enter a 'Square Footage of Low-Income Units' for  building 76 in cell I79.
</v>
      </c>
      <c r="G2789" s="9" t="str">
        <f t="shared" ca="1" si="998"/>
        <v xml:space="preserve">Enter a value for 'Number of Floors in the Tallest Building' in cell B58.
</v>
      </c>
      <c r="H2789" s="52" t="str">
        <f t="shared" ca="1" si="999"/>
        <v>Square Footage of Low-Income Units</v>
      </c>
      <c r="I2789" s="52">
        <v>9</v>
      </c>
    </row>
    <row r="2790" spans="1:10" ht="15" customHeight="1">
      <c r="A2790" t="str">
        <f t="shared" ca="1" si="993"/>
        <v/>
      </c>
      <c r="B2790">
        <f t="shared" si="994"/>
        <v>79</v>
      </c>
      <c r="C2790">
        <f t="shared" ca="1" si="974"/>
        <v>76</v>
      </c>
      <c r="D2790" t="str">
        <f t="shared" si="995"/>
        <v>J79</v>
      </c>
      <c r="E2790" t="str">
        <f t="shared" ca="1" si="996"/>
        <v/>
      </c>
      <c r="F2790" t="str">
        <f t="shared" ca="1" si="997"/>
        <v xml:space="preserve">Enter a 'Placed-In-Service Date' for  building 76 in cell J79.
</v>
      </c>
      <c r="G2790" s="9" t="str">
        <f t="shared" ca="1" si="998"/>
        <v xml:space="preserve">Enter a value for 'Number of Floors in the Tallest Building' in cell B58.
</v>
      </c>
      <c r="H2790" s="52" t="str">
        <f t="shared" ca="1" si="999"/>
        <v>Placed-In-Service Date</v>
      </c>
      <c r="I2790" s="52">
        <v>10</v>
      </c>
    </row>
    <row r="2791" spans="1:10" ht="15" customHeight="1">
      <c r="A2791" t="str">
        <f t="shared" ca="1" si="993"/>
        <v/>
      </c>
      <c r="B2791">
        <f t="shared" si="994"/>
        <v>79</v>
      </c>
      <c r="C2791">
        <f t="shared" ca="1" si="974"/>
        <v>76</v>
      </c>
      <c r="D2791" t="str">
        <f t="shared" si="995"/>
        <v>K79</v>
      </c>
      <c r="E2791" t="str">
        <f t="shared" ca="1" si="996"/>
        <v/>
      </c>
      <c r="F2791" t="str">
        <f t="shared" ca="1" si="997"/>
        <v xml:space="preserve">Enter a 'New Construction/ Rehab APR' for  building 76 in cell K79.
</v>
      </c>
      <c r="G2791" s="9" t="str">
        <f t="shared" ca="1" si="998"/>
        <v xml:space="preserve">Enter a value for 'Number of Floors in the Tallest Building' in cell B58.
</v>
      </c>
      <c r="H2791" s="52" t="str">
        <f t="shared" ca="1" si="999"/>
        <v>New Construction/ Rehab APR</v>
      </c>
      <c r="I2791" s="52">
        <v>11</v>
      </c>
    </row>
    <row r="2792" spans="1:10" ht="15" customHeight="1">
      <c r="A2792" t="str">
        <f t="shared" ca="1" si="993"/>
        <v/>
      </c>
      <c r="B2792">
        <f t="shared" si="994"/>
        <v>79</v>
      </c>
      <c r="C2792">
        <f t="shared" ca="1" si="974"/>
        <v>76</v>
      </c>
      <c r="D2792" t="str">
        <f t="shared" si="995"/>
        <v>L79</v>
      </c>
      <c r="E2792" t="str">
        <f t="shared" ca="1" si="996"/>
        <v/>
      </c>
      <c r="F2792" t="str">
        <f t="shared" ca="1" si="997"/>
        <v xml:space="preserve">Enter a 'New Construction Eligible Basis' for  building 76 in cell L79.
</v>
      </c>
      <c r="G2792" s="9" t="str">
        <f t="shared" ca="1" si="998"/>
        <v xml:space="preserve">Enter a value for 'Number of Floors in the Tallest Building' in cell B58.
</v>
      </c>
      <c r="H2792" s="52" t="str">
        <f t="shared" ca="1" si="999"/>
        <v>New Construction Eligible Basis</v>
      </c>
      <c r="I2792" s="52">
        <v>12</v>
      </c>
    </row>
    <row r="2793" spans="1:10" ht="15" customHeight="1">
      <c r="A2793" t="str">
        <f ca="1">IF(AND(OFFSET(A2793, -I2793 + 2, 4) &gt;  0, E2793="", Calculations!$B$7), F2793, "")</f>
        <v/>
      </c>
      <c r="B2793">
        <f t="shared" si="994"/>
        <v>79</v>
      </c>
      <c r="C2793">
        <f t="shared" ca="1" si="974"/>
        <v>76</v>
      </c>
      <c r="D2793" t="str">
        <f t="shared" si="995"/>
        <v>M79</v>
      </c>
      <c r="E2793" t="str">
        <f t="shared" ca="1" si="996"/>
        <v/>
      </c>
      <c r="F2793" t="str">
        <f t="shared" ca="1" si="997"/>
        <v xml:space="preserve">Enter a 'Eligible Basis for Rehab' for  building 76 in cell M79.
</v>
      </c>
      <c r="G2793" s="9" t="str">
        <f t="shared" ca="1" si="998"/>
        <v xml:space="preserve">Enter a value for 'Number of Floors in the Tallest Building' in cell B58.
</v>
      </c>
      <c r="H2793" s="52" t="str">
        <f t="shared" ca="1" si="999"/>
        <v>Eligible Basis for Rehab</v>
      </c>
      <c r="I2793" s="52">
        <v>13</v>
      </c>
    </row>
    <row r="2794" spans="1:10" ht="15" customHeight="1">
      <c r="A2794" t="str">
        <f ca="1">IF(AND(OFFSET(A2794, -I2794 + 2, 4) &gt;  0, E2794="", Calculations!$B$7), F2794, "")</f>
        <v/>
      </c>
      <c r="B2794">
        <f t="shared" si="994"/>
        <v>79</v>
      </c>
      <c r="C2794">
        <f t="shared" ca="1" si="974"/>
        <v>76</v>
      </c>
      <c r="D2794" t="str">
        <f t="shared" si="995"/>
        <v>N79</v>
      </c>
      <c r="E2794" t="str">
        <f t="shared" ca="1" si="996"/>
        <v/>
      </c>
      <c r="F2794" t="str">
        <f t="shared" ca="1" si="997"/>
        <v xml:space="preserve">Enter a 'Cost of Acquiring the Building***' for  building 76 in cell N79.
</v>
      </c>
      <c r="G2794" s="9" t="str">
        <f t="shared" ca="1" si="998"/>
        <v xml:space="preserve">Enter a value for 'Number of Floors in the Tallest Building' in cell B58.
</v>
      </c>
      <c r="H2794" s="52" t="str">
        <f t="shared" ca="1" si="999"/>
        <v>Cost of Acquiring the Building***</v>
      </c>
      <c r="I2794" s="52">
        <v>14</v>
      </c>
    </row>
    <row r="2795" spans="1:10" ht="15" customHeight="1">
      <c r="A2795" t="str">
        <f ca="1">IF(AND(OFFSET(A2795, -I2795 + 2, 4) &gt;  0, E2795="", Calculations!$B$7), F2795, "")</f>
        <v/>
      </c>
      <c r="B2795">
        <f t="shared" si="994"/>
        <v>79</v>
      </c>
      <c r="C2795">
        <f t="shared" ca="1" si="974"/>
        <v>76</v>
      </c>
      <c r="D2795" t="str">
        <f t="shared" si="995"/>
        <v>O79</v>
      </c>
      <c r="E2795" t="str">
        <f t="shared" ca="1" si="996"/>
        <v/>
      </c>
      <c r="F2795" t="str">
        <f t="shared" ca="1" si="997"/>
        <v xml:space="preserve">Enter a 'Higher of Land Purchase Price or Land Appraised Value****' for  building 76 in cell O79.
</v>
      </c>
      <c r="G2795" s="9" t="str">
        <f t="shared" ca="1" si="998"/>
        <v xml:space="preserve">Enter a value for 'Number of Floors in the Tallest Building' in cell B58.
</v>
      </c>
      <c r="H2795" s="52" t="str">
        <f t="shared" ca="1" si="999"/>
        <v>Higher of Land Purchase Price or Land Appraised Value****</v>
      </c>
      <c r="I2795" s="52">
        <v>15</v>
      </c>
    </row>
    <row r="2796" spans="1:10" ht="15" customHeight="1">
      <c r="A2796" t="str">
        <f ca="1">IF(AND(OFFSET(A2796, -I2796 + 2, 4) &gt;  0, E2796="", Calculations!$B$7), F2796, "")</f>
        <v/>
      </c>
      <c r="B2796">
        <f t="shared" si="994"/>
        <v>79</v>
      </c>
      <c r="C2796">
        <f t="shared" ca="1" si="974"/>
        <v>76</v>
      </c>
      <c r="D2796" t="str">
        <f t="shared" si="995"/>
        <v>P79</v>
      </c>
      <c r="E2796" t="str">
        <f t="shared" ca="1" si="996"/>
        <v/>
      </c>
      <c r="F2796" t="str">
        <f t="shared" ca="1" si="997"/>
        <v xml:space="preserve">Enter a 'Acquisition Placed-in-Service Date' for  building 76 in cell P79.
</v>
      </c>
      <c r="G2796" s="9" t="str">
        <f t="shared" ca="1" si="998"/>
        <v xml:space="preserve">Enter a value for 'Number of Floors in the Tallest Building' in cell B58.
</v>
      </c>
      <c r="H2796" s="52" t="str">
        <f t="shared" ca="1" si="999"/>
        <v>Acquisition Placed-in-Service Date</v>
      </c>
      <c r="I2796" s="52">
        <v>16</v>
      </c>
    </row>
    <row r="2797" spans="1:10" ht="15" customHeight="1">
      <c r="A2797" t="str">
        <f ca="1">IF(AND(OFFSET(A2797, -I2797 + 2, 4) &gt;  0, E2797="", Calculations!$B$7), F2797, "")</f>
        <v/>
      </c>
      <c r="B2797">
        <f t="shared" si="994"/>
        <v>79</v>
      </c>
      <c r="C2797">
        <f t="shared" ca="1" si="974"/>
        <v>76</v>
      </c>
      <c r="D2797" t="str">
        <f t="shared" si="995"/>
        <v>Q79</v>
      </c>
      <c r="E2797" t="str">
        <f t="shared" ca="1" si="996"/>
        <v/>
      </c>
      <c r="F2797" t="str">
        <f t="shared" ca="1" si="997"/>
        <v xml:space="preserve">Enter a 'Acquisition APR' for  building 76 in cell Q79.
</v>
      </c>
      <c r="G2797" s="9" t="str">
        <f t="shared" ca="1" si="998"/>
        <v xml:space="preserve">Enter a value for 'Number of Floors in the Tallest Building' in cell B58.
</v>
      </c>
      <c r="H2797" s="52" t="str">
        <f t="shared" ca="1" si="999"/>
        <v>Acquisition APR</v>
      </c>
      <c r="I2797" s="52">
        <v>17</v>
      </c>
    </row>
    <row r="2798" spans="1:10" ht="15" customHeight="1">
      <c r="A2798" t="str">
        <f ca="1">IF(AND(Calculations!$B$4,Calculations!$B$28&gt;=C2798, E2798 &lt;&gt; 13),F2798,"")</f>
        <v/>
      </c>
      <c r="B2798">
        <f>ROW('Final Building Profile'!C80)</f>
        <v>80</v>
      </c>
      <c r="C2798">
        <f t="shared" ref="C2798:C2861" ca="1" si="1000">INDIRECT($F$1564 &amp; ADDRESS(B2798, 1,4  ))</f>
        <v>77</v>
      </c>
      <c r="D2798" t="str">
        <f>ADDRESS(B2798, 3,4  )</f>
        <v>C80</v>
      </c>
      <c r="E2798" s="52">
        <f ca="1">H2798+I2798</f>
        <v>0</v>
      </c>
      <c r="F2798" t="str">
        <f ca="1">CONCATENATE("Based upon the number of buildings specified, information for  building ", C2798, " required for a final application in row ", B2798, ".", CHAR(10))</f>
        <v xml:space="preserve">Based upon the number of buildings specified, information for  building 77 required for a final application in row 80.
</v>
      </c>
      <c r="G2798" s="9" t="str">
        <f t="shared" ca="1" si="998"/>
        <v xml:space="preserve">Enter a value for 'Number of Floors in the Tallest Building' in cell B58.
</v>
      </c>
      <c r="H2798" s="52">
        <f ca="1">SUMPRODUCT(--ISTEXT(INDIRECT(J2798)))</f>
        <v>0</v>
      </c>
      <c r="I2798" s="52">
        <f ca="1">SUMPRODUCT(--ISNUMBER(INDIRECT(J2798)))</f>
        <v>0</v>
      </c>
      <c r="J2798" s="52" t="str">
        <f>$F$1564&amp; ADDRESS(B2798,3,4) &amp; ":" &amp; ADDRESS(B2798,15,4)</f>
        <v>'Final Building Profile'!C80:O80</v>
      </c>
    </row>
    <row r="2799" spans="1:10" ht="15" customHeight="1">
      <c r="A2799" t="str">
        <f t="shared" ref="A2799:A2808" ca="1" si="1001">IF(AND(OFFSET(A2799, -I2799 + 2, 4) &gt;  0, E2799=""), F2799, "")</f>
        <v/>
      </c>
      <c r="B2799">
        <f t="shared" ref="B2799:B2813" si="1002">B2798</f>
        <v>80</v>
      </c>
      <c r="C2799">
        <f t="shared" ca="1" si="1000"/>
        <v>77</v>
      </c>
      <c r="D2799" t="str">
        <f t="shared" ref="D2799:D2813" si="1003">ADDRESS(B2799, I2799,4  )</f>
        <v>C80</v>
      </c>
      <c r="E2799" t="str">
        <f t="shared" ref="E2799:E2813" ca="1" si="1004">IF(ISBLANK( INDIRECT($F$1564 &amp; D2799)),"", INDIRECT($F$1564 &amp; D2799))</f>
        <v/>
      </c>
      <c r="F2799" t="str">
        <f t="shared" ref="F2799:F2813" ca="1" si="1005">CONCATENATE("Enter a '"&amp; H2799 &amp;"' for  building ", C2799, " in cell ", D2799, ".", CHAR(10))</f>
        <v xml:space="preserve">Enter a 'Building Street Address Only 
(DO NOT ENTER CITY, STATE, OR ZIP)' for  building 77 in cell C80.
</v>
      </c>
      <c r="G2799" s="9" t="str">
        <f t="shared" ca="1" si="998"/>
        <v xml:space="preserve">Enter a value for 'Number of Floors in the Tallest Building' in cell B58.
</v>
      </c>
      <c r="H2799" s="52" t="str">
        <f t="shared" ref="H2799:H2813" ca="1" si="1006">OFFSET(INDIRECT($F$1564 &amp; D2799), -B2799 + 3, 0)</f>
        <v>Building Street Address Only 
(DO NOT ENTER CITY, STATE, OR ZIP)</v>
      </c>
      <c r="I2799" s="52">
        <v>3</v>
      </c>
    </row>
    <row r="2800" spans="1:10" ht="15" customHeight="1">
      <c r="A2800" t="str">
        <f t="shared" ca="1" si="1001"/>
        <v/>
      </c>
      <c r="B2800">
        <f t="shared" si="1002"/>
        <v>80</v>
      </c>
      <c r="C2800">
        <f t="shared" ca="1" si="1000"/>
        <v>77</v>
      </c>
      <c r="D2800" t="str">
        <f t="shared" si="1003"/>
        <v>D80</v>
      </c>
      <c r="E2800" t="str">
        <f t="shared" ca="1" si="1004"/>
        <v/>
      </c>
      <c r="F2800" t="str">
        <f t="shared" ca="1" si="1005"/>
        <v xml:space="preserve">Enter a 'Total Units in Building*' for  building 77 in cell D80.
</v>
      </c>
      <c r="G2800" s="9" t="str">
        <f t="shared" ca="1" si="998"/>
        <v xml:space="preserve">Enter a value for 'Number of Floors in the Tallest Building' in cell B58.
</v>
      </c>
      <c r="H2800" s="52" t="str">
        <f t="shared" ca="1" si="1006"/>
        <v>Total Units in Building*</v>
      </c>
      <c r="I2800" s="52">
        <v>4</v>
      </c>
    </row>
    <row r="2801" spans="1:10" ht="15" customHeight="1">
      <c r="A2801" t="str">
        <f t="shared" ca="1" si="1001"/>
        <v/>
      </c>
      <c r="B2801">
        <f t="shared" si="1002"/>
        <v>80</v>
      </c>
      <c r="C2801">
        <f t="shared" ca="1" si="1000"/>
        <v>77</v>
      </c>
      <c r="D2801" t="str">
        <f t="shared" si="1003"/>
        <v>E80</v>
      </c>
      <c r="E2801" t="str">
        <f t="shared" ca="1" si="1004"/>
        <v/>
      </c>
      <c r="F2801" t="str">
        <f t="shared" ca="1" si="1005"/>
        <v xml:space="preserve">Enter a 'Employee Units' for  building 77 in cell E80.
</v>
      </c>
      <c r="G2801" s="9" t="str">
        <f t="shared" ca="1" si="998"/>
        <v xml:space="preserve">Enter a value for 'Number of Floors in the Tallest Building' in cell B58.
</v>
      </c>
      <c r="H2801" s="52" t="str">
        <f t="shared" ca="1" si="1006"/>
        <v>Employee Units</v>
      </c>
      <c r="I2801" s="52">
        <v>5</v>
      </c>
    </row>
    <row r="2802" spans="1:10" ht="15" customHeight="1">
      <c r="A2802" t="str">
        <f t="shared" ca="1" si="1001"/>
        <v/>
      </c>
      <c r="B2802">
        <f t="shared" si="1002"/>
        <v>80</v>
      </c>
      <c r="C2802">
        <f t="shared" ca="1" si="1000"/>
        <v>77</v>
      </c>
      <c r="D2802" t="str">
        <f t="shared" si="1003"/>
        <v>F80</v>
      </c>
      <c r="E2802" t="str">
        <f t="shared" ca="1" si="1004"/>
        <v/>
      </c>
      <c r="F2802" t="str">
        <f t="shared" ca="1" si="1005"/>
        <v xml:space="preserve">Enter a 'Low-Income Units' for  building 77 in cell F80.
</v>
      </c>
      <c r="G2802" s="9" t="str">
        <f t="shared" ca="1" si="998"/>
        <v xml:space="preserve">Enter a value for 'Number of Floors in the Tallest Building' in cell B58.
</v>
      </c>
      <c r="H2802" s="52" t="str">
        <f t="shared" ca="1" si="1006"/>
        <v>Low-Income Units</v>
      </c>
      <c r="I2802" s="52">
        <v>6</v>
      </c>
    </row>
    <row r="2803" spans="1:10" ht="15" customHeight="1">
      <c r="A2803" t="str">
        <f t="shared" ca="1" si="1001"/>
        <v/>
      </c>
      <c r="B2803">
        <f t="shared" si="1002"/>
        <v>80</v>
      </c>
      <c r="C2803">
        <f t="shared" ca="1" si="1000"/>
        <v>77</v>
      </c>
      <c r="D2803" t="str">
        <f t="shared" si="1003"/>
        <v>G80</v>
      </c>
      <c r="E2803" t="str">
        <f t="shared" ca="1" si="1004"/>
        <v/>
      </c>
      <c r="F2803" t="str">
        <f t="shared" ca="1" si="1005"/>
        <v xml:space="preserve">Enter a 'Residential Square Footage**' for  building 77 in cell G80.
</v>
      </c>
      <c r="G2803" s="9" t="str">
        <f t="shared" ca="1" si="998"/>
        <v xml:space="preserve">Enter a value for 'Number of Floors in the Tallest Building' in cell B58.
</v>
      </c>
      <c r="H2803" s="52" t="str">
        <f t="shared" ca="1" si="1006"/>
        <v>Residential Square Footage**</v>
      </c>
      <c r="I2803" s="52">
        <v>7</v>
      </c>
    </row>
    <row r="2804" spans="1:10" ht="15" customHeight="1">
      <c r="A2804" t="str">
        <f t="shared" ca="1" si="1001"/>
        <v/>
      </c>
      <c r="B2804">
        <f t="shared" si="1002"/>
        <v>80</v>
      </c>
      <c r="C2804">
        <f t="shared" ca="1" si="1000"/>
        <v>77</v>
      </c>
      <c r="D2804" t="str">
        <f t="shared" si="1003"/>
        <v>H80</v>
      </c>
      <c r="E2804" t="str">
        <f t="shared" ca="1" si="1004"/>
        <v/>
      </c>
      <c r="F2804" t="str">
        <f t="shared" ca="1" si="1005"/>
        <v xml:space="preserve">Enter a 'Square Footage of Employee Units' for  building 77 in cell H80.
</v>
      </c>
      <c r="G2804" s="9" t="str">
        <f t="shared" ca="1" si="998"/>
        <v xml:space="preserve">Enter a value for 'Number of Floors in the Tallest Building' in cell B58.
</v>
      </c>
      <c r="H2804" s="52" t="str">
        <f t="shared" ca="1" si="1006"/>
        <v>Square Footage of Employee Units</v>
      </c>
      <c r="I2804" s="52">
        <v>8</v>
      </c>
    </row>
    <row r="2805" spans="1:10" ht="15" customHeight="1">
      <c r="A2805" t="str">
        <f t="shared" ca="1" si="1001"/>
        <v/>
      </c>
      <c r="B2805">
        <f t="shared" si="1002"/>
        <v>80</v>
      </c>
      <c r="C2805">
        <f t="shared" ca="1" si="1000"/>
        <v>77</v>
      </c>
      <c r="D2805" t="str">
        <f t="shared" si="1003"/>
        <v>I80</v>
      </c>
      <c r="E2805" t="str">
        <f t="shared" ca="1" si="1004"/>
        <v/>
      </c>
      <c r="F2805" t="str">
        <f t="shared" ca="1" si="1005"/>
        <v xml:space="preserve">Enter a 'Square Footage of Low-Income Units' for  building 77 in cell I80.
</v>
      </c>
      <c r="G2805" s="9" t="str">
        <f t="shared" ca="1" si="998"/>
        <v xml:space="preserve">Enter a value for 'Number of Floors in the Tallest Building' in cell B58.
</v>
      </c>
      <c r="H2805" s="52" t="str">
        <f t="shared" ca="1" si="1006"/>
        <v>Square Footage of Low-Income Units</v>
      </c>
      <c r="I2805" s="52">
        <v>9</v>
      </c>
    </row>
    <row r="2806" spans="1:10" ht="15" customHeight="1">
      <c r="A2806" t="str">
        <f t="shared" ca="1" si="1001"/>
        <v/>
      </c>
      <c r="B2806">
        <f t="shared" si="1002"/>
        <v>80</v>
      </c>
      <c r="C2806">
        <f t="shared" ca="1" si="1000"/>
        <v>77</v>
      </c>
      <c r="D2806" t="str">
        <f t="shared" si="1003"/>
        <v>J80</v>
      </c>
      <c r="E2806" t="str">
        <f t="shared" ca="1" si="1004"/>
        <v/>
      </c>
      <c r="F2806" t="str">
        <f t="shared" ca="1" si="1005"/>
        <v xml:space="preserve">Enter a 'Placed-In-Service Date' for  building 77 in cell J80.
</v>
      </c>
      <c r="G2806" s="9" t="str">
        <f t="shared" ca="1" si="998"/>
        <v xml:space="preserve">Enter a value for 'Number of Floors in the Tallest Building' in cell B58.
</v>
      </c>
      <c r="H2806" s="52" t="str">
        <f t="shared" ca="1" si="1006"/>
        <v>Placed-In-Service Date</v>
      </c>
      <c r="I2806" s="52">
        <v>10</v>
      </c>
    </row>
    <row r="2807" spans="1:10" ht="15" customHeight="1">
      <c r="A2807" t="str">
        <f t="shared" ca="1" si="1001"/>
        <v/>
      </c>
      <c r="B2807">
        <f t="shared" si="1002"/>
        <v>80</v>
      </c>
      <c r="C2807">
        <f t="shared" ca="1" si="1000"/>
        <v>77</v>
      </c>
      <c r="D2807" t="str">
        <f t="shared" si="1003"/>
        <v>K80</v>
      </c>
      <c r="E2807" t="str">
        <f t="shared" ca="1" si="1004"/>
        <v/>
      </c>
      <c r="F2807" t="str">
        <f t="shared" ca="1" si="1005"/>
        <v xml:space="preserve">Enter a 'New Construction/ Rehab APR' for  building 77 in cell K80.
</v>
      </c>
      <c r="G2807" s="9" t="str">
        <f t="shared" ca="1" si="998"/>
        <v xml:space="preserve">Enter a value for 'Number of Floors in the Tallest Building' in cell B58.
</v>
      </c>
      <c r="H2807" s="52" t="str">
        <f t="shared" ca="1" si="1006"/>
        <v>New Construction/ Rehab APR</v>
      </c>
      <c r="I2807" s="52">
        <v>11</v>
      </c>
    </row>
    <row r="2808" spans="1:10" ht="15" customHeight="1">
      <c r="A2808" t="str">
        <f t="shared" ca="1" si="1001"/>
        <v/>
      </c>
      <c r="B2808">
        <f t="shared" si="1002"/>
        <v>80</v>
      </c>
      <c r="C2808">
        <f t="shared" ca="1" si="1000"/>
        <v>77</v>
      </c>
      <c r="D2808" t="str">
        <f t="shared" si="1003"/>
        <v>L80</v>
      </c>
      <c r="E2808" t="str">
        <f t="shared" ca="1" si="1004"/>
        <v/>
      </c>
      <c r="F2808" t="str">
        <f t="shared" ca="1" si="1005"/>
        <v xml:space="preserve">Enter a 'New Construction Eligible Basis' for  building 77 in cell L80.
</v>
      </c>
      <c r="G2808" s="9" t="str">
        <f t="shared" ca="1" si="998"/>
        <v xml:space="preserve">Enter a value for 'Number of Floors in the Tallest Building' in cell B58.
</v>
      </c>
      <c r="H2808" s="52" t="str">
        <f t="shared" ca="1" si="1006"/>
        <v>New Construction Eligible Basis</v>
      </c>
      <c r="I2808" s="52">
        <v>12</v>
      </c>
    </row>
    <row r="2809" spans="1:10" ht="15" customHeight="1">
      <c r="A2809" t="str">
        <f ca="1">IF(AND(OFFSET(A2809, -I2809 + 2, 4) &gt;  0, E2809="", Calculations!$B$7), F2809, "")</f>
        <v/>
      </c>
      <c r="B2809">
        <f t="shared" si="1002"/>
        <v>80</v>
      </c>
      <c r="C2809">
        <f t="shared" ca="1" si="1000"/>
        <v>77</v>
      </c>
      <c r="D2809" t="str">
        <f t="shared" si="1003"/>
        <v>M80</v>
      </c>
      <c r="E2809" t="str">
        <f t="shared" ca="1" si="1004"/>
        <v/>
      </c>
      <c r="F2809" t="str">
        <f t="shared" ca="1" si="1005"/>
        <v xml:space="preserve">Enter a 'Eligible Basis for Rehab' for  building 77 in cell M80.
</v>
      </c>
      <c r="G2809" s="9" t="str">
        <f t="shared" ca="1" si="998"/>
        <v xml:space="preserve">Enter a value for 'Number of Floors in the Tallest Building' in cell B58.
</v>
      </c>
      <c r="H2809" s="52" t="str">
        <f t="shared" ca="1" si="1006"/>
        <v>Eligible Basis for Rehab</v>
      </c>
      <c r="I2809" s="52">
        <v>13</v>
      </c>
    </row>
    <row r="2810" spans="1:10" ht="15" customHeight="1">
      <c r="A2810" t="str">
        <f ca="1">IF(AND(OFFSET(A2810, -I2810 + 2, 4) &gt;  0, E2810="", Calculations!$B$7), F2810, "")</f>
        <v/>
      </c>
      <c r="B2810">
        <f t="shared" si="1002"/>
        <v>80</v>
      </c>
      <c r="C2810">
        <f t="shared" ca="1" si="1000"/>
        <v>77</v>
      </c>
      <c r="D2810" t="str">
        <f t="shared" si="1003"/>
        <v>N80</v>
      </c>
      <c r="E2810" t="str">
        <f t="shared" ca="1" si="1004"/>
        <v/>
      </c>
      <c r="F2810" t="str">
        <f t="shared" ca="1" si="1005"/>
        <v xml:space="preserve">Enter a 'Cost of Acquiring the Building***' for  building 77 in cell N80.
</v>
      </c>
      <c r="G2810" s="9" t="str">
        <f t="shared" ca="1" si="998"/>
        <v xml:space="preserve">Enter a value for 'Number of Floors in the Tallest Building' in cell B58.
</v>
      </c>
      <c r="H2810" s="52" t="str">
        <f t="shared" ca="1" si="1006"/>
        <v>Cost of Acquiring the Building***</v>
      </c>
      <c r="I2810" s="52">
        <v>14</v>
      </c>
    </row>
    <row r="2811" spans="1:10" ht="15" customHeight="1">
      <c r="A2811" t="str">
        <f ca="1">IF(AND(OFFSET(A2811, -I2811 + 2, 4) &gt;  0, E2811="", Calculations!$B$7), F2811, "")</f>
        <v/>
      </c>
      <c r="B2811">
        <f t="shared" si="1002"/>
        <v>80</v>
      </c>
      <c r="C2811">
        <f t="shared" ca="1" si="1000"/>
        <v>77</v>
      </c>
      <c r="D2811" t="str">
        <f t="shared" si="1003"/>
        <v>O80</v>
      </c>
      <c r="E2811" t="str">
        <f t="shared" ca="1" si="1004"/>
        <v/>
      </c>
      <c r="F2811" t="str">
        <f t="shared" ca="1" si="1005"/>
        <v xml:space="preserve">Enter a 'Higher of Land Purchase Price or Land Appraised Value****' for  building 77 in cell O80.
</v>
      </c>
      <c r="G2811" s="9" t="str">
        <f t="shared" ca="1" si="998"/>
        <v xml:space="preserve">Enter a value for 'Number of Floors in the Tallest Building' in cell B58.
</v>
      </c>
      <c r="H2811" s="52" t="str">
        <f t="shared" ca="1" si="1006"/>
        <v>Higher of Land Purchase Price or Land Appraised Value****</v>
      </c>
      <c r="I2811" s="52">
        <v>15</v>
      </c>
    </row>
    <row r="2812" spans="1:10" ht="15" customHeight="1">
      <c r="A2812" t="str">
        <f ca="1">IF(AND(OFFSET(A2812, -I2812 + 2, 4) &gt;  0, E2812="", Calculations!$B$7), F2812, "")</f>
        <v/>
      </c>
      <c r="B2812">
        <f t="shared" si="1002"/>
        <v>80</v>
      </c>
      <c r="C2812">
        <f t="shared" ca="1" si="1000"/>
        <v>77</v>
      </c>
      <c r="D2812" t="str">
        <f t="shared" si="1003"/>
        <v>P80</v>
      </c>
      <c r="E2812" t="str">
        <f t="shared" ca="1" si="1004"/>
        <v/>
      </c>
      <c r="F2812" t="str">
        <f t="shared" ca="1" si="1005"/>
        <v xml:space="preserve">Enter a 'Acquisition Placed-in-Service Date' for  building 77 in cell P80.
</v>
      </c>
      <c r="G2812" s="9" t="str">
        <f t="shared" ca="1" si="998"/>
        <v xml:space="preserve">Enter a value for 'Number of Floors in the Tallest Building' in cell B58.
</v>
      </c>
      <c r="H2812" s="52" t="str">
        <f t="shared" ca="1" si="1006"/>
        <v>Acquisition Placed-in-Service Date</v>
      </c>
      <c r="I2812" s="52">
        <v>16</v>
      </c>
    </row>
    <row r="2813" spans="1:10" ht="15" customHeight="1">
      <c r="A2813" t="str">
        <f ca="1">IF(AND(OFFSET(A2813, -I2813 + 2, 4) &gt;  0, E2813="", Calculations!$B$7), F2813, "")</f>
        <v/>
      </c>
      <c r="B2813">
        <f t="shared" si="1002"/>
        <v>80</v>
      </c>
      <c r="C2813">
        <f t="shared" ca="1" si="1000"/>
        <v>77</v>
      </c>
      <c r="D2813" t="str">
        <f t="shared" si="1003"/>
        <v>Q80</v>
      </c>
      <c r="E2813" t="str">
        <f t="shared" ca="1" si="1004"/>
        <v/>
      </c>
      <c r="F2813" t="str">
        <f t="shared" ca="1" si="1005"/>
        <v xml:space="preserve">Enter a 'Acquisition APR' for  building 77 in cell Q80.
</v>
      </c>
      <c r="G2813" s="9" t="str">
        <f t="shared" ca="1" si="998"/>
        <v xml:space="preserve">Enter a value for 'Number of Floors in the Tallest Building' in cell B58.
</v>
      </c>
      <c r="H2813" s="52" t="str">
        <f t="shared" ca="1" si="1006"/>
        <v>Acquisition APR</v>
      </c>
      <c r="I2813" s="52">
        <v>17</v>
      </c>
    </row>
    <row r="2814" spans="1:10" ht="15" customHeight="1">
      <c r="A2814" t="str">
        <f ca="1">IF(AND(Calculations!$B$4,Calculations!$B$28&gt;=C2814, E2814 &lt;&gt; 13),F2814,"")</f>
        <v/>
      </c>
      <c r="B2814">
        <f>ROW('Final Building Profile'!C81)</f>
        <v>81</v>
      </c>
      <c r="C2814">
        <f t="shared" ca="1" si="1000"/>
        <v>78</v>
      </c>
      <c r="D2814" t="str">
        <f>ADDRESS(B2814, 3,4  )</f>
        <v>C81</v>
      </c>
      <c r="E2814" s="52">
        <f ca="1">H2814+I2814</f>
        <v>0</v>
      </c>
      <c r="F2814" t="str">
        <f ca="1">CONCATENATE("Based upon the number of buildings specified, information for  building ", C2814, " required for a final application in row ", B2814, ".", CHAR(10))</f>
        <v xml:space="preserve">Based upon the number of buildings specified, information for  building 78 required for a final application in row 81.
</v>
      </c>
      <c r="G2814" s="9" t="str">
        <f t="shared" ca="1" si="998"/>
        <v xml:space="preserve">Enter a value for 'Number of Floors in the Tallest Building' in cell B58.
</v>
      </c>
      <c r="H2814" s="52">
        <f ca="1">SUMPRODUCT(--ISTEXT(INDIRECT(J2814)))</f>
        <v>0</v>
      </c>
      <c r="I2814" s="52">
        <f ca="1">SUMPRODUCT(--ISNUMBER(INDIRECT(J2814)))</f>
        <v>0</v>
      </c>
      <c r="J2814" s="52" t="str">
        <f>$F$1564&amp; ADDRESS(B2814,3,4) &amp; ":" &amp; ADDRESS(B2814,15,4)</f>
        <v>'Final Building Profile'!C81:O81</v>
      </c>
    </row>
    <row r="2815" spans="1:10" ht="15" customHeight="1">
      <c r="A2815" t="str">
        <f t="shared" ref="A2815:A2824" ca="1" si="1007">IF(AND(OFFSET(A2815, -I2815 + 2, 4) &gt;  0, E2815=""), F2815, "")</f>
        <v/>
      </c>
      <c r="B2815">
        <f t="shared" ref="B2815:B2829" si="1008">B2814</f>
        <v>81</v>
      </c>
      <c r="C2815">
        <f t="shared" ca="1" si="1000"/>
        <v>78</v>
      </c>
      <c r="D2815" t="str">
        <f t="shared" ref="D2815:D2829" si="1009">ADDRESS(B2815, I2815,4  )</f>
        <v>C81</v>
      </c>
      <c r="E2815" t="str">
        <f t="shared" ref="E2815:E2829" ca="1" si="1010">IF(ISBLANK( INDIRECT($F$1564 &amp; D2815)),"", INDIRECT($F$1564 &amp; D2815))</f>
        <v/>
      </c>
      <c r="F2815" t="str">
        <f t="shared" ref="F2815:F2829" ca="1" si="1011">CONCATENATE("Enter a '"&amp; H2815 &amp;"' for  building ", C2815, " in cell ", D2815, ".", CHAR(10))</f>
        <v xml:space="preserve">Enter a 'Building Street Address Only 
(DO NOT ENTER CITY, STATE, OR ZIP)' for  building 78 in cell C81.
</v>
      </c>
      <c r="G2815" s="9" t="str">
        <f t="shared" ca="1" si="998"/>
        <v xml:space="preserve">Enter a value for 'Number of Floors in the Tallest Building' in cell B58.
</v>
      </c>
      <c r="H2815" s="52" t="str">
        <f t="shared" ref="H2815:H2829" ca="1" si="1012">OFFSET(INDIRECT($F$1564 &amp; D2815), -B2815 + 3, 0)</f>
        <v>Building Street Address Only 
(DO NOT ENTER CITY, STATE, OR ZIP)</v>
      </c>
      <c r="I2815" s="52">
        <v>3</v>
      </c>
    </row>
    <row r="2816" spans="1:10" ht="15" customHeight="1">
      <c r="A2816" t="str">
        <f t="shared" ca="1" si="1007"/>
        <v/>
      </c>
      <c r="B2816">
        <f t="shared" si="1008"/>
        <v>81</v>
      </c>
      <c r="C2816">
        <f t="shared" ca="1" si="1000"/>
        <v>78</v>
      </c>
      <c r="D2816" t="str">
        <f t="shared" si="1009"/>
        <v>D81</v>
      </c>
      <c r="E2816" t="str">
        <f t="shared" ca="1" si="1010"/>
        <v/>
      </c>
      <c r="F2816" t="str">
        <f t="shared" ca="1" si="1011"/>
        <v xml:space="preserve">Enter a 'Total Units in Building*' for  building 78 in cell D81.
</v>
      </c>
      <c r="G2816" s="9" t="str">
        <f t="shared" ca="1" si="998"/>
        <v xml:space="preserve">Enter a value for 'Number of Floors in the Tallest Building' in cell B58.
</v>
      </c>
      <c r="H2816" s="52" t="str">
        <f t="shared" ca="1" si="1012"/>
        <v>Total Units in Building*</v>
      </c>
      <c r="I2816" s="52">
        <v>4</v>
      </c>
    </row>
    <row r="2817" spans="1:10" ht="15" customHeight="1">
      <c r="A2817" t="str">
        <f t="shared" ca="1" si="1007"/>
        <v/>
      </c>
      <c r="B2817">
        <f t="shared" si="1008"/>
        <v>81</v>
      </c>
      <c r="C2817">
        <f t="shared" ca="1" si="1000"/>
        <v>78</v>
      </c>
      <c r="D2817" t="str">
        <f t="shared" si="1009"/>
        <v>E81</v>
      </c>
      <c r="E2817" t="str">
        <f t="shared" ca="1" si="1010"/>
        <v/>
      </c>
      <c r="F2817" t="str">
        <f t="shared" ca="1" si="1011"/>
        <v xml:space="preserve">Enter a 'Employee Units' for  building 78 in cell E81.
</v>
      </c>
      <c r="G2817" s="9" t="str">
        <f t="shared" ca="1" si="998"/>
        <v xml:space="preserve">Enter a value for 'Number of Floors in the Tallest Building' in cell B58.
</v>
      </c>
      <c r="H2817" s="52" t="str">
        <f t="shared" ca="1" si="1012"/>
        <v>Employee Units</v>
      </c>
      <c r="I2817" s="52">
        <v>5</v>
      </c>
    </row>
    <row r="2818" spans="1:10" ht="15" customHeight="1">
      <c r="A2818" t="str">
        <f t="shared" ca="1" si="1007"/>
        <v/>
      </c>
      <c r="B2818">
        <f t="shared" si="1008"/>
        <v>81</v>
      </c>
      <c r="C2818">
        <f t="shared" ca="1" si="1000"/>
        <v>78</v>
      </c>
      <c r="D2818" t="str">
        <f t="shared" si="1009"/>
        <v>F81</v>
      </c>
      <c r="E2818" t="str">
        <f t="shared" ca="1" si="1010"/>
        <v/>
      </c>
      <c r="F2818" t="str">
        <f t="shared" ca="1" si="1011"/>
        <v xml:space="preserve">Enter a 'Low-Income Units' for  building 78 in cell F81.
</v>
      </c>
      <c r="G2818" s="9" t="str">
        <f t="shared" ca="1" si="998"/>
        <v xml:space="preserve">Enter a value for 'Number of Floors in the Tallest Building' in cell B58.
</v>
      </c>
      <c r="H2818" s="52" t="str">
        <f t="shared" ca="1" si="1012"/>
        <v>Low-Income Units</v>
      </c>
      <c r="I2818" s="52">
        <v>6</v>
      </c>
    </row>
    <row r="2819" spans="1:10" ht="15" customHeight="1">
      <c r="A2819" t="str">
        <f t="shared" ca="1" si="1007"/>
        <v/>
      </c>
      <c r="B2819">
        <f t="shared" si="1008"/>
        <v>81</v>
      </c>
      <c r="C2819">
        <f t="shared" ca="1" si="1000"/>
        <v>78</v>
      </c>
      <c r="D2819" t="str">
        <f t="shared" si="1009"/>
        <v>G81</v>
      </c>
      <c r="E2819" t="str">
        <f t="shared" ca="1" si="1010"/>
        <v/>
      </c>
      <c r="F2819" t="str">
        <f t="shared" ca="1" si="1011"/>
        <v xml:space="preserve">Enter a 'Residential Square Footage**' for  building 78 in cell G81.
</v>
      </c>
      <c r="G2819" s="9" t="str">
        <f t="shared" ca="1" si="998"/>
        <v xml:space="preserve">Enter a value for 'Number of Floors in the Tallest Building' in cell B58.
</v>
      </c>
      <c r="H2819" s="52" t="str">
        <f t="shared" ca="1" si="1012"/>
        <v>Residential Square Footage**</v>
      </c>
      <c r="I2819" s="52">
        <v>7</v>
      </c>
    </row>
    <row r="2820" spans="1:10" ht="15" customHeight="1">
      <c r="A2820" t="str">
        <f t="shared" ca="1" si="1007"/>
        <v/>
      </c>
      <c r="B2820">
        <f t="shared" si="1008"/>
        <v>81</v>
      </c>
      <c r="C2820">
        <f t="shared" ca="1" si="1000"/>
        <v>78</v>
      </c>
      <c r="D2820" t="str">
        <f t="shared" si="1009"/>
        <v>H81</v>
      </c>
      <c r="E2820" t="str">
        <f t="shared" ca="1" si="1010"/>
        <v/>
      </c>
      <c r="F2820" t="str">
        <f t="shared" ca="1" si="1011"/>
        <v xml:space="preserve">Enter a 'Square Footage of Employee Units' for  building 78 in cell H81.
</v>
      </c>
      <c r="G2820" s="9" t="str">
        <f t="shared" ca="1" si="998"/>
        <v xml:space="preserve">Enter a value for 'Number of Floors in the Tallest Building' in cell B58.
</v>
      </c>
      <c r="H2820" s="52" t="str">
        <f t="shared" ca="1" si="1012"/>
        <v>Square Footage of Employee Units</v>
      </c>
      <c r="I2820" s="52">
        <v>8</v>
      </c>
    </row>
    <row r="2821" spans="1:10" ht="15" customHeight="1">
      <c r="A2821" t="str">
        <f t="shared" ca="1" si="1007"/>
        <v/>
      </c>
      <c r="B2821">
        <f t="shared" si="1008"/>
        <v>81</v>
      </c>
      <c r="C2821">
        <f t="shared" ca="1" si="1000"/>
        <v>78</v>
      </c>
      <c r="D2821" t="str">
        <f t="shared" si="1009"/>
        <v>I81</v>
      </c>
      <c r="E2821" t="str">
        <f t="shared" ca="1" si="1010"/>
        <v/>
      </c>
      <c r="F2821" t="str">
        <f t="shared" ca="1" si="1011"/>
        <v xml:space="preserve">Enter a 'Square Footage of Low-Income Units' for  building 78 in cell I81.
</v>
      </c>
      <c r="G2821" s="9" t="str">
        <f t="shared" ca="1" si="998"/>
        <v xml:space="preserve">Enter a value for 'Number of Floors in the Tallest Building' in cell B58.
</v>
      </c>
      <c r="H2821" s="52" t="str">
        <f t="shared" ca="1" si="1012"/>
        <v>Square Footage of Low-Income Units</v>
      </c>
      <c r="I2821" s="52">
        <v>9</v>
      </c>
    </row>
    <row r="2822" spans="1:10" ht="15" customHeight="1">
      <c r="A2822" t="str">
        <f t="shared" ca="1" si="1007"/>
        <v/>
      </c>
      <c r="B2822">
        <f t="shared" si="1008"/>
        <v>81</v>
      </c>
      <c r="C2822">
        <f t="shared" ca="1" si="1000"/>
        <v>78</v>
      </c>
      <c r="D2822" t="str">
        <f t="shared" si="1009"/>
        <v>J81</v>
      </c>
      <c r="E2822" t="str">
        <f t="shared" ca="1" si="1010"/>
        <v/>
      </c>
      <c r="F2822" t="str">
        <f t="shared" ca="1" si="1011"/>
        <v xml:space="preserve">Enter a 'Placed-In-Service Date' for  building 78 in cell J81.
</v>
      </c>
      <c r="G2822" s="9" t="str">
        <f t="shared" ca="1" si="998"/>
        <v xml:space="preserve">Enter a value for 'Number of Floors in the Tallest Building' in cell B58.
</v>
      </c>
      <c r="H2822" s="52" t="str">
        <f t="shared" ca="1" si="1012"/>
        <v>Placed-In-Service Date</v>
      </c>
      <c r="I2822" s="52">
        <v>10</v>
      </c>
    </row>
    <row r="2823" spans="1:10" ht="15" customHeight="1">
      <c r="A2823" t="str">
        <f t="shared" ca="1" si="1007"/>
        <v/>
      </c>
      <c r="B2823">
        <f t="shared" si="1008"/>
        <v>81</v>
      </c>
      <c r="C2823">
        <f t="shared" ca="1" si="1000"/>
        <v>78</v>
      </c>
      <c r="D2823" t="str">
        <f t="shared" si="1009"/>
        <v>K81</v>
      </c>
      <c r="E2823" t="str">
        <f t="shared" ca="1" si="1010"/>
        <v/>
      </c>
      <c r="F2823" t="str">
        <f t="shared" ca="1" si="1011"/>
        <v xml:space="preserve">Enter a 'New Construction/ Rehab APR' for  building 78 in cell K81.
</v>
      </c>
      <c r="G2823" s="9" t="str">
        <f t="shared" ca="1" si="998"/>
        <v xml:space="preserve">Enter a value for 'Number of Floors in the Tallest Building' in cell B58.
</v>
      </c>
      <c r="H2823" s="52" t="str">
        <f t="shared" ca="1" si="1012"/>
        <v>New Construction/ Rehab APR</v>
      </c>
      <c r="I2823" s="52">
        <v>11</v>
      </c>
    </row>
    <row r="2824" spans="1:10" ht="15" customHeight="1">
      <c r="A2824" t="str">
        <f t="shared" ca="1" si="1007"/>
        <v/>
      </c>
      <c r="B2824">
        <f t="shared" si="1008"/>
        <v>81</v>
      </c>
      <c r="C2824">
        <f t="shared" ca="1" si="1000"/>
        <v>78</v>
      </c>
      <c r="D2824" t="str">
        <f t="shared" si="1009"/>
        <v>L81</v>
      </c>
      <c r="E2824" t="str">
        <f t="shared" ca="1" si="1010"/>
        <v/>
      </c>
      <c r="F2824" t="str">
        <f t="shared" ca="1" si="1011"/>
        <v xml:space="preserve">Enter a 'New Construction Eligible Basis' for  building 78 in cell L81.
</v>
      </c>
      <c r="G2824" s="9" t="str">
        <f t="shared" ca="1" si="998"/>
        <v xml:space="preserve">Enter a value for 'Number of Floors in the Tallest Building' in cell B58.
</v>
      </c>
      <c r="H2824" s="52" t="str">
        <f t="shared" ca="1" si="1012"/>
        <v>New Construction Eligible Basis</v>
      </c>
      <c r="I2824" s="52">
        <v>12</v>
      </c>
    </row>
    <row r="2825" spans="1:10" ht="15" customHeight="1">
      <c r="A2825" t="str">
        <f ca="1">IF(AND(OFFSET(A2825, -I2825 + 2, 4) &gt;  0, E2825="", Calculations!$B$7), F2825, "")</f>
        <v/>
      </c>
      <c r="B2825">
        <f t="shared" si="1008"/>
        <v>81</v>
      </c>
      <c r="C2825">
        <f t="shared" ca="1" si="1000"/>
        <v>78</v>
      </c>
      <c r="D2825" t="str">
        <f t="shared" si="1009"/>
        <v>M81</v>
      </c>
      <c r="E2825" t="str">
        <f t="shared" ca="1" si="1010"/>
        <v/>
      </c>
      <c r="F2825" t="str">
        <f t="shared" ca="1" si="1011"/>
        <v xml:space="preserve">Enter a 'Eligible Basis for Rehab' for  building 78 in cell M81.
</v>
      </c>
      <c r="G2825" s="9" t="str">
        <f t="shared" ca="1" si="998"/>
        <v xml:space="preserve">Enter a value for 'Number of Floors in the Tallest Building' in cell B58.
</v>
      </c>
      <c r="H2825" s="52" t="str">
        <f t="shared" ca="1" si="1012"/>
        <v>Eligible Basis for Rehab</v>
      </c>
      <c r="I2825" s="52">
        <v>13</v>
      </c>
    </row>
    <row r="2826" spans="1:10" ht="15" customHeight="1">
      <c r="A2826" t="str">
        <f ca="1">IF(AND(OFFSET(A2826, -I2826 + 2, 4) &gt;  0, E2826="", Calculations!$B$7), F2826, "")</f>
        <v/>
      </c>
      <c r="B2826">
        <f t="shared" si="1008"/>
        <v>81</v>
      </c>
      <c r="C2826">
        <f t="shared" ca="1" si="1000"/>
        <v>78</v>
      </c>
      <c r="D2826" t="str">
        <f t="shared" si="1009"/>
        <v>N81</v>
      </c>
      <c r="E2826" t="str">
        <f t="shared" ca="1" si="1010"/>
        <v/>
      </c>
      <c r="F2826" t="str">
        <f t="shared" ca="1" si="1011"/>
        <v xml:space="preserve">Enter a 'Cost of Acquiring the Building***' for  building 78 in cell N81.
</v>
      </c>
      <c r="G2826" s="9" t="str">
        <f t="shared" ca="1" si="998"/>
        <v xml:space="preserve">Enter a value for 'Number of Floors in the Tallest Building' in cell B58.
</v>
      </c>
      <c r="H2826" s="52" t="str">
        <f t="shared" ca="1" si="1012"/>
        <v>Cost of Acquiring the Building***</v>
      </c>
      <c r="I2826" s="52">
        <v>14</v>
      </c>
    </row>
    <row r="2827" spans="1:10" ht="15" customHeight="1">
      <c r="A2827" t="str">
        <f ca="1">IF(AND(OFFSET(A2827, -I2827 + 2, 4) &gt;  0, E2827="", Calculations!$B$7), F2827, "")</f>
        <v/>
      </c>
      <c r="B2827">
        <f t="shared" si="1008"/>
        <v>81</v>
      </c>
      <c r="C2827">
        <f t="shared" ca="1" si="1000"/>
        <v>78</v>
      </c>
      <c r="D2827" t="str">
        <f t="shared" si="1009"/>
        <v>O81</v>
      </c>
      <c r="E2827" t="str">
        <f t="shared" ca="1" si="1010"/>
        <v/>
      </c>
      <c r="F2827" t="str">
        <f t="shared" ca="1" si="1011"/>
        <v xml:space="preserve">Enter a 'Higher of Land Purchase Price or Land Appraised Value****' for  building 78 in cell O81.
</v>
      </c>
      <c r="G2827" s="9" t="str">
        <f t="shared" ca="1" si="998"/>
        <v xml:space="preserve">Enter a value for 'Number of Floors in the Tallest Building' in cell B58.
</v>
      </c>
      <c r="H2827" s="52" t="str">
        <f t="shared" ca="1" si="1012"/>
        <v>Higher of Land Purchase Price or Land Appraised Value****</v>
      </c>
      <c r="I2827" s="52">
        <v>15</v>
      </c>
    </row>
    <row r="2828" spans="1:10" ht="15" customHeight="1">
      <c r="A2828" t="str">
        <f ca="1">IF(AND(OFFSET(A2828, -I2828 + 2, 4) &gt;  0, E2828="", Calculations!$B$7), F2828, "")</f>
        <v/>
      </c>
      <c r="B2828">
        <f t="shared" si="1008"/>
        <v>81</v>
      </c>
      <c r="C2828">
        <f t="shared" ca="1" si="1000"/>
        <v>78</v>
      </c>
      <c r="D2828" t="str">
        <f t="shared" si="1009"/>
        <v>P81</v>
      </c>
      <c r="E2828" t="str">
        <f t="shared" ca="1" si="1010"/>
        <v/>
      </c>
      <c r="F2828" t="str">
        <f t="shared" ca="1" si="1011"/>
        <v xml:space="preserve">Enter a 'Acquisition Placed-in-Service Date' for  building 78 in cell P81.
</v>
      </c>
      <c r="G2828" s="9" t="str">
        <f t="shared" ca="1" si="998"/>
        <v xml:space="preserve">Enter a value for 'Number of Floors in the Tallest Building' in cell B58.
</v>
      </c>
      <c r="H2828" s="52" t="str">
        <f t="shared" ca="1" si="1012"/>
        <v>Acquisition Placed-in-Service Date</v>
      </c>
      <c r="I2828" s="52">
        <v>16</v>
      </c>
    </row>
    <row r="2829" spans="1:10" ht="15" customHeight="1">
      <c r="A2829" t="str">
        <f ca="1">IF(AND(OFFSET(A2829, -I2829 + 2, 4) &gt;  0, E2829="", Calculations!$B$7), F2829, "")</f>
        <v/>
      </c>
      <c r="B2829">
        <f t="shared" si="1008"/>
        <v>81</v>
      </c>
      <c r="C2829">
        <f t="shared" ca="1" si="1000"/>
        <v>78</v>
      </c>
      <c r="D2829" t="str">
        <f t="shared" si="1009"/>
        <v>Q81</v>
      </c>
      <c r="E2829" t="str">
        <f t="shared" ca="1" si="1010"/>
        <v/>
      </c>
      <c r="F2829" t="str">
        <f t="shared" ca="1" si="1011"/>
        <v xml:space="preserve">Enter a 'Acquisition APR' for  building 78 in cell Q81.
</v>
      </c>
      <c r="G2829" s="9" t="str">
        <f t="shared" ca="1" si="998"/>
        <v xml:space="preserve">Enter a value for 'Number of Floors in the Tallest Building' in cell B58.
</v>
      </c>
      <c r="H2829" s="52" t="str">
        <f t="shared" ca="1" si="1012"/>
        <v>Acquisition APR</v>
      </c>
      <c r="I2829" s="52">
        <v>17</v>
      </c>
    </row>
    <row r="2830" spans="1:10" ht="15" customHeight="1">
      <c r="A2830" t="str">
        <f ca="1">IF(AND(Calculations!$B$4,Calculations!$B$28&gt;=C2830, E2830 &lt;&gt; 13),F2830,"")</f>
        <v/>
      </c>
      <c r="B2830">
        <f>ROW('Final Building Profile'!C82)</f>
        <v>82</v>
      </c>
      <c r="C2830">
        <f t="shared" ca="1" si="1000"/>
        <v>79</v>
      </c>
      <c r="D2830" t="str">
        <f>ADDRESS(B2830, 3,4  )</f>
        <v>C82</v>
      </c>
      <c r="E2830" s="52">
        <f ca="1">H2830+I2830</f>
        <v>0</v>
      </c>
      <c r="F2830" t="str">
        <f ca="1">CONCATENATE("Based upon the number of buildings specified, information for  building ", C2830, " required for a final application in row ", B2830, ".", CHAR(10))</f>
        <v xml:space="preserve">Based upon the number of buildings specified, information for  building 79 required for a final application in row 82.
</v>
      </c>
      <c r="G2830" s="9" t="str">
        <f t="shared" ca="1" si="998"/>
        <v xml:space="preserve">Enter a value for 'Number of Floors in the Tallest Building' in cell B58.
</v>
      </c>
      <c r="H2830" s="52">
        <f ca="1">SUMPRODUCT(--ISTEXT(INDIRECT(J2830)))</f>
        <v>0</v>
      </c>
      <c r="I2830" s="52">
        <f ca="1">SUMPRODUCT(--ISNUMBER(INDIRECT(J2830)))</f>
        <v>0</v>
      </c>
      <c r="J2830" s="52" t="str">
        <f>$F$1564&amp; ADDRESS(B2830,3,4) &amp; ":" &amp; ADDRESS(B2830,15,4)</f>
        <v>'Final Building Profile'!C82:O82</v>
      </c>
    </row>
    <row r="2831" spans="1:10" ht="15" customHeight="1">
      <c r="A2831" t="str">
        <f t="shared" ref="A2831:A2840" ca="1" si="1013">IF(AND(OFFSET(A2831, -I2831 + 2, 4) &gt;  0, E2831=""), F2831, "")</f>
        <v/>
      </c>
      <c r="B2831">
        <f t="shared" ref="B2831:B2845" si="1014">B2830</f>
        <v>82</v>
      </c>
      <c r="C2831">
        <f t="shared" ca="1" si="1000"/>
        <v>79</v>
      </c>
      <c r="D2831" t="str">
        <f t="shared" ref="D2831:D2845" si="1015">ADDRESS(B2831, I2831,4  )</f>
        <v>C82</v>
      </c>
      <c r="E2831" t="str">
        <f t="shared" ref="E2831:E2845" ca="1" si="1016">IF(ISBLANK( INDIRECT($F$1564 &amp; D2831)),"", INDIRECT($F$1564 &amp; D2831))</f>
        <v/>
      </c>
      <c r="F2831" t="str">
        <f t="shared" ref="F2831:F2845" ca="1" si="1017">CONCATENATE("Enter a '"&amp; H2831 &amp;"' for  building ", C2831, " in cell ", D2831, ".", CHAR(10))</f>
        <v xml:space="preserve">Enter a 'Building Street Address Only 
(DO NOT ENTER CITY, STATE, OR ZIP)' for  building 79 in cell C82.
</v>
      </c>
      <c r="G2831" s="9" t="str">
        <f t="shared" ca="1" si="998"/>
        <v xml:space="preserve">Enter a value for 'Number of Floors in the Tallest Building' in cell B58.
</v>
      </c>
      <c r="H2831" s="52" t="str">
        <f t="shared" ref="H2831:H2845" ca="1" si="1018">OFFSET(INDIRECT($F$1564 &amp; D2831), -B2831 + 3, 0)</f>
        <v>Building Street Address Only 
(DO NOT ENTER CITY, STATE, OR ZIP)</v>
      </c>
      <c r="I2831" s="52">
        <v>3</v>
      </c>
    </row>
    <row r="2832" spans="1:10" ht="15" customHeight="1">
      <c r="A2832" t="str">
        <f t="shared" ca="1" si="1013"/>
        <v/>
      </c>
      <c r="B2832">
        <f t="shared" si="1014"/>
        <v>82</v>
      </c>
      <c r="C2832">
        <f t="shared" ca="1" si="1000"/>
        <v>79</v>
      </c>
      <c r="D2832" t="str">
        <f t="shared" si="1015"/>
        <v>D82</v>
      </c>
      <c r="E2832" t="str">
        <f t="shared" ca="1" si="1016"/>
        <v/>
      </c>
      <c r="F2832" t="str">
        <f t="shared" ca="1" si="1017"/>
        <v xml:space="preserve">Enter a 'Total Units in Building*' for  building 79 in cell D82.
</v>
      </c>
      <c r="G2832" s="9" t="str">
        <f t="shared" ca="1" si="998"/>
        <v xml:space="preserve">Enter a value for 'Number of Floors in the Tallest Building' in cell B58.
</v>
      </c>
      <c r="H2832" s="52" t="str">
        <f t="shared" ca="1" si="1018"/>
        <v>Total Units in Building*</v>
      </c>
      <c r="I2832" s="52">
        <v>4</v>
      </c>
    </row>
    <row r="2833" spans="1:10" ht="15" customHeight="1">
      <c r="A2833" t="str">
        <f t="shared" ca="1" si="1013"/>
        <v/>
      </c>
      <c r="B2833">
        <f t="shared" si="1014"/>
        <v>82</v>
      </c>
      <c r="C2833">
        <f t="shared" ca="1" si="1000"/>
        <v>79</v>
      </c>
      <c r="D2833" t="str">
        <f t="shared" si="1015"/>
        <v>E82</v>
      </c>
      <c r="E2833" t="str">
        <f t="shared" ca="1" si="1016"/>
        <v/>
      </c>
      <c r="F2833" t="str">
        <f t="shared" ca="1" si="1017"/>
        <v xml:space="preserve">Enter a 'Employee Units' for  building 79 in cell E82.
</v>
      </c>
      <c r="G2833" s="9" t="str">
        <f t="shared" ca="1" si="998"/>
        <v xml:space="preserve">Enter a value for 'Number of Floors in the Tallest Building' in cell B58.
</v>
      </c>
      <c r="H2833" s="52" t="str">
        <f t="shared" ca="1" si="1018"/>
        <v>Employee Units</v>
      </c>
      <c r="I2833" s="52">
        <v>5</v>
      </c>
    </row>
    <row r="2834" spans="1:10" ht="15" customHeight="1">
      <c r="A2834" t="str">
        <f t="shared" ca="1" si="1013"/>
        <v/>
      </c>
      <c r="B2834">
        <f t="shared" si="1014"/>
        <v>82</v>
      </c>
      <c r="C2834">
        <f t="shared" ca="1" si="1000"/>
        <v>79</v>
      </c>
      <c r="D2834" t="str">
        <f t="shared" si="1015"/>
        <v>F82</v>
      </c>
      <c r="E2834" t="str">
        <f t="shared" ca="1" si="1016"/>
        <v/>
      </c>
      <c r="F2834" t="str">
        <f t="shared" ca="1" si="1017"/>
        <v xml:space="preserve">Enter a 'Low-Income Units' for  building 79 in cell F82.
</v>
      </c>
      <c r="G2834" s="9" t="str">
        <f t="shared" ca="1" si="998"/>
        <v xml:space="preserve">Enter a value for 'Number of Floors in the Tallest Building' in cell B58.
</v>
      </c>
      <c r="H2834" s="52" t="str">
        <f t="shared" ca="1" si="1018"/>
        <v>Low-Income Units</v>
      </c>
      <c r="I2834" s="52">
        <v>6</v>
      </c>
    </row>
    <row r="2835" spans="1:10" ht="15" customHeight="1">
      <c r="A2835" t="str">
        <f t="shared" ca="1" si="1013"/>
        <v/>
      </c>
      <c r="B2835">
        <f t="shared" si="1014"/>
        <v>82</v>
      </c>
      <c r="C2835">
        <f t="shared" ca="1" si="1000"/>
        <v>79</v>
      </c>
      <c r="D2835" t="str">
        <f t="shared" si="1015"/>
        <v>G82</v>
      </c>
      <c r="E2835" t="str">
        <f t="shared" ca="1" si="1016"/>
        <v/>
      </c>
      <c r="F2835" t="str">
        <f t="shared" ca="1" si="1017"/>
        <v xml:space="preserve">Enter a 'Residential Square Footage**' for  building 79 in cell G82.
</v>
      </c>
      <c r="G2835" s="9" t="str">
        <f t="shared" ca="1" si="998"/>
        <v xml:space="preserve">Enter a value for 'Number of Floors in the Tallest Building' in cell B58.
</v>
      </c>
      <c r="H2835" s="52" t="str">
        <f t="shared" ca="1" si="1018"/>
        <v>Residential Square Footage**</v>
      </c>
      <c r="I2835" s="52">
        <v>7</v>
      </c>
    </row>
    <row r="2836" spans="1:10" ht="15" customHeight="1">
      <c r="A2836" t="str">
        <f t="shared" ca="1" si="1013"/>
        <v/>
      </c>
      <c r="B2836">
        <f t="shared" si="1014"/>
        <v>82</v>
      </c>
      <c r="C2836">
        <f t="shared" ca="1" si="1000"/>
        <v>79</v>
      </c>
      <c r="D2836" t="str">
        <f t="shared" si="1015"/>
        <v>H82</v>
      </c>
      <c r="E2836" t="str">
        <f t="shared" ca="1" si="1016"/>
        <v/>
      </c>
      <c r="F2836" t="str">
        <f t="shared" ca="1" si="1017"/>
        <v xml:space="preserve">Enter a 'Square Footage of Employee Units' for  building 79 in cell H82.
</v>
      </c>
      <c r="G2836" s="9" t="str">
        <f t="shared" ca="1" si="998"/>
        <v xml:space="preserve">Enter a value for 'Number of Floors in the Tallest Building' in cell B58.
</v>
      </c>
      <c r="H2836" s="52" t="str">
        <f t="shared" ca="1" si="1018"/>
        <v>Square Footage of Employee Units</v>
      </c>
      <c r="I2836" s="52">
        <v>8</v>
      </c>
    </row>
    <row r="2837" spans="1:10" ht="15" customHeight="1">
      <c r="A2837" t="str">
        <f t="shared" ca="1" si="1013"/>
        <v/>
      </c>
      <c r="B2837">
        <f t="shared" si="1014"/>
        <v>82</v>
      </c>
      <c r="C2837">
        <f t="shared" ca="1" si="1000"/>
        <v>79</v>
      </c>
      <c r="D2837" t="str">
        <f t="shared" si="1015"/>
        <v>I82</v>
      </c>
      <c r="E2837" t="str">
        <f t="shared" ca="1" si="1016"/>
        <v/>
      </c>
      <c r="F2837" t="str">
        <f t="shared" ca="1" si="1017"/>
        <v xml:space="preserve">Enter a 'Square Footage of Low-Income Units' for  building 79 in cell I82.
</v>
      </c>
      <c r="G2837" s="9" t="str">
        <f t="shared" ca="1" si="998"/>
        <v xml:space="preserve">Enter a value for 'Number of Floors in the Tallest Building' in cell B58.
</v>
      </c>
      <c r="H2837" s="52" t="str">
        <f t="shared" ca="1" si="1018"/>
        <v>Square Footage of Low-Income Units</v>
      </c>
      <c r="I2837" s="52">
        <v>9</v>
      </c>
    </row>
    <row r="2838" spans="1:10" ht="15" customHeight="1">
      <c r="A2838" t="str">
        <f t="shared" ca="1" si="1013"/>
        <v/>
      </c>
      <c r="B2838">
        <f t="shared" si="1014"/>
        <v>82</v>
      </c>
      <c r="C2838">
        <f t="shared" ca="1" si="1000"/>
        <v>79</v>
      </c>
      <c r="D2838" t="str">
        <f t="shared" si="1015"/>
        <v>J82</v>
      </c>
      <c r="E2838" t="str">
        <f t="shared" ca="1" si="1016"/>
        <v/>
      </c>
      <c r="F2838" t="str">
        <f t="shared" ca="1" si="1017"/>
        <v xml:space="preserve">Enter a 'Placed-In-Service Date' for  building 79 in cell J82.
</v>
      </c>
      <c r="G2838" s="9" t="str">
        <f t="shared" ca="1" si="998"/>
        <v xml:space="preserve">Enter a value for 'Number of Floors in the Tallest Building' in cell B58.
</v>
      </c>
      <c r="H2838" s="52" t="str">
        <f t="shared" ca="1" si="1018"/>
        <v>Placed-In-Service Date</v>
      </c>
      <c r="I2838" s="52">
        <v>10</v>
      </c>
    </row>
    <row r="2839" spans="1:10" ht="15" customHeight="1">
      <c r="A2839" t="str">
        <f t="shared" ca="1" si="1013"/>
        <v/>
      </c>
      <c r="B2839">
        <f t="shared" si="1014"/>
        <v>82</v>
      </c>
      <c r="C2839">
        <f t="shared" ca="1" si="1000"/>
        <v>79</v>
      </c>
      <c r="D2839" t="str">
        <f t="shared" si="1015"/>
        <v>K82</v>
      </c>
      <c r="E2839" t="str">
        <f t="shared" ca="1" si="1016"/>
        <v/>
      </c>
      <c r="F2839" t="str">
        <f t="shared" ca="1" si="1017"/>
        <v xml:space="preserve">Enter a 'New Construction/ Rehab APR' for  building 79 in cell K82.
</v>
      </c>
      <c r="G2839" s="9" t="str">
        <f t="shared" ca="1" si="998"/>
        <v xml:space="preserve">Enter a value for 'Number of Floors in the Tallest Building' in cell B58.
</v>
      </c>
      <c r="H2839" s="52" t="str">
        <f t="shared" ca="1" si="1018"/>
        <v>New Construction/ Rehab APR</v>
      </c>
      <c r="I2839" s="52">
        <v>11</v>
      </c>
    </row>
    <row r="2840" spans="1:10" ht="15" customHeight="1">
      <c r="A2840" t="str">
        <f t="shared" ca="1" si="1013"/>
        <v/>
      </c>
      <c r="B2840">
        <f t="shared" si="1014"/>
        <v>82</v>
      </c>
      <c r="C2840">
        <f t="shared" ca="1" si="1000"/>
        <v>79</v>
      </c>
      <c r="D2840" t="str">
        <f t="shared" si="1015"/>
        <v>L82</v>
      </c>
      <c r="E2840" t="str">
        <f t="shared" ca="1" si="1016"/>
        <v/>
      </c>
      <c r="F2840" t="str">
        <f t="shared" ca="1" si="1017"/>
        <v xml:space="preserve">Enter a 'New Construction Eligible Basis' for  building 79 in cell L82.
</v>
      </c>
      <c r="G2840" s="9" t="str">
        <f t="shared" ca="1" si="998"/>
        <v xml:space="preserve">Enter a value for 'Number of Floors in the Tallest Building' in cell B58.
</v>
      </c>
      <c r="H2840" s="52" t="str">
        <f t="shared" ca="1" si="1018"/>
        <v>New Construction Eligible Basis</v>
      </c>
      <c r="I2840" s="52">
        <v>12</v>
      </c>
    </row>
    <row r="2841" spans="1:10" ht="15" customHeight="1">
      <c r="A2841" t="str">
        <f ca="1">IF(AND(OFFSET(A2841, -I2841 + 2, 4) &gt;  0, E2841="", Calculations!$B$7), F2841, "")</f>
        <v/>
      </c>
      <c r="B2841">
        <f t="shared" si="1014"/>
        <v>82</v>
      </c>
      <c r="C2841">
        <f t="shared" ca="1" si="1000"/>
        <v>79</v>
      </c>
      <c r="D2841" t="str">
        <f t="shared" si="1015"/>
        <v>M82</v>
      </c>
      <c r="E2841" t="str">
        <f t="shared" ca="1" si="1016"/>
        <v/>
      </c>
      <c r="F2841" t="str">
        <f t="shared" ca="1" si="1017"/>
        <v xml:space="preserve">Enter a 'Eligible Basis for Rehab' for  building 79 in cell M82.
</v>
      </c>
      <c r="G2841" s="9" t="str">
        <f t="shared" ca="1" si="998"/>
        <v xml:space="preserve">Enter a value for 'Number of Floors in the Tallest Building' in cell B58.
</v>
      </c>
      <c r="H2841" s="52" t="str">
        <f t="shared" ca="1" si="1018"/>
        <v>Eligible Basis for Rehab</v>
      </c>
      <c r="I2841" s="52">
        <v>13</v>
      </c>
    </row>
    <row r="2842" spans="1:10" ht="15" customHeight="1">
      <c r="A2842" t="str">
        <f ca="1">IF(AND(OFFSET(A2842, -I2842 + 2, 4) &gt;  0, E2842="", Calculations!$B$7), F2842, "")</f>
        <v/>
      </c>
      <c r="B2842">
        <f t="shared" si="1014"/>
        <v>82</v>
      </c>
      <c r="C2842">
        <f t="shared" ca="1" si="1000"/>
        <v>79</v>
      </c>
      <c r="D2842" t="str">
        <f t="shared" si="1015"/>
        <v>N82</v>
      </c>
      <c r="E2842" t="str">
        <f t="shared" ca="1" si="1016"/>
        <v/>
      </c>
      <c r="F2842" t="str">
        <f t="shared" ca="1" si="1017"/>
        <v xml:space="preserve">Enter a 'Cost of Acquiring the Building***' for  building 79 in cell N82.
</v>
      </c>
      <c r="G2842" s="9" t="str">
        <f t="shared" ca="1" si="998"/>
        <v xml:space="preserve">Enter a value for 'Number of Floors in the Tallest Building' in cell B58.
</v>
      </c>
      <c r="H2842" s="52" t="str">
        <f t="shared" ca="1" si="1018"/>
        <v>Cost of Acquiring the Building***</v>
      </c>
      <c r="I2842" s="52">
        <v>14</v>
      </c>
    </row>
    <row r="2843" spans="1:10" ht="15" customHeight="1">
      <c r="A2843" t="str">
        <f ca="1">IF(AND(OFFSET(A2843, -I2843 + 2, 4) &gt;  0, E2843="", Calculations!$B$7), F2843, "")</f>
        <v/>
      </c>
      <c r="B2843">
        <f t="shared" si="1014"/>
        <v>82</v>
      </c>
      <c r="C2843">
        <f t="shared" ca="1" si="1000"/>
        <v>79</v>
      </c>
      <c r="D2843" t="str">
        <f t="shared" si="1015"/>
        <v>O82</v>
      </c>
      <c r="E2843" t="str">
        <f t="shared" ca="1" si="1016"/>
        <v/>
      </c>
      <c r="F2843" t="str">
        <f t="shared" ca="1" si="1017"/>
        <v xml:space="preserve">Enter a 'Higher of Land Purchase Price or Land Appraised Value****' for  building 79 in cell O82.
</v>
      </c>
      <c r="G2843" s="9" t="str">
        <f t="shared" ca="1" si="998"/>
        <v xml:space="preserve">Enter a value for 'Number of Floors in the Tallest Building' in cell B58.
</v>
      </c>
      <c r="H2843" s="52" t="str">
        <f t="shared" ca="1" si="1018"/>
        <v>Higher of Land Purchase Price or Land Appraised Value****</v>
      </c>
      <c r="I2843" s="52">
        <v>15</v>
      </c>
    </row>
    <row r="2844" spans="1:10" ht="15" customHeight="1">
      <c r="A2844" t="str">
        <f ca="1">IF(AND(OFFSET(A2844, -I2844 + 2, 4) &gt;  0, E2844="", Calculations!$B$7), F2844, "")</f>
        <v/>
      </c>
      <c r="B2844">
        <f t="shared" si="1014"/>
        <v>82</v>
      </c>
      <c r="C2844">
        <f t="shared" ca="1" si="1000"/>
        <v>79</v>
      </c>
      <c r="D2844" t="str">
        <f t="shared" si="1015"/>
        <v>P82</v>
      </c>
      <c r="E2844" t="str">
        <f t="shared" ca="1" si="1016"/>
        <v/>
      </c>
      <c r="F2844" t="str">
        <f t="shared" ca="1" si="1017"/>
        <v xml:space="preserve">Enter a 'Acquisition Placed-in-Service Date' for  building 79 in cell P82.
</v>
      </c>
      <c r="G2844" s="9" t="str">
        <f t="shared" ca="1" si="998"/>
        <v xml:space="preserve">Enter a value for 'Number of Floors in the Tallest Building' in cell B58.
</v>
      </c>
      <c r="H2844" s="52" t="str">
        <f t="shared" ca="1" si="1018"/>
        <v>Acquisition Placed-in-Service Date</v>
      </c>
      <c r="I2844" s="52">
        <v>16</v>
      </c>
    </row>
    <row r="2845" spans="1:10" ht="15" customHeight="1">
      <c r="A2845" t="str">
        <f ca="1">IF(AND(OFFSET(A2845, -I2845 + 2, 4) &gt;  0, E2845="", Calculations!$B$7), F2845, "")</f>
        <v/>
      </c>
      <c r="B2845">
        <f t="shared" si="1014"/>
        <v>82</v>
      </c>
      <c r="C2845">
        <f t="shared" ca="1" si="1000"/>
        <v>79</v>
      </c>
      <c r="D2845" t="str">
        <f t="shared" si="1015"/>
        <v>Q82</v>
      </c>
      <c r="E2845" t="str">
        <f t="shared" ca="1" si="1016"/>
        <v/>
      </c>
      <c r="F2845" t="str">
        <f t="shared" ca="1" si="1017"/>
        <v xml:space="preserve">Enter a 'Acquisition APR' for  building 79 in cell Q82.
</v>
      </c>
      <c r="G2845" s="9" t="str">
        <f t="shared" ca="1" si="998"/>
        <v xml:space="preserve">Enter a value for 'Number of Floors in the Tallest Building' in cell B58.
</v>
      </c>
      <c r="H2845" s="52" t="str">
        <f t="shared" ca="1" si="1018"/>
        <v>Acquisition APR</v>
      </c>
      <c r="I2845" s="52">
        <v>17</v>
      </c>
    </row>
    <row r="2846" spans="1:10" ht="15" customHeight="1">
      <c r="A2846" t="str">
        <f ca="1">IF(AND(Calculations!$B$4,Calculations!$B$28&gt;=C2846, E2846 &lt;&gt; 13),F2846,"")</f>
        <v/>
      </c>
      <c r="B2846">
        <f>ROW('Final Building Profile'!C83)</f>
        <v>83</v>
      </c>
      <c r="C2846">
        <f t="shared" ca="1" si="1000"/>
        <v>80</v>
      </c>
      <c r="D2846" t="str">
        <f>ADDRESS(B2846, 3,4  )</f>
        <v>C83</v>
      </c>
      <c r="E2846" s="52">
        <f ca="1">H2846+I2846</f>
        <v>0</v>
      </c>
      <c r="F2846" t="str">
        <f ca="1">CONCATENATE("Based upon the number of buildings specified, information for  building ", C2846, " required for a final application in row ", B2846, ".", CHAR(10))</f>
        <v xml:space="preserve">Based upon the number of buildings specified, information for  building 80 required for a final application in row 83.
</v>
      </c>
      <c r="G2846" s="9" t="str">
        <f t="shared" ca="1" si="998"/>
        <v xml:space="preserve">Enter a value for 'Number of Floors in the Tallest Building' in cell B58.
</v>
      </c>
      <c r="H2846" s="52">
        <f ca="1">SUMPRODUCT(--ISTEXT(INDIRECT(J2846)))</f>
        <v>0</v>
      </c>
      <c r="I2846" s="52">
        <f ca="1">SUMPRODUCT(--ISNUMBER(INDIRECT(J2846)))</f>
        <v>0</v>
      </c>
      <c r="J2846" s="52" t="str">
        <f>$F$1564&amp; ADDRESS(B2846,3,4) &amp; ":" &amp; ADDRESS(B2846,15,4)</f>
        <v>'Final Building Profile'!C83:O83</v>
      </c>
    </row>
    <row r="2847" spans="1:10" ht="15" customHeight="1">
      <c r="A2847" t="str">
        <f t="shared" ref="A2847:A2856" ca="1" si="1019">IF(AND(OFFSET(A2847, -I2847 + 2, 4) &gt;  0, E2847=""), F2847, "")</f>
        <v/>
      </c>
      <c r="B2847">
        <f t="shared" ref="B2847:B2861" si="1020">B2846</f>
        <v>83</v>
      </c>
      <c r="C2847">
        <f t="shared" ca="1" si="1000"/>
        <v>80</v>
      </c>
      <c r="D2847" t="str">
        <f t="shared" ref="D2847:D2861" si="1021">ADDRESS(B2847, I2847,4  )</f>
        <v>C83</v>
      </c>
      <c r="E2847" t="str">
        <f t="shared" ref="E2847:E2861" ca="1" si="1022">IF(ISBLANK( INDIRECT($F$1564 &amp; D2847)),"", INDIRECT($F$1564 &amp; D2847))</f>
        <v/>
      </c>
      <c r="F2847" t="str">
        <f t="shared" ref="F2847:F2861" ca="1" si="1023">CONCATENATE("Enter a '"&amp; H2847 &amp;"' for  building ", C2847, " in cell ", D2847, ".", CHAR(10))</f>
        <v xml:space="preserve">Enter a 'Building Street Address Only 
(DO NOT ENTER CITY, STATE, OR ZIP)' for  building 80 in cell C83.
</v>
      </c>
      <c r="G2847" s="9" t="str">
        <f t="shared" ref="G2847:G2910" ca="1" si="1024">OFFSET(G2847, -1, 0) &amp; A2847</f>
        <v xml:space="preserve">Enter a value for 'Number of Floors in the Tallest Building' in cell B58.
</v>
      </c>
      <c r="H2847" s="52" t="str">
        <f t="shared" ref="H2847:H2861" ca="1" si="1025">OFFSET(INDIRECT($F$1564 &amp; D2847), -B2847 + 3, 0)</f>
        <v>Building Street Address Only 
(DO NOT ENTER CITY, STATE, OR ZIP)</v>
      </c>
      <c r="I2847" s="52">
        <v>3</v>
      </c>
    </row>
    <row r="2848" spans="1:10" ht="15" customHeight="1">
      <c r="A2848" t="str">
        <f t="shared" ca="1" si="1019"/>
        <v/>
      </c>
      <c r="B2848">
        <f t="shared" si="1020"/>
        <v>83</v>
      </c>
      <c r="C2848">
        <f t="shared" ca="1" si="1000"/>
        <v>80</v>
      </c>
      <c r="D2848" t="str">
        <f t="shared" si="1021"/>
        <v>D83</v>
      </c>
      <c r="E2848" t="str">
        <f t="shared" ca="1" si="1022"/>
        <v/>
      </c>
      <c r="F2848" t="str">
        <f t="shared" ca="1" si="1023"/>
        <v xml:space="preserve">Enter a 'Total Units in Building*' for  building 80 in cell D83.
</v>
      </c>
      <c r="G2848" s="9" t="str">
        <f t="shared" ca="1" si="1024"/>
        <v xml:space="preserve">Enter a value for 'Number of Floors in the Tallest Building' in cell B58.
</v>
      </c>
      <c r="H2848" s="52" t="str">
        <f t="shared" ca="1" si="1025"/>
        <v>Total Units in Building*</v>
      </c>
      <c r="I2848" s="52">
        <v>4</v>
      </c>
    </row>
    <row r="2849" spans="1:10" ht="15" customHeight="1">
      <c r="A2849" t="str">
        <f t="shared" ca="1" si="1019"/>
        <v/>
      </c>
      <c r="B2849">
        <f t="shared" si="1020"/>
        <v>83</v>
      </c>
      <c r="C2849">
        <f t="shared" ca="1" si="1000"/>
        <v>80</v>
      </c>
      <c r="D2849" t="str">
        <f t="shared" si="1021"/>
        <v>E83</v>
      </c>
      <c r="E2849" t="str">
        <f t="shared" ca="1" si="1022"/>
        <v/>
      </c>
      <c r="F2849" t="str">
        <f t="shared" ca="1" si="1023"/>
        <v xml:space="preserve">Enter a 'Employee Units' for  building 80 in cell E83.
</v>
      </c>
      <c r="G2849" s="9" t="str">
        <f t="shared" ca="1" si="1024"/>
        <v xml:space="preserve">Enter a value for 'Number of Floors in the Tallest Building' in cell B58.
</v>
      </c>
      <c r="H2849" s="52" t="str">
        <f t="shared" ca="1" si="1025"/>
        <v>Employee Units</v>
      </c>
      <c r="I2849" s="52">
        <v>5</v>
      </c>
    </row>
    <row r="2850" spans="1:10" ht="15" customHeight="1">
      <c r="A2850" t="str">
        <f t="shared" ca="1" si="1019"/>
        <v/>
      </c>
      <c r="B2850">
        <f t="shared" si="1020"/>
        <v>83</v>
      </c>
      <c r="C2850">
        <f t="shared" ca="1" si="1000"/>
        <v>80</v>
      </c>
      <c r="D2850" t="str">
        <f t="shared" si="1021"/>
        <v>F83</v>
      </c>
      <c r="E2850" t="str">
        <f t="shared" ca="1" si="1022"/>
        <v/>
      </c>
      <c r="F2850" t="str">
        <f t="shared" ca="1" si="1023"/>
        <v xml:space="preserve">Enter a 'Low-Income Units' for  building 80 in cell F83.
</v>
      </c>
      <c r="G2850" s="9" t="str">
        <f t="shared" ca="1" si="1024"/>
        <v xml:space="preserve">Enter a value for 'Number of Floors in the Tallest Building' in cell B58.
</v>
      </c>
      <c r="H2850" s="52" t="str">
        <f t="shared" ca="1" si="1025"/>
        <v>Low-Income Units</v>
      </c>
      <c r="I2850" s="52">
        <v>6</v>
      </c>
    </row>
    <row r="2851" spans="1:10" ht="15" customHeight="1">
      <c r="A2851" t="str">
        <f t="shared" ca="1" si="1019"/>
        <v/>
      </c>
      <c r="B2851">
        <f t="shared" si="1020"/>
        <v>83</v>
      </c>
      <c r="C2851">
        <f t="shared" ca="1" si="1000"/>
        <v>80</v>
      </c>
      <c r="D2851" t="str">
        <f t="shared" si="1021"/>
        <v>G83</v>
      </c>
      <c r="E2851" t="str">
        <f t="shared" ca="1" si="1022"/>
        <v/>
      </c>
      <c r="F2851" t="str">
        <f t="shared" ca="1" si="1023"/>
        <v xml:space="preserve">Enter a 'Residential Square Footage**' for  building 80 in cell G83.
</v>
      </c>
      <c r="G2851" s="9" t="str">
        <f t="shared" ca="1" si="1024"/>
        <v xml:space="preserve">Enter a value for 'Number of Floors in the Tallest Building' in cell B58.
</v>
      </c>
      <c r="H2851" s="52" t="str">
        <f t="shared" ca="1" si="1025"/>
        <v>Residential Square Footage**</v>
      </c>
      <c r="I2851" s="52">
        <v>7</v>
      </c>
    </row>
    <row r="2852" spans="1:10" ht="15" customHeight="1">
      <c r="A2852" t="str">
        <f t="shared" ca="1" si="1019"/>
        <v/>
      </c>
      <c r="B2852">
        <f t="shared" si="1020"/>
        <v>83</v>
      </c>
      <c r="C2852">
        <f t="shared" ca="1" si="1000"/>
        <v>80</v>
      </c>
      <c r="D2852" t="str">
        <f t="shared" si="1021"/>
        <v>H83</v>
      </c>
      <c r="E2852" t="str">
        <f t="shared" ca="1" si="1022"/>
        <v/>
      </c>
      <c r="F2852" t="str">
        <f t="shared" ca="1" si="1023"/>
        <v xml:space="preserve">Enter a 'Square Footage of Employee Units' for  building 80 in cell H83.
</v>
      </c>
      <c r="G2852" s="9" t="str">
        <f t="shared" ca="1" si="1024"/>
        <v xml:space="preserve">Enter a value for 'Number of Floors in the Tallest Building' in cell B58.
</v>
      </c>
      <c r="H2852" s="52" t="str">
        <f t="shared" ca="1" si="1025"/>
        <v>Square Footage of Employee Units</v>
      </c>
      <c r="I2852" s="52">
        <v>8</v>
      </c>
    </row>
    <row r="2853" spans="1:10" ht="15" customHeight="1">
      <c r="A2853" t="str">
        <f t="shared" ca="1" si="1019"/>
        <v/>
      </c>
      <c r="B2853">
        <f t="shared" si="1020"/>
        <v>83</v>
      </c>
      <c r="C2853">
        <f t="shared" ca="1" si="1000"/>
        <v>80</v>
      </c>
      <c r="D2853" t="str">
        <f t="shared" si="1021"/>
        <v>I83</v>
      </c>
      <c r="E2853" t="str">
        <f t="shared" ca="1" si="1022"/>
        <v/>
      </c>
      <c r="F2853" t="str">
        <f t="shared" ca="1" si="1023"/>
        <v xml:space="preserve">Enter a 'Square Footage of Low-Income Units' for  building 80 in cell I83.
</v>
      </c>
      <c r="G2853" s="9" t="str">
        <f t="shared" ca="1" si="1024"/>
        <v xml:space="preserve">Enter a value for 'Number of Floors in the Tallest Building' in cell B58.
</v>
      </c>
      <c r="H2853" s="52" t="str">
        <f t="shared" ca="1" si="1025"/>
        <v>Square Footage of Low-Income Units</v>
      </c>
      <c r="I2853" s="52">
        <v>9</v>
      </c>
    </row>
    <row r="2854" spans="1:10" ht="15" customHeight="1">
      <c r="A2854" t="str">
        <f t="shared" ca="1" si="1019"/>
        <v/>
      </c>
      <c r="B2854">
        <f t="shared" si="1020"/>
        <v>83</v>
      </c>
      <c r="C2854">
        <f t="shared" ca="1" si="1000"/>
        <v>80</v>
      </c>
      <c r="D2854" t="str">
        <f t="shared" si="1021"/>
        <v>J83</v>
      </c>
      <c r="E2854" t="str">
        <f t="shared" ca="1" si="1022"/>
        <v/>
      </c>
      <c r="F2854" t="str">
        <f t="shared" ca="1" si="1023"/>
        <v xml:space="preserve">Enter a 'Placed-In-Service Date' for  building 80 in cell J83.
</v>
      </c>
      <c r="G2854" s="9" t="str">
        <f t="shared" ca="1" si="1024"/>
        <v xml:space="preserve">Enter a value for 'Number of Floors in the Tallest Building' in cell B58.
</v>
      </c>
      <c r="H2854" s="52" t="str">
        <f t="shared" ca="1" si="1025"/>
        <v>Placed-In-Service Date</v>
      </c>
      <c r="I2854" s="52">
        <v>10</v>
      </c>
    </row>
    <row r="2855" spans="1:10" ht="15" customHeight="1">
      <c r="A2855" t="str">
        <f t="shared" ca="1" si="1019"/>
        <v/>
      </c>
      <c r="B2855">
        <f t="shared" si="1020"/>
        <v>83</v>
      </c>
      <c r="C2855">
        <f t="shared" ca="1" si="1000"/>
        <v>80</v>
      </c>
      <c r="D2855" t="str">
        <f t="shared" si="1021"/>
        <v>K83</v>
      </c>
      <c r="E2855" t="str">
        <f t="shared" ca="1" si="1022"/>
        <v/>
      </c>
      <c r="F2855" t="str">
        <f t="shared" ca="1" si="1023"/>
        <v xml:space="preserve">Enter a 'New Construction/ Rehab APR' for  building 80 in cell K83.
</v>
      </c>
      <c r="G2855" s="9" t="str">
        <f t="shared" ca="1" si="1024"/>
        <v xml:space="preserve">Enter a value for 'Number of Floors in the Tallest Building' in cell B58.
</v>
      </c>
      <c r="H2855" s="52" t="str">
        <f t="shared" ca="1" si="1025"/>
        <v>New Construction/ Rehab APR</v>
      </c>
      <c r="I2855" s="52">
        <v>11</v>
      </c>
    </row>
    <row r="2856" spans="1:10" ht="15" customHeight="1">
      <c r="A2856" t="str">
        <f t="shared" ca="1" si="1019"/>
        <v/>
      </c>
      <c r="B2856">
        <f t="shared" si="1020"/>
        <v>83</v>
      </c>
      <c r="C2856">
        <f t="shared" ca="1" si="1000"/>
        <v>80</v>
      </c>
      <c r="D2856" t="str">
        <f t="shared" si="1021"/>
        <v>L83</v>
      </c>
      <c r="E2856" t="str">
        <f t="shared" ca="1" si="1022"/>
        <v/>
      </c>
      <c r="F2856" t="str">
        <f t="shared" ca="1" si="1023"/>
        <v xml:space="preserve">Enter a 'New Construction Eligible Basis' for  building 80 in cell L83.
</v>
      </c>
      <c r="G2856" s="9" t="str">
        <f t="shared" ca="1" si="1024"/>
        <v xml:space="preserve">Enter a value for 'Number of Floors in the Tallest Building' in cell B58.
</v>
      </c>
      <c r="H2856" s="52" t="str">
        <f t="shared" ca="1" si="1025"/>
        <v>New Construction Eligible Basis</v>
      </c>
      <c r="I2856" s="52">
        <v>12</v>
      </c>
    </row>
    <row r="2857" spans="1:10" ht="15" customHeight="1">
      <c r="A2857" t="str">
        <f ca="1">IF(AND(OFFSET(A2857, -I2857 + 2, 4) &gt;  0, E2857="", Calculations!$B$7), F2857, "")</f>
        <v/>
      </c>
      <c r="B2857">
        <f t="shared" si="1020"/>
        <v>83</v>
      </c>
      <c r="C2857">
        <f t="shared" ca="1" si="1000"/>
        <v>80</v>
      </c>
      <c r="D2857" t="str">
        <f t="shared" si="1021"/>
        <v>M83</v>
      </c>
      <c r="E2857" t="str">
        <f t="shared" ca="1" si="1022"/>
        <v/>
      </c>
      <c r="F2857" t="str">
        <f t="shared" ca="1" si="1023"/>
        <v xml:space="preserve">Enter a 'Eligible Basis for Rehab' for  building 80 in cell M83.
</v>
      </c>
      <c r="G2857" s="9" t="str">
        <f t="shared" ca="1" si="1024"/>
        <v xml:space="preserve">Enter a value for 'Number of Floors in the Tallest Building' in cell B58.
</v>
      </c>
      <c r="H2857" s="52" t="str">
        <f t="shared" ca="1" si="1025"/>
        <v>Eligible Basis for Rehab</v>
      </c>
      <c r="I2857" s="52">
        <v>13</v>
      </c>
    </row>
    <row r="2858" spans="1:10" ht="15" customHeight="1">
      <c r="A2858" t="str">
        <f ca="1">IF(AND(OFFSET(A2858, -I2858 + 2, 4) &gt;  0, E2858="", Calculations!$B$7), F2858, "")</f>
        <v/>
      </c>
      <c r="B2858">
        <f t="shared" si="1020"/>
        <v>83</v>
      </c>
      <c r="C2858">
        <f t="shared" ca="1" si="1000"/>
        <v>80</v>
      </c>
      <c r="D2858" t="str">
        <f t="shared" si="1021"/>
        <v>N83</v>
      </c>
      <c r="E2858" t="str">
        <f t="shared" ca="1" si="1022"/>
        <v/>
      </c>
      <c r="F2858" t="str">
        <f t="shared" ca="1" si="1023"/>
        <v xml:space="preserve">Enter a 'Cost of Acquiring the Building***' for  building 80 in cell N83.
</v>
      </c>
      <c r="G2858" s="9" t="str">
        <f t="shared" ca="1" si="1024"/>
        <v xml:space="preserve">Enter a value for 'Number of Floors in the Tallest Building' in cell B58.
</v>
      </c>
      <c r="H2858" s="52" t="str">
        <f t="shared" ca="1" si="1025"/>
        <v>Cost of Acquiring the Building***</v>
      </c>
      <c r="I2858" s="52">
        <v>14</v>
      </c>
    </row>
    <row r="2859" spans="1:10" ht="15" customHeight="1">
      <c r="A2859" t="str">
        <f ca="1">IF(AND(OFFSET(A2859, -I2859 + 2, 4) &gt;  0, E2859="", Calculations!$B$7), F2859, "")</f>
        <v/>
      </c>
      <c r="B2859">
        <f t="shared" si="1020"/>
        <v>83</v>
      </c>
      <c r="C2859">
        <f t="shared" ca="1" si="1000"/>
        <v>80</v>
      </c>
      <c r="D2859" t="str">
        <f t="shared" si="1021"/>
        <v>O83</v>
      </c>
      <c r="E2859" t="str">
        <f t="shared" ca="1" si="1022"/>
        <v/>
      </c>
      <c r="F2859" t="str">
        <f t="shared" ca="1" si="1023"/>
        <v xml:space="preserve">Enter a 'Higher of Land Purchase Price or Land Appraised Value****' for  building 80 in cell O83.
</v>
      </c>
      <c r="G2859" s="9" t="str">
        <f t="shared" ca="1" si="1024"/>
        <v xml:space="preserve">Enter a value for 'Number of Floors in the Tallest Building' in cell B58.
</v>
      </c>
      <c r="H2859" s="52" t="str">
        <f t="shared" ca="1" si="1025"/>
        <v>Higher of Land Purchase Price or Land Appraised Value****</v>
      </c>
      <c r="I2859" s="52">
        <v>15</v>
      </c>
    </row>
    <row r="2860" spans="1:10" ht="15" customHeight="1">
      <c r="A2860" t="str">
        <f ca="1">IF(AND(OFFSET(A2860, -I2860 + 2, 4) &gt;  0, E2860="", Calculations!$B$7), F2860, "")</f>
        <v/>
      </c>
      <c r="B2860">
        <f t="shared" si="1020"/>
        <v>83</v>
      </c>
      <c r="C2860">
        <f t="shared" ca="1" si="1000"/>
        <v>80</v>
      </c>
      <c r="D2860" t="str">
        <f t="shared" si="1021"/>
        <v>P83</v>
      </c>
      <c r="E2860" t="str">
        <f t="shared" ca="1" si="1022"/>
        <v/>
      </c>
      <c r="F2860" t="str">
        <f t="shared" ca="1" si="1023"/>
        <v xml:space="preserve">Enter a 'Acquisition Placed-in-Service Date' for  building 80 in cell P83.
</v>
      </c>
      <c r="G2860" s="9" t="str">
        <f t="shared" ca="1" si="1024"/>
        <v xml:space="preserve">Enter a value for 'Number of Floors in the Tallest Building' in cell B58.
</v>
      </c>
      <c r="H2860" s="52" t="str">
        <f t="shared" ca="1" si="1025"/>
        <v>Acquisition Placed-in-Service Date</v>
      </c>
      <c r="I2860" s="52">
        <v>16</v>
      </c>
    </row>
    <row r="2861" spans="1:10" ht="15" customHeight="1">
      <c r="A2861" t="str">
        <f ca="1">IF(AND(OFFSET(A2861, -I2861 + 2, 4) &gt;  0, E2861="", Calculations!$B$7), F2861, "")</f>
        <v/>
      </c>
      <c r="B2861">
        <f t="shared" si="1020"/>
        <v>83</v>
      </c>
      <c r="C2861">
        <f t="shared" ca="1" si="1000"/>
        <v>80</v>
      </c>
      <c r="D2861" t="str">
        <f t="shared" si="1021"/>
        <v>Q83</v>
      </c>
      <c r="E2861" t="str">
        <f t="shared" ca="1" si="1022"/>
        <v/>
      </c>
      <c r="F2861" t="str">
        <f t="shared" ca="1" si="1023"/>
        <v xml:space="preserve">Enter a 'Acquisition APR' for  building 80 in cell Q83.
</v>
      </c>
      <c r="G2861" s="9" t="str">
        <f t="shared" ca="1" si="1024"/>
        <v xml:space="preserve">Enter a value for 'Number of Floors in the Tallest Building' in cell B58.
</v>
      </c>
      <c r="H2861" s="52" t="str">
        <f t="shared" ca="1" si="1025"/>
        <v>Acquisition APR</v>
      </c>
      <c r="I2861" s="52">
        <v>17</v>
      </c>
    </row>
    <row r="2862" spans="1:10" ht="15" customHeight="1">
      <c r="A2862" t="str">
        <f ca="1">IF(AND(Calculations!$B$4,Calculations!$B$28&gt;=C2862, E2862 &lt;&gt; 13),F2862,"")</f>
        <v/>
      </c>
      <c r="B2862">
        <f>ROW('Final Building Profile'!C84)</f>
        <v>84</v>
      </c>
      <c r="C2862">
        <f t="shared" ref="C2862:C2925" ca="1" si="1026">INDIRECT($F$1564 &amp; ADDRESS(B2862, 1,4  ))</f>
        <v>81</v>
      </c>
      <c r="D2862" t="str">
        <f>ADDRESS(B2862, 3,4  )</f>
        <v>C84</v>
      </c>
      <c r="E2862" s="52">
        <f ca="1">H2862+I2862</f>
        <v>0</v>
      </c>
      <c r="F2862" t="str">
        <f ca="1">CONCATENATE("Based upon the number of buildings specified, information for  building ", C2862, " required for a final application in row ", B2862, ".", CHAR(10))</f>
        <v xml:space="preserve">Based upon the number of buildings specified, information for  building 81 required for a final application in row 84.
</v>
      </c>
      <c r="G2862" s="9" t="str">
        <f t="shared" ca="1" si="1024"/>
        <v xml:space="preserve">Enter a value for 'Number of Floors in the Tallest Building' in cell B58.
</v>
      </c>
      <c r="H2862" s="52">
        <f ca="1">SUMPRODUCT(--ISTEXT(INDIRECT(J2862)))</f>
        <v>0</v>
      </c>
      <c r="I2862" s="52">
        <f ca="1">SUMPRODUCT(--ISNUMBER(INDIRECT(J2862)))</f>
        <v>0</v>
      </c>
      <c r="J2862" s="52" t="str">
        <f>$F$1564&amp; ADDRESS(B2862,3,4) &amp; ":" &amp; ADDRESS(B2862,15,4)</f>
        <v>'Final Building Profile'!C84:O84</v>
      </c>
    </row>
    <row r="2863" spans="1:10" ht="15" customHeight="1">
      <c r="A2863" t="str">
        <f t="shared" ref="A2863:A2872" ca="1" si="1027">IF(AND(OFFSET(A2863, -I2863 + 2, 4) &gt;  0, E2863=""), F2863, "")</f>
        <v/>
      </c>
      <c r="B2863">
        <f t="shared" ref="B2863:B2877" si="1028">B2862</f>
        <v>84</v>
      </c>
      <c r="C2863">
        <f t="shared" ca="1" si="1026"/>
        <v>81</v>
      </c>
      <c r="D2863" t="str">
        <f t="shared" ref="D2863:D2877" si="1029">ADDRESS(B2863, I2863,4  )</f>
        <v>C84</v>
      </c>
      <c r="E2863" t="str">
        <f t="shared" ref="E2863:E2877" ca="1" si="1030">IF(ISBLANK( INDIRECT($F$1564 &amp; D2863)),"", INDIRECT($F$1564 &amp; D2863))</f>
        <v/>
      </c>
      <c r="F2863" t="str">
        <f t="shared" ref="F2863:F2877" ca="1" si="1031">CONCATENATE("Enter a '"&amp; H2863 &amp;"' for  building ", C2863, " in cell ", D2863, ".", CHAR(10))</f>
        <v xml:space="preserve">Enter a 'Building Street Address Only 
(DO NOT ENTER CITY, STATE, OR ZIP)' for  building 81 in cell C84.
</v>
      </c>
      <c r="G2863" s="9" t="str">
        <f t="shared" ca="1" si="1024"/>
        <v xml:space="preserve">Enter a value for 'Number of Floors in the Tallest Building' in cell B58.
</v>
      </c>
      <c r="H2863" s="52" t="str">
        <f t="shared" ref="H2863:H2877" ca="1" si="1032">OFFSET(INDIRECT($F$1564 &amp; D2863), -B2863 + 3, 0)</f>
        <v>Building Street Address Only 
(DO NOT ENTER CITY, STATE, OR ZIP)</v>
      </c>
      <c r="I2863" s="52">
        <v>3</v>
      </c>
    </row>
    <row r="2864" spans="1:10" ht="15" customHeight="1">
      <c r="A2864" t="str">
        <f t="shared" ca="1" si="1027"/>
        <v/>
      </c>
      <c r="B2864">
        <f t="shared" si="1028"/>
        <v>84</v>
      </c>
      <c r="C2864">
        <f t="shared" ca="1" si="1026"/>
        <v>81</v>
      </c>
      <c r="D2864" t="str">
        <f t="shared" si="1029"/>
        <v>D84</v>
      </c>
      <c r="E2864" t="str">
        <f t="shared" ca="1" si="1030"/>
        <v/>
      </c>
      <c r="F2864" t="str">
        <f t="shared" ca="1" si="1031"/>
        <v xml:space="preserve">Enter a 'Total Units in Building*' for  building 81 in cell D84.
</v>
      </c>
      <c r="G2864" s="9" t="str">
        <f t="shared" ca="1" si="1024"/>
        <v xml:space="preserve">Enter a value for 'Number of Floors in the Tallest Building' in cell B58.
</v>
      </c>
      <c r="H2864" s="52" t="str">
        <f t="shared" ca="1" si="1032"/>
        <v>Total Units in Building*</v>
      </c>
      <c r="I2864" s="52">
        <v>4</v>
      </c>
    </row>
    <row r="2865" spans="1:10" ht="15" customHeight="1">
      <c r="A2865" t="str">
        <f t="shared" ca="1" si="1027"/>
        <v/>
      </c>
      <c r="B2865">
        <f t="shared" si="1028"/>
        <v>84</v>
      </c>
      <c r="C2865">
        <f t="shared" ca="1" si="1026"/>
        <v>81</v>
      </c>
      <c r="D2865" t="str">
        <f t="shared" si="1029"/>
        <v>E84</v>
      </c>
      <c r="E2865" t="str">
        <f t="shared" ca="1" si="1030"/>
        <v/>
      </c>
      <c r="F2865" t="str">
        <f t="shared" ca="1" si="1031"/>
        <v xml:space="preserve">Enter a 'Employee Units' for  building 81 in cell E84.
</v>
      </c>
      <c r="G2865" s="9" t="str">
        <f t="shared" ca="1" si="1024"/>
        <v xml:space="preserve">Enter a value for 'Number of Floors in the Tallest Building' in cell B58.
</v>
      </c>
      <c r="H2865" s="52" t="str">
        <f t="shared" ca="1" si="1032"/>
        <v>Employee Units</v>
      </c>
      <c r="I2865" s="52">
        <v>5</v>
      </c>
    </row>
    <row r="2866" spans="1:10" ht="15" customHeight="1">
      <c r="A2866" t="str">
        <f t="shared" ca="1" si="1027"/>
        <v/>
      </c>
      <c r="B2866">
        <f t="shared" si="1028"/>
        <v>84</v>
      </c>
      <c r="C2866">
        <f t="shared" ca="1" si="1026"/>
        <v>81</v>
      </c>
      <c r="D2866" t="str">
        <f t="shared" si="1029"/>
        <v>F84</v>
      </c>
      <c r="E2866" t="str">
        <f t="shared" ca="1" si="1030"/>
        <v/>
      </c>
      <c r="F2866" t="str">
        <f t="shared" ca="1" si="1031"/>
        <v xml:space="preserve">Enter a 'Low-Income Units' for  building 81 in cell F84.
</v>
      </c>
      <c r="G2866" s="9" t="str">
        <f t="shared" ca="1" si="1024"/>
        <v xml:space="preserve">Enter a value for 'Number of Floors in the Tallest Building' in cell B58.
</v>
      </c>
      <c r="H2866" s="52" t="str">
        <f t="shared" ca="1" si="1032"/>
        <v>Low-Income Units</v>
      </c>
      <c r="I2866" s="52">
        <v>6</v>
      </c>
    </row>
    <row r="2867" spans="1:10" ht="15" customHeight="1">
      <c r="A2867" t="str">
        <f t="shared" ca="1" si="1027"/>
        <v/>
      </c>
      <c r="B2867">
        <f t="shared" si="1028"/>
        <v>84</v>
      </c>
      <c r="C2867">
        <f t="shared" ca="1" si="1026"/>
        <v>81</v>
      </c>
      <c r="D2867" t="str">
        <f t="shared" si="1029"/>
        <v>G84</v>
      </c>
      <c r="E2867" t="str">
        <f t="shared" ca="1" si="1030"/>
        <v/>
      </c>
      <c r="F2867" t="str">
        <f t="shared" ca="1" si="1031"/>
        <v xml:space="preserve">Enter a 'Residential Square Footage**' for  building 81 in cell G84.
</v>
      </c>
      <c r="G2867" s="9" t="str">
        <f t="shared" ca="1" si="1024"/>
        <v xml:space="preserve">Enter a value for 'Number of Floors in the Tallest Building' in cell B58.
</v>
      </c>
      <c r="H2867" s="52" t="str">
        <f t="shared" ca="1" si="1032"/>
        <v>Residential Square Footage**</v>
      </c>
      <c r="I2867" s="52">
        <v>7</v>
      </c>
    </row>
    <row r="2868" spans="1:10" ht="15" customHeight="1">
      <c r="A2868" t="str">
        <f t="shared" ca="1" si="1027"/>
        <v/>
      </c>
      <c r="B2868">
        <f t="shared" si="1028"/>
        <v>84</v>
      </c>
      <c r="C2868">
        <f t="shared" ca="1" si="1026"/>
        <v>81</v>
      </c>
      <c r="D2868" t="str">
        <f t="shared" si="1029"/>
        <v>H84</v>
      </c>
      <c r="E2868" t="str">
        <f t="shared" ca="1" si="1030"/>
        <v/>
      </c>
      <c r="F2868" t="str">
        <f t="shared" ca="1" si="1031"/>
        <v xml:space="preserve">Enter a 'Square Footage of Employee Units' for  building 81 in cell H84.
</v>
      </c>
      <c r="G2868" s="9" t="str">
        <f t="shared" ca="1" si="1024"/>
        <v xml:space="preserve">Enter a value for 'Number of Floors in the Tallest Building' in cell B58.
</v>
      </c>
      <c r="H2868" s="52" t="str">
        <f t="shared" ca="1" si="1032"/>
        <v>Square Footage of Employee Units</v>
      </c>
      <c r="I2868" s="52">
        <v>8</v>
      </c>
    </row>
    <row r="2869" spans="1:10" ht="15" customHeight="1">
      <c r="A2869" t="str">
        <f t="shared" ca="1" si="1027"/>
        <v/>
      </c>
      <c r="B2869">
        <f t="shared" si="1028"/>
        <v>84</v>
      </c>
      <c r="C2869">
        <f t="shared" ca="1" si="1026"/>
        <v>81</v>
      </c>
      <c r="D2869" t="str">
        <f t="shared" si="1029"/>
        <v>I84</v>
      </c>
      <c r="E2869" t="str">
        <f t="shared" ca="1" si="1030"/>
        <v/>
      </c>
      <c r="F2869" t="str">
        <f t="shared" ca="1" si="1031"/>
        <v xml:space="preserve">Enter a 'Square Footage of Low-Income Units' for  building 81 in cell I84.
</v>
      </c>
      <c r="G2869" s="9" t="str">
        <f t="shared" ca="1" si="1024"/>
        <v xml:space="preserve">Enter a value for 'Number of Floors in the Tallest Building' in cell B58.
</v>
      </c>
      <c r="H2869" s="52" t="str">
        <f t="shared" ca="1" si="1032"/>
        <v>Square Footage of Low-Income Units</v>
      </c>
      <c r="I2869" s="52">
        <v>9</v>
      </c>
    </row>
    <row r="2870" spans="1:10" ht="15" customHeight="1">
      <c r="A2870" t="str">
        <f t="shared" ca="1" si="1027"/>
        <v/>
      </c>
      <c r="B2870">
        <f t="shared" si="1028"/>
        <v>84</v>
      </c>
      <c r="C2870">
        <f t="shared" ca="1" si="1026"/>
        <v>81</v>
      </c>
      <c r="D2870" t="str">
        <f t="shared" si="1029"/>
        <v>J84</v>
      </c>
      <c r="E2870" t="str">
        <f t="shared" ca="1" si="1030"/>
        <v/>
      </c>
      <c r="F2870" t="str">
        <f t="shared" ca="1" si="1031"/>
        <v xml:space="preserve">Enter a 'Placed-In-Service Date' for  building 81 in cell J84.
</v>
      </c>
      <c r="G2870" s="9" t="str">
        <f t="shared" ca="1" si="1024"/>
        <v xml:space="preserve">Enter a value for 'Number of Floors in the Tallest Building' in cell B58.
</v>
      </c>
      <c r="H2870" s="52" t="str">
        <f t="shared" ca="1" si="1032"/>
        <v>Placed-In-Service Date</v>
      </c>
      <c r="I2870" s="52">
        <v>10</v>
      </c>
    </row>
    <row r="2871" spans="1:10" ht="15" customHeight="1">
      <c r="A2871" t="str">
        <f t="shared" ca="1" si="1027"/>
        <v/>
      </c>
      <c r="B2871">
        <f t="shared" si="1028"/>
        <v>84</v>
      </c>
      <c r="C2871">
        <f t="shared" ca="1" si="1026"/>
        <v>81</v>
      </c>
      <c r="D2871" t="str">
        <f t="shared" si="1029"/>
        <v>K84</v>
      </c>
      <c r="E2871" t="str">
        <f t="shared" ca="1" si="1030"/>
        <v/>
      </c>
      <c r="F2871" t="str">
        <f t="shared" ca="1" si="1031"/>
        <v xml:space="preserve">Enter a 'New Construction/ Rehab APR' for  building 81 in cell K84.
</v>
      </c>
      <c r="G2871" s="9" t="str">
        <f t="shared" ca="1" si="1024"/>
        <v xml:space="preserve">Enter a value for 'Number of Floors in the Tallest Building' in cell B58.
</v>
      </c>
      <c r="H2871" s="52" t="str">
        <f t="shared" ca="1" si="1032"/>
        <v>New Construction/ Rehab APR</v>
      </c>
      <c r="I2871" s="52">
        <v>11</v>
      </c>
    </row>
    <row r="2872" spans="1:10" ht="15" customHeight="1">
      <c r="A2872" t="str">
        <f t="shared" ca="1" si="1027"/>
        <v/>
      </c>
      <c r="B2872">
        <f t="shared" si="1028"/>
        <v>84</v>
      </c>
      <c r="C2872">
        <f t="shared" ca="1" si="1026"/>
        <v>81</v>
      </c>
      <c r="D2872" t="str">
        <f t="shared" si="1029"/>
        <v>L84</v>
      </c>
      <c r="E2872" t="str">
        <f t="shared" ca="1" si="1030"/>
        <v/>
      </c>
      <c r="F2872" t="str">
        <f t="shared" ca="1" si="1031"/>
        <v xml:space="preserve">Enter a 'New Construction Eligible Basis' for  building 81 in cell L84.
</v>
      </c>
      <c r="G2872" s="9" t="str">
        <f t="shared" ca="1" si="1024"/>
        <v xml:space="preserve">Enter a value for 'Number of Floors in the Tallest Building' in cell B58.
</v>
      </c>
      <c r="H2872" s="52" t="str">
        <f t="shared" ca="1" si="1032"/>
        <v>New Construction Eligible Basis</v>
      </c>
      <c r="I2872" s="52">
        <v>12</v>
      </c>
    </row>
    <row r="2873" spans="1:10" ht="15" customHeight="1">
      <c r="A2873" t="str">
        <f ca="1">IF(AND(OFFSET(A2873, -I2873 + 2, 4) &gt;  0, E2873="", Calculations!$B$7), F2873, "")</f>
        <v/>
      </c>
      <c r="B2873">
        <f t="shared" si="1028"/>
        <v>84</v>
      </c>
      <c r="C2873">
        <f t="shared" ca="1" si="1026"/>
        <v>81</v>
      </c>
      <c r="D2873" t="str">
        <f t="shared" si="1029"/>
        <v>M84</v>
      </c>
      <c r="E2873" t="str">
        <f t="shared" ca="1" si="1030"/>
        <v/>
      </c>
      <c r="F2873" t="str">
        <f t="shared" ca="1" si="1031"/>
        <v xml:space="preserve">Enter a 'Eligible Basis for Rehab' for  building 81 in cell M84.
</v>
      </c>
      <c r="G2873" s="9" t="str">
        <f t="shared" ca="1" si="1024"/>
        <v xml:space="preserve">Enter a value for 'Number of Floors in the Tallest Building' in cell B58.
</v>
      </c>
      <c r="H2873" s="52" t="str">
        <f t="shared" ca="1" si="1032"/>
        <v>Eligible Basis for Rehab</v>
      </c>
      <c r="I2873" s="52">
        <v>13</v>
      </c>
    </row>
    <row r="2874" spans="1:10" ht="15" customHeight="1">
      <c r="A2874" t="str">
        <f ca="1">IF(AND(OFFSET(A2874, -I2874 + 2, 4) &gt;  0, E2874="", Calculations!$B$7), F2874, "")</f>
        <v/>
      </c>
      <c r="B2874">
        <f t="shared" si="1028"/>
        <v>84</v>
      </c>
      <c r="C2874">
        <f t="shared" ca="1" si="1026"/>
        <v>81</v>
      </c>
      <c r="D2874" t="str">
        <f t="shared" si="1029"/>
        <v>N84</v>
      </c>
      <c r="E2874" t="str">
        <f t="shared" ca="1" si="1030"/>
        <v/>
      </c>
      <c r="F2874" t="str">
        <f t="shared" ca="1" si="1031"/>
        <v xml:space="preserve">Enter a 'Cost of Acquiring the Building***' for  building 81 in cell N84.
</v>
      </c>
      <c r="G2874" s="9" t="str">
        <f t="shared" ca="1" si="1024"/>
        <v xml:space="preserve">Enter a value for 'Number of Floors in the Tallest Building' in cell B58.
</v>
      </c>
      <c r="H2874" s="52" t="str">
        <f t="shared" ca="1" si="1032"/>
        <v>Cost of Acquiring the Building***</v>
      </c>
      <c r="I2874" s="52">
        <v>14</v>
      </c>
    </row>
    <row r="2875" spans="1:10" ht="15" customHeight="1">
      <c r="A2875" t="str">
        <f ca="1">IF(AND(OFFSET(A2875, -I2875 + 2, 4) &gt;  0, E2875="", Calculations!$B$7), F2875, "")</f>
        <v/>
      </c>
      <c r="B2875">
        <f t="shared" si="1028"/>
        <v>84</v>
      </c>
      <c r="C2875">
        <f t="shared" ca="1" si="1026"/>
        <v>81</v>
      </c>
      <c r="D2875" t="str">
        <f t="shared" si="1029"/>
        <v>O84</v>
      </c>
      <c r="E2875" t="str">
        <f t="shared" ca="1" si="1030"/>
        <v/>
      </c>
      <c r="F2875" t="str">
        <f t="shared" ca="1" si="1031"/>
        <v xml:space="preserve">Enter a 'Higher of Land Purchase Price or Land Appraised Value****' for  building 81 in cell O84.
</v>
      </c>
      <c r="G2875" s="9" t="str">
        <f t="shared" ca="1" si="1024"/>
        <v xml:space="preserve">Enter a value for 'Number of Floors in the Tallest Building' in cell B58.
</v>
      </c>
      <c r="H2875" s="52" t="str">
        <f t="shared" ca="1" si="1032"/>
        <v>Higher of Land Purchase Price or Land Appraised Value****</v>
      </c>
      <c r="I2875" s="52">
        <v>15</v>
      </c>
    </row>
    <row r="2876" spans="1:10" ht="15" customHeight="1">
      <c r="A2876" t="str">
        <f ca="1">IF(AND(OFFSET(A2876, -I2876 + 2, 4) &gt;  0, E2876="", Calculations!$B$7), F2876, "")</f>
        <v/>
      </c>
      <c r="B2876">
        <f t="shared" si="1028"/>
        <v>84</v>
      </c>
      <c r="C2876">
        <f t="shared" ca="1" si="1026"/>
        <v>81</v>
      </c>
      <c r="D2876" t="str">
        <f t="shared" si="1029"/>
        <v>P84</v>
      </c>
      <c r="E2876" t="str">
        <f t="shared" ca="1" si="1030"/>
        <v/>
      </c>
      <c r="F2876" t="str">
        <f t="shared" ca="1" si="1031"/>
        <v xml:space="preserve">Enter a 'Acquisition Placed-in-Service Date' for  building 81 in cell P84.
</v>
      </c>
      <c r="G2876" s="9" t="str">
        <f t="shared" ca="1" si="1024"/>
        <v xml:space="preserve">Enter a value for 'Number of Floors in the Tallest Building' in cell B58.
</v>
      </c>
      <c r="H2876" s="52" t="str">
        <f t="shared" ca="1" si="1032"/>
        <v>Acquisition Placed-in-Service Date</v>
      </c>
      <c r="I2876" s="52">
        <v>16</v>
      </c>
    </row>
    <row r="2877" spans="1:10" ht="15" customHeight="1">
      <c r="A2877" t="str">
        <f ca="1">IF(AND(OFFSET(A2877, -I2877 + 2, 4) &gt;  0, E2877="", Calculations!$B$7), F2877, "")</f>
        <v/>
      </c>
      <c r="B2877">
        <f t="shared" si="1028"/>
        <v>84</v>
      </c>
      <c r="C2877">
        <f t="shared" ca="1" si="1026"/>
        <v>81</v>
      </c>
      <c r="D2877" t="str">
        <f t="shared" si="1029"/>
        <v>Q84</v>
      </c>
      <c r="E2877" t="str">
        <f t="shared" ca="1" si="1030"/>
        <v/>
      </c>
      <c r="F2877" t="str">
        <f t="shared" ca="1" si="1031"/>
        <v xml:space="preserve">Enter a 'Acquisition APR' for  building 81 in cell Q84.
</v>
      </c>
      <c r="G2877" s="9" t="str">
        <f t="shared" ca="1" si="1024"/>
        <v xml:space="preserve">Enter a value for 'Number of Floors in the Tallest Building' in cell B58.
</v>
      </c>
      <c r="H2877" s="52" t="str">
        <f t="shared" ca="1" si="1032"/>
        <v>Acquisition APR</v>
      </c>
      <c r="I2877" s="52">
        <v>17</v>
      </c>
    </row>
    <row r="2878" spans="1:10" ht="15" customHeight="1">
      <c r="A2878" t="str">
        <f ca="1">IF(AND(Calculations!$B$4,Calculations!$B$28&gt;=C2878, E2878 &lt;&gt; 13),F2878,"")</f>
        <v/>
      </c>
      <c r="B2878">
        <f>ROW('Final Building Profile'!C85)</f>
        <v>85</v>
      </c>
      <c r="C2878">
        <f t="shared" ca="1" si="1026"/>
        <v>82</v>
      </c>
      <c r="D2878" t="str">
        <f>ADDRESS(B2878, 3,4  )</f>
        <v>C85</v>
      </c>
      <c r="E2878" s="52">
        <f ca="1">H2878+I2878</f>
        <v>0</v>
      </c>
      <c r="F2878" t="str">
        <f ca="1">CONCATENATE("Based upon the number of buildings specified, information for  building ", C2878, " required for a final application in row ", B2878, ".", CHAR(10))</f>
        <v xml:space="preserve">Based upon the number of buildings specified, information for  building 82 required for a final application in row 85.
</v>
      </c>
      <c r="G2878" s="9" t="str">
        <f t="shared" ca="1" si="1024"/>
        <v xml:space="preserve">Enter a value for 'Number of Floors in the Tallest Building' in cell B58.
</v>
      </c>
      <c r="H2878" s="52">
        <f ca="1">SUMPRODUCT(--ISTEXT(INDIRECT(J2878)))</f>
        <v>0</v>
      </c>
      <c r="I2878" s="52">
        <f ca="1">SUMPRODUCT(--ISNUMBER(INDIRECT(J2878)))</f>
        <v>0</v>
      </c>
      <c r="J2878" s="52" t="str">
        <f>$F$1564&amp; ADDRESS(B2878,3,4) &amp; ":" &amp; ADDRESS(B2878,15,4)</f>
        <v>'Final Building Profile'!C85:O85</v>
      </c>
    </row>
    <row r="2879" spans="1:10" ht="15" customHeight="1">
      <c r="A2879" t="str">
        <f t="shared" ref="A2879:A2888" ca="1" si="1033">IF(AND(OFFSET(A2879, -I2879 + 2, 4) &gt;  0, E2879=""), F2879, "")</f>
        <v/>
      </c>
      <c r="B2879">
        <f t="shared" ref="B2879:B2893" si="1034">B2878</f>
        <v>85</v>
      </c>
      <c r="C2879">
        <f t="shared" ca="1" si="1026"/>
        <v>82</v>
      </c>
      <c r="D2879" t="str">
        <f t="shared" ref="D2879:D2893" si="1035">ADDRESS(B2879, I2879,4  )</f>
        <v>C85</v>
      </c>
      <c r="E2879" t="str">
        <f t="shared" ref="E2879:E2893" ca="1" si="1036">IF(ISBLANK( INDIRECT($F$1564 &amp; D2879)),"", INDIRECT($F$1564 &amp; D2879))</f>
        <v/>
      </c>
      <c r="F2879" t="str">
        <f t="shared" ref="F2879:F2893" ca="1" si="1037">CONCATENATE("Enter a '"&amp; H2879 &amp;"' for  building ", C2879, " in cell ", D2879, ".", CHAR(10))</f>
        <v xml:space="preserve">Enter a 'Building Street Address Only 
(DO NOT ENTER CITY, STATE, OR ZIP)' for  building 82 in cell C85.
</v>
      </c>
      <c r="G2879" s="9" t="str">
        <f t="shared" ca="1" si="1024"/>
        <v xml:space="preserve">Enter a value for 'Number of Floors in the Tallest Building' in cell B58.
</v>
      </c>
      <c r="H2879" s="52" t="str">
        <f t="shared" ref="H2879:H2893" ca="1" si="1038">OFFSET(INDIRECT($F$1564 &amp; D2879), -B2879 + 3, 0)</f>
        <v>Building Street Address Only 
(DO NOT ENTER CITY, STATE, OR ZIP)</v>
      </c>
      <c r="I2879" s="52">
        <v>3</v>
      </c>
    </row>
    <row r="2880" spans="1:10" ht="15" customHeight="1">
      <c r="A2880" t="str">
        <f t="shared" ca="1" si="1033"/>
        <v/>
      </c>
      <c r="B2880">
        <f t="shared" si="1034"/>
        <v>85</v>
      </c>
      <c r="C2880">
        <f t="shared" ca="1" si="1026"/>
        <v>82</v>
      </c>
      <c r="D2880" t="str">
        <f t="shared" si="1035"/>
        <v>D85</v>
      </c>
      <c r="E2880" t="str">
        <f t="shared" ca="1" si="1036"/>
        <v/>
      </c>
      <c r="F2880" t="str">
        <f t="shared" ca="1" si="1037"/>
        <v xml:space="preserve">Enter a 'Total Units in Building*' for  building 82 in cell D85.
</v>
      </c>
      <c r="G2880" s="9" t="str">
        <f t="shared" ca="1" si="1024"/>
        <v xml:space="preserve">Enter a value for 'Number of Floors in the Tallest Building' in cell B58.
</v>
      </c>
      <c r="H2880" s="52" t="str">
        <f t="shared" ca="1" si="1038"/>
        <v>Total Units in Building*</v>
      </c>
      <c r="I2880" s="52">
        <v>4</v>
      </c>
    </row>
    <row r="2881" spans="1:10" ht="15" customHeight="1">
      <c r="A2881" t="str">
        <f t="shared" ca="1" si="1033"/>
        <v/>
      </c>
      <c r="B2881">
        <f t="shared" si="1034"/>
        <v>85</v>
      </c>
      <c r="C2881">
        <f t="shared" ca="1" si="1026"/>
        <v>82</v>
      </c>
      <c r="D2881" t="str">
        <f t="shared" si="1035"/>
        <v>E85</v>
      </c>
      <c r="E2881" t="str">
        <f t="shared" ca="1" si="1036"/>
        <v/>
      </c>
      <c r="F2881" t="str">
        <f t="shared" ca="1" si="1037"/>
        <v xml:space="preserve">Enter a 'Employee Units' for  building 82 in cell E85.
</v>
      </c>
      <c r="G2881" s="9" t="str">
        <f t="shared" ca="1" si="1024"/>
        <v xml:space="preserve">Enter a value for 'Number of Floors in the Tallest Building' in cell B58.
</v>
      </c>
      <c r="H2881" s="52" t="str">
        <f t="shared" ca="1" si="1038"/>
        <v>Employee Units</v>
      </c>
      <c r="I2881" s="52">
        <v>5</v>
      </c>
    </row>
    <row r="2882" spans="1:10" ht="15" customHeight="1">
      <c r="A2882" t="str">
        <f t="shared" ca="1" si="1033"/>
        <v/>
      </c>
      <c r="B2882">
        <f t="shared" si="1034"/>
        <v>85</v>
      </c>
      <c r="C2882">
        <f t="shared" ca="1" si="1026"/>
        <v>82</v>
      </c>
      <c r="D2882" t="str">
        <f t="shared" si="1035"/>
        <v>F85</v>
      </c>
      <c r="E2882" t="str">
        <f t="shared" ca="1" si="1036"/>
        <v/>
      </c>
      <c r="F2882" t="str">
        <f t="shared" ca="1" si="1037"/>
        <v xml:space="preserve">Enter a 'Low-Income Units' for  building 82 in cell F85.
</v>
      </c>
      <c r="G2882" s="9" t="str">
        <f t="shared" ca="1" si="1024"/>
        <v xml:space="preserve">Enter a value for 'Number of Floors in the Tallest Building' in cell B58.
</v>
      </c>
      <c r="H2882" s="52" t="str">
        <f t="shared" ca="1" si="1038"/>
        <v>Low-Income Units</v>
      </c>
      <c r="I2882" s="52">
        <v>6</v>
      </c>
    </row>
    <row r="2883" spans="1:10" ht="15" customHeight="1">
      <c r="A2883" t="str">
        <f t="shared" ca="1" si="1033"/>
        <v/>
      </c>
      <c r="B2883">
        <f t="shared" si="1034"/>
        <v>85</v>
      </c>
      <c r="C2883">
        <f t="shared" ca="1" si="1026"/>
        <v>82</v>
      </c>
      <c r="D2883" t="str">
        <f t="shared" si="1035"/>
        <v>G85</v>
      </c>
      <c r="E2883" t="str">
        <f t="shared" ca="1" si="1036"/>
        <v/>
      </c>
      <c r="F2883" t="str">
        <f t="shared" ca="1" si="1037"/>
        <v xml:space="preserve">Enter a 'Residential Square Footage**' for  building 82 in cell G85.
</v>
      </c>
      <c r="G2883" s="9" t="str">
        <f t="shared" ca="1" si="1024"/>
        <v xml:space="preserve">Enter a value for 'Number of Floors in the Tallest Building' in cell B58.
</v>
      </c>
      <c r="H2883" s="52" t="str">
        <f t="shared" ca="1" si="1038"/>
        <v>Residential Square Footage**</v>
      </c>
      <c r="I2883" s="52">
        <v>7</v>
      </c>
    </row>
    <row r="2884" spans="1:10" ht="15" customHeight="1">
      <c r="A2884" t="str">
        <f t="shared" ca="1" si="1033"/>
        <v/>
      </c>
      <c r="B2884">
        <f t="shared" si="1034"/>
        <v>85</v>
      </c>
      <c r="C2884">
        <f t="shared" ca="1" si="1026"/>
        <v>82</v>
      </c>
      <c r="D2884" t="str">
        <f t="shared" si="1035"/>
        <v>H85</v>
      </c>
      <c r="E2884" t="str">
        <f t="shared" ca="1" si="1036"/>
        <v/>
      </c>
      <c r="F2884" t="str">
        <f t="shared" ca="1" si="1037"/>
        <v xml:space="preserve">Enter a 'Square Footage of Employee Units' for  building 82 in cell H85.
</v>
      </c>
      <c r="G2884" s="9" t="str">
        <f t="shared" ca="1" si="1024"/>
        <v xml:space="preserve">Enter a value for 'Number of Floors in the Tallest Building' in cell B58.
</v>
      </c>
      <c r="H2884" s="52" t="str">
        <f t="shared" ca="1" si="1038"/>
        <v>Square Footage of Employee Units</v>
      </c>
      <c r="I2884" s="52">
        <v>8</v>
      </c>
    </row>
    <row r="2885" spans="1:10" ht="15" customHeight="1">
      <c r="A2885" t="str">
        <f t="shared" ca="1" si="1033"/>
        <v/>
      </c>
      <c r="B2885">
        <f t="shared" si="1034"/>
        <v>85</v>
      </c>
      <c r="C2885">
        <f t="shared" ca="1" si="1026"/>
        <v>82</v>
      </c>
      <c r="D2885" t="str">
        <f t="shared" si="1035"/>
        <v>I85</v>
      </c>
      <c r="E2885" t="str">
        <f t="shared" ca="1" si="1036"/>
        <v/>
      </c>
      <c r="F2885" t="str">
        <f t="shared" ca="1" si="1037"/>
        <v xml:space="preserve">Enter a 'Square Footage of Low-Income Units' for  building 82 in cell I85.
</v>
      </c>
      <c r="G2885" s="9" t="str">
        <f t="shared" ca="1" si="1024"/>
        <v xml:space="preserve">Enter a value for 'Number of Floors in the Tallest Building' in cell B58.
</v>
      </c>
      <c r="H2885" s="52" t="str">
        <f t="shared" ca="1" si="1038"/>
        <v>Square Footage of Low-Income Units</v>
      </c>
      <c r="I2885" s="52">
        <v>9</v>
      </c>
    </row>
    <row r="2886" spans="1:10" ht="15" customHeight="1">
      <c r="A2886" t="str">
        <f t="shared" ca="1" si="1033"/>
        <v/>
      </c>
      <c r="B2886">
        <f t="shared" si="1034"/>
        <v>85</v>
      </c>
      <c r="C2886">
        <f t="shared" ca="1" si="1026"/>
        <v>82</v>
      </c>
      <c r="D2886" t="str">
        <f t="shared" si="1035"/>
        <v>J85</v>
      </c>
      <c r="E2886" t="str">
        <f t="shared" ca="1" si="1036"/>
        <v/>
      </c>
      <c r="F2886" t="str">
        <f t="shared" ca="1" si="1037"/>
        <v xml:space="preserve">Enter a 'Placed-In-Service Date' for  building 82 in cell J85.
</v>
      </c>
      <c r="G2886" s="9" t="str">
        <f t="shared" ca="1" si="1024"/>
        <v xml:space="preserve">Enter a value for 'Number of Floors in the Tallest Building' in cell B58.
</v>
      </c>
      <c r="H2886" s="52" t="str">
        <f t="shared" ca="1" si="1038"/>
        <v>Placed-In-Service Date</v>
      </c>
      <c r="I2886" s="52">
        <v>10</v>
      </c>
    </row>
    <row r="2887" spans="1:10" ht="15" customHeight="1">
      <c r="A2887" t="str">
        <f t="shared" ca="1" si="1033"/>
        <v/>
      </c>
      <c r="B2887">
        <f t="shared" si="1034"/>
        <v>85</v>
      </c>
      <c r="C2887">
        <f t="shared" ca="1" si="1026"/>
        <v>82</v>
      </c>
      <c r="D2887" t="str">
        <f t="shared" si="1035"/>
        <v>K85</v>
      </c>
      <c r="E2887" t="str">
        <f t="shared" ca="1" si="1036"/>
        <v/>
      </c>
      <c r="F2887" t="str">
        <f t="shared" ca="1" si="1037"/>
        <v xml:space="preserve">Enter a 'New Construction/ Rehab APR' for  building 82 in cell K85.
</v>
      </c>
      <c r="G2887" s="9" t="str">
        <f t="shared" ca="1" si="1024"/>
        <v xml:space="preserve">Enter a value for 'Number of Floors in the Tallest Building' in cell B58.
</v>
      </c>
      <c r="H2887" s="52" t="str">
        <f t="shared" ca="1" si="1038"/>
        <v>New Construction/ Rehab APR</v>
      </c>
      <c r="I2887" s="52">
        <v>11</v>
      </c>
    </row>
    <row r="2888" spans="1:10" ht="15" customHeight="1">
      <c r="A2888" t="str">
        <f t="shared" ca="1" si="1033"/>
        <v/>
      </c>
      <c r="B2888">
        <f t="shared" si="1034"/>
        <v>85</v>
      </c>
      <c r="C2888">
        <f t="shared" ca="1" si="1026"/>
        <v>82</v>
      </c>
      <c r="D2888" t="str">
        <f t="shared" si="1035"/>
        <v>L85</v>
      </c>
      <c r="E2888" t="str">
        <f t="shared" ca="1" si="1036"/>
        <v/>
      </c>
      <c r="F2888" t="str">
        <f t="shared" ca="1" si="1037"/>
        <v xml:space="preserve">Enter a 'New Construction Eligible Basis' for  building 82 in cell L85.
</v>
      </c>
      <c r="G2888" s="9" t="str">
        <f t="shared" ca="1" si="1024"/>
        <v xml:space="preserve">Enter a value for 'Number of Floors in the Tallest Building' in cell B58.
</v>
      </c>
      <c r="H2888" s="52" t="str">
        <f t="shared" ca="1" si="1038"/>
        <v>New Construction Eligible Basis</v>
      </c>
      <c r="I2888" s="52">
        <v>12</v>
      </c>
    </row>
    <row r="2889" spans="1:10" ht="15" customHeight="1">
      <c r="A2889" t="str">
        <f ca="1">IF(AND(OFFSET(A2889, -I2889 + 2, 4) &gt;  0, E2889="", Calculations!$B$7), F2889, "")</f>
        <v/>
      </c>
      <c r="B2889">
        <f t="shared" si="1034"/>
        <v>85</v>
      </c>
      <c r="C2889">
        <f t="shared" ca="1" si="1026"/>
        <v>82</v>
      </c>
      <c r="D2889" t="str">
        <f t="shared" si="1035"/>
        <v>M85</v>
      </c>
      <c r="E2889" t="str">
        <f t="shared" ca="1" si="1036"/>
        <v/>
      </c>
      <c r="F2889" t="str">
        <f t="shared" ca="1" si="1037"/>
        <v xml:space="preserve">Enter a 'Eligible Basis for Rehab' for  building 82 in cell M85.
</v>
      </c>
      <c r="G2889" s="9" t="str">
        <f t="shared" ca="1" si="1024"/>
        <v xml:space="preserve">Enter a value for 'Number of Floors in the Tallest Building' in cell B58.
</v>
      </c>
      <c r="H2889" s="52" t="str">
        <f t="shared" ca="1" si="1038"/>
        <v>Eligible Basis for Rehab</v>
      </c>
      <c r="I2889" s="52">
        <v>13</v>
      </c>
    </row>
    <row r="2890" spans="1:10" ht="15" customHeight="1">
      <c r="A2890" t="str">
        <f ca="1">IF(AND(OFFSET(A2890, -I2890 + 2, 4) &gt;  0, E2890="", Calculations!$B$7), F2890, "")</f>
        <v/>
      </c>
      <c r="B2890">
        <f t="shared" si="1034"/>
        <v>85</v>
      </c>
      <c r="C2890">
        <f t="shared" ca="1" si="1026"/>
        <v>82</v>
      </c>
      <c r="D2890" t="str">
        <f t="shared" si="1035"/>
        <v>N85</v>
      </c>
      <c r="E2890" t="str">
        <f t="shared" ca="1" si="1036"/>
        <v/>
      </c>
      <c r="F2890" t="str">
        <f t="shared" ca="1" si="1037"/>
        <v xml:space="preserve">Enter a 'Cost of Acquiring the Building***' for  building 82 in cell N85.
</v>
      </c>
      <c r="G2890" s="9" t="str">
        <f t="shared" ca="1" si="1024"/>
        <v xml:space="preserve">Enter a value for 'Number of Floors in the Tallest Building' in cell B58.
</v>
      </c>
      <c r="H2890" s="52" t="str">
        <f t="shared" ca="1" si="1038"/>
        <v>Cost of Acquiring the Building***</v>
      </c>
      <c r="I2890" s="52">
        <v>14</v>
      </c>
    </row>
    <row r="2891" spans="1:10" ht="15" customHeight="1">
      <c r="A2891" t="str">
        <f ca="1">IF(AND(OFFSET(A2891, -I2891 + 2, 4) &gt;  0, E2891="", Calculations!$B$7), F2891, "")</f>
        <v/>
      </c>
      <c r="B2891">
        <f t="shared" si="1034"/>
        <v>85</v>
      </c>
      <c r="C2891">
        <f t="shared" ca="1" si="1026"/>
        <v>82</v>
      </c>
      <c r="D2891" t="str">
        <f t="shared" si="1035"/>
        <v>O85</v>
      </c>
      <c r="E2891" t="str">
        <f t="shared" ca="1" si="1036"/>
        <v/>
      </c>
      <c r="F2891" t="str">
        <f t="shared" ca="1" si="1037"/>
        <v xml:space="preserve">Enter a 'Higher of Land Purchase Price or Land Appraised Value****' for  building 82 in cell O85.
</v>
      </c>
      <c r="G2891" s="9" t="str">
        <f t="shared" ca="1" si="1024"/>
        <v xml:space="preserve">Enter a value for 'Number of Floors in the Tallest Building' in cell B58.
</v>
      </c>
      <c r="H2891" s="52" t="str">
        <f t="shared" ca="1" si="1038"/>
        <v>Higher of Land Purchase Price or Land Appraised Value****</v>
      </c>
      <c r="I2891" s="52">
        <v>15</v>
      </c>
    </row>
    <row r="2892" spans="1:10" ht="15" customHeight="1">
      <c r="A2892" t="str">
        <f ca="1">IF(AND(OFFSET(A2892, -I2892 + 2, 4) &gt;  0, E2892="", Calculations!$B$7), F2892, "")</f>
        <v/>
      </c>
      <c r="B2892">
        <f t="shared" si="1034"/>
        <v>85</v>
      </c>
      <c r="C2892">
        <f t="shared" ca="1" si="1026"/>
        <v>82</v>
      </c>
      <c r="D2892" t="str">
        <f t="shared" si="1035"/>
        <v>P85</v>
      </c>
      <c r="E2892" t="str">
        <f t="shared" ca="1" si="1036"/>
        <v/>
      </c>
      <c r="F2892" t="str">
        <f t="shared" ca="1" si="1037"/>
        <v xml:space="preserve">Enter a 'Acquisition Placed-in-Service Date' for  building 82 in cell P85.
</v>
      </c>
      <c r="G2892" s="9" t="str">
        <f t="shared" ca="1" si="1024"/>
        <v xml:space="preserve">Enter a value for 'Number of Floors in the Tallest Building' in cell B58.
</v>
      </c>
      <c r="H2892" s="52" t="str">
        <f t="shared" ca="1" si="1038"/>
        <v>Acquisition Placed-in-Service Date</v>
      </c>
      <c r="I2892" s="52">
        <v>16</v>
      </c>
    </row>
    <row r="2893" spans="1:10" ht="15" customHeight="1">
      <c r="A2893" t="str">
        <f ca="1">IF(AND(OFFSET(A2893, -I2893 + 2, 4) &gt;  0, E2893="", Calculations!$B$7), F2893, "")</f>
        <v/>
      </c>
      <c r="B2893">
        <f t="shared" si="1034"/>
        <v>85</v>
      </c>
      <c r="C2893">
        <f t="shared" ca="1" si="1026"/>
        <v>82</v>
      </c>
      <c r="D2893" t="str">
        <f t="shared" si="1035"/>
        <v>Q85</v>
      </c>
      <c r="E2893" t="str">
        <f t="shared" ca="1" si="1036"/>
        <v/>
      </c>
      <c r="F2893" t="str">
        <f t="shared" ca="1" si="1037"/>
        <v xml:space="preserve">Enter a 'Acquisition APR' for  building 82 in cell Q85.
</v>
      </c>
      <c r="G2893" s="9" t="str">
        <f t="shared" ca="1" si="1024"/>
        <v xml:space="preserve">Enter a value for 'Number of Floors in the Tallest Building' in cell B58.
</v>
      </c>
      <c r="H2893" s="52" t="str">
        <f t="shared" ca="1" si="1038"/>
        <v>Acquisition APR</v>
      </c>
      <c r="I2893" s="52">
        <v>17</v>
      </c>
    </row>
    <row r="2894" spans="1:10" ht="15" customHeight="1">
      <c r="A2894" t="str">
        <f ca="1">IF(AND(Calculations!$B$4,Calculations!$B$28&gt;=C2894, E2894 &lt;&gt; 13),F2894,"")</f>
        <v/>
      </c>
      <c r="B2894">
        <f>ROW('Final Building Profile'!C86)</f>
        <v>86</v>
      </c>
      <c r="C2894">
        <f t="shared" ca="1" si="1026"/>
        <v>83</v>
      </c>
      <c r="D2894" t="str">
        <f>ADDRESS(B2894, 3,4  )</f>
        <v>C86</v>
      </c>
      <c r="E2894" s="52">
        <f ca="1">H2894+I2894</f>
        <v>0</v>
      </c>
      <c r="F2894" t="str">
        <f ca="1">CONCATENATE("Based upon the number of buildings specified, information for  building ", C2894, " required for a final application in row ", B2894, ".", CHAR(10))</f>
        <v xml:space="preserve">Based upon the number of buildings specified, information for  building 83 required for a final application in row 86.
</v>
      </c>
      <c r="G2894" s="9" t="str">
        <f t="shared" ca="1" si="1024"/>
        <v xml:space="preserve">Enter a value for 'Number of Floors in the Tallest Building' in cell B58.
</v>
      </c>
      <c r="H2894" s="52">
        <f ca="1">SUMPRODUCT(--ISTEXT(INDIRECT(J2894)))</f>
        <v>0</v>
      </c>
      <c r="I2894" s="52">
        <f ca="1">SUMPRODUCT(--ISNUMBER(INDIRECT(J2894)))</f>
        <v>0</v>
      </c>
      <c r="J2894" s="52" t="str">
        <f>$F$1564&amp; ADDRESS(B2894,3,4) &amp; ":" &amp; ADDRESS(B2894,15,4)</f>
        <v>'Final Building Profile'!C86:O86</v>
      </c>
    </row>
    <row r="2895" spans="1:10" ht="15" customHeight="1">
      <c r="A2895" t="str">
        <f t="shared" ref="A2895:A2904" ca="1" si="1039">IF(AND(OFFSET(A2895, -I2895 + 2, 4) &gt;  0, E2895=""), F2895, "")</f>
        <v/>
      </c>
      <c r="B2895">
        <f t="shared" ref="B2895:B2909" si="1040">B2894</f>
        <v>86</v>
      </c>
      <c r="C2895">
        <f t="shared" ca="1" si="1026"/>
        <v>83</v>
      </c>
      <c r="D2895" t="str">
        <f t="shared" ref="D2895:D2909" si="1041">ADDRESS(B2895, I2895,4  )</f>
        <v>C86</v>
      </c>
      <c r="E2895" t="str">
        <f t="shared" ref="E2895:E2909" ca="1" si="1042">IF(ISBLANK( INDIRECT($F$1564 &amp; D2895)),"", INDIRECT($F$1564 &amp; D2895))</f>
        <v/>
      </c>
      <c r="F2895" t="str">
        <f t="shared" ref="F2895:F2909" ca="1" si="1043">CONCATENATE("Enter a '"&amp; H2895 &amp;"' for  building ", C2895, " in cell ", D2895, ".", CHAR(10))</f>
        <v xml:space="preserve">Enter a 'Building Street Address Only 
(DO NOT ENTER CITY, STATE, OR ZIP)' for  building 83 in cell C86.
</v>
      </c>
      <c r="G2895" s="9" t="str">
        <f t="shared" ca="1" si="1024"/>
        <v xml:space="preserve">Enter a value for 'Number of Floors in the Tallest Building' in cell B58.
</v>
      </c>
      <c r="H2895" s="52" t="str">
        <f t="shared" ref="H2895:H2909" ca="1" si="1044">OFFSET(INDIRECT($F$1564 &amp; D2895), -B2895 + 3, 0)</f>
        <v>Building Street Address Only 
(DO NOT ENTER CITY, STATE, OR ZIP)</v>
      </c>
      <c r="I2895" s="52">
        <v>3</v>
      </c>
    </row>
    <row r="2896" spans="1:10" ht="15" customHeight="1">
      <c r="A2896" t="str">
        <f t="shared" ca="1" si="1039"/>
        <v/>
      </c>
      <c r="B2896">
        <f t="shared" si="1040"/>
        <v>86</v>
      </c>
      <c r="C2896">
        <f t="shared" ca="1" si="1026"/>
        <v>83</v>
      </c>
      <c r="D2896" t="str">
        <f t="shared" si="1041"/>
        <v>D86</v>
      </c>
      <c r="E2896" t="str">
        <f t="shared" ca="1" si="1042"/>
        <v/>
      </c>
      <c r="F2896" t="str">
        <f t="shared" ca="1" si="1043"/>
        <v xml:space="preserve">Enter a 'Total Units in Building*' for  building 83 in cell D86.
</v>
      </c>
      <c r="G2896" s="9" t="str">
        <f t="shared" ca="1" si="1024"/>
        <v xml:space="preserve">Enter a value for 'Number of Floors in the Tallest Building' in cell B58.
</v>
      </c>
      <c r="H2896" s="52" t="str">
        <f t="shared" ca="1" si="1044"/>
        <v>Total Units in Building*</v>
      </c>
      <c r="I2896" s="52">
        <v>4</v>
      </c>
    </row>
    <row r="2897" spans="1:10" ht="15" customHeight="1">
      <c r="A2897" t="str">
        <f t="shared" ca="1" si="1039"/>
        <v/>
      </c>
      <c r="B2897">
        <f t="shared" si="1040"/>
        <v>86</v>
      </c>
      <c r="C2897">
        <f t="shared" ca="1" si="1026"/>
        <v>83</v>
      </c>
      <c r="D2897" t="str">
        <f t="shared" si="1041"/>
        <v>E86</v>
      </c>
      <c r="E2897" t="str">
        <f t="shared" ca="1" si="1042"/>
        <v/>
      </c>
      <c r="F2897" t="str">
        <f t="shared" ca="1" si="1043"/>
        <v xml:space="preserve">Enter a 'Employee Units' for  building 83 in cell E86.
</v>
      </c>
      <c r="G2897" s="9" t="str">
        <f t="shared" ca="1" si="1024"/>
        <v xml:space="preserve">Enter a value for 'Number of Floors in the Tallest Building' in cell B58.
</v>
      </c>
      <c r="H2897" s="52" t="str">
        <f t="shared" ca="1" si="1044"/>
        <v>Employee Units</v>
      </c>
      <c r="I2897" s="52">
        <v>5</v>
      </c>
    </row>
    <row r="2898" spans="1:10" ht="15" customHeight="1">
      <c r="A2898" t="str">
        <f t="shared" ca="1" si="1039"/>
        <v/>
      </c>
      <c r="B2898">
        <f t="shared" si="1040"/>
        <v>86</v>
      </c>
      <c r="C2898">
        <f t="shared" ca="1" si="1026"/>
        <v>83</v>
      </c>
      <c r="D2898" t="str">
        <f t="shared" si="1041"/>
        <v>F86</v>
      </c>
      <c r="E2898" t="str">
        <f t="shared" ca="1" si="1042"/>
        <v/>
      </c>
      <c r="F2898" t="str">
        <f t="shared" ca="1" si="1043"/>
        <v xml:space="preserve">Enter a 'Low-Income Units' for  building 83 in cell F86.
</v>
      </c>
      <c r="G2898" s="9" t="str">
        <f t="shared" ca="1" si="1024"/>
        <v xml:space="preserve">Enter a value for 'Number of Floors in the Tallest Building' in cell B58.
</v>
      </c>
      <c r="H2898" s="52" t="str">
        <f t="shared" ca="1" si="1044"/>
        <v>Low-Income Units</v>
      </c>
      <c r="I2898" s="52">
        <v>6</v>
      </c>
    </row>
    <row r="2899" spans="1:10" ht="15" customHeight="1">
      <c r="A2899" t="str">
        <f t="shared" ca="1" si="1039"/>
        <v/>
      </c>
      <c r="B2899">
        <f t="shared" si="1040"/>
        <v>86</v>
      </c>
      <c r="C2899">
        <f t="shared" ca="1" si="1026"/>
        <v>83</v>
      </c>
      <c r="D2899" t="str">
        <f t="shared" si="1041"/>
        <v>G86</v>
      </c>
      <c r="E2899" t="str">
        <f t="shared" ca="1" si="1042"/>
        <v/>
      </c>
      <c r="F2899" t="str">
        <f t="shared" ca="1" si="1043"/>
        <v xml:space="preserve">Enter a 'Residential Square Footage**' for  building 83 in cell G86.
</v>
      </c>
      <c r="G2899" s="9" t="str">
        <f t="shared" ca="1" si="1024"/>
        <v xml:space="preserve">Enter a value for 'Number of Floors in the Tallest Building' in cell B58.
</v>
      </c>
      <c r="H2899" s="52" t="str">
        <f t="shared" ca="1" si="1044"/>
        <v>Residential Square Footage**</v>
      </c>
      <c r="I2899" s="52">
        <v>7</v>
      </c>
    </row>
    <row r="2900" spans="1:10" ht="15" customHeight="1">
      <c r="A2900" t="str">
        <f t="shared" ca="1" si="1039"/>
        <v/>
      </c>
      <c r="B2900">
        <f t="shared" si="1040"/>
        <v>86</v>
      </c>
      <c r="C2900">
        <f t="shared" ca="1" si="1026"/>
        <v>83</v>
      </c>
      <c r="D2900" t="str">
        <f t="shared" si="1041"/>
        <v>H86</v>
      </c>
      <c r="E2900" t="str">
        <f t="shared" ca="1" si="1042"/>
        <v/>
      </c>
      <c r="F2900" t="str">
        <f t="shared" ca="1" si="1043"/>
        <v xml:space="preserve">Enter a 'Square Footage of Employee Units' for  building 83 in cell H86.
</v>
      </c>
      <c r="G2900" s="9" t="str">
        <f t="shared" ca="1" si="1024"/>
        <v xml:space="preserve">Enter a value for 'Number of Floors in the Tallest Building' in cell B58.
</v>
      </c>
      <c r="H2900" s="52" t="str">
        <f t="shared" ca="1" si="1044"/>
        <v>Square Footage of Employee Units</v>
      </c>
      <c r="I2900" s="52">
        <v>8</v>
      </c>
    </row>
    <row r="2901" spans="1:10" ht="15" customHeight="1">
      <c r="A2901" t="str">
        <f t="shared" ca="1" si="1039"/>
        <v/>
      </c>
      <c r="B2901">
        <f t="shared" si="1040"/>
        <v>86</v>
      </c>
      <c r="C2901">
        <f t="shared" ca="1" si="1026"/>
        <v>83</v>
      </c>
      <c r="D2901" t="str">
        <f t="shared" si="1041"/>
        <v>I86</v>
      </c>
      <c r="E2901" t="str">
        <f t="shared" ca="1" si="1042"/>
        <v/>
      </c>
      <c r="F2901" t="str">
        <f t="shared" ca="1" si="1043"/>
        <v xml:space="preserve">Enter a 'Square Footage of Low-Income Units' for  building 83 in cell I86.
</v>
      </c>
      <c r="G2901" s="9" t="str">
        <f t="shared" ca="1" si="1024"/>
        <v xml:space="preserve">Enter a value for 'Number of Floors in the Tallest Building' in cell B58.
</v>
      </c>
      <c r="H2901" s="52" t="str">
        <f t="shared" ca="1" si="1044"/>
        <v>Square Footage of Low-Income Units</v>
      </c>
      <c r="I2901" s="52">
        <v>9</v>
      </c>
    </row>
    <row r="2902" spans="1:10" ht="15" customHeight="1">
      <c r="A2902" t="str">
        <f t="shared" ca="1" si="1039"/>
        <v/>
      </c>
      <c r="B2902">
        <f t="shared" si="1040"/>
        <v>86</v>
      </c>
      <c r="C2902">
        <f t="shared" ca="1" si="1026"/>
        <v>83</v>
      </c>
      <c r="D2902" t="str">
        <f t="shared" si="1041"/>
        <v>J86</v>
      </c>
      <c r="E2902" t="str">
        <f t="shared" ca="1" si="1042"/>
        <v/>
      </c>
      <c r="F2902" t="str">
        <f t="shared" ca="1" si="1043"/>
        <v xml:space="preserve">Enter a 'Placed-In-Service Date' for  building 83 in cell J86.
</v>
      </c>
      <c r="G2902" s="9" t="str">
        <f t="shared" ca="1" si="1024"/>
        <v xml:space="preserve">Enter a value for 'Number of Floors in the Tallest Building' in cell B58.
</v>
      </c>
      <c r="H2902" s="52" t="str">
        <f t="shared" ca="1" si="1044"/>
        <v>Placed-In-Service Date</v>
      </c>
      <c r="I2902" s="52">
        <v>10</v>
      </c>
    </row>
    <row r="2903" spans="1:10" ht="15" customHeight="1">
      <c r="A2903" t="str">
        <f t="shared" ca="1" si="1039"/>
        <v/>
      </c>
      <c r="B2903">
        <f t="shared" si="1040"/>
        <v>86</v>
      </c>
      <c r="C2903">
        <f t="shared" ca="1" si="1026"/>
        <v>83</v>
      </c>
      <c r="D2903" t="str">
        <f t="shared" si="1041"/>
        <v>K86</v>
      </c>
      <c r="E2903" t="str">
        <f t="shared" ca="1" si="1042"/>
        <v/>
      </c>
      <c r="F2903" t="str">
        <f t="shared" ca="1" si="1043"/>
        <v xml:space="preserve">Enter a 'New Construction/ Rehab APR' for  building 83 in cell K86.
</v>
      </c>
      <c r="G2903" s="9" t="str">
        <f t="shared" ca="1" si="1024"/>
        <v xml:space="preserve">Enter a value for 'Number of Floors in the Tallest Building' in cell B58.
</v>
      </c>
      <c r="H2903" s="52" t="str">
        <f t="shared" ca="1" si="1044"/>
        <v>New Construction/ Rehab APR</v>
      </c>
      <c r="I2903" s="52">
        <v>11</v>
      </c>
    </row>
    <row r="2904" spans="1:10" ht="15" customHeight="1">
      <c r="A2904" t="str">
        <f t="shared" ca="1" si="1039"/>
        <v/>
      </c>
      <c r="B2904">
        <f t="shared" si="1040"/>
        <v>86</v>
      </c>
      <c r="C2904">
        <f t="shared" ca="1" si="1026"/>
        <v>83</v>
      </c>
      <c r="D2904" t="str">
        <f t="shared" si="1041"/>
        <v>L86</v>
      </c>
      <c r="E2904" t="str">
        <f t="shared" ca="1" si="1042"/>
        <v/>
      </c>
      <c r="F2904" t="str">
        <f t="shared" ca="1" si="1043"/>
        <v xml:space="preserve">Enter a 'New Construction Eligible Basis' for  building 83 in cell L86.
</v>
      </c>
      <c r="G2904" s="9" t="str">
        <f t="shared" ca="1" si="1024"/>
        <v xml:space="preserve">Enter a value for 'Number of Floors in the Tallest Building' in cell B58.
</v>
      </c>
      <c r="H2904" s="52" t="str">
        <f t="shared" ca="1" si="1044"/>
        <v>New Construction Eligible Basis</v>
      </c>
      <c r="I2904" s="52">
        <v>12</v>
      </c>
    </row>
    <row r="2905" spans="1:10" ht="15" customHeight="1">
      <c r="A2905" t="str">
        <f ca="1">IF(AND(OFFSET(A2905, -I2905 + 2, 4) &gt;  0, E2905="", Calculations!$B$7), F2905, "")</f>
        <v/>
      </c>
      <c r="B2905">
        <f t="shared" si="1040"/>
        <v>86</v>
      </c>
      <c r="C2905">
        <f t="shared" ca="1" si="1026"/>
        <v>83</v>
      </c>
      <c r="D2905" t="str">
        <f t="shared" si="1041"/>
        <v>M86</v>
      </c>
      <c r="E2905" t="str">
        <f t="shared" ca="1" si="1042"/>
        <v/>
      </c>
      <c r="F2905" t="str">
        <f t="shared" ca="1" si="1043"/>
        <v xml:space="preserve">Enter a 'Eligible Basis for Rehab' for  building 83 in cell M86.
</v>
      </c>
      <c r="G2905" s="9" t="str">
        <f t="shared" ca="1" si="1024"/>
        <v xml:space="preserve">Enter a value for 'Number of Floors in the Tallest Building' in cell B58.
</v>
      </c>
      <c r="H2905" s="52" t="str">
        <f t="shared" ca="1" si="1044"/>
        <v>Eligible Basis for Rehab</v>
      </c>
      <c r="I2905" s="52">
        <v>13</v>
      </c>
    </row>
    <row r="2906" spans="1:10" ht="15" customHeight="1">
      <c r="A2906" t="str">
        <f ca="1">IF(AND(OFFSET(A2906, -I2906 + 2, 4) &gt;  0, E2906="", Calculations!$B$7), F2906, "")</f>
        <v/>
      </c>
      <c r="B2906">
        <f t="shared" si="1040"/>
        <v>86</v>
      </c>
      <c r="C2906">
        <f t="shared" ca="1" si="1026"/>
        <v>83</v>
      </c>
      <c r="D2906" t="str">
        <f t="shared" si="1041"/>
        <v>N86</v>
      </c>
      <c r="E2906" t="str">
        <f t="shared" ca="1" si="1042"/>
        <v/>
      </c>
      <c r="F2906" t="str">
        <f t="shared" ca="1" si="1043"/>
        <v xml:space="preserve">Enter a 'Cost of Acquiring the Building***' for  building 83 in cell N86.
</v>
      </c>
      <c r="G2906" s="9" t="str">
        <f t="shared" ca="1" si="1024"/>
        <v xml:space="preserve">Enter a value for 'Number of Floors in the Tallest Building' in cell B58.
</v>
      </c>
      <c r="H2906" s="52" t="str">
        <f t="shared" ca="1" si="1044"/>
        <v>Cost of Acquiring the Building***</v>
      </c>
      <c r="I2906" s="52">
        <v>14</v>
      </c>
    </row>
    <row r="2907" spans="1:10" ht="15" customHeight="1">
      <c r="A2907" t="str">
        <f ca="1">IF(AND(OFFSET(A2907, -I2907 + 2, 4) &gt;  0, E2907="", Calculations!$B$7), F2907, "")</f>
        <v/>
      </c>
      <c r="B2907">
        <f t="shared" si="1040"/>
        <v>86</v>
      </c>
      <c r="C2907">
        <f t="shared" ca="1" si="1026"/>
        <v>83</v>
      </c>
      <c r="D2907" t="str">
        <f t="shared" si="1041"/>
        <v>O86</v>
      </c>
      <c r="E2907" t="str">
        <f t="shared" ca="1" si="1042"/>
        <v/>
      </c>
      <c r="F2907" t="str">
        <f t="shared" ca="1" si="1043"/>
        <v xml:space="preserve">Enter a 'Higher of Land Purchase Price or Land Appraised Value****' for  building 83 in cell O86.
</v>
      </c>
      <c r="G2907" s="9" t="str">
        <f t="shared" ca="1" si="1024"/>
        <v xml:space="preserve">Enter a value for 'Number of Floors in the Tallest Building' in cell B58.
</v>
      </c>
      <c r="H2907" s="52" t="str">
        <f t="shared" ca="1" si="1044"/>
        <v>Higher of Land Purchase Price or Land Appraised Value****</v>
      </c>
      <c r="I2907" s="52">
        <v>15</v>
      </c>
    </row>
    <row r="2908" spans="1:10" ht="15" customHeight="1">
      <c r="A2908" t="str">
        <f ca="1">IF(AND(OFFSET(A2908, -I2908 + 2, 4) &gt;  0, E2908="", Calculations!$B$7), F2908, "")</f>
        <v/>
      </c>
      <c r="B2908">
        <f t="shared" si="1040"/>
        <v>86</v>
      </c>
      <c r="C2908">
        <f t="shared" ca="1" si="1026"/>
        <v>83</v>
      </c>
      <c r="D2908" t="str">
        <f t="shared" si="1041"/>
        <v>P86</v>
      </c>
      <c r="E2908" t="str">
        <f t="shared" ca="1" si="1042"/>
        <v/>
      </c>
      <c r="F2908" t="str">
        <f t="shared" ca="1" si="1043"/>
        <v xml:space="preserve">Enter a 'Acquisition Placed-in-Service Date' for  building 83 in cell P86.
</v>
      </c>
      <c r="G2908" s="9" t="str">
        <f t="shared" ca="1" si="1024"/>
        <v xml:space="preserve">Enter a value for 'Number of Floors in the Tallest Building' in cell B58.
</v>
      </c>
      <c r="H2908" s="52" t="str">
        <f t="shared" ca="1" si="1044"/>
        <v>Acquisition Placed-in-Service Date</v>
      </c>
      <c r="I2908" s="52">
        <v>16</v>
      </c>
    </row>
    <row r="2909" spans="1:10" ht="15" customHeight="1">
      <c r="A2909" t="str">
        <f ca="1">IF(AND(OFFSET(A2909, -I2909 + 2, 4) &gt;  0, E2909="", Calculations!$B$7), F2909, "")</f>
        <v/>
      </c>
      <c r="B2909">
        <f t="shared" si="1040"/>
        <v>86</v>
      </c>
      <c r="C2909">
        <f t="shared" ca="1" si="1026"/>
        <v>83</v>
      </c>
      <c r="D2909" t="str">
        <f t="shared" si="1041"/>
        <v>Q86</v>
      </c>
      <c r="E2909" t="str">
        <f t="shared" ca="1" si="1042"/>
        <v/>
      </c>
      <c r="F2909" t="str">
        <f t="shared" ca="1" si="1043"/>
        <v xml:space="preserve">Enter a 'Acquisition APR' for  building 83 in cell Q86.
</v>
      </c>
      <c r="G2909" s="9" t="str">
        <f t="shared" ca="1" si="1024"/>
        <v xml:space="preserve">Enter a value for 'Number of Floors in the Tallest Building' in cell B58.
</v>
      </c>
      <c r="H2909" s="52" t="str">
        <f t="shared" ca="1" si="1044"/>
        <v>Acquisition APR</v>
      </c>
      <c r="I2909" s="52">
        <v>17</v>
      </c>
    </row>
    <row r="2910" spans="1:10" ht="15" customHeight="1">
      <c r="A2910" t="str">
        <f ca="1">IF(AND(Calculations!$B$4,Calculations!$B$28&gt;=C2910, E2910 &lt;&gt; 13),F2910,"")</f>
        <v/>
      </c>
      <c r="B2910">
        <f>ROW('Final Building Profile'!C87)</f>
        <v>87</v>
      </c>
      <c r="C2910">
        <f t="shared" ca="1" si="1026"/>
        <v>84</v>
      </c>
      <c r="D2910" t="str">
        <f>ADDRESS(B2910, 3,4  )</f>
        <v>C87</v>
      </c>
      <c r="E2910" s="52">
        <f ca="1">H2910+I2910</f>
        <v>0</v>
      </c>
      <c r="F2910" t="str">
        <f ca="1">CONCATENATE("Based upon the number of buildings specified, information for  building ", C2910, " required for a final application in row ", B2910, ".", CHAR(10))</f>
        <v xml:space="preserve">Based upon the number of buildings specified, information for  building 84 required for a final application in row 87.
</v>
      </c>
      <c r="G2910" s="9" t="str">
        <f t="shared" ca="1" si="1024"/>
        <v xml:space="preserve">Enter a value for 'Number of Floors in the Tallest Building' in cell B58.
</v>
      </c>
      <c r="H2910" s="52">
        <f ca="1">SUMPRODUCT(--ISTEXT(INDIRECT(J2910)))</f>
        <v>0</v>
      </c>
      <c r="I2910" s="52">
        <f ca="1">SUMPRODUCT(--ISNUMBER(INDIRECT(J2910)))</f>
        <v>0</v>
      </c>
      <c r="J2910" s="52" t="str">
        <f>$F$1564&amp; ADDRESS(B2910,3,4) &amp; ":" &amp; ADDRESS(B2910,15,4)</f>
        <v>'Final Building Profile'!C87:O87</v>
      </c>
    </row>
    <row r="2911" spans="1:10" ht="15" customHeight="1">
      <c r="A2911" t="str">
        <f t="shared" ref="A2911:A2920" ca="1" si="1045">IF(AND(OFFSET(A2911, -I2911 + 2, 4) &gt;  0, E2911=""), F2911, "")</f>
        <v/>
      </c>
      <c r="B2911">
        <f t="shared" ref="B2911:B2925" si="1046">B2910</f>
        <v>87</v>
      </c>
      <c r="C2911">
        <f t="shared" ca="1" si="1026"/>
        <v>84</v>
      </c>
      <c r="D2911" t="str">
        <f t="shared" ref="D2911:D2925" si="1047">ADDRESS(B2911, I2911,4  )</f>
        <v>C87</v>
      </c>
      <c r="E2911" t="str">
        <f t="shared" ref="E2911:E2925" ca="1" si="1048">IF(ISBLANK( INDIRECT($F$1564 &amp; D2911)),"", INDIRECT($F$1564 &amp; D2911))</f>
        <v/>
      </c>
      <c r="F2911" t="str">
        <f t="shared" ref="F2911:F2925" ca="1" si="1049">CONCATENATE("Enter a '"&amp; H2911 &amp;"' for  building ", C2911, " in cell ", D2911, ".", CHAR(10))</f>
        <v xml:space="preserve">Enter a 'Building Street Address Only 
(DO NOT ENTER CITY, STATE, OR ZIP)' for  building 84 in cell C87.
</v>
      </c>
      <c r="G2911" s="9" t="str">
        <f t="shared" ref="G2911:G2974" ca="1" si="1050">OFFSET(G2911, -1, 0) &amp; A2911</f>
        <v xml:space="preserve">Enter a value for 'Number of Floors in the Tallest Building' in cell B58.
</v>
      </c>
      <c r="H2911" s="52" t="str">
        <f t="shared" ref="H2911:H2925" ca="1" si="1051">OFFSET(INDIRECT($F$1564 &amp; D2911), -B2911 + 3, 0)</f>
        <v>Building Street Address Only 
(DO NOT ENTER CITY, STATE, OR ZIP)</v>
      </c>
      <c r="I2911" s="52">
        <v>3</v>
      </c>
    </row>
    <row r="2912" spans="1:10" ht="15" customHeight="1">
      <c r="A2912" t="str">
        <f t="shared" ca="1" si="1045"/>
        <v/>
      </c>
      <c r="B2912">
        <f t="shared" si="1046"/>
        <v>87</v>
      </c>
      <c r="C2912">
        <f t="shared" ca="1" si="1026"/>
        <v>84</v>
      </c>
      <c r="D2912" t="str">
        <f t="shared" si="1047"/>
        <v>D87</v>
      </c>
      <c r="E2912" t="str">
        <f t="shared" ca="1" si="1048"/>
        <v/>
      </c>
      <c r="F2912" t="str">
        <f t="shared" ca="1" si="1049"/>
        <v xml:space="preserve">Enter a 'Total Units in Building*' for  building 84 in cell D87.
</v>
      </c>
      <c r="G2912" s="9" t="str">
        <f t="shared" ca="1" si="1050"/>
        <v xml:space="preserve">Enter a value for 'Number of Floors in the Tallest Building' in cell B58.
</v>
      </c>
      <c r="H2912" s="52" t="str">
        <f t="shared" ca="1" si="1051"/>
        <v>Total Units in Building*</v>
      </c>
      <c r="I2912" s="52">
        <v>4</v>
      </c>
    </row>
    <row r="2913" spans="1:10" ht="15" customHeight="1">
      <c r="A2913" t="str">
        <f t="shared" ca="1" si="1045"/>
        <v/>
      </c>
      <c r="B2913">
        <f t="shared" si="1046"/>
        <v>87</v>
      </c>
      <c r="C2913">
        <f t="shared" ca="1" si="1026"/>
        <v>84</v>
      </c>
      <c r="D2913" t="str">
        <f t="shared" si="1047"/>
        <v>E87</v>
      </c>
      <c r="E2913" t="str">
        <f t="shared" ca="1" si="1048"/>
        <v/>
      </c>
      <c r="F2913" t="str">
        <f t="shared" ca="1" si="1049"/>
        <v xml:space="preserve">Enter a 'Employee Units' for  building 84 in cell E87.
</v>
      </c>
      <c r="G2913" s="9" t="str">
        <f t="shared" ca="1" si="1050"/>
        <v xml:space="preserve">Enter a value for 'Number of Floors in the Tallest Building' in cell B58.
</v>
      </c>
      <c r="H2913" s="52" t="str">
        <f t="shared" ca="1" si="1051"/>
        <v>Employee Units</v>
      </c>
      <c r="I2913" s="52">
        <v>5</v>
      </c>
    </row>
    <row r="2914" spans="1:10" ht="15" customHeight="1">
      <c r="A2914" t="str">
        <f t="shared" ca="1" si="1045"/>
        <v/>
      </c>
      <c r="B2914">
        <f t="shared" si="1046"/>
        <v>87</v>
      </c>
      <c r="C2914">
        <f t="shared" ca="1" si="1026"/>
        <v>84</v>
      </c>
      <c r="D2914" t="str">
        <f t="shared" si="1047"/>
        <v>F87</v>
      </c>
      <c r="E2914" t="str">
        <f t="shared" ca="1" si="1048"/>
        <v/>
      </c>
      <c r="F2914" t="str">
        <f t="shared" ca="1" si="1049"/>
        <v xml:space="preserve">Enter a 'Low-Income Units' for  building 84 in cell F87.
</v>
      </c>
      <c r="G2914" s="9" t="str">
        <f t="shared" ca="1" si="1050"/>
        <v xml:space="preserve">Enter a value for 'Number of Floors in the Tallest Building' in cell B58.
</v>
      </c>
      <c r="H2914" s="52" t="str">
        <f t="shared" ca="1" si="1051"/>
        <v>Low-Income Units</v>
      </c>
      <c r="I2914" s="52">
        <v>6</v>
      </c>
    </row>
    <row r="2915" spans="1:10" ht="15" customHeight="1">
      <c r="A2915" t="str">
        <f t="shared" ca="1" si="1045"/>
        <v/>
      </c>
      <c r="B2915">
        <f t="shared" si="1046"/>
        <v>87</v>
      </c>
      <c r="C2915">
        <f t="shared" ca="1" si="1026"/>
        <v>84</v>
      </c>
      <c r="D2915" t="str">
        <f t="shared" si="1047"/>
        <v>G87</v>
      </c>
      <c r="E2915" t="str">
        <f t="shared" ca="1" si="1048"/>
        <v/>
      </c>
      <c r="F2915" t="str">
        <f t="shared" ca="1" si="1049"/>
        <v xml:space="preserve">Enter a 'Residential Square Footage**' for  building 84 in cell G87.
</v>
      </c>
      <c r="G2915" s="9" t="str">
        <f t="shared" ca="1" si="1050"/>
        <v xml:space="preserve">Enter a value for 'Number of Floors in the Tallest Building' in cell B58.
</v>
      </c>
      <c r="H2915" s="52" t="str">
        <f t="shared" ca="1" si="1051"/>
        <v>Residential Square Footage**</v>
      </c>
      <c r="I2915" s="52">
        <v>7</v>
      </c>
    </row>
    <row r="2916" spans="1:10" ht="15" customHeight="1">
      <c r="A2916" t="str">
        <f t="shared" ca="1" si="1045"/>
        <v/>
      </c>
      <c r="B2916">
        <f t="shared" si="1046"/>
        <v>87</v>
      </c>
      <c r="C2916">
        <f t="shared" ca="1" si="1026"/>
        <v>84</v>
      </c>
      <c r="D2916" t="str">
        <f t="shared" si="1047"/>
        <v>H87</v>
      </c>
      <c r="E2916" t="str">
        <f t="shared" ca="1" si="1048"/>
        <v/>
      </c>
      <c r="F2916" t="str">
        <f t="shared" ca="1" si="1049"/>
        <v xml:space="preserve">Enter a 'Square Footage of Employee Units' for  building 84 in cell H87.
</v>
      </c>
      <c r="G2916" s="9" t="str">
        <f t="shared" ca="1" si="1050"/>
        <v xml:space="preserve">Enter a value for 'Number of Floors in the Tallest Building' in cell B58.
</v>
      </c>
      <c r="H2916" s="52" t="str">
        <f t="shared" ca="1" si="1051"/>
        <v>Square Footage of Employee Units</v>
      </c>
      <c r="I2916" s="52">
        <v>8</v>
      </c>
    </row>
    <row r="2917" spans="1:10" ht="15" customHeight="1">
      <c r="A2917" t="str">
        <f t="shared" ca="1" si="1045"/>
        <v/>
      </c>
      <c r="B2917">
        <f t="shared" si="1046"/>
        <v>87</v>
      </c>
      <c r="C2917">
        <f t="shared" ca="1" si="1026"/>
        <v>84</v>
      </c>
      <c r="D2917" t="str">
        <f t="shared" si="1047"/>
        <v>I87</v>
      </c>
      <c r="E2917" t="str">
        <f t="shared" ca="1" si="1048"/>
        <v/>
      </c>
      <c r="F2917" t="str">
        <f t="shared" ca="1" si="1049"/>
        <v xml:space="preserve">Enter a 'Square Footage of Low-Income Units' for  building 84 in cell I87.
</v>
      </c>
      <c r="G2917" s="9" t="str">
        <f t="shared" ca="1" si="1050"/>
        <v xml:space="preserve">Enter a value for 'Number of Floors in the Tallest Building' in cell B58.
</v>
      </c>
      <c r="H2917" s="52" t="str">
        <f t="shared" ca="1" si="1051"/>
        <v>Square Footage of Low-Income Units</v>
      </c>
      <c r="I2917" s="52">
        <v>9</v>
      </c>
    </row>
    <row r="2918" spans="1:10" ht="15" customHeight="1">
      <c r="A2918" t="str">
        <f t="shared" ca="1" si="1045"/>
        <v/>
      </c>
      <c r="B2918">
        <f t="shared" si="1046"/>
        <v>87</v>
      </c>
      <c r="C2918">
        <f t="shared" ca="1" si="1026"/>
        <v>84</v>
      </c>
      <c r="D2918" t="str">
        <f t="shared" si="1047"/>
        <v>J87</v>
      </c>
      <c r="E2918" t="str">
        <f t="shared" ca="1" si="1048"/>
        <v/>
      </c>
      <c r="F2918" t="str">
        <f t="shared" ca="1" si="1049"/>
        <v xml:space="preserve">Enter a 'Placed-In-Service Date' for  building 84 in cell J87.
</v>
      </c>
      <c r="G2918" s="9" t="str">
        <f t="shared" ca="1" si="1050"/>
        <v xml:space="preserve">Enter a value for 'Number of Floors in the Tallest Building' in cell B58.
</v>
      </c>
      <c r="H2918" s="52" t="str">
        <f t="shared" ca="1" si="1051"/>
        <v>Placed-In-Service Date</v>
      </c>
      <c r="I2918" s="52">
        <v>10</v>
      </c>
    </row>
    <row r="2919" spans="1:10" ht="15" customHeight="1">
      <c r="A2919" t="str">
        <f t="shared" ca="1" si="1045"/>
        <v/>
      </c>
      <c r="B2919">
        <f t="shared" si="1046"/>
        <v>87</v>
      </c>
      <c r="C2919">
        <f t="shared" ca="1" si="1026"/>
        <v>84</v>
      </c>
      <c r="D2919" t="str">
        <f t="shared" si="1047"/>
        <v>K87</v>
      </c>
      <c r="E2919" t="str">
        <f t="shared" ca="1" si="1048"/>
        <v/>
      </c>
      <c r="F2919" t="str">
        <f t="shared" ca="1" si="1049"/>
        <v xml:space="preserve">Enter a 'New Construction/ Rehab APR' for  building 84 in cell K87.
</v>
      </c>
      <c r="G2919" s="9" t="str">
        <f t="shared" ca="1" si="1050"/>
        <v xml:space="preserve">Enter a value for 'Number of Floors in the Tallest Building' in cell B58.
</v>
      </c>
      <c r="H2919" s="52" t="str">
        <f t="shared" ca="1" si="1051"/>
        <v>New Construction/ Rehab APR</v>
      </c>
      <c r="I2919" s="52">
        <v>11</v>
      </c>
    </row>
    <row r="2920" spans="1:10" ht="15" customHeight="1">
      <c r="A2920" t="str">
        <f t="shared" ca="1" si="1045"/>
        <v/>
      </c>
      <c r="B2920">
        <f t="shared" si="1046"/>
        <v>87</v>
      </c>
      <c r="C2920">
        <f t="shared" ca="1" si="1026"/>
        <v>84</v>
      </c>
      <c r="D2920" t="str">
        <f t="shared" si="1047"/>
        <v>L87</v>
      </c>
      <c r="E2920" t="str">
        <f t="shared" ca="1" si="1048"/>
        <v/>
      </c>
      <c r="F2920" t="str">
        <f t="shared" ca="1" si="1049"/>
        <v xml:space="preserve">Enter a 'New Construction Eligible Basis' for  building 84 in cell L87.
</v>
      </c>
      <c r="G2920" s="9" t="str">
        <f t="shared" ca="1" si="1050"/>
        <v xml:space="preserve">Enter a value for 'Number of Floors in the Tallest Building' in cell B58.
</v>
      </c>
      <c r="H2920" s="52" t="str">
        <f t="shared" ca="1" si="1051"/>
        <v>New Construction Eligible Basis</v>
      </c>
      <c r="I2920" s="52">
        <v>12</v>
      </c>
    </row>
    <row r="2921" spans="1:10" ht="15" customHeight="1">
      <c r="A2921" t="str">
        <f ca="1">IF(AND(OFFSET(A2921, -I2921 + 2, 4) &gt;  0, E2921="", Calculations!$B$7), F2921, "")</f>
        <v/>
      </c>
      <c r="B2921">
        <f t="shared" si="1046"/>
        <v>87</v>
      </c>
      <c r="C2921">
        <f t="shared" ca="1" si="1026"/>
        <v>84</v>
      </c>
      <c r="D2921" t="str">
        <f t="shared" si="1047"/>
        <v>M87</v>
      </c>
      <c r="E2921" t="str">
        <f t="shared" ca="1" si="1048"/>
        <v/>
      </c>
      <c r="F2921" t="str">
        <f t="shared" ca="1" si="1049"/>
        <v xml:space="preserve">Enter a 'Eligible Basis for Rehab' for  building 84 in cell M87.
</v>
      </c>
      <c r="G2921" s="9" t="str">
        <f t="shared" ca="1" si="1050"/>
        <v xml:space="preserve">Enter a value for 'Number of Floors in the Tallest Building' in cell B58.
</v>
      </c>
      <c r="H2921" s="52" t="str">
        <f t="shared" ca="1" si="1051"/>
        <v>Eligible Basis for Rehab</v>
      </c>
      <c r="I2921" s="52">
        <v>13</v>
      </c>
    </row>
    <row r="2922" spans="1:10" ht="15" customHeight="1">
      <c r="A2922" t="str">
        <f ca="1">IF(AND(OFFSET(A2922, -I2922 + 2, 4) &gt;  0, E2922="", Calculations!$B$7), F2922, "")</f>
        <v/>
      </c>
      <c r="B2922">
        <f t="shared" si="1046"/>
        <v>87</v>
      </c>
      <c r="C2922">
        <f t="shared" ca="1" si="1026"/>
        <v>84</v>
      </c>
      <c r="D2922" t="str">
        <f t="shared" si="1047"/>
        <v>N87</v>
      </c>
      <c r="E2922" t="str">
        <f t="shared" ca="1" si="1048"/>
        <v/>
      </c>
      <c r="F2922" t="str">
        <f t="shared" ca="1" si="1049"/>
        <v xml:space="preserve">Enter a 'Cost of Acquiring the Building***' for  building 84 in cell N87.
</v>
      </c>
      <c r="G2922" s="9" t="str">
        <f t="shared" ca="1" si="1050"/>
        <v xml:space="preserve">Enter a value for 'Number of Floors in the Tallest Building' in cell B58.
</v>
      </c>
      <c r="H2922" s="52" t="str">
        <f t="shared" ca="1" si="1051"/>
        <v>Cost of Acquiring the Building***</v>
      </c>
      <c r="I2922" s="52">
        <v>14</v>
      </c>
    </row>
    <row r="2923" spans="1:10" ht="15" customHeight="1">
      <c r="A2923" t="str">
        <f ca="1">IF(AND(OFFSET(A2923, -I2923 + 2, 4) &gt;  0, E2923="", Calculations!$B$7), F2923, "")</f>
        <v/>
      </c>
      <c r="B2923">
        <f t="shared" si="1046"/>
        <v>87</v>
      </c>
      <c r="C2923">
        <f t="shared" ca="1" si="1026"/>
        <v>84</v>
      </c>
      <c r="D2923" t="str">
        <f t="shared" si="1047"/>
        <v>O87</v>
      </c>
      <c r="E2923" t="str">
        <f t="shared" ca="1" si="1048"/>
        <v/>
      </c>
      <c r="F2923" t="str">
        <f t="shared" ca="1" si="1049"/>
        <v xml:space="preserve">Enter a 'Higher of Land Purchase Price or Land Appraised Value****' for  building 84 in cell O87.
</v>
      </c>
      <c r="G2923" s="9" t="str">
        <f t="shared" ca="1" si="1050"/>
        <v xml:space="preserve">Enter a value for 'Number of Floors in the Tallest Building' in cell B58.
</v>
      </c>
      <c r="H2923" s="52" t="str">
        <f t="shared" ca="1" si="1051"/>
        <v>Higher of Land Purchase Price or Land Appraised Value****</v>
      </c>
      <c r="I2923" s="52">
        <v>15</v>
      </c>
    </row>
    <row r="2924" spans="1:10" ht="15" customHeight="1">
      <c r="A2924" t="str">
        <f ca="1">IF(AND(OFFSET(A2924, -I2924 + 2, 4) &gt;  0, E2924="", Calculations!$B$7), F2924, "")</f>
        <v/>
      </c>
      <c r="B2924">
        <f t="shared" si="1046"/>
        <v>87</v>
      </c>
      <c r="C2924">
        <f t="shared" ca="1" si="1026"/>
        <v>84</v>
      </c>
      <c r="D2924" t="str">
        <f t="shared" si="1047"/>
        <v>P87</v>
      </c>
      <c r="E2924" t="str">
        <f t="shared" ca="1" si="1048"/>
        <v/>
      </c>
      <c r="F2924" t="str">
        <f t="shared" ca="1" si="1049"/>
        <v xml:space="preserve">Enter a 'Acquisition Placed-in-Service Date' for  building 84 in cell P87.
</v>
      </c>
      <c r="G2924" s="9" t="str">
        <f t="shared" ca="1" si="1050"/>
        <v xml:space="preserve">Enter a value for 'Number of Floors in the Tallest Building' in cell B58.
</v>
      </c>
      <c r="H2924" s="52" t="str">
        <f t="shared" ca="1" si="1051"/>
        <v>Acquisition Placed-in-Service Date</v>
      </c>
      <c r="I2924" s="52">
        <v>16</v>
      </c>
    </row>
    <row r="2925" spans="1:10" ht="15" customHeight="1">
      <c r="A2925" t="str">
        <f ca="1">IF(AND(OFFSET(A2925, -I2925 + 2, 4) &gt;  0, E2925="", Calculations!$B$7), F2925, "")</f>
        <v/>
      </c>
      <c r="B2925">
        <f t="shared" si="1046"/>
        <v>87</v>
      </c>
      <c r="C2925">
        <f t="shared" ca="1" si="1026"/>
        <v>84</v>
      </c>
      <c r="D2925" t="str">
        <f t="shared" si="1047"/>
        <v>Q87</v>
      </c>
      <c r="E2925" t="str">
        <f t="shared" ca="1" si="1048"/>
        <v/>
      </c>
      <c r="F2925" t="str">
        <f t="shared" ca="1" si="1049"/>
        <v xml:space="preserve">Enter a 'Acquisition APR' for  building 84 in cell Q87.
</v>
      </c>
      <c r="G2925" s="9" t="str">
        <f t="shared" ca="1" si="1050"/>
        <v xml:space="preserve">Enter a value for 'Number of Floors in the Tallest Building' in cell B58.
</v>
      </c>
      <c r="H2925" s="52" t="str">
        <f t="shared" ca="1" si="1051"/>
        <v>Acquisition APR</v>
      </c>
      <c r="I2925" s="52">
        <v>17</v>
      </c>
    </row>
    <row r="2926" spans="1:10" ht="15" customHeight="1">
      <c r="A2926" t="str">
        <f ca="1">IF(AND(Calculations!$B$4,Calculations!$B$28&gt;=C2926, E2926 &lt;&gt; 13),F2926,"")</f>
        <v/>
      </c>
      <c r="B2926">
        <f>ROW('Final Building Profile'!C88)</f>
        <v>88</v>
      </c>
      <c r="C2926">
        <f t="shared" ref="C2926:C2989" ca="1" si="1052">INDIRECT($F$1564 &amp; ADDRESS(B2926, 1,4  ))</f>
        <v>85</v>
      </c>
      <c r="D2926" t="str">
        <f>ADDRESS(B2926, 3,4  )</f>
        <v>C88</v>
      </c>
      <c r="E2926" s="52">
        <f ca="1">H2926+I2926</f>
        <v>0</v>
      </c>
      <c r="F2926" t="str">
        <f ca="1">CONCATENATE("Based upon the number of buildings specified, information for  building ", C2926, " required for a final application in row ", B2926, ".", CHAR(10))</f>
        <v xml:space="preserve">Based upon the number of buildings specified, information for  building 85 required for a final application in row 88.
</v>
      </c>
      <c r="G2926" s="9" t="str">
        <f t="shared" ca="1" si="1050"/>
        <v xml:space="preserve">Enter a value for 'Number of Floors in the Tallest Building' in cell B58.
</v>
      </c>
      <c r="H2926" s="52">
        <f ca="1">SUMPRODUCT(--ISTEXT(INDIRECT(J2926)))</f>
        <v>0</v>
      </c>
      <c r="I2926" s="52">
        <f ca="1">SUMPRODUCT(--ISNUMBER(INDIRECT(J2926)))</f>
        <v>0</v>
      </c>
      <c r="J2926" s="52" t="str">
        <f>$F$1564&amp; ADDRESS(B2926,3,4) &amp; ":" &amp; ADDRESS(B2926,15,4)</f>
        <v>'Final Building Profile'!C88:O88</v>
      </c>
    </row>
    <row r="2927" spans="1:10" ht="15" customHeight="1">
      <c r="A2927" t="str">
        <f t="shared" ref="A2927:A2936" ca="1" si="1053">IF(AND(OFFSET(A2927, -I2927 + 2, 4) &gt;  0, E2927=""), F2927, "")</f>
        <v/>
      </c>
      <c r="B2927">
        <f t="shared" ref="B2927:B2941" si="1054">B2926</f>
        <v>88</v>
      </c>
      <c r="C2927">
        <f t="shared" ca="1" si="1052"/>
        <v>85</v>
      </c>
      <c r="D2927" t="str">
        <f t="shared" ref="D2927:D2941" si="1055">ADDRESS(B2927, I2927,4  )</f>
        <v>C88</v>
      </c>
      <c r="E2927" t="str">
        <f t="shared" ref="E2927:E2941" ca="1" si="1056">IF(ISBLANK( INDIRECT($F$1564 &amp; D2927)),"", INDIRECT($F$1564 &amp; D2927))</f>
        <v/>
      </c>
      <c r="F2927" t="str">
        <f t="shared" ref="F2927:F2941" ca="1" si="1057">CONCATENATE("Enter a '"&amp; H2927 &amp;"' for  building ", C2927, " in cell ", D2927, ".", CHAR(10))</f>
        <v xml:space="preserve">Enter a 'Building Street Address Only 
(DO NOT ENTER CITY, STATE, OR ZIP)' for  building 85 in cell C88.
</v>
      </c>
      <c r="G2927" s="9" t="str">
        <f t="shared" ca="1" si="1050"/>
        <v xml:space="preserve">Enter a value for 'Number of Floors in the Tallest Building' in cell B58.
</v>
      </c>
      <c r="H2927" s="52" t="str">
        <f t="shared" ref="H2927:H2941" ca="1" si="1058">OFFSET(INDIRECT($F$1564 &amp; D2927), -B2927 + 3, 0)</f>
        <v>Building Street Address Only 
(DO NOT ENTER CITY, STATE, OR ZIP)</v>
      </c>
      <c r="I2927" s="52">
        <v>3</v>
      </c>
    </row>
    <row r="2928" spans="1:10" ht="15" customHeight="1">
      <c r="A2928" t="str">
        <f t="shared" ca="1" si="1053"/>
        <v/>
      </c>
      <c r="B2928">
        <f t="shared" si="1054"/>
        <v>88</v>
      </c>
      <c r="C2928">
        <f t="shared" ca="1" si="1052"/>
        <v>85</v>
      </c>
      <c r="D2928" t="str">
        <f t="shared" si="1055"/>
        <v>D88</v>
      </c>
      <c r="E2928" t="str">
        <f t="shared" ca="1" si="1056"/>
        <v/>
      </c>
      <c r="F2928" t="str">
        <f t="shared" ca="1" si="1057"/>
        <v xml:space="preserve">Enter a 'Total Units in Building*' for  building 85 in cell D88.
</v>
      </c>
      <c r="G2928" s="9" t="str">
        <f t="shared" ca="1" si="1050"/>
        <v xml:space="preserve">Enter a value for 'Number of Floors in the Tallest Building' in cell B58.
</v>
      </c>
      <c r="H2928" s="52" t="str">
        <f t="shared" ca="1" si="1058"/>
        <v>Total Units in Building*</v>
      </c>
      <c r="I2928" s="52">
        <v>4</v>
      </c>
    </row>
    <row r="2929" spans="1:10" ht="15" customHeight="1">
      <c r="A2929" t="str">
        <f t="shared" ca="1" si="1053"/>
        <v/>
      </c>
      <c r="B2929">
        <f t="shared" si="1054"/>
        <v>88</v>
      </c>
      <c r="C2929">
        <f t="shared" ca="1" si="1052"/>
        <v>85</v>
      </c>
      <c r="D2929" t="str">
        <f t="shared" si="1055"/>
        <v>E88</v>
      </c>
      <c r="E2929" t="str">
        <f t="shared" ca="1" si="1056"/>
        <v/>
      </c>
      <c r="F2929" t="str">
        <f t="shared" ca="1" si="1057"/>
        <v xml:space="preserve">Enter a 'Employee Units' for  building 85 in cell E88.
</v>
      </c>
      <c r="G2929" s="9" t="str">
        <f t="shared" ca="1" si="1050"/>
        <v xml:space="preserve">Enter a value for 'Number of Floors in the Tallest Building' in cell B58.
</v>
      </c>
      <c r="H2929" s="52" t="str">
        <f t="shared" ca="1" si="1058"/>
        <v>Employee Units</v>
      </c>
      <c r="I2929" s="52">
        <v>5</v>
      </c>
    </row>
    <row r="2930" spans="1:10" ht="15" customHeight="1">
      <c r="A2930" t="str">
        <f t="shared" ca="1" si="1053"/>
        <v/>
      </c>
      <c r="B2930">
        <f t="shared" si="1054"/>
        <v>88</v>
      </c>
      <c r="C2930">
        <f t="shared" ca="1" si="1052"/>
        <v>85</v>
      </c>
      <c r="D2930" t="str">
        <f t="shared" si="1055"/>
        <v>F88</v>
      </c>
      <c r="E2930" t="str">
        <f t="shared" ca="1" si="1056"/>
        <v/>
      </c>
      <c r="F2930" t="str">
        <f t="shared" ca="1" si="1057"/>
        <v xml:space="preserve">Enter a 'Low-Income Units' for  building 85 in cell F88.
</v>
      </c>
      <c r="G2930" s="9" t="str">
        <f t="shared" ca="1" si="1050"/>
        <v xml:space="preserve">Enter a value for 'Number of Floors in the Tallest Building' in cell B58.
</v>
      </c>
      <c r="H2930" s="52" t="str">
        <f t="shared" ca="1" si="1058"/>
        <v>Low-Income Units</v>
      </c>
      <c r="I2930" s="52">
        <v>6</v>
      </c>
    </row>
    <row r="2931" spans="1:10" ht="15" customHeight="1">
      <c r="A2931" t="str">
        <f t="shared" ca="1" si="1053"/>
        <v/>
      </c>
      <c r="B2931">
        <f t="shared" si="1054"/>
        <v>88</v>
      </c>
      <c r="C2931">
        <f t="shared" ca="1" si="1052"/>
        <v>85</v>
      </c>
      <c r="D2931" t="str">
        <f t="shared" si="1055"/>
        <v>G88</v>
      </c>
      <c r="E2931" t="str">
        <f t="shared" ca="1" si="1056"/>
        <v/>
      </c>
      <c r="F2931" t="str">
        <f t="shared" ca="1" si="1057"/>
        <v xml:space="preserve">Enter a 'Residential Square Footage**' for  building 85 in cell G88.
</v>
      </c>
      <c r="G2931" s="9" t="str">
        <f t="shared" ca="1" si="1050"/>
        <v xml:space="preserve">Enter a value for 'Number of Floors in the Tallest Building' in cell B58.
</v>
      </c>
      <c r="H2931" s="52" t="str">
        <f t="shared" ca="1" si="1058"/>
        <v>Residential Square Footage**</v>
      </c>
      <c r="I2931" s="52">
        <v>7</v>
      </c>
    </row>
    <row r="2932" spans="1:10" ht="15" customHeight="1">
      <c r="A2932" t="str">
        <f t="shared" ca="1" si="1053"/>
        <v/>
      </c>
      <c r="B2932">
        <f t="shared" si="1054"/>
        <v>88</v>
      </c>
      <c r="C2932">
        <f t="shared" ca="1" si="1052"/>
        <v>85</v>
      </c>
      <c r="D2932" t="str">
        <f t="shared" si="1055"/>
        <v>H88</v>
      </c>
      <c r="E2932" t="str">
        <f t="shared" ca="1" si="1056"/>
        <v/>
      </c>
      <c r="F2932" t="str">
        <f t="shared" ca="1" si="1057"/>
        <v xml:space="preserve">Enter a 'Square Footage of Employee Units' for  building 85 in cell H88.
</v>
      </c>
      <c r="G2932" s="9" t="str">
        <f t="shared" ca="1" si="1050"/>
        <v xml:space="preserve">Enter a value for 'Number of Floors in the Tallest Building' in cell B58.
</v>
      </c>
      <c r="H2932" s="52" t="str">
        <f t="shared" ca="1" si="1058"/>
        <v>Square Footage of Employee Units</v>
      </c>
      <c r="I2932" s="52">
        <v>8</v>
      </c>
    </row>
    <row r="2933" spans="1:10" ht="15" customHeight="1">
      <c r="A2933" t="str">
        <f t="shared" ca="1" si="1053"/>
        <v/>
      </c>
      <c r="B2933">
        <f t="shared" si="1054"/>
        <v>88</v>
      </c>
      <c r="C2933">
        <f t="shared" ca="1" si="1052"/>
        <v>85</v>
      </c>
      <c r="D2933" t="str">
        <f t="shared" si="1055"/>
        <v>I88</v>
      </c>
      <c r="E2933" t="str">
        <f t="shared" ca="1" si="1056"/>
        <v/>
      </c>
      <c r="F2933" t="str">
        <f t="shared" ca="1" si="1057"/>
        <v xml:space="preserve">Enter a 'Square Footage of Low-Income Units' for  building 85 in cell I88.
</v>
      </c>
      <c r="G2933" s="9" t="str">
        <f t="shared" ca="1" si="1050"/>
        <v xml:space="preserve">Enter a value for 'Number of Floors in the Tallest Building' in cell B58.
</v>
      </c>
      <c r="H2933" s="52" t="str">
        <f t="shared" ca="1" si="1058"/>
        <v>Square Footage of Low-Income Units</v>
      </c>
      <c r="I2933" s="52">
        <v>9</v>
      </c>
    </row>
    <row r="2934" spans="1:10" ht="15" customHeight="1">
      <c r="A2934" t="str">
        <f t="shared" ca="1" si="1053"/>
        <v/>
      </c>
      <c r="B2934">
        <f t="shared" si="1054"/>
        <v>88</v>
      </c>
      <c r="C2934">
        <f t="shared" ca="1" si="1052"/>
        <v>85</v>
      </c>
      <c r="D2934" t="str">
        <f t="shared" si="1055"/>
        <v>J88</v>
      </c>
      <c r="E2934" t="str">
        <f t="shared" ca="1" si="1056"/>
        <v/>
      </c>
      <c r="F2934" t="str">
        <f t="shared" ca="1" si="1057"/>
        <v xml:space="preserve">Enter a 'Placed-In-Service Date' for  building 85 in cell J88.
</v>
      </c>
      <c r="G2934" s="9" t="str">
        <f t="shared" ca="1" si="1050"/>
        <v xml:space="preserve">Enter a value for 'Number of Floors in the Tallest Building' in cell B58.
</v>
      </c>
      <c r="H2934" s="52" t="str">
        <f t="shared" ca="1" si="1058"/>
        <v>Placed-In-Service Date</v>
      </c>
      <c r="I2934" s="52">
        <v>10</v>
      </c>
    </row>
    <row r="2935" spans="1:10" ht="15" customHeight="1">
      <c r="A2935" t="str">
        <f t="shared" ca="1" si="1053"/>
        <v/>
      </c>
      <c r="B2935">
        <f t="shared" si="1054"/>
        <v>88</v>
      </c>
      <c r="C2935">
        <f t="shared" ca="1" si="1052"/>
        <v>85</v>
      </c>
      <c r="D2935" t="str">
        <f t="shared" si="1055"/>
        <v>K88</v>
      </c>
      <c r="E2935" t="str">
        <f t="shared" ca="1" si="1056"/>
        <v/>
      </c>
      <c r="F2935" t="str">
        <f t="shared" ca="1" si="1057"/>
        <v xml:space="preserve">Enter a 'New Construction/ Rehab APR' for  building 85 in cell K88.
</v>
      </c>
      <c r="G2935" s="9" t="str">
        <f t="shared" ca="1" si="1050"/>
        <v xml:space="preserve">Enter a value for 'Number of Floors in the Tallest Building' in cell B58.
</v>
      </c>
      <c r="H2935" s="52" t="str">
        <f t="shared" ca="1" si="1058"/>
        <v>New Construction/ Rehab APR</v>
      </c>
      <c r="I2935" s="52">
        <v>11</v>
      </c>
    </row>
    <row r="2936" spans="1:10" ht="15" customHeight="1">
      <c r="A2936" t="str">
        <f t="shared" ca="1" si="1053"/>
        <v/>
      </c>
      <c r="B2936">
        <f t="shared" si="1054"/>
        <v>88</v>
      </c>
      <c r="C2936">
        <f t="shared" ca="1" si="1052"/>
        <v>85</v>
      </c>
      <c r="D2936" t="str">
        <f t="shared" si="1055"/>
        <v>L88</v>
      </c>
      <c r="E2936" t="str">
        <f t="shared" ca="1" si="1056"/>
        <v/>
      </c>
      <c r="F2936" t="str">
        <f t="shared" ca="1" si="1057"/>
        <v xml:space="preserve">Enter a 'New Construction Eligible Basis' for  building 85 in cell L88.
</v>
      </c>
      <c r="G2936" s="9" t="str">
        <f t="shared" ca="1" si="1050"/>
        <v xml:space="preserve">Enter a value for 'Number of Floors in the Tallest Building' in cell B58.
</v>
      </c>
      <c r="H2936" s="52" t="str">
        <f t="shared" ca="1" si="1058"/>
        <v>New Construction Eligible Basis</v>
      </c>
      <c r="I2936" s="52">
        <v>12</v>
      </c>
    </row>
    <row r="2937" spans="1:10" ht="15" customHeight="1">
      <c r="A2937" t="str">
        <f ca="1">IF(AND(OFFSET(A2937, -I2937 + 2, 4) &gt;  0, E2937="", Calculations!$B$7), F2937, "")</f>
        <v/>
      </c>
      <c r="B2937">
        <f t="shared" si="1054"/>
        <v>88</v>
      </c>
      <c r="C2937">
        <f t="shared" ca="1" si="1052"/>
        <v>85</v>
      </c>
      <c r="D2937" t="str">
        <f t="shared" si="1055"/>
        <v>M88</v>
      </c>
      <c r="E2937" t="str">
        <f t="shared" ca="1" si="1056"/>
        <v/>
      </c>
      <c r="F2937" t="str">
        <f t="shared" ca="1" si="1057"/>
        <v xml:space="preserve">Enter a 'Eligible Basis for Rehab' for  building 85 in cell M88.
</v>
      </c>
      <c r="G2937" s="9" t="str">
        <f t="shared" ca="1" si="1050"/>
        <v xml:space="preserve">Enter a value for 'Number of Floors in the Tallest Building' in cell B58.
</v>
      </c>
      <c r="H2937" s="52" t="str">
        <f t="shared" ca="1" si="1058"/>
        <v>Eligible Basis for Rehab</v>
      </c>
      <c r="I2937" s="52">
        <v>13</v>
      </c>
    </row>
    <row r="2938" spans="1:10" ht="15" customHeight="1">
      <c r="A2938" t="str">
        <f ca="1">IF(AND(OFFSET(A2938, -I2938 + 2, 4) &gt;  0, E2938="", Calculations!$B$7), F2938, "")</f>
        <v/>
      </c>
      <c r="B2938">
        <f t="shared" si="1054"/>
        <v>88</v>
      </c>
      <c r="C2938">
        <f t="shared" ca="1" si="1052"/>
        <v>85</v>
      </c>
      <c r="D2938" t="str">
        <f t="shared" si="1055"/>
        <v>N88</v>
      </c>
      <c r="E2938" t="str">
        <f t="shared" ca="1" si="1056"/>
        <v/>
      </c>
      <c r="F2938" t="str">
        <f t="shared" ca="1" si="1057"/>
        <v xml:space="preserve">Enter a 'Cost of Acquiring the Building***' for  building 85 in cell N88.
</v>
      </c>
      <c r="G2938" s="9" t="str">
        <f t="shared" ca="1" si="1050"/>
        <v xml:space="preserve">Enter a value for 'Number of Floors in the Tallest Building' in cell B58.
</v>
      </c>
      <c r="H2938" s="52" t="str">
        <f t="shared" ca="1" si="1058"/>
        <v>Cost of Acquiring the Building***</v>
      </c>
      <c r="I2938" s="52">
        <v>14</v>
      </c>
    </row>
    <row r="2939" spans="1:10" ht="15" customHeight="1">
      <c r="A2939" t="str">
        <f ca="1">IF(AND(OFFSET(A2939, -I2939 + 2, 4) &gt;  0, E2939="", Calculations!$B$7), F2939, "")</f>
        <v/>
      </c>
      <c r="B2939">
        <f t="shared" si="1054"/>
        <v>88</v>
      </c>
      <c r="C2939">
        <f t="shared" ca="1" si="1052"/>
        <v>85</v>
      </c>
      <c r="D2939" t="str">
        <f t="shared" si="1055"/>
        <v>O88</v>
      </c>
      <c r="E2939" t="str">
        <f t="shared" ca="1" si="1056"/>
        <v/>
      </c>
      <c r="F2939" t="str">
        <f t="shared" ca="1" si="1057"/>
        <v xml:space="preserve">Enter a 'Higher of Land Purchase Price or Land Appraised Value****' for  building 85 in cell O88.
</v>
      </c>
      <c r="G2939" s="9" t="str">
        <f t="shared" ca="1" si="1050"/>
        <v xml:space="preserve">Enter a value for 'Number of Floors in the Tallest Building' in cell B58.
</v>
      </c>
      <c r="H2939" s="52" t="str">
        <f t="shared" ca="1" si="1058"/>
        <v>Higher of Land Purchase Price or Land Appraised Value****</v>
      </c>
      <c r="I2939" s="52">
        <v>15</v>
      </c>
    </row>
    <row r="2940" spans="1:10" ht="15" customHeight="1">
      <c r="A2940" t="str">
        <f ca="1">IF(AND(OFFSET(A2940, -I2940 + 2, 4) &gt;  0, E2940="", Calculations!$B$7), F2940, "")</f>
        <v/>
      </c>
      <c r="B2940">
        <f t="shared" si="1054"/>
        <v>88</v>
      </c>
      <c r="C2940">
        <f t="shared" ca="1" si="1052"/>
        <v>85</v>
      </c>
      <c r="D2940" t="str">
        <f t="shared" si="1055"/>
        <v>P88</v>
      </c>
      <c r="E2940" t="str">
        <f t="shared" ca="1" si="1056"/>
        <v/>
      </c>
      <c r="F2940" t="str">
        <f t="shared" ca="1" si="1057"/>
        <v xml:space="preserve">Enter a 'Acquisition Placed-in-Service Date' for  building 85 in cell P88.
</v>
      </c>
      <c r="G2940" s="9" t="str">
        <f t="shared" ca="1" si="1050"/>
        <v xml:space="preserve">Enter a value for 'Number of Floors in the Tallest Building' in cell B58.
</v>
      </c>
      <c r="H2940" s="52" t="str">
        <f t="shared" ca="1" si="1058"/>
        <v>Acquisition Placed-in-Service Date</v>
      </c>
      <c r="I2940" s="52">
        <v>16</v>
      </c>
    </row>
    <row r="2941" spans="1:10" ht="15" customHeight="1">
      <c r="A2941" t="str">
        <f ca="1">IF(AND(OFFSET(A2941, -I2941 + 2, 4) &gt;  0, E2941="", Calculations!$B$7), F2941, "")</f>
        <v/>
      </c>
      <c r="B2941">
        <f t="shared" si="1054"/>
        <v>88</v>
      </c>
      <c r="C2941">
        <f t="shared" ca="1" si="1052"/>
        <v>85</v>
      </c>
      <c r="D2941" t="str">
        <f t="shared" si="1055"/>
        <v>Q88</v>
      </c>
      <c r="E2941" t="str">
        <f t="shared" ca="1" si="1056"/>
        <v/>
      </c>
      <c r="F2941" t="str">
        <f t="shared" ca="1" si="1057"/>
        <v xml:space="preserve">Enter a 'Acquisition APR' for  building 85 in cell Q88.
</v>
      </c>
      <c r="G2941" s="9" t="str">
        <f t="shared" ca="1" si="1050"/>
        <v xml:space="preserve">Enter a value for 'Number of Floors in the Tallest Building' in cell B58.
</v>
      </c>
      <c r="H2941" s="52" t="str">
        <f t="shared" ca="1" si="1058"/>
        <v>Acquisition APR</v>
      </c>
      <c r="I2941" s="52">
        <v>17</v>
      </c>
    </row>
    <row r="2942" spans="1:10" ht="15" customHeight="1">
      <c r="A2942" t="str">
        <f ca="1">IF(AND(Calculations!$B$4,Calculations!$B$28&gt;=C2942, E2942 &lt;&gt; 13),F2942,"")</f>
        <v/>
      </c>
      <c r="B2942">
        <f>ROW('Final Building Profile'!C89)</f>
        <v>89</v>
      </c>
      <c r="C2942">
        <f t="shared" ca="1" si="1052"/>
        <v>86</v>
      </c>
      <c r="D2942" t="str">
        <f>ADDRESS(B2942, 3,4  )</f>
        <v>C89</v>
      </c>
      <c r="E2942" s="52">
        <f ca="1">H2942+I2942</f>
        <v>0</v>
      </c>
      <c r="F2942" t="str">
        <f ca="1">CONCATENATE("Based upon the number of buildings specified, information for  building ", C2942, " required for a final application in row ", B2942, ".", CHAR(10))</f>
        <v xml:space="preserve">Based upon the number of buildings specified, information for  building 86 required for a final application in row 89.
</v>
      </c>
      <c r="G2942" s="9" t="str">
        <f t="shared" ca="1" si="1050"/>
        <v xml:space="preserve">Enter a value for 'Number of Floors in the Tallest Building' in cell B58.
</v>
      </c>
      <c r="H2942" s="52">
        <f ca="1">SUMPRODUCT(--ISTEXT(INDIRECT(J2942)))</f>
        <v>0</v>
      </c>
      <c r="I2942" s="52">
        <f ca="1">SUMPRODUCT(--ISNUMBER(INDIRECT(J2942)))</f>
        <v>0</v>
      </c>
      <c r="J2942" s="52" t="str">
        <f>$F$1564&amp; ADDRESS(B2942,3,4) &amp; ":" &amp; ADDRESS(B2942,15,4)</f>
        <v>'Final Building Profile'!C89:O89</v>
      </c>
    </row>
    <row r="2943" spans="1:10" ht="15" customHeight="1">
      <c r="A2943" t="str">
        <f t="shared" ref="A2943:A2952" ca="1" si="1059">IF(AND(OFFSET(A2943, -I2943 + 2, 4) &gt;  0, E2943=""), F2943, "")</f>
        <v/>
      </c>
      <c r="B2943">
        <f t="shared" ref="B2943:B2957" si="1060">B2942</f>
        <v>89</v>
      </c>
      <c r="C2943">
        <f t="shared" ca="1" si="1052"/>
        <v>86</v>
      </c>
      <c r="D2943" t="str">
        <f t="shared" ref="D2943:D2957" si="1061">ADDRESS(B2943, I2943,4  )</f>
        <v>C89</v>
      </c>
      <c r="E2943" t="str">
        <f t="shared" ref="E2943:E2957" ca="1" si="1062">IF(ISBLANK( INDIRECT($F$1564 &amp; D2943)),"", INDIRECT($F$1564 &amp; D2943))</f>
        <v/>
      </c>
      <c r="F2943" t="str">
        <f t="shared" ref="F2943:F2957" ca="1" si="1063">CONCATENATE("Enter a '"&amp; H2943 &amp;"' for  building ", C2943, " in cell ", D2943, ".", CHAR(10))</f>
        <v xml:space="preserve">Enter a 'Building Street Address Only 
(DO NOT ENTER CITY, STATE, OR ZIP)' for  building 86 in cell C89.
</v>
      </c>
      <c r="G2943" s="9" t="str">
        <f t="shared" ca="1" si="1050"/>
        <v xml:space="preserve">Enter a value for 'Number of Floors in the Tallest Building' in cell B58.
</v>
      </c>
      <c r="H2943" s="52" t="str">
        <f t="shared" ref="H2943:H2957" ca="1" si="1064">OFFSET(INDIRECT($F$1564 &amp; D2943), -B2943 + 3, 0)</f>
        <v>Building Street Address Only 
(DO NOT ENTER CITY, STATE, OR ZIP)</v>
      </c>
      <c r="I2943" s="52">
        <v>3</v>
      </c>
    </row>
    <row r="2944" spans="1:10" ht="15" customHeight="1">
      <c r="A2944" t="str">
        <f t="shared" ca="1" si="1059"/>
        <v/>
      </c>
      <c r="B2944">
        <f t="shared" si="1060"/>
        <v>89</v>
      </c>
      <c r="C2944">
        <f t="shared" ca="1" si="1052"/>
        <v>86</v>
      </c>
      <c r="D2944" t="str">
        <f t="shared" si="1061"/>
        <v>D89</v>
      </c>
      <c r="E2944" t="str">
        <f t="shared" ca="1" si="1062"/>
        <v/>
      </c>
      <c r="F2944" t="str">
        <f t="shared" ca="1" si="1063"/>
        <v xml:space="preserve">Enter a 'Total Units in Building*' for  building 86 in cell D89.
</v>
      </c>
      <c r="G2944" s="9" t="str">
        <f t="shared" ca="1" si="1050"/>
        <v xml:space="preserve">Enter a value for 'Number of Floors in the Tallest Building' in cell B58.
</v>
      </c>
      <c r="H2944" s="52" t="str">
        <f t="shared" ca="1" si="1064"/>
        <v>Total Units in Building*</v>
      </c>
      <c r="I2944" s="52">
        <v>4</v>
      </c>
    </row>
    <row r="2945" spans="1:10" ht="15" customHeight="1">
      <c r="A2945" t="str">
        <f t="shared" ca="1" si="1059"/>
        <v/>
      </c>
      <c r="B2945">
        <f t="shared" si="1060"/>
        <v>89</v>
      </c>
      <c r="C2945">
        <f t="shared" ca="1" si="1052"/>
        <v>86</v>
      </c>
      <c r="D2945" t="str">
        <f t="shared" si="1061"/>
        <v>E89</v>
      </c>
      <c r="E2945" t="str">
        <f t="shared" ca="1" si="1062"/>
        <v/>
      </c>
      <c r="F2945" t="str">
        <f t="shared" ca="1" si="1063"/>
        <v xml:space="preserve">Enter a 'Employee Units' for  building 86 in cell E89.
</v>
      </c>
      <c r="G2945" s="9" t="str">
        <f t="shared" ca="1" si="1050"/>
        <v xml:space="preserve">Enter a value for 'Number of Floors in the Tallest Building' in cell B58.
</v>
      </c>
      <c r="H2945" s="52" t="str">
        <f t="shared" ca="1" si="1064"/>
        <v>Employee Units</v>
      </c>
      <c r="I2945" s="52">
        <v>5</v>
      </c>
    </row>
    <row r="2946" spans="1:10" ht="15" customHeight="1">
      <c r="A2946" t="str">
        <f t="shared" ca="1" si="1059"/>
        <v/>
      </c>
      <c r="B2946">
        <f t="shared" si="1060"/>
        <v>89</v>
      </c>
      <c r="C2946">
        <f t="shared" ca="1" si="1052"/>
        <v>86</v>
      </c>
      <c r="D2946" t="str">
        <f t="shared" si="1061"/>
        <v>F89</v>
      </c>
      <c r="E2946" t="str">
        <f t="shared" ca="1" si="1062"/>
        <v/>
      </c>
      <c r="F2946" t="str">
        <f t="shared" ca="1" si="1063"/>
        <v xml:space="preserve">Enter a 'Low-Income Units' for  building 86 in cell F89.
</v>
      </c>
      <c r="G2946" s="9" t="str">
        <f t="shared" ca="1" si="1050"/>
        <v xml:space="preserve">Enter a value for 'Number of Floors in the Tallest Building' in cell B58.
</v>
      </c>
      <c r="H2946" s="52" t="str">
        <f t="shared" ca="1" si="1064"/>
        <v>Low-Income Units</v>
      </c>
      <c r="I2946" s="52">
        <v>6</v>
      </c>
    </row>
    <row r="2947" spans="1:10" ht="15" customHeight="1">
      <c r="A2947" t="str">
        <f t="shared" ca="1" si="1059"/>
        <v/>
      </c>
      <c r="B2947">
        <f t="shared" si="1060"/>
        <v>89</v>
      </c>
      <c r="C2947">
        <f t="shared" ca="1" si="1052"/>
        <v>86</v>
      </c>
      <c r="D2947" t="str">
        <f t="shared" si="1061"/>
        <v>G89</v>
      </c>
      <c r="E2947" t="str">
        <f t="shared" ca="1" si="1062"/>
        <v/>
      </c>
      <c r="F2947" t="str">
        <f t="shared" ca="1" si="1063"/>
        <v xml:space="preserve">Enter a 'Residential Square Footage**' for  building 86 in cell G89.
</v>
      </c>
      <c r="G2947" s="9" t="str">
        <f t="shared" ca="1" si="1050"/>
        <v xml:space="preserve">Enter a value for 'Number of Floors in the Tallest Building' in cell B58.
</v>
      </c>
      <c r="H2947" s="52" t="str">
        <f t="shared" ca="1" si="1064"/>
        <v>Residential Square Footage**</v>
      </c>
      <c r="I2947" s="52">
        <v>7</v>
      </c>
    </row>
    <row r="2948" spans="1:10" ht="15" customHeight="1">
      <c r="A2948" t="str">
        <f t="shared" ca="1" si="1059"/>
        <v/>
      </c>
      <c r="B2948">
        <f t="shared" si="1060"/>
        <v>89</v>
      </c>
      <c r="C2948">
        <f t="shared" ca="1" si="1052"/>
        <v>86</v>
      </c>
      <c r="D2948" t="str">
        <f t="shared" si="1061"/>
        <v>H89</v>
      </c>
      <c r="E2948" t="str">
        <f t="shared" ca="1" si="1062"/>
        <v/>
      </c>
      <c r="F2948" t="str">
        <f t="shared" ca="1" si="1063"/>
        <v xml:space="preserve">Enter a 'Square Footage of Employee Units' for  building 86 in cell H89.
</v>
      </c>
      <c r="G2948" s="9" t="str">
        <f t="shared" ca="1" si="1050"/>
        <v xml:space="preserve">Enter a value for 'Number of Floors in the Tallest Building' in cell B58.
</v>
      </c>
      <c r="H2948" s="52" t="str">
        <f t="shared" ca="1" si="1064"/>
        <v>Square Footage of Employee Units</v>
      </c>
      <c r="I2948" s="52">
        <v>8</v>
      </c>
    </row>
    <row r="2949" spans="1:10" ht="15" customHeight="1">
      <c r="A2949" t="str">
        <f t="shared" ca="1" si="1059"/>
        <v/>
      </c>
      <c r="B2949">
        <f t="shared" si="1060"/>
        <v>89</v>
      </c>
      <c r="C2949">
        <f t="shared" ca="1" si="1052"/>
        <v>86</v>
      </c>
      <c r="D2949" t="str">
        <f t="shared" si="1061"/>
        <v>I89</v>
      </c>
      <c r="E2949" t="str">
        <f t="shared" ca="1" si="1062"/>
        <v/>
      </c>
      <c r="F2949" t="str">
        <f t="shared" ca="1" si="1063"/>
        <v xml:space="preserve">Enter a 'Square Footage of Low-Income Units' for  building 86 in cell I89.
</v>
      </c>
      <c r="G2949" s="9" t="str">
        <f t="shared" ca="1" si="1050"/>
        <v xml:space="preserve">Enter a value for 'Number of Floors in the Tallest Building' in cell B58.
</v>
      </c>
      <c r="H2949" s="52" t="str">
        <f t="shared" ca="1" si="1064"/>
        <v>Square Footage of Low-Income Units</v>
      </c>
      <c r="I2949" s="52">
        <v>9</v>
      </c>
    </row>
    <row r="2950" spans="1:10" ht="15" customHeight="1">
      <c r="A2950" t="str">
        <f t="shared" ca="1" si="1059"/>
        <v/>
      </c>
      <c r="B2950">
        <f t="shared" si="1060"/>
        <v>89</v>
      </c>
      <c r="C2950">
        <f t="shared" ca="1" si="1052"/>
        <v>86</v>
      </c>
      <c r="D2950" t="str">
        <f t="shared" si="1061"/>
        <v>J89</v>
      </c>
      <c r="E2950" t="str">
        <f t="shared" ca="1" si="1062"/>
        <v/>
      </c>
      <c r="F2950" t="str">
        <f t="shared" ca="1" si="1063"/>
        <v xml:space="preserve">Enter a 'Placed-In-Service Date' for  building 86 in cell J89.
</v>
      </c>
      <c r="G2950" s="9" t="str">
        <f t="shared" ca="1" si="1050"/>
        <v xml:space="preserve">Enter a value for 'Number of Floors in the Tallest Building' in cell B58.
</v>
      </c>
      <c r="H2950" s="52" t="str">
        <f t="shared" ca="1" si="1064"/>
        <v>Placed-In-Service Date</v>
      </c>
      <c r="I2950" s="52">
        <v>10</v>
      </c>
    </row>
    <row r="2951" spans="1:10" ht="15" customHeight="1">
      <c r="A2951" t="str">
        <f t="shared" ca="1" si="1059"/>
        <v/>
      </c>
      <c r="B2951">
        <f t="shared" si="1060"/>
        <v>89</v>
      </c>
      <c r="C2951">
        <f t="shared" ca="1" si="1052"/>
        <v>86</v>
      </c>
      <c r="D2951" t="str">
        <f t="shared" si="1061"/>
        <v>K89</v>
      </c>
      <c r="E2951" t="str">
        <f t="shared" ca="1" si="1062"/>
        <v/>
      </c>
      <c r="F2951" t="str">
        <f t="shared" ca="1" si="1063"/>
        <v xml:space="preserve">Enter a 'New Construction/ Rehab APR' for  building 86 in cell K89.
</v>
      </c>
      <c r="G2951" s="9" t="str">
        <f t="shared" ca="1" si="1050"/>
        <v xml:space="preserve">Enter a value for 'Number of Floors in the Tallest Building' in cell B58.
</v>
      </c>
      <c r="H2951" s="52" t="str">
        <f t="shared" ca="1" si="1064"/>
        <v>New Construction/ Rehab APR</v>
      </c>
      <c r="I2951" s="52">
        <v>11</v>
      </c>
    </row>
    <row r="2952" spans="1:10" ht="15" customHeight="1">
      <c r="A2952" t="str">
        <f t="shared" ca="1" si="1059"/>
        <v/>
      </c>
      <c r="B2952">
        <f t="shared" si="1060"/>
        <v>89</v>
      </c>
      <c r="C2952">
        <f t="shared" ca="1" si="1052"/>
        <v>86</v>
      </c>
      <c r="D2952" t="str">
        <f t="shared" si="1061"/>
        <v>L89</v>
      </c>
      <c r="E2952" t="str">
        <f t="shared" ca="1" si="1062"/>
        <v/>
      </c>
      <c r="F2952" t="str">
        <f t="shared" ca="1" si="1063"/>
        <v xml:space="preserve">Enter a 'New Construction Eligible Basis' for  building 86 in cell L89.
</v>
      </c>
      <c r="G2952" s="9" t="str">
        <f t="shared" ca="1" si="1050"/>
        <v xml:space="preserve">Enter a value for 'Number of Floors in the Tallest Building' in cell B58.
</v>
      </c>
      <c r="H2952" s="52" t="str">
        <f t="shared" ca="1" si="1064"/>
        <v>New Construction Eligible Basis</v>
      </c>
      <c r="I2952" s="52">
        <v>12</v>
      </c>
    </row>
    <row r="2953" spans="1:10" ht="15" customHeight="1">
      <c r="A2953" t="str">
        <f ca="1">IF(AND(OFFSET(A2953, -I2953 + 2, 4) &gt;  0, E2953="", Calculations!$B$7), F2953, "")</f>
        <v/>
      </c>
      <c r="B2953">
        <f t="shared" si="1060"/>
        <v>89</v>
      </c>
      <c r="C2953">
        <f t="shared" ca="1" si="1052"/>
        <v>86</v>
      </c>
      <c r="D2953" t="str">
        <f t="shared" si="1061"/>
        <v>M89</v>
      </c>
      <c r="E2953" t="str">
        <f t="shared" ca="1" si="1062"/>
        <v/>
      </c>
      <c r="F2953" t="str">
        <f t="shared" ca="1" si="1063"/>
        <v xml:space="preserve">Enter a 'Eligible Basis for Rehab' for  building 86 in cell M89.
</v>
      </c>
      <c r="G2953" s="9" t="str">
        <f t="shared" ca="1" si="1050"/>
        <v xml:space="preserve">Enter a value for 'Number of Floors in the Tallest Building' in cell B58.
</v>
      </c>
      <c r="H2953" s="52" t="str">
        <f t="shared" ca="1" si="1064"/>
        <v>Eligible Basis for Rehab</v>
      </c>
      <c r="I2953" s="52">
        <v>13</v>
      </c>
    </row>
    <row r="2954" spans="1:10" ht="15" customHeight="1">
      <c r="A2954" t="str">
        <f ca="1">IF(AND(OFFSET(A2954, -I2954 + 2, 4) &gt;  0, E2954="", Calculations!$B$7), F2954, "")</f>
        <v/>
      </c>
      <c r="B2954">
        <f t="shared" si="1060"/>
        <v>89</v>
      </c>
      <c r="C2954">
        <f t="shared" ca="1" si="1052"/>
        <v>86</v>
      </c>
      <c r="D2954" t="str">
        <f t="shared" si="1061"/>
        <v>N89</v>
      </c>
      <c r="E2954" t="str">
        <f t="shared" ca="1" si="1062"/>
        <v/>
      </c>
      <c r="F2954" t="str">
        <f t="shared" ca="1" si="1063"/>
        <v xml:space="preserve">Enter a 'Cost of Acquiring the Building***' for  building 86 in cell N89.
</v>
      </c>
      <c r="G2954" s="9" t="str">
        <f t="shared" ca="1" si="1050"/>
        <v xml:space="preserve">Enter a value for 'Number of Floors in the Tallest Building' in cell B58.
</v>
      </c>
      <c r="H2954" s="52" t="str">
        <f t="shared" ca="1" si="1064"/>
        <v>Cost of Acquiring the Building***</v>
      </c>
      <c r="I2954" s="52">
        <v>14</v>
      </c>
    </row>
    <row r="2955" spans="1:10" ht="15" customHeight="1">
      <c r="A2955" t="str">
        <f ca="1">IF(AND(OFFSET(A2955, -I2955 + 2, 4) &gt;  0, E2955="", Calculations!$B$7), F2955, "")</f>
        <v/>
      </c>
      <c r="B2955">
        <f t="shared" si="1060"/>
        <v>89</v>
      </c>
      <c r="C2955">
        <f t="shared" ca="1" si="1052"/>
        <v>86</v>
      </c>
      <c r="D2955" t="str">
        <f t="shared" si="1061"/>
        <v>O89</v>
      </c>
      <c r="E2955" t="str">
        <f t="shared" ca="1" si="1062"/>
        <v/>
      </c>
      <c r="F2955" t="str">
        <f t="shared" ca="1" si="1063"/>
        <v xml:space="preserve">Enter a 'Higher of Land Purchase Price or Land Appraised Value****' for  building 86 in cell O89.
</v>
      </c>
      <c r="G2955" s="9" t="str">
        <f t="shared" ca="1" si="1050"/>
        <v xml:space="preserve">Enter a value for 'Number of Floors in the Tallest Building' in cell B58.
</v>
      </c>
      <c r="H2955" s="52" t="str">
        <f t="shared" ca="1" si="1064"/>
        <v>Higher of Land Purchase Price or Land Appraised Value****</v>
      </c>
      <c r="I2955" s="52">
        <v>15</v>
      </c>
    </row>
    <row r="2956" spans="1:10" ht="15" customHeight="1">
      <c r="A2956" t="str">
        <f ca="1">IF(AND(OFFSET(A2956, -I2956 + 2, 4) &gt;  0, E2956="", Calculations!$B$7), F2956, "")</f>
        <v/>
      </c>
      <c r="B2956">
        <f t="shared" si="1060"/>
        <v>89</v>
      </c>
      <c r="C2956">
        <f t="shared" ca="1" si="1052"/>
        <v>86</v>
      </c>
      <c r="D2956" t="str">
        <f t="shared" si="1061"/>
        <v>P89</v>
      </c>
      <c r="E2956" t="str">
        <f t="shared" ca="1" si="1062"/>
        <v/>
      </c>
      <c r="F2956" t="str">
        <f t="shared" ca="1" si="1063"/>
        <v xml:space="preserve">Enter a 'Acquisition Placed-in-Service Date' for  building 86 in cell P89.
</v>
      </c>
      <c r="G2956" s="9" t="str">
        <f t="shared" ca="1" si="1050"/>
        <v xml:space="preserve">Enter a value for 'Number of Floors in the Tallest Building' in cell B58.
</v>
      </c>
      <c r="H2956" s="52" t="str">
        <f t="shared" ca="1" si="1064"/>
        <v>Acquisition Placed-in-Service Date</v>
      </c>
      <c r="I2956" s="52">
        <v>16</v>
      </c>
    </row>
    <row r="2957" spans="1:10" ht="15" customHeight="1">
      <c r="A2957" t="str">
        <f ca="1">IF(AND(OFFSET(A2957, -I2957 + 2, 4) &gt;  0, E2957="", Calculations!$B$7), F2957, "")</f>
        <v/>
      </c>
      <c r="B2957">
        <f t="shared" si="1060"/>
        <v>89</v>
      </c>
      <c r="C2957">
        <f t="shared" ca="1" si="1052"/>
        <v>86</v>
      </c>
      <c r="D2957" t="str">
        <f t="shared" si="1061"/>
        <v>Q89</v>
      </c>
      <c r="E2957" t="str">
        <f t="shared" ca="1" si="1062"/>
        <v/>
      </c>
      <c r="F2957" t="str">
        <f t="shared" ca="1" si="1063"/>
        <v xml:space="preserve">Enter a 'Acquisition APR' for  building 86 in cell Q89.
</v>
      </c>
      <c r="G2957" s="9" t="str">
        <f t="shared" ca="1" si="1050"/>
        <v xml:space="preserve">Enter a value for 'Number of Floors in the Tallest Building' in cell B58.
</v>
      </c>
      <c r="H2957" s="52" t="str">
        <f t="shared" ca="1" si="1064"/>
        <v>Acquisition APR</v>
      </c>
      <c r="I2957" s="52">
        <v>17</v>
      </c>
    </row>
    <row r="2958" spans="1:10" ht="15" customHeight="1">
      <c r="A2958" t="str">
        <f ca="1">IF(AND(Calculations!$B$4,Calculations!$B$28&gt;=C2958, E2958 &lt;&gt; 13),F2958,"")</f>
        <v/>
      </c>
      <c r="B2958">
        <f>ROW('Final Building Profile'!C90)</f>
        <v>90</v>
      </c>
      <c r="C2958">
        <f t="shared" ca="1" si="1052"/>
        <v>87</v>
      </c>
      <c r="D2958" t="str">
        <f>ADDRESS(B2958, 3,4  )</f>
        <v>C90</v>
      </c>
      <c r="E2958" s="52">
        <f ca="1">H2958+I2958</f>
        <v>0</v>
      </c>
      <c r="F2958" t="str">
        <f ca="1">CONCATENATE("Based upon the number of buildings specified, information for  building ", C2958, " required for a final application in row ", B2958, ".", CHAR(10))</f>
        <v xml:space="preserve">Based upon the number of buildings specified, information for  building 87 required for a final application in row 90.
</v>
      </c>
      <c r="G2958" s="9" t="str">
        <f t="shared" ca="1" si="1050"/>
        <v xml:space="preserve">Enter a value for 'Number of Floors in the Tallest Building' in cell B58.
</v>
      </c>
      <c r="H2958" s="52">
        <f ca="1">SUMPRODUCT(--ISTEXT(INDIRECT(J2958)))</f>
        <v>0</v>
      </c>
      <c r="I2958" s="52">
        <f ca="1">SUMPRODUCT(--ISNUMBER(INDIRECT(J2958)))</f>
        <v>0</v>
      </c>
      <c r="J2958" s="52" t="str">
        <f>$F$1564&amp; ADDRESS(B2958,3,4) &amp; ":" &amp; ADDRESS(B2958,15,4)</f>
        <v>'Final Building Profile'!C90:O90</v>
      </c>
    </row>
    <row r="2959" spans="1:10" ht="15" customHeight="1">
      <c r="A2959" t="str">
        <f t="shared" ref="A2959:A2968" ca="1" si="1065">IF(AND(OFFSET(A2959, -I2959 + 2, 4) &gt;  0, E2959=""), F2959, "")</f>
        <v/>
      </c>
      <c r="B2959">
        <f t="shared" ref="B2959:B2973" si="1066">B2958</f>
        <v>90</v>
      </c>
      <c r="C2959">
        <f t="shared" ca="1" si="1052"/>
        <v>87</v>
      </c>
      <c r="D2959" t="str">
        <f t="shared" ref="D2959:D2973" si="1067">ADDRESS(B2959, I2959,4  )</f>
        <v>C90</v>
      </c>
      <c r="E2959" t="str">
        <f t="shared" ref="E2959:E2973" ca="1" si="1068">IF(ISBLANK( INDIRECT($F$1564 &amp; D2959)),"", INDIRECT($F$1564 &amp; D2959))</f>
        <v/>
      </c>
      <c r="F2959" t="str">
        <f t="shared" ref="F2959:F2973" ca="1" si="1069">CONCATENATE("Enter a '"&amp; H2959 &amp;"' for  building ", C2959, " in cell ", D2959, ".", CHAR(10))</f>
        <v xml:space="preserve">Enter a 'Building Street Address Only 
(DO NOT ENTER CITY, STATE, OR ZIP)' for  building 87 in cell C90.
</v>
      </c>
      <c r="G2959" s="9" t="str">
        <f t="shared" ca="1" si="1050"/>
        <v xml:space="preserve">Enter a value for 'Number of Floors in the Tallest Building' in cell B58.
</v>
      </c>
      <c r="H2959" s="52" t="str">
        <f t="shared" ref="H2959:H2973" ca="1" si="1070">OFFSET(INDIRECT($F$1564 &amp; D2959), -B2959 + 3, 0)</f>
        <v>Building Street Address Only 
(DO NOT ENTER CITY, STATE, OR ZIP)</v>
      </c>
      <c r="I2959" s="52">
        <v>3</v>
      </c>
    </row>
    <row r="2960" spans="1:10" ht="15" customHeight="1">
      <c r="A2960" t="str">
        <f t="shared" ca="1" si="1065"/>
        <v/>
      </c>
      <c r="B2960">
        <f t="shared" si="1066"/>
        <v>90</v>
      </c>
      <c r="C2960">
        <f t="shared" ca="1" si="1052"/>
        <v>87</v>
      </c>
      <c r="D2960" t="str">
        <f t="shared" si="1067"/>
        <v>D90</v>
      </c>
      <c r="E2960" t="str">
        <f t="shared" ca="1" si="1068"/>
        <v/>
      </c>
      <c r="F2960" t="str">
        <f t="shared" ca="1" si="1069"/>
        <v xml:space="preserve">Enter a 'Total Units in Building*' for  building 87 in cell D90.
</v>
      </c>
      <c r="G2960" s="9" t="str">
        <f t="shared" ca="1" si="1050"/>
        <v xml:space="preserve">Enter a value for 'Number of Floors in the Tallest Building' in cell B58.
</v>
      </c>
      <c r="H2960" s="52" t="str">
        <f t="shared" ca="1" si="1070"/>
        <v>Total Units in Building*</v>
      </c>
      <c r="I2960" s="52">
        <v>4</v>
      </c>
    </row>
    <row r="2961" spans="1:10" ht="15" customHeight="1">
      <c r="A2961" t="str">
        <f t="shared" ca="1" si="1065"/>
        <v/>
      </c>
      <c r="B2961">
        <f t="shared" si="1066"/>
        <v>90</v>
      </c>
      <c r="C2961">
        <f t="shared" ca="1" si="1052"/>
        <v>87</v>
      </c>
      <c r="D2961" t="str">
        <f t="shared" si="1067"/>
        <v>E90</v>
      </c>
      <c r="E2961" t="str">
        <f t="shared" ca="1" si="1068"/>
        <v/>
      </c>
      <c r="F2961" t="str">
        <f t="shared" ca="1" si="1069"/>
        <v xml:space="preserve">Enter a 'Employee Units' for  building 87 in cell E90.
</v>
      </c>
      <c r="G2961" s="9" t="str">
        <f t="shared" ca="1" si="1050"/>
        <v xml:space="preserve">Enter a value for 'Number of Floors in the Tallest Building' in cell B58.
</v>
      </c>
      <c r="H2961" s="52" t="str">
        <f t="shared" ca="1" si="1070"/>
        <v>Employee Units</v>
      </c>
      <c r="I2961" s="52">
        <v>5</v>
      </c>
    </row>
    <row r="2962" spans="1:10" ht="15" customHeight="1">
      <c r="A2962" t="str">
        <f t="shared" ca="1" si="1065"/>
        <v/>
      </c>
      <c r="B2962">
        <f t="shared" si="1066"/>
        <v>90</v>
      </c>
      <c r="C2962">
        <f t="shared" ca="1" si="1052"/>
        <v>87</v>
      </c>
      <c r="D2962" t="str">
        <f t="shared" si="1067"/>
        <v>F90</v>
      </c>
      <c r="E2962" t="str">
        <f t="shared" ca="1" si="1068"/>
        <v/>
      </c>
      <c r="F2962" t="str">
        <f t="shared" ca="1" si="1069"/>
        <v xml:space="preserve">Enter a 'Low-Income Units' for  building 87 in cell F90.
</v>
      </c>
      <c r="G2962" s="9" t="str">
        <f t="shared" ca="1" si="1050"/>
        <v xml:space="preserve">Enter a value for 'Number of Floors in the Tallest Building' in cell B58.
</v>
      </c>
      <c r="H2962" s="52" t="str">
        <f t="shared" ca="1" si="1070"/>
        <v>Low-Income Units</v>
      </c>
      <c r="I2962" s="52">
        <v>6</v>
      </c>
    </row>
    <row r="2963" spans="1:10" ht="15" customHeight="1">
      <c r="A2963" t="str">
        <f t="shared" ca="1" si="1065"/>
        <v/>
      </c>
      <c r="B2963">
        <f t="shared" si="1066"/>
        <v>90</v>
      </c>
      <c r="C2963">
        <f t="shared" ca="1" si="1052"/>
        <v>87</v>
      </c>
      <c r="D2963" t="str">
        <f t="shared" si="1067"/>
        <v>G90</v>
      </c>
      <c r="E2963" t="str">
        <f t="shared" ca="1" si="1068"/>
        <v/>
      </c>
      <c r="F2963" t="str">
        <f t="shared" ca="1" si="1069"/>
        <v xml:space="preserve">Enter a 'Residential Square Footage**' for  building 87 in cell G90.
</v>
      </c>
      <c r="G2963" s="9" t="str">
        <f t="shared" ca="1" si="1050"/>
        <v xml:space="preserve">Enter a value for 'Number of Floors in the Tallest Building' in cell B58.
</v>
      </c>
      <c r="H2963" s="52" t="str">
        <f t="shared" ca="1" si="1070"/>
        <v>Residential Square Footage**</v>
      </c>
      <c r="I2963" s="52">
        <v>7</v>
      </c>
    </row>
    <row r="2964" spans="1:10" ht="15" customHeight="1">
      <c r="A2964" t="str">
        <f t="shared" ca="1" si="1065"/>
        <v/>
      </c>
      <c r="B2964">
        <f t="shared" si="1066"/>
        <v>90</v>
      </c>
      <c r="C2964">
        <f t="shared" ca="1" si="1052"/>
        <v>87</v>
      </c>
      <c r="D2964" t="str">
        <f t="shared" si="1067"/>
        <v>H90</v>
      </c>
      <c r="E2964" t="str">
        <f t="shared" ca="1" si="1068"/>
        <v/>
      </c>
      <c r="F2964" t="str">
        <f t="shared" ca="1" si="1069"/>
        <v xml:space="preserve">Enter a 'Square Footage of Employee Units' for  building 87 in cell H90.
</v>
      </c>
      <c r="G2964" s="9" t="str">
        <f t="shared" ca="1" si="1050"/>
        <v xml:space="preserve">Enter a value for 'Number of Floors in the Tallest Building' in cell B58.
</v>
      </c>
      <c r="H2964" s="52" t="str">
        <f t="shared" ca="1" si="1070"/>
        <v>Square Footage of Employee Units</v>
      </c>
      <c r="I2964" s="52">
        <v>8</v>
      </c>
    </row>
    <row r="2965" spans="1:10" ht="15" customHeight="1">
      <c r="A2965" t="str">
        <f t="shared" ca="1" si="1065"/>
        <v/>
      </c>
      <c r="B2965">
        <f t="shared" si="1066"/>
        <v>90</v>
      </c>
      <c r="C2965">
        <f t="shared" ca="1" si="1052"/>
        <v>87</v>
      </c>
      <c r="D2965" t="str">
        <f t="shared" si="1067"/>
        <v>I90</v>
      </c>
      <c r="E2965" t="str">
        <f t="shared" ca="1" si="1068"/>
        <v/>
      </c>
      <c r="F2965" t="str">
        <f t="shared" ca="1" si="1069"/>
        <v xml:space="preserve">Enter a 'Square Footage of Low-Income Units' for  building 87 in cell I90.
</v>
      </c>
      <c r="G2965" s="9" t="str">
        <f t="shared" ca="1" si="1050"/>
        <v xml:space="preserve">Enter a value for 'Number of Floors in the Tallest Building' in cell B58.
</v>
      </c>
      <c r="H2965" s="52" t="str">
        <f t="shared" ca="1" si="1070"/>
        <v>Square Footage of Low-Income Units</v>
      </c>
      <c r="I2965" s="52">
        <v>9</v>
      </c>
    </row>
    <row r="2966" spans="1:10" ht="15" customHeight="1">
      <c r="A2966" t="str">
        <f t="shared" ca="1" si="1065"/>
        <v/>
      </c>
      <c r="B2966">
        <f t="shared" si="1066"/>
        <v>90</v>
      </c>
      <c r="C2966">
        <f t="shared" ca="1" si="1052"/>
        <v>87</v>
      </c>
      <c r="D2966" t="str">
        <f t="shared" si="1067"/>
        <v>J90</v>
      </c>
      <c r="E2966" t="str">
        <f t="shared" ca="1" si="1068"/>
        <v/>
      </c>
      <c r="F2966" t="str">
        <f t="shared" ca="1" si="1069"/>
        <v xml:space="preserve">Enter a 'Placed-In-Service Date' for  building 87 in cell J90.
</v>
      </c>
      <c r="G2966" s="9" t="str">
        <f t="shared" ca="1" si="1050"/>
        <v xml:space="preserve">Enter a value for 'Number of Floors in the Tallest Building' in cell B58.
</v>
      </c>
      <c r="H2966" s="52" t="str">
        <f t="shared" ca="1" si="1070"/>
        <v>Placed-In-Service Date</v>
      </c>
      <c r="I2966" s="52">
        <v>10</v>
      </c>
    </row>
    <row r="2967" spans="1:10" ht="15" customHeight="1">
      <c r="A2967" t="str">
        <f t="shared" ca="1" si="1065"/>
        <v/>
      </c>
      <c r="B2967">
        <f t="shared" si="1066"/>
        <v>90</v>
      </c>
      <c r="C2967">
        <f t="shared" ca="1" si="1052"/>
        <v>87</v>
      </c>
      <c r="D2967" t="str">
        <f t="shared" si="1067"/>
        <v>K90</v>
      </c>
      <c r="E2967" t="str">
        <f t="shared" ca="1" si="1068"/>
        <v/>
      </c>
      <c r="F2967" t="str">
        <f t="shared" ca="1" si="1069"/>
        <v xml:space="preserve">Enter a 'New Construction/ Rehab APR' for  building 87 in cell K90.
</v>
      </c>
      <c r="G2967" s="9" t="str">
        <f t="shared" ca="1" si="1050"/>
        <v xml:space="preserve">Enter a value for 'Number of Floors in the Tallest Building' in cell B58.
</v>
      </c>
      <c r="H2967" s="52" t="str">
        <f t="shared" ca="1" si="1070"/>
        <v>New Construction/ Rehab APR</v>
      </c>
      <c r="I2967" s="52">
        <v>11</v>
      </c>
    </row>
    <row r="2968" spans="1:10" ht="15" customHeight="1">
      <c r="A2968" t="str">
        <f t="shared" ca="1" si="1065"/>
        <v/>
      </c>
      <c r="B2968">
        <f t="shared" si="1066"/>
        <v>90</v>
      </c>
      <c r="C2968">
        <f t="shared" ca="1" si="1052"/>
        <v>87</v>
      </c>
      <c r="D2968" t="str">
        <f t="shared" si="1067"/>
        <v>L90</v>
      </c>
      <c r="E2968" t="str">
        <f t="shared" ca="1" si="1068"/>
        <v/>
      </c>
      <c r="F2968" t="str">
        <f t="shared" ca="1" si="1069"/>
        <v xml:space="preserve">Enter a 'New Construction Eligible Basis' for  building 87 in cell L90.
</v>
      </c>
      <c r="G2968" s="9" t="str">
        <f t="shared" ca="1" si="1050"/>
        <v xml:space="preserve">Enter a value for 'Number of Floors in the Tallest Building' in cell B58.
</v>
      </c>
      <c r="H2968" s="52" t="str">
        <f t="shared" ca="1" si="1070"/>
        <v>New Construction Eligible Basis</v>
      </c>
      <c r="I2968" s="52">
        <v>12</v>
      </c>
    </row>
    <row r="2969" spans="1:10" ht="15" customHeight="1">
      <c r="A2969" t="str">
        <f ca="1">IF(AND(OFFSET(A2969, -I2969 + 2, 4) &gt;  0, E2969="", Calculations!$B$7), F2969, "")</f>
        <v/>
      </c>
      <c r="B2969">
        <f t="shared" si="1066"/>
        <v>90</v>
      </c>
      <c r="C2969">
        <f t="shared" ca="1" si="1052"/>
        <v>87</v>
      </c>
      <c r="D2969" t="str">
        <f t="shared" si="1067"/>
        <v>M90</v>
      </c>
      <c r="E2969" t="str">
        <f t="shared" ca="1" si="1068"/>
        <v/>
      </c>
      <c r="F2969" t="str">
        <f t="shared" ca="1" si="1069"/>
        <v xml:space="preserve">Enter a 'Eligible Basis for Rehab' for  building 87 in cell M90.
</v>
      </c>
      <c r="G2969" s="9" t="str">
        <f t="shared" ca="1" si="1050"/>
        <v xml:space="preserve">Enter a value for 'Number of Floors in the Tallest Building' in cell B58.
</v>
      </c>
      <c r="H2969" s="52" t="str">
        <f t="shared" ca="1" si="1070"/>
        <v>Eligible Basis for Rehab</v>
      </c>
      <c r="I2969" s="52">
        <v>13</v>
      </c>
    </row>
    <row r="2970" spans="1:10" ht="15" customHeight="1">
      <c r="A2970" t="str">
        <f ca="1">IF(AND(OFFSET(A2970, -I2970 + 2, 4) &gt;  0, E2970="", Calculations!$B$7), F2970, "")</f>
        <v/>
      </c>
      <c r="B2970">
        <f t="shared" si="1066"/>
        <v>90</v>
      </c>
      <c r="C2970">
        <f t="shared" ca="1" si="1052"/>
        <v>87</v>
      </c>
      <c r="D2970" t="str">
        <f t="shared" si="1067"/>
        <v>N90</v>
      </c>
      <c r="E2970" t="str">
        <f t="shared" ca="1" si="1068"/>
        <v/>
      </c>
      <c r="F2970" t="str">
        <f t="shared" ca="1" si="1069"/>
        <v xml:space="preserve">Enter a 'Cost of Acquiring the Building***' for  building 87 in cell N90.
</v>
      </c>
      <c r="G2970" s="9" t="str">
        <f t="shared" ca="1" si="1050"/>
        <v xml:space="preserve">Enter a value for 'Number of Floors in the Tallest Building' in cell B58.
</v>
      </c>
      <c r="H2970" s="52" t="str">
        <f t="shared" ca="1" si="1070"/>
        <v>Cost of Acquiring the Building***</v>
      </c>
      <c r="I2970" s="52">
        <v>14</v>
      </c>
    </row>
    <row r="2971" spans="1:10" ht="15" customHeight="1">
      <c r="A2971" t="str">
        <f ca="1">IF(AND(OFFSET(A2971, -I2971 + 2, 4) &gt;  0, E2971="", Calculations!$B$7), F2971, "")</f>
        <v/>
      </c>
      <c r="B2971">
        <f t="shared" si="1066"/>
        <v>90</v>
      </c>
      <c r="C2971">
        <f t="shared" ca="1" si="1052"/>
        <v>87</v>
      </c>
      <c r="D2971" t="str">
        <f t="shared" si="1067"/>
        <v>O90</v>
      </c>
      <c r="E2971" t="str">
        <f t="shared" ca="1" si="1068"/>
        <v/>
      </c>
      <c r="F2971" t="str">
        <f t="shared" ca="1" si="1069"/>
        <v xml:space="preserve">Enter a 'Higher of Land Purchase Price or Land Appraised Value****' for  building 87 in cell O90.
</v>
      </c>
      <c r="G2971" s="9" t="str">
        <f t="shared" ca="1" si="1050"/>
        <v xml:space="preserve">Enter a value for 'Number of Floors in the Tallest Building' in cell B58.
</v>
      </c>
      <c r="H2971" s="52" t="str">
        <f t="shared" ca="1" si="1070"/>
        <v>Higher of Land Purchase Price or Land Appraised Value****</v>
      </c>
      <c r="I2971" s="52">
        <v>15</v>
      </c>
    </row>
    <row r="2972" spans="1:10" ht="15" customHeight="1">
      <c r="A2972" t="str">
        <f ca="1">IF(AND(OFFSET(A2972, -I2972 + 2, 4) &gt;  0, E2972="", Calculations!$B$7), F2972, "")</f>
        <v/>
      </c>
      <c r="B2972">
        <f t="shared" si="1066"/>
        <v>90</v>
      </c>
      <c r="C2972">
        <f t="shared" ca="1" si="1052"/>
        <v>87</v>
      </c>
      <c r="D2972" t="str">
        <f t="shared" si="1067"/>
        <v>P90</v>
      </c>
      <c r="E2972" t="str">
        <f t="shared" ca="1" si="1068"/>
        <v/>
      </c>
      <c r="F2972" t="str">
        <f t="shared" ca="1" si="1069"/>
        <v xml:space="preserve">Enter a 'Acquisition Placed-in-Service Date' for  building 87 in cell P90.
</v>
      </c>
      <c r="G2972" s="9" t="str">
        <f t="shared" ca="1" si="1050"/>
        <v xml:space="preserve">Enter a value for 'Number of Floors in the Tallest Building' in cell B58.
</v>
      </c>
      <c r="H2972" s="52" t="str">
        <f t="shared" ca="1" si="1070"/>
        <v>Acquisition Placed-in-Service Date</v>
      </c>
      <c r="I2972" s="52">
        <v>16</v>
      </c>
    </row>
    <row r="2973" spans="1:10" ht="15" customHeight="1">
      <c r="A2973" t="str">
        <f ca="1">IF(AND(OFFSET(A2973, -I2973 + 2, 4) &gt;  0, E2973="", Calculations!$B$7), F2973, "")</f>
        <v/>
      </c>
      <c r="B2973">
        <f t="shared" si="1066"/>
        <v>90</v>
      </c>
      <c r="C2973">
        <f t="shared" ca="1" si="1052"/>
        <v>87</v>
      </c>
      <c r="D2973" t="str">
        <f t="shared" si="1067"/>
        <v>Q90</v>
      </c>
      <c r="E2973" t="str">
        <f t="shared" ca="1" si="1068"/>
        <v/>
      </c>
      <c r="F2973" t="str">
        <f t="shared" ca="1" si="1069"/>
        <v xml:space="preserve">Enter a 'Acquisition APR' for  building 87 in cell Q90.
</v>
      </c>
      <c r="G2973" s="9" t="str">
        <f t="shared" ca="1" si="1050"/>
        <v xml:space="preserve">Enter a value for 'Number of Floors in the Tallest Building' in cell B58.
</v>
      </c>
      <c r="H2973" s="52" t="str">
        <f t="shared" ca="1" si="1070"/>
        <v>Acquisition APR</v>
      </c>
      <c r="I2973" s="52">
        <v>17</v>
      </c>
    </row>
    <row r="2974" spans="1:10" ht="15" customHeight="1">
      <c r="A2974" t="str">
        <f ca="1">IF(AND(Calculations!$B$4,Calculations!$B$28&gt;=C2974, E2974 &lt;&gt; 13),F2974,"")</f>
        <v/>
      </c>
      <c r="B2974">
        <f>ROW('Final Building Profile'!C91)</f>
        <v>91</v>
      </c>
      <c r="C2974">
        <f t="shared" ca="1" si="1052"/>
        <v>88</v>
      </c>
      <c r="D2974" t="str">
        <f>ADDRESS(B2974, 3,4  )</f>
        <v>C91</v>
      </c>
      <c r="E2974" s="52">
        <f ca="1">H2974+I2974</f>
        <v>0</v>
      </c>
      <c r="F2974" t="str">
        <f ca="1">CONCATENATE("Based upon the number of buildings specified, information for  building ", C2974, " required for a final application in row ", B2974, ".", CHAR(10))</f>
        <v xml:space="preserve">Based upon the number of buildings specified, information for  building 88 required for a final application in row 91.
</v>
      </c>
      <c r="G2974" s="9" t="str">
        <f t="shared" ca="1" si="1050"/>
        <v xml:space="preserve">Enter a value for 'Number of Floors in the Tallest Building' in cell B58.
</v>
      </c>
      <c r="H2974" s="52">
        <f ca="1">SUMPRODUCT(--ISTEXT(INDIRECT(J2974)))</f>
        <v>0</v>
      </c>
      <c r="I2974" s="52">
        <f ca="1">SUMPRODUCT(--ISNUMBER(INDIRECT(J2974)))</f>
        <v>0</v>
      </c>
      <c r="J2974" s="52" t="str">
        <f>$F$1564&amp; ADDRESS(B2974,3,4) &amp; ":" &amp; ADDRESS(B2974,15,4)</f>
        <v>'Final Building Profile'!C91:O91</v>
      </c>
    </row>
    <row r="2975" spans="1:10" ht="15" customHeight="1">
      <c r="A2975" t="str">
        <f t="shared" ref="A2975:A2984" ca="1" si="1071">IF(AND(OFFSET(A2975, -I2975 + 2, 4) &gt;  0, E2975=""), F2975, "")</f>
        <v/>
      </c>
      <c r="B2975">
        <f t="shared" ref="B2975:B2989" si="1072">B2974</f>
        <v>91</v>
      </c>
      <c r="C2975">
        <f t="shared" ca="1" si="1052"/>
        <v>88</v>
      </c>
      <c r="D2975" t="str">
        <f t="shared" ref="D2975:D2989" si="1073">ADDRESS(B2975, I2975,4  )</f>
        <v>C91</v>
      </c>
      <c r="E2975" t="str">
        <f t="shared" ref="E2975:E2989" ca="1" si="1074">IF(ISBLANK( INDIRECT($F$1564 &amp; D2975)),"", INDIRECT($F$1564 &amp; D2975))</f>
        <v/>
      </c>
      <c r="F2975" t="str">
        <f t="shared" ref="F2975:F2989" ca="1" si="1075">CONCATENATE("Enter a '"&amp; H2975 &amp;"' for  building ", C2975, " in cell ", D2975, ".", CHAR(10))</f>
        <v xml:space="preserve">Enter a 'Building Street Address Only 
(DO NOT ENTER CITY, STATE, OR ZIP)' for  building 88 in cell C91.
</v>
      </c>
      <c r="G2975" s="9" t="str">
        <f t="shared" ref="G2975:G3038" ca="1" si="1076">OFFSET(G2975, -1, 0) &amp; A2975</f>
        <v xml:space="preserve">Enter a value for 'Number of Floors in the Tallest Building' in cell B58.
</v>
      </c>
      <c r="H2975" s="52" t="str">
        <f t="shared" ref="H2975:H2989" ca="1" si="1077">OFFSET(INDIRECT($F$1564 &amp; D2975), -B2975 + 3, 0)</f>
        <v>Building Street Address Only 
(DO NOT ENTER CITY, STATE, OR ZIP)</v>
      </c>
      <c r="I2975" s="52">
        <v>3</v>
      </c>
    </row>
    <row r="2976" spans="1:10" ht="15" customHeight="1">
      <c r="A2976" t="str">
        <f t="shared" ca="1" si="1071"/>
        <v/>
      </c>
      <c r="B2976">
        <f t="shared" si="1072"/>
        <v>91</v>
      </c>
      <c r="C2976">
        <f t="shared" ca="1" si="1052"/>
        <v>88</v>
      </c>
      <c r="D2976" t="str">
        <f t="shared" si="1073"/>
        <v>D91</v>
      </c>
      <c r="E2976" t="str">
        <f t="shared" ca="1" si="1074"/>
        <v/>
      </c>
      <c r="F2976" t="str">
        <f t="shared" ca="1" si="1075"/>
        <v xml:space="preserve">Enter a 'Total Units in Building*' for  building 88 in cell D91.
</v>
      </c>
      <c r="G2976" s="9" t="str">
        <f t="shared" ca="1" si="1076"/>
        <v xml:space="preserve">Enter a value for 'Number of Floors in the Tallest Building' in cell B58.
</v>
      </c>
      <c r="H2976" s="52" t="str">
        <f t="shared" ca="1" si="1077"/>
        <v>Total Units in Building*</v>
      </c>
      <c r="I2976" s="52">
        <v>4</v>
      </c>
    </row>
    <row r="2977" spans="1:10" ht="15" customHeight="1">
      <c r="A2977" t="str">
        <f t="shared" ca="1" si="1071"/>
        <v/>
      </c>
      <c r="B2977">
        <f t="shared" si="1072"/>
        <v>91</v>
      </c>
      <c r="C2977">
        <f t="shared" ca="1" si="1052"/>
        <v>88</v>
      </c>
      <c r="D2977" t="str">
        <f t="shared" si="1073"/>
        <v>E91</v>
      </c>
      <c r="E2977" t="str">
        <f t="shared" ca="1" si="1074"/>
        <v/>
      </c>
      <c r="F2977" t="str">
        <f t="shared" ca="1" si="1075"/>
        <v xml:space="preserve">Enter a 'Employee Units' for  building 88 in cell E91.
</v>
      </c>
      <c r="G2977" s="9" t="str">
        <f t="shared" ca="1" si="1076"/>
        <v xml:space="preserve">Enter a value for 'Number of Floors in the Tallest Building' in cell B58.
</v>
      </c>
      <c r="H2977" s="52" t="str">
        <f t="shared" ca="1" si="1077"/>
        <v>Employee Units</v>
      </c>
      <c r="I2977" s="52">
        <v>5</v>
      </c>
    </row>
    <row r="2978" spans="1:10" ht="15" customHeight="1">
      <c r="A2978" t="str">
        <f t="shared" ca="1" si="1071"/>
        <v/>
      </c>
      <c r="B2978">
        <f t="shared" si="1072"/>
        <v>91</v>
      </c>
      <c r="C2978">
        <f t="shared" ca="1" si="1052"/>
        <v>88</v>
      </c>
      <c r="D2978" t="str">
        <f t="shared" si="1073"/>
        <v>F91</v>
      </c>
      <c r="E2978" t="str">
        <f t="shared" ca="1" si="1074"/>
        <v/>
      </c>
      <c r="F2978" t="str">
        <f t="shared" ca="1" si="1075"/>
        <v xml:space="preserve">Enter a 'Low-Income Units' for  building 88 in cell F91.
</v>
      </c>
      <c r="G2978" s="9" t="str">
        <f t="shared" ca="1" si="1076"/>
        <v xml:space="preserve">Enter a value for 'Number of Floors in the Tallest Building' in cell B58.
</v>
      </c>
      <c r="H2978" s="52" t="str">
        <f t="shared" ca="1" si="1077"/>
        <v>Low-Income Units</v>
      </c>
      <c r="I2978" s="52">
        <v>6</v>
      </c>
    </row>
    <row r="2979" spans="1:10" ht="15" customHeight="1">
      <c r="A2979" t="str">
        <f t="shared" ca="1" si="1071"/>
        <v/>
      </c>
      <c r="B2979">
        <f t="shared" si="1072"/>
        <v>91</v>
      </c>
      <c r="C2979">
        <f t="shared" ca="1" si="1052"/>
        <v>88</v>
      </c>
      <c r="D2979" t="str">
        <f t="shared" si="1073"/>
        <v>G91</v>
      </c>
      <c r="E2979" t="str">
        <f t="shared" ca="1" si="1074"/>
        <v/>
      </c>
      <c r="F2979" t="str">
        <f t="shared" ca="1" si="1075"/>
        <v xml:space="preserve">Enter a 'Residential Square Footage**' for  building 88 in cell G91.
</v>
      </c>
      <c r="G2979" s="9" t="str">
        <f t="shared" ca="1" si="1076"/>
        <v xml:space="preserve">Enter a value for 'Number of Floors in the Tallest Building' in cell B58.
</v>
      </c>
      <c r="H2979" s="52" t="str">
        <f t="shared" ca="1" si="1077"/>
        <v>Residential Square Footage**</v>
      </c>
      <c r="I2979" s="52">
        <v>7</v>
      </c>
    </row>
    <row r="2980" spans="1:10" ht="15" customHeight="1">
      <c r="A2980" t="str">
        <f t="shared" ca="1" si="1071"/>
        <v/>
      </c>
      <c r="B2980">
        <f t="shared" si="1072"/>
        <v>91</v>
      </c>
      <c r="C2980">
        <f t="shared" ca="1" si="1052"/>
        <v>88</v>
      </c>
      <c r="D2980" t="str">
        <f t="shared" si="1073"/>
        <v>H91</v>
      </c>
      <c r="E2980" t="str">
        <f t="shared" ca="1" si="1074"/>
        <v/>
      </c>
      <c r="F2980" t="str">
        <f t="shared" ca="1" si="1075"/>
        <v xml:space="preserve">Enter a 'Square Footage of Employee Units' for  building 88 in cell H91.
</v>
      </c>
      <c r="G2980" s="9" t="str">
        <f t="shared" ca="1" si="1076"/>
        <v xml:space="preserve">Enter a value for 'Number of Floors in the Tallest Building' in cell B58.
</v>
      </c>
      <c r="H2980" s="52" t="str">
        <f t="shared" ca="1" si="1077"/>
        <v>Square Footage of Employee Units</v>
      </c>
      <c r="I2980" s="52">
        <v>8</v>
      </c>
    </row>
    <row r="2981" spans="1:10" ht="15" customHeight="1">
      <c r="A2981" t="str">
        <f t="shared" ca="1" si="1071"/>
        <v/>
      </c>
      <c r="B2981">
        <f t="shared" si="1072"/>
        <v>91</v>
      </c>
      <c r="C2981">
        <f t="shared" ca="1" si="1052"/>
        <v>88</v>
      </c>
      <c r="D2981" t="str">
        <f t="shared" si="1073"/>
        <v>I91</v>
      </c>
      <c r="E2981" t="str">
        <f t="shared" ca="1" si="1074"/>
        <v/>
      </c>
      <c r="F2981" t="str">
        <f t="shared" ca="1" si="1075"/>
        <v xml:space="preserve">Enter a 'Square Footage of Low-Income Units' for  building 88 in cell I91.
</v>
      </c>
      <c r="G2981" s="9" t="str">
        <f t="shared" ca="1" si="1076"/>
        <v xml:space="preserve">Enter a value for 'Number of Floors in the Tallest Building' in cell B58.
</v>
      </c>
      <c r="H2981" s="52" t="str">
        <f t="shared" ca="1" si="1077"/>
        <v>Square Footage of Low-Income Units</v>
      </c>
      <c r="I2981" s="52">
        <v>9</v>
      </c>
    </row>
    <row r="2982" spans="1:10" ht="15" customHeight="1">
      <c r="A2982" t="str">
        <f t="shared" ca="1" si="1071"/>
        <v/>
      </c>
      <c r="B2982">
        <f t="shared" si="1072"/>
        <v>91</v>
      </c>
      <c r="C2982">
        <f t="shared" ca="1" si="1052"/>
        <v>88</v>
      </c>
      <c r="D2982" t="str">
        <f t="shared" si="1073"/>
        <v>J91</v>
      </c>
      <c r="E2982" t="str">
        <f t="shared" ca="1" si="1074"/>
        <v/>
      </c>
      <c r="F2982" t="str">
        <f t="shared" ca="1" si="1075"/>
        <v xml:space="preserve">Enter a 'Placed-In-Service Date' for  building 88 in cell J91.
</v>
      </c>
      <c r="G2982" s="9" t="str">
        <f t="shared" ca="1" si="1076"/>
        <v xml:space="preserve">Enter a value for 'Number of Floors in the Tallest Building' in cell B58.
</v>
      </c>
      <c r="H2982" s="52" t="str">
        <f t="shared" ca="1" si="1077"/>
        <v>Placed-In-Service Date</v>
      </c>
      <c r="I2982" s="52">
        <v>10</v>
      </c>
    </row>
    <row r="2983" spans="1:10" ht="15" customHeight="1">
      <c r="A2983" t="str">
        <f t="shared" ca="1" si="1071"/>
        <v/>
      </c>
      <c r="B2983">
        <f t="shared" si="1072"/>
        <v>91</v>
      </c>
      <c r="C2983">
        <f t="shared" ca="1" si="1052"/>
        <v>88</v>
      </c>
      <c r="D2983" t="str">
        <f t="shared" si="1073"/>
        <v>K91</v>
      </c>
      <c r="E2983" t="str">
        <f t="shared" ca="1" si="1074"/>
        <v/>
      </c>
      <c r="F2983" t="str">
        <f t="shared" ca="1" si="1075"/>
        <v xml:space="preserve">Enter a 'New Construction/ Rehab APR' for  building 88 in cell K91.
</v>
      </c>
      <c r="G2983" s="9" t="str">
        <f t="shared" ca="1" si="1076"/>
        <v xml:space="preserve">Enter a value for 'Number of Floors in the Tallest Building' in cell B58.
</v>
      </c>
      <c r="H2983" s="52" t="str">
        <f t="shared" ca="1" si="1077"/>
        <v>New Construction/ Rehab APR</v>
      </c>
      <c r="I2983" s="52">
        <v>11</v>
      </c>
    </row>
    <row r="2984" spans="1:10" ht="15" customHeight="1">
      <c r="A2984" t="str">
        <f t="shared" ca="1" si="1071"/>
        <v/>
      </c>
      <c r="B2984">
        <f t="shared" si="1072"/>
        <v>91</v>
      </c>
      <c r="C2984">
        <f t="shared" ca="1" si="1052"/>
        <v>88</v>
      </c>
      <c r="D2984" t="str">
        <f t="shared" si="1073"/>
        <v>L91</v>
      </c>
      <c r="E2984" t="str">
        <f t="shared" ca="1" si="1074"/>
        <v/>
      </c>
      <c r="F2984" t="str">
        <f t="shared" ca="1" si="1075"/>
        <v xml:space="preserve">Enter a 'New Construction Eligible Basis' for  building 88 in cell L91.
</v>
      </c>
      <c r="G2984" s="9" t="str">
        <f t="shared" ca="1" si="1076"/>
        <v xml:space="preserve">Enter a value for 'Number of Floors in the Tallest Building' in cell B58.
</v>
      </c>
      <c r="H2984" s="52" t="str">
        <f t="shared" ca="1" si="1077"/>
        <v>New Construction Eligible Basis</v>
      </c>
      <c r="I2984" s="52">
        <v>12</v>
      </c>
    </row>
    <row r="2985" spans="1:10" ht="15" customHeight="1">
      <c r="A2985" t="str">
        <f ca="1">IF(AND(OFFSET(A2985, -I2985 + 2, 4) &gt;  0, E2985="", Calculations!$B$7), F2985, "")</f>
        <v/>
      </c>
      <c r="B2985">
        <f t="shared" si="1072"/>
        <v>91</v>
      </c>
      <c r="C2985">
        <f t="shared" ca="1" si="1052"/>
        <v>88</v>
      </c>
      <c r="D2985" t="str">
        <f t="shared" si="1073"/>
        <v>M91</v>
      </c>
      <c r="E2985" t="str">
        <f t="shared" ca="1" si="1074"/>
        <v/>
      </c>
      <c r="F2985" t="str">
        <f t="shared" ca="1" si="1075"/>
        <v xml:space="preserve">Enter a 'Eligible Basis for Rehab' for  building 88 in cell M91.
</v>
      </c>
      <c r="G2985" s="9" t="str">
        <f t="shared" ca="1" si="1076"/>
        <v xml:space="preserve">Enter a value for 'Number of Floors in the Tallest Building' in cell B58.
</v>
      </c>
      <c r="H2985" s="52" t="str">
        <f t="shared" ca="1" si="1077"/>
        <v>Eligible Basis for Rehab</v>
      </c>
      <c r="I2985" s="52">
        <v>13</v>
      </c>
    </row>
    <row r="2986" spans="1:10" ht="15" customHeight="1">
      <c r="A2986" t="str">
        <f ca="1">IF(AND(OFFSET(A2986, -I2986 + 2, 4) &gt;  0, E2986="", Calculations!$B$7), F2986, "")</f>
        <v/>
      </c>
      <c r="B2986">
        <f t="shared" si="1072"/>
        <v>91</v>
      </c>
      <c r="C2986">
        <f t="shared" ca="1" si="1052"/>
        <v>88</v>
      </c>
      <c r="D2986" t="str">
        <f t="shared" si="1073"/>
        <v>N91</v>
      </c>
      <c r="E2986" t="str">
        <f t="shared" ca="1" si="1074"/>
        <v/>
      </c>
      <c r="F2986" t="str">
        <f t="shared" ca="1" si="1075"/>
        <v xml:space="preserve">Enter a 'Cost of Acquiring the Building***' for  building 88 in cell N91.
</v>
      </c>
      <c r="G2986" s="9" t="str">
        <f t="shared" ca="1" si="1076"/>
        <v xml:space="preserve">Enter a value for 'Number of Floors in the Tallest Building' in cell B58.
</v>
      </c>
      <c r="H2986" s="52" t="str">
        <f t="shared" ca="1" si="1077"/>
        <v>Cost of Acquiring the Building***</v>
      </c>
      <c r="I2986" s="52">
        <v>14</v>
      </c>
    </row>
    <row r="2987" spans="1:10" ht="15" customHeight="1">
      <c r="A2987" t="str">
        <f ca="1">IF(AND(OFFSET(A2987, -I2987 + 2, 4) &gt;  0, E2987="", Calculations!$B$7), F2987, "")</f>
        <v/>
      </c>
      <c r="B2987">
        <f t="shared" si="1072"/>
        <v>91</v>
      </c>
      <c r="C2987">
        <f t="shared" ca="1" si="1052"/>
        <v>88</v>
      </c>
      <c r="D2987" t="str">
        <f t="shared" si="1073"/>
        <v>O91</v>
      </c>
      <c r="E2987" t="str">
        <f t="shared" ca="1" si="1074"/>
        <v/>
      </c>
      <c r="F2987" t="str">
        <f t="shared" ca="1" si="1075"/>
        <v xml:space="preserve">Enter a 'Higher of Land Purchase Price or Land Appraised Value****' for  building 88 in cell O91.
</v>
      </c>
      <c r="G2987" s="9" t="str">
        <f t="shared" ca="1" si="1076"/>
        <v xml:space="preserve">Enter a value for 'Number of Floors in the Tallest Building' in cell B58.
</v>
      </c>
      <c r="H2987" s="52" t="str">
        <f t="shared" ca="1" si="1077"/>
        <v>Higher of Land Purchase Price or Land Appraised Value****</v>
      </c>
      <c r="I2987" s="52">
        <v>15</v>
      </c>
    </row>
    <row r="2988" spans="1:10" ht="15" customHeight="1">
      <c r="A2988" t="str">
        <f ca="1">IF(AND(OFFSET(A2988, -I2988 + 2, 4) &gt;  0, E2988="", Calculations!$B$7), F2988, "")</f>
        <v/>
      </c>
      <c r="B2988">
        <f t="shared" si="1072"/>
        <v>91</v>
      </c>
      <c r="C2988">
        <f t="shared" ca="1" si="1052"/>
        <v>88</v>
      </c>
      <c r="D2988" t="str">
        <f t="shared" si="1073"/>
        <v>P91</v>
      </c>
      <c r="E2988" t="str">
        <f t="shared" ca="1" si="1074"/>
        <v/>
      </c>
      <c r="F2988" t="str">
        <f t="shared" ca="1" si="1075"/>
        <v xml:space="preserve">Enter a 'Acquisition Placed-in-Service Date' for  building 88 in cell P91.
</v>
      </c>
      <c r="G2988" s="9" t="str">
        <f t="shared" ca="1" si="1076"/>
        <v xml:space="preserve">Enter a value for 'Number of Floors in the Tallest Building' in cell B58.
</v>
      </c>
      <c r="H2988" s="52" t="str">
        <f t="shared" ca="1" si="1077"/>
        <v>Acquisition Placed-in-Service Date</v>
      </c>
      <c r="I2988" s="52">
        <v>16</v>
      </c>
    </row>
    <row r="2989" spans="1:10" ht="15" customHeight="1">
      <c r="A2989" t="str">
        <f ca="1">IF(AND(OFFSET(A2989, -I2989 + 2, 4) &gt;  0, E2989="", Calculations!$B$7), F2989, "")</f>
        <v/>
      </c>
      <c r="B2989">
        <f t="shared" si="1072"/>
        <v>91</v>
      </c>
      <c r="C2989">
        <f t="shared" ca="1" si="1052"/>
        <v>88</v>
      </c>
      <c r="D2989" t="str">
        <f t="shared" si="1073"/>
        <v>Q91</v>
      </c>
      <c r="E2989" t="str">
        <f t="shared" ca="1" si="1074"/>
        <v/>
      </c>
      <c r="F2989" t="str">
        <f t="shared" ca="1" si="1075"/>
        <v xml:space="preserve">Enter a 'Acquisition APR' for  building 88 in cell Q91.
</v>
      </c>
      <c r="G2989" s="9" t="str">
        <f t="shared" ca="1" si="1076"/>
        <v xml:space="preserve">Enter a value for 'Number of Floors in the Tallest Building' in cell B58.
</v>
      </c>
      <c r="H2989" s="52" t="str">
        <f t="shared" ca="1" si="1077"/>
        <v>Acquisition APR</v>
      </c>
      <c r="I2989" s="52">
        <v>17</v>
      </c>
    </row>
    <row r="2990" spans="1:10" ht="15" customHeight="1">
      <c r="A2990" t="str">
        <f ca="1">IF(AND(Calculations!$B$4,Calculations!$B$28&gt;=C2990, E2990 &lt;&gt; 13),F2990,"")</f>
        <v/>
      </c>
      <c r="B2990">
        <f>ROW('Final Building Profile'!C92)</f>
        <v>92</v>
      </c>
      <c r="C2990">
        <f t="shared" ref="C2990:C3053" ca="1" si="1078">INDIRECT($F$1564 &amp; ADDRESS(B2990, 1,4  ))</f>
        <v>89</v>
      </c>
      <c r="D2990" t="str">
        <f>ADDRESS(B2990, 3,4  )</f>
        <v>C92</v>
      </c>
      <c r="E2990" s="52">
        <f ca="1">H2990+I2990</f>
        <v>0</v>
      </c>
      <c r="F2990" t="str">
        <f ca="1">CONCATENATE("Based upon the number of buildings specified, information for  building ", C2990, " required for a final application in row ", B2990, ".", CHAR(10))</f>
        <v xml:space="preserve">Based upon the number of buildings specified, information for  building 89 required for a final application in row 92.
</v>
      </c>
      <c r="G2990" s="9" t="str">
        <f t="shared" ca="1" si="1076"/>
        <v xml:space="preserve">Enter a value for 'Number of Floors in the Tallest Building' in cell B58.
</v>
      </c>
      <c r="H2990" s="52">
        <f ca="1">SUMPRODUCT(--ISTEXT(INDIRECT(J2990)))</f>
        <v>0</v>
      </c>
      <c r="I2990" s="52">
        <f ca="1">SUMPRODUCT(--ISNUMBER(INDIRECT(J2990)))</f>
        <v>0</v>
      </c>
      <c r="J2990" s="52" t="str">
        <f>$F$1564&amp; ADDRESS(B2990,3,4) &amp; ":" &amp; ADDRESS(B2990,15,4)</f>
        <v>'Final Building Profile'!C92:O92</v>
      </c>
    </row>
    <row r="2991" spans="1:10" ht="15" customHeight="1">
      <c r="A2991" t="str">
        <f t="shared" ref="A2991:A3000" ca="1" si="1079">IF(AND(OFFSET(A2991, -I2991 + 2, 4) &gt;  0, E2991=""), F2991, "")</f>
        <v/>
      </c>
      <c r="B2991">
        <f t="shared" ref="B2991:B3005" si="1080">B2990</f>
        <v>92</v>
      </c>
      <c r="C2991">
        <f t="shared" ca="1" si="1078"/>
        <v>89</v>
      </c>
      <c r="D2991" t="str">
        <f t="shared" ref="D2991:D3005" si="1081">ADDRESS(B2991, I2991,4  )</f>
        <v>C92</v>
      </c>
      <c r="E2991" t="str">
        <f t="shared" ref="E2991:E3005" ca="1" si="1082">IF(ISBLANK( INDIRECT($F$1564 &amp; D2991)),"", INDIRECT($F$1564 &amp; D2991))</f>
        <v/>
      </c>
      <c r="F2991" t="str">
        <f t="shared" ref="F2991:F3005" ca="1" si="1083">CONCATENATE("Enter a '"&amp; H2991 &amp;"' for  building ", C2991, " in cell ", D2991, ".", CHAR(10))</f>
        <v xml:space="preserve">Enter a 'Building Street Address Only 
(DO NOT ENTER CITY, STATE, OR ZIP)' for  building 89 in cell C92.
</v>
      </c>
      <c r="G2991" s="9" t="str">
        <f t="shared" ca="1" si="1076"/>
        <v xml:space="preserve">Enter a value for 'Number of Floors in the Tallest Building' in cell B58.
</v>
      </c>
      <c r="H2991" s="52" t="str">
        <f t="shared" ref="H2991:H3005" ca="1" si="1084">OFFSET(INDIRECT($F$1564 &amp; D2991), -B2991 + 3, 0)</f>
        <v>Building Street Address Only 
(DO NOT ENTER CITY, STATE, OR ZIP)</v>
      </c>
      <c r="I2991" s="52">
        <v>3</v>
      </c>
    </row>
    <row r="2992" spans="1:10" ht="15" customHeight="1">
      <c r="A2992" t="str">
        <f t="shared" ca="1" si="1079"/>
        <v/>
      </c>
      <c r="B2992">
        <f t="shared" si="1080"/>
        <v>92</v>
      </c>
      <c r="C2992">
        <f t="shared" ca="1" si="1078"/>
        <v>89</v>
      </c>
      <c r="D2992" t="str">
        <f t="shared" si="1081"/>
        <v>D92</v>
      </c>
      <c r="E2992" t="str">
        <f t="shared" ca="1" si="1082"/>
        <v/>
      </c>
      <c r="F2992" t="str">
        <f t="shared" ca="1" si="1083"/>
        <v xml:space="preserve">Enter a 'Total Units in Building*' for  building 89 in cell D92.
</v>
      </c>
      <c r="G2992" s="9" t="str">
        <f t="shared" ca="1" si="1076"/>
        <v xml:space="preserve">Enter a value for 'Number of Floors in the Tallest Building' in cell B58.
</v>
      </c>
      <c r="H2992" s="52" t="str">
        <f t="shared" ca="1" si="1084"/>
        <v>Total Units in Building*</v>
      </c>
      <c r="I2992" s="52">
        <v>4</v>
      </c>
    </row>
    <row r="2993" spans="1:10" ht="15" customHeight="1">
      <c r="A2993" t="str">
        <f t="shared" ca="1" si="1079"/>
        <v/>
      </c>
      <c r="B2993">
        <f t="shared" si="1080"/>
        <v>92</v>
      </c>
      <c r="C2993">
        <f t="shared" ca="1" si="1078"/>
        <v>89</v>
      </c>
      <c r="D2993" t="str">
        <f t="shared" si="1081"/>
        <v>E92</v>
      </c>
      <c r="E2993" t="str">
        <f t="shared" ca="1" si="1082"/>
        <v/>
      </c>
      <c r="F2993" t="str">
        <f t="shared" ca="1" si="1083"/>
        <v xml:space="preserve">Enter a 'Employee Units' for  building 89 in cell E92.
</v>
      </c>
      <c r="G2993" s="9" t="str">
        <f t="shared" ca="1" si="1076"/>
        <v xml:space="preserve">Enter a value for 'Number of Floors in the Tallest Building' in cell B58.
</v>
      </c>
      <c r="H2993" s="52" t="str">
        <f t="shared" ca="1" si="1084"/>
        <v>Employee Units</v>
      </c>
      <c r="I2993" s="52">
        <v>5</v>
      </c>
    </row>
    <row r="2994" spans="1:10" ht="15" customHeight="1">
      <c r="A2994" t="str">
        <f t="shared" ca="1" si="1079"/>
        <v/>
      </c>
      <c r="B2994">
        <f t="shared" si="1080"/>
        <v>92</v>
      </c>
      <c r="C2994">
        <f t="shared" ca="1" si="1078"/>
        <v>89</v>
      </c>
      <c r="D2994" t="str">
        <f t="shared" si="1081"/>
        <v>F92</v>
      </c>
      <c r="E2994" t="str">
        <f t="shared" ca="1" si="1082"/>
        <v/>
      </c>
      <c r="F2994" t="str">
        <f t="shared" ca="1" si="1083"/>
        <v xml:space="preserve">Enter a 'Low-Income Units' for  building 89 in cell F92.
</v>
      </c>
      <c r="G2994" s="9" t="str">
        <f t="shared" ca="1" si="1076"/>
        <v xml:space="preserve">Enter a value for 'Number of Floors in the Tallest Building' in cell B58.
</v>
      </c>
      <c r="H2994" s="52" t="str">
        <f t="shared" ca="1" si="1084"/>
        <v>Low-Income Units</v>
      </c>
      <c r="I2994" s="52">
        <v>6</v>
      </c>
    </row>
    <row r="2995" spans="1:10" ht="15" customHeight="1">
      <c r="A2995" t="str">
        <f t="shared" ca="1" si="1079"/>
        <v/>
      </c>
      <c r="B2995">
        <f t="shared" si="1080"/>
        <v>92</v>
      </c>
      <c r="C2995">
        <f t="shared" ca="1" si="1078"/>
        <v>89</v>
      </c>
      <c r="D2995" t="str">
        <f t="shared" si="1081"/>
        <v>G92</v>
      </c>
      <c r="E2995" t="str">
        <f t="shared" ca="1" si="1082"/>
        <v/>
      </c>
      <c r="F2995" t="str">
        <f t="shared" ca="1" si="1083"/>
        <v xml:space="preserve">Enter a 'Residential Square Footage**' for  building 89 in cell G92.
</v>
      </c>
      <c r="G2995" s="9" t="str">
        <f t="shared" ca="1" si="1076"/>
        <v xml:space="preserve">Enter a value for 'Number of Floors in the Tallest Building' in cell B58.
</v>
      </c>
      <c r="H2995" s="52" t="str">
        <f t="shared" ca="1" si="1084"/>
        <v>Residential Square Footage**</v>
      </c>
      <c r="I2995" s="52">
        <v>7</v>
      </c>
    </row>
    <row r="2996" spans="1:10" ht="15" customHeight="1">
      <c r="A2996" t="str">
        <f t="shared" ca="1" si="1079"/>
        <v/>
      </c>
      <c r="B2996">
        <f t="shared" si="1080"/>
        <v>92</v>
      </c>
      <c r="C2996">
        <f t="shared" ca="1" si="1078"/>
        <v>89</v>
      </c>
      <c r="D2996" t="str">
        <f t="shared" si="1081"/>
        <v>H92</v>
      </c>
      <c r="E2996" t="str">
        <f t="shared" ca="1" si="1082"/>
        <v/>
      </c>
      <c r="F2996" t="str">
        <f t="shared" ca="1" si="1083"/>
        <v xml:space="preserve">Enter a 'Square Footage of Employee Units' for  building 89 in cell H92.
</v>
      </c>
      <c r="G2996" s="9" t="str">
        <f t="shared" ca="1" si="1076"/>
        <v xml:space="preserve">Enter a value for 'Number of Floors in the Tallest Building' in cell B58.
</v>
      </c>
      <c r="H2996" s="52" t="str">
        <f t="shared" ca="1" si="1084"/>
        <v>Square Footage of Employee Units</v>
      </c>
      <c r="I2996" s="52">
        <v>8</v>
      </c>
    </row>
    <row r="2997" spans="1:10" ht="15" customHeight="1">
      <c r="A2997" t="str">
        <f t="shared" ca="1" si="1079"/>
        <v/>
      </c>
      <c r="B2997">
        <f t="shared" si="1080"/>
        <v>92</v>
      </c>
      <c r="C2997">
        <f t="shared" ca="1" si="1078"/>
        <v>89</v>
      </c>
      <c r="D2997" t="str">
        <f t="shared" si="1081"/>
        <v>I92</v>
      </c>
      <c r="E2997" t="str">
        <f t="shared" ca="1" si="1082"/>
        <v/>
      </c>
      <c r="F2997" t="str">
        <f t="shared" ca="1" si="1083"/>
        <v xml:space="preserve">Enter a 'Square Footage of Low-Income Units' for  building 89 in cell I92.
</v>
      </c>
      <c r="G2997" s="9" t="str">
        <f t="shared" ca="1" si="1076"/>
        <v xml:space="preserve">Enter a value for 'Number of Floors in the Tallest Building' in cell B58.
</v>
      </c>
      <c r="H2997" s="52" t="str">
        <f t="shared" ca="1" si="1084"/>
        <v>Square Footage of Low-Income Units</v>
      </c>
      <c r="I2997" s="52">
        <v>9</v>
      </c>
    </row>
    <row r="2998" spans="1:10" ht="15" customHeight="1">
      <c r="A2998" t="str">
        <f t="shared" ca="1" si="1079"/>
        <v/>
      </c>
      <c r="B2998">
        <f t="shared" si="1080"/>
        <v>92</v>
      </c>
      <c r="C2998">
        <f t="shared" ca="1" si="1078"/>
        <v>89</v>
      </c>
      <c r="D2998" t="str">
        <f t="shared" si="1081"/>
        <v>J92</v>
      </c>
      <c r="E2998" t="str">
        <f t="shared" ca="1" si="1082"/>
        <v/>
      </c>
      <c r="F2998" t="str">
        <f t="shared" ca="1" si="1083"/>
        <v xml:space="preserve">Enter a 'Placed-In-Service Date' for  building 89 in cell J92.
</v>
      </c>
      <c r="G2998" s="9" t="str">
        <f t="shared" ca="1" si="1076"/>
        <v xml:space="preserve">Enter a value for 'Number of Floors in the Tallest Building' in cell B58.
</v>
      </c>
      <c r="H2998" s="52" t="str">
        <f t="shared" ca="1" si="1084"/>
        <v>Placed-In-Service Date</v>
      </c>
      <c r="I2998" s="52">
        <v>10</v>
      </c>
    </row>
    <row r="2999" spans="1:10" ht="15" customHeight="1">
      <c r="A2999" t="str">
        <f t="shared" ca="1" si="1079"/>
        <v/>
      </c>
      <c r="B2999">
        <f t="shared" si="1080"/>
        <v>92</v>
      </c>
      <c r="C2999">
        <f t="shared" ca="1" si="1078"/>
        <v>89</v>
      </c>
      <c r="D2999" t="str">
        <f t="shared" si="1081"/>
        <v>K92</v>
      </c>
      <c r="E2999" t="str">
        <f t="shared" ca="1" si="1082"/>
        <v/>
      </c>
      <c r="F2999" t="str">
        <f t="shared" ca="1" si="1083"/>
        <v xml:space="preserve">Enter a 'New Construction/ Rehab APR' for  building 89 in cell K92.
</v>
      </c>
      <c r="G2999" s="9" t="str">
        <f t="shared" ca="1" si="1076"/>
        <v xml:space="preserve">Enter a value for 'Number of Floors in the Tallest Building' in cell B58.
</v>
      </c>
      <c r="H2999" s="52" t="str">
        <f t="shared" ca="1" si="1084"/>
        <v>New Construction/ Rehab APR</v>
      </c>
      <c r="I2999" s="52">
        <v>11</v>
      </c>
    </row>
    <row r="3000" spans="1:10" ht="15" customHeight="1">
      <c r="A3000" t="str">
        <f t="shared" ca="1" si="1079"/>
        <v/>
      </c>
      <c r="B3000">
        <f t="shared" si="1080"/>
        <v>92</v>
      </c>
      <c r="C3000">
        <f t="shared" ca="1" si="1078"/>
        <v>89</v>
      </c>
      <c r="D3000" t="str">
        <f t="shared" si="1081"/>
        <v>L92</v>
      </c>
      <c r="E3000" t="str">
        <f t="shared" ca="1" si="1082"/>
        <v/>
      </c>
      <c r="F3000" t="str">
        <f t="shared" ca="1" si="1083"/>
        <v xml:space="preserve">Enter a 'New Construction Eligible Basis' for  building 89 in cell L92.
</v>
      </c>
      <c r="G3000" s="9" t="str">
        <f t="shared" ca="1" si="1076"/>
        <v xml:space="preserve">Enter a value for 'Number of Floors in the Tallest Building' in cell B58.
</v>
      </c>
      <c r="H3000" s="52" t="str">
        <f t="shared" ca="1" si="1084"/>
        <v>New Construction Eligible Basis</v>
      </c>
      <c r="I3000" s="52">
        <v>12</v>
      </c>
    </row>
    <row r="3001" spans="1:10" ht="15" customHeight="1">
      <c r="A3001" t="str">
        <f ca="1">IF(AND(OFFSET(A3001, -I3001 + 2, 4) &gt;  0, E3001="", Calculations!$B$7), F3001, "")</f>
        <v/>
      </c>
      <c r="B3001">
        <f t="shared" si="1080"/>
        <v>92</v>
      </c>
      <c r="C3001">
        <f t="shared" ca="1" si="1078"/>
        <v>89</v>
      </c>
      <c r="D3001" t="str">
        <f t="shared" si="1081"/>
        <v>M92</v>
      </c>
      <c r="E3001" t="str">
        <f t="shared" ca="1" si="1082"/>
        <v/>
      </c>
      <c r="F3001" t="str">
        <f t="shared" ca="1" si="1083"/>
        <v xml:space="preserve">Enter a 'Eligible Basis for Rehab' for  building 89 in cell M92.
</v>
      </c>
      <c r="G3001" s="9" t="str">
        <f t="shared" ca="1" si="1076"/>
        <v xml:space="preserve">Enter a value for 'Number of Floors in the Tallest Building' in cell B58.
</v>
      </c>
      <c r="H3001" s="52" t="str">
        <f t="shared" ca="1" si="1084"/>
        <v>Eligible Basis for Rehab</v>
      </c>
      <c r="I3001" s="52">
        <v>13</v>
      </c>
    </row>
    <row r="3002" spans="1:10" ht="15" customHeight="1">
      <c r="A3002" t="str">
        <f ca="1">IF(AND(OFFSET(A3002, -I3002 + 2, 4) &gt;  0, E3002="", Calculations!$B$7), F3002, "")</f>
        <v/>
      </c>
      <c r="B3002">
        <f t="shared" si="1080"/>
        <v>92</v>
      </c>
      <c r="C3002">
        <f t="shared" ca="1" si="1078"/>
        <v>89</v>
      </c>
      <c r="D3002" t="str">
        <f t="shared" si="1081"/>
        <v>N92</v>
      </c>
      <c r="E3002" t="str">
        <f t="shared" ca="1" si="1082"/>
        <v/>
      </c>
      <c r="F3002" t="str">
        <f t="shared" ca="1" si="1083"/>
        <v xml:space="preserve">Enter a 'Cost of Acquiring the Building***' for  building 89 in cell N92.
</v>
      </c>
      <c r="G3002" s="9" t="str">
        <f t="shared" ca="1" si="1076"/>
        <v xml:space="preserve">Enter a value for 'Number of Floors in the Tallest Building' in cell B58.
</v>
      </c>
      <c r="H3002" s="52" t="str">
        <f t="shared" ca="1" si="1084"/>
        <v>Cost of Acquiring the Building***</v>
      </c>
      <c r="I3002" s="52">
        <v>14</v>
      </c>
    </row>
    <row r="3003" spans="1:10" ht="15" customHeight="1">
      <c r="A3003" t="str">
        <f ca="1">IF(AND(OFFSET(A3003, -I3003 + 2, 4) &gt;  0, E3003="", Calculations!$B$7), F3003, "")</f>
        <v/>
      </c>
      <c r="B3003">
        <f t="shared" si="1080"/>
        <v>92</v>
      </c>
      <c r="C3003">
        <f t="shared" ca="1" si="1078"/>
        <v>89</v>
      </c>
      <c r="D3003" t="str">
        <f t="shared" si="1081"/>
        <v>O92</v>
      </c>
      <c r="E3003" t="str">
        <f t="shared" ca="1" si="1082"/>
        <v/>
      </c>
      <c r="F3003" t="str">
        <f t="shared" ca="1" si="1083"/>
        <v xml:space="preserve">Enter a 'Higher of Land Purchase Price or Land Appraised Value****' for  building 89 in cell O92.
</v>
      </c>
      <c r="G3003" s="9" t="str">
        <f t="shared" ca="1" si="1076"/>
        <v xml:space="preserve">Enter a value for 'Number of Floors in the Tallest Building' in cell B58.
</v>
      </c>
      <c r="H3003" s="52" t="str">
        <f t="shared" ca="1" si="1084"/>
        <v>Higher of Land Purchase Price or Land Appraised Value****</v>
      </c>
      <c r="I3003" s="52">
        <v>15</v>
      </c>
    </row>
    <row r="3004" spans="1:10" ht="15" customHeight="1">
      <c r="A3004" t="str">
        <f ca="1">IF(AND(OFFSET(A3004, -I3004 + 2, 4) &gt;  0, E3004="", Calculations!$B$7), F3004, "")</f>
        <v/>
      </c>
      <c r="B3004">
        <f t="shared" si="1080"/>
        <v>92</v>
      </c>
      <c r="C3004">
        <f t="shared" ca="1" si="1078"/>
        <v>89</v>
      </c>
      <c r="D3004" t="str">
        <f t="shared" si="1081"/>
        <v>P92</v>
      </c>
      <c r="E3004" t="str">
        <f t="shared" ca="1" si="1082"/>
        <v/>
      </c>
      <c r="F3004" t="str">
        <f t="shared" ca="1" si="1083"/>
        <v xml:space="preserve">Enter a 'Acquisition Placed-in-Service Date' for  building 89 in cell P92.
</v>
      </c>
      <c r="G3004" s="9" t="str">
        <f t="shared" ca="1" si="1076"/>
        <v xml:space="preserve">Enter a value for 'Number of Floors in the Tallest Building' in cell B58.
</v>
      </c>
      <c r="H3004" s="52" t="str">
        <f t="shared" ca="1" si="1084"/>
        <v>Acquisition Placed-in-Service Date</v>
      </c>
      <c r="I3004" s="52">
        <v>16</v>
      </c>
    </row>
    <row r="3005" spans="1:10" ht="15" customHeight="1">
      <c r="A3005" t="str">
        <f ca="1">IF(AND(OFFSET(A3005, -I3005 + 2, 4) &gt;  0, E3005="", Calculations!$B$7), F3005, "")</f>
        <v/>
      </c>
      <c r="B3005">
        <f t="shared" si="1080"/>
        <v>92</v>
      </c>
      <c r="C3005">
        <f t="shared" ca="1" si="1078"/>
        <v>89</v>
      </c>
      <c r="D3005" t="str">
        <f t="shared" si="1081"/>
        <v>Q92</v>
      </c>
      <c r="E3005" t="str">
        <f t="shared" ca="1" si="1082"/>
        <v/>
      </c>
      <c r="F3005" t="str">
        <f t="shared" ca="1" si="1083"/>
        <v xml:space="preserve">Enter a 'Acquisition APR' for  building 89 in cell Q92.
</v>
      </c>
      <c r="G3005" s="9" t="str">
        <f t="shared" ca="1" si="1076"/>
        <v xml:space="preserve">Enter a value for 'Number of Floors in the Tallest Building' in cell B58.
</v>
      </c>
      <c r="H3005" s="52" t="str">
        <f t="shared" ca="1" si="1084"/>
        <v>Acquisition APR</v>
      </c>
      <c r="I3005" s="52">
        <v>17</v>
      </c>
    </row>
    <row r="3006" spans="1:10" ht="15" customHeight="1">
      <c r="A3006" t="str">
        <f ca="1">IF(AND(Calculations!$B$4,Calculations!$B$28&gt;=C3006, E3006 &lt;&gt; 13),F3006,"")</f>
        <v/>
      </c>
      <c r="B3006">
        <f>ROW('Final Building Profile'!C93)</f>
        <v>93</v>
      </c>
      <c r="C3006">
        <f t="shared" ca="1" si="1078"/>
        <v>90</v>
      </c>
      <c r="D3006" t="str">
        <f>ADDRESS(B3006, 3,4  )</f>
        <v>C93</v>
      </c>
      <c r="E3006" s="52">
        <f ca="1">H3006+I3006</f>
        <v>0</v>
      </c>
      <c r="F3006" t="str">
        <f ca="1">CONCATENATE("Based upon the number of buildings specified, information for  building ", C3006, " required for a final application in row ", B3006, ".", CHAR(10))</f>
        <v xml:space="preserve">Based upon the number of buildings specified, information for  building 90 required for a final application in row 93.
</v>
      </c>
      <c r="G3006" s="9" t="str">
        <f t="shared" ca="1" si="1076"/>
        <v xml:space="preserve">Enter a value for 'Number of Floors in the Tallest Building' in cell B58.
</v>
      </c>
      <c r="H3006" s="52">
        <f ca="1">SUMPRODUCT(--ISTEXT(INDIRECT(J3006)))</f>
        <v>0</v>
      </c>
      <c r="I3006" s="52">
        <f ca="1">SUMPRODUCT(--ISNUMBER(INDIRECT(J3006)))</f>
        <v>0</v>
      </c>
      <c r="J3006" s="52" t="str">
        <f>$F$1564&amp; ADDRESS(B3006,3,4) &amp; ":" &amp; ADDRESS(B3006,15,4)</f>
        <v>'Final Building Profile'!C93:O93</v>
      </c>
    </row>
    <row r="3007" spans="1:10" ht="15" customHeight="1">
      <c r="A3007" t="str">
        <f t="shared" ref="A3007:A3016" ca="1" si="1085">IF(AND(OFFSET(A3007, -I3007 + 2, 4) &gt;  0, E3007=""), F3007, "")</f>
        <v/>
      </c>
      <c r="B3007">
        <f t="shared" ref="B3007:B3021" si="1086">B3006</f>
        <v>93</v>
      </c>
      <c r="C3007">
        <f t="shared" ca="1" si="1078"/>
        <v>90</v>
      </c>
      <c r="D3007" t="str">
        <f t="shared" ref="D3007:D3021" si="1087">ADDRESS(B3007, I3007,4  )</f>
        <v>C93</v>
      </c>
      <c r="E3007" t="str">
        <f t="shared" ref="E3007:E3021" ca="1" si="1088">IF(ISBLANK( INDIRECT($F$1564 &amp; D3007)),"", INDIRECT($F$1564 &amp; D3007))</f>
        <v/>
      </c>
      <c r="F3007" t="str">
        <f t="shared" ref="F3007:F3021" ca="1" si="1089">CONCATENATE("Enter a '"&amp; H3007 &amp;"' for  building ", C3007, " in cell ", D3007, ".", CHAR(10))</f>
        <v xml:space="preserve">Enter a 'Building Street Address Only 
(DO NOT ENTER CITY, STATE, OR ZIP)' for  building 90 in cell C93.
</v>
      </c>
      <c r="G3007" s="9" t="str">
        <f t="shared" ca="1" si="1076"/>
        <v xml:space="preserve">Enter a value for 'Number of Floors in the Tallest Building' in cell B58.
</v>
      </c>
      <c r="H3007" s="52" t="str">
        <f t="shared" ref="H3007:H3021" ca="1" si="1090">OFFSET(INDIRECT($F$1564 &amp; D3007), -B3007 + 3, 0)</f>
        <v>Building Street Address Only 
(DO NOT ENTER CITY, STATE, OR ZIP)</v>
      </c>
      <c r="I3007" s="52">
        <v>3</v>
      </c>
    </row>
    <row r="3008" spans="1:10" ht="15" customHeight="1">
      <c r="A3008" t="str">
        <f t="shared" ca="1" si="1085"/>
        <v/>
      </c>
      <c r="B3008">
        <f t="shared" si="1086"/>
        <v>93</v>
      </c>
      <c r="C3008">
        <f t="shared" ca="1" si="1078"/>
        <v>90</v>
      </c>
      <c r="D3008" t="str">
        <f t="shared" si="1087"/>
        <v>D93</v>
      </c>
      <c r="E3008" t="str">
        <f t="shared" ca="1" si="1088"/>
        <v/>
      </c>
      <c r="F3008" t="str">
        <f t="shared" ca="1" si="1089"/>
        <v xml:space="preserve">Enter a 'Total Units in Building*' for  building 90 in cell D93.
</v>
      </c>
      <c r="G3008" s="9" t="str">
        <f t="shared" ca="1" si="1076"/>
        <v xml:space="preserve">Enter a value for 'Number of Floors in the Tallest Building' in cell B58.
</v>
      </c>
      <c r="H3008" s="52" t="str">
        <f t="shared" ca="1" si="1090"/>
        <v>Total Units in Building*</v>
      </c>
      <c r="I3008" s="52">
        <v>4</v>
      </c>
    </row>
    <row r="3009" spans="1:10" ht="15" customHeight="1">
      <c r="A3009" t="str">
        <f t="shared" ca="1" si="1085"/>
        <v/>
      </c>
      <c r="B3009">
        <f t="shared" si="1086"/>
        <v>93</v>
      </c>
      <c r="C3009">
        <f t="shared" ca="1" si="1078"/>
        <v>90</v>
      </c>
      <c r="D3009" t="str">
        <f t="shared" si="1087"/>
        <v>E93</v>
      </c>
      <c r="E3009" t="str">
        <f t="shared" ca="1" si="1088"/>
        <v/>
      </c>
      <c r="F3009" t="str">
        <f t="shared" ca="1" si="1089"/>
        <v xml:space="preserve">Enter a 'Employee Units' for  building 90 in cell E93.
</v>
      </c>
      <c r="G3009" s="9" t="str">
        <f t="shared" ca="1" si="1076"/>
        <v xml:space="preserve">Enter a value for 'Number of Floors in the Tallest Building' in cell B58.
</v>
      </c>
      <c r="H3009" s="52" t="str">
        <f t="shared" ca="1" si="1090"/>
        <v>Employee Units</v>
      </c>
      <c r="I3009" s="52">
        <v>5</v>
      </c>
    </row>
    <row r="3010" spans="1:10" ht="15" customHeight="1">
      <c r="A3010" t="str">
        <f t="shared" ca="1" si="1085"/>
        <v/>
      </c>
      <c r="B3010">
        <f t="shared" si="1086"/>
        <v>93</v>
      </c>
      <c r="C3010">
        <f t="shared" ca="1" si="1078"/>
        <v>90</v>
      </c>
      <c r="D3010" t="str">
        <f t="shared" si="1087"/>
        <v>F93</v>
      </c>
      <c r="E3010" t="str">
        <f t="shared" ca="1" si="1088"/>
        <v/>
      </c>
      <c r="F3010" t="str">
        <f t="shared" ca="1" si="1089"/>
        <v xml:space="preserve">Enter a 'Low-Income Units' for  building 90 in cell F93.
</v>
      </c>
      <c r="G3010" s="9" t="str">
        <f t="shared" ca="1" si="1076"/>
        <v xml:space="preserve">Enter a value for 'Number of Floors in the Tallest Building' in cell B58.
</v>
      </c>
      <c r="H3010" s="52" t="str">
        <f t="shared" ca="1" si="1090"/>
        <v>Low-Income Units</v>
      </c>
      <c r="I3010" s="52">
        <v>6</v>
      </c>
    </row>
    <row r="3011" spans="1:10" ht="15" customHeight="1">
      <c r="A3011" t="str">
        <f t="shared" ca="1" si="1085"/>
        <v/>
      </c>
      <c r="B3011">
        <f t="shared" si="1086"/>
        <v>93</v>
      </c>
      <c r="C3011">
        <f t="shared" ca="1" si="1078"/>
        <v>90</v>
      </c>
      <c r="D3011" t="str">
        <f t="shared" si="1087"/>
        <v>G93</v>
      </c>
      <c r="E3011" t="str">
        <f t="shared" ca="1" si="1088"/>
        <v/>
      </c>
      <c r="F3011" t="str">
        <f t="shared" ca="1" si="1089"/>
        <v xml:space="preserve">Enter a 'Residential Square Footage**' for  building 90 in cell G93.
</v>
      </c>
      <c r="G3011" s="9" t="str">
        <f t="shared" ca="1" si="1076"/>
        <v xml:space="preserve">Enter a value for 'Number of Floors in the Tallest Building' in cell B58.
</v>
      </c>
      <c r="H3011" s="52" t="str">
        <f t="shared" ca="1" si="1090"/>
        <v>Residential Square Footage**</v>
      </c>
      <c r="I3011" s="52">
        <v>7</v>
      </c>
    </row>
    <row r="3012" spans="1:10" ht="15" customHeight="1">
      <c r="A3012" t="str">
        <f t="shared" ca="1" si="1085"/>
        <v/>
      </c>
      <c r="B3012">
        <f t="shared" si="1086"/>
        <v>93</v>
      </c>
      <c r="C3012">
        <f t="shared" ca="1" si="1078"/>
        <v>90</v>
      </c>
      <c r="D3012" t="str">
        <f t="shared" si="1087"/>
        <v>H93</v>
      </c>
      <c r="E3012" t="str">
        <f t="shared" ca="1" si="1088"/>
        <v/>
      </c>
      <c r="F3012" t="str">
        <f t="shared" ca="1" si="1089"/>
        <v xml:space="preserve">Enter a 'Square Footage of Employee Units' for  building 90 in cell H93.
</v>
      </c>
      <c r="G3012" s="9" t="str">
        <f t="shared" ca="1" si="1076"/>
        <v xml:space="preserve">Enter a value for 'Number of Floors in the Tallest Building' in cell B58.
</v>
      </c>
      <c r="H3012" s="52" t="str">
        <f t="shared" ca="1" si="1090"/>
        <v>Square Footage of Employee Units</v>
      </c>
      <c r="I3012" s="52">
        <v>8</v>
      </c>
    </row>
    <row r="3013" spans="1:10" ht="15" customHeight="1">
      <c r="A3013" t="str">
        <f t="shared" ca="1" si="1085"/>
        <v/>
      </c>
      <c r="B3013">
        <f t="shared" si="1086"/>
        <v>93</v>
      </c>
      <c r="C3013">
        <f t="shared" ca="1" si="1078"/>
        <v>90</v>
      </c>
      <c r="D3013" t="str">
        <f t="shared" si="1087"/>
        <v>I93</v>
      </c>
      <c r="E3013" t="str">
        <f t="shared" ca="1" si="1088"/>
        <v/>
      </c>
      <c r="F3013" t="str">
        <f t="shared" ca="1" si="1089"/>
        <v xml:space="preserve">Enter a 'Square Footage of Low-Income Units' for  building 90 in cell I93.
</v>
      </c>
      <c r="G3013" s="9" t="str">
        <f t="shared" ca="1" si="1076"/>
        <v xml:space="preserve">Enter a value for 'Number of Floors in the Tallest Building' in cell B58.
</v>
      </c>
      <c r="H3013" s="52" t="str">
        <f t="shared" ca="1" si="1090"/>
        <v>Square Footage of Low-Income Units</v>
      </c>
      <c r="I3013" s="52">
        <v>9</v>
      </c>
    </row>
    <row r="3014" spans="1:10" ht="15" customHeight="1">
      <c r="A3014" t="str">
        <f t="shared" ca="1" si="1085"/>
        <v/>
      </c>
      <c r="B3014">
        <f t="shared" si="1086"/>
        <v>93</v>
      </c>
      <c r="C3014">
        <f t="shared" ca="1" si="1078"/>
        <v>90</v>
      </c>
      <c r="D3014" t="str">
        <f t="shared" si="1087"/>
        <v>J93</v>
      </c>
      <c r="E3014" t="str">
        <f t="shared" ca="1" si="1088"/>
        <v/>
      </c>
      <c r="F3014" t="str">
        <f t="shared" ca="1" si="1089"/>
        <v xml:space="preserve">Enter a 'Placed-In-Service Date' for  building 90 in cell J93.
</v>
      </c>
      <c r="G3014" s="9" t="str">
        <f t="shared" ca="1" si="1076"/>
        <v xml:space="preserve">Enter a value for 'Number of Floors in the Tallest Building' in cell B58.
</v>
      </c>
      <c r="H3014" s="52" t="str">
        <f t="shared" ca="1" si="1090"/>
        <v>Placed-In-Service Date</v>
      </c>
      <c r="I3014" s="52">
        <v>10</v>
      </c>
    </row>
    <row r="3015" spans="1:10" ht="15" customHeight="1">
      <c r="A3015" t="str">
        <f t="shared" ca="1" si="1085"/>
        <v/>
      </c>
      <c r="B3015">
        <f t="shared" si="1086"/>
        <v>93</v>
      </c>
      <c r="C3015">
        <f t="shared" ca="1" si="1078"/>
        <v>90</v>
      </c>
      <c r="D3015" t="str">
        <f t="shared" si="1087"/>
        <v>K93</v>
      </c>
      <c r="E3015" t="str">
        <f t="shared" ca="1" si="1088"/>
        <v/>
      </c>
      <c r="F3015" t="str">
        <f t="shared" ca="1" si="1089"/>
        <v xml:space="preserve">Enter a 'New Construction/ Rehab APR' for  building 90 in cell K93.
</v>
      </c>
      <c r="G3015" s="9" t="str">
        <f t="shared" ca="1" si="1076"/>
        <v xml:space="preserve">Enter a value for 'Number of Floors in the Tallest Building' in cell B58.
</v>
      </c>
      <c r="H3015" s="52" t="str">
        <f t="shared" ca="1" si="1090"/>
        <v>New Construction/ Rehab APR</v>
      </c>
      <c r="I3015" s="52">
        <v>11</v>
      </c>
    </row>
    <row r="3016" spans="1:10" ht="15" customHeight="1">
      <c r="A3016" t="str">
        <f t="shared" ca="1" si="1085"/>
        <v/>
      </c>
      <c r="B3016">
        <f t="shared" si="1086"/>
        <v>93</v>
      </c>
      <c r="C3016">
        <f t="shared" ca="1" si="1078"/>
        <v>90</v>
      </c>
      <c r="D3016" t="str">
        <f t="shared" si="1087"/>
        <v>L93</v>
      </c>
      <c r="E3016" t="str">
        <f t="shared" ca="1" si="1088"/>
        <v/>
      </c>
      <c r="F3016" t="str">
        <f t="shared" ca="1" si="1089"/>
        <v xml:space="preserve">Enter a 'New Construction Eligible Basis' for  building 90 in cell L93.
</v>
      </c>
      <c r="G3016" s="9" t="str">
        <f t="shared" ca="1" si="1076"/>
        <v xml:space="preserve">Enter a value for 'Number of Floors in the Tallest Building' in cell B58.
</v>
      </c>
      <c r="H3016" s="52" t="str">
        <f t="shared" ca="1" si="1090"/>
        <v>New Construction Eligible Basis</v>
      </c>
      <c r="I3016" s="52">
        <v>12</v>
      </c>
    </row>
    <row r="3017" spans="1:10" ht="15" customHeight="1">
      <c r="A3017" t="str">
        <f ca="1">IF(AND(OFFSET(A3017, -I3017 + 2, 4) &gt;  0, E3017="", Calculations!$B$7), F3017, "")</f>
        <v/>
      </c>
      <c r="B3017">
        <f t="shared" si="1086"/>
        <v>93</v>
      </c>
      <c r="C3017">
        <f t="shared" ca="1" si="1078"/>
        <v>90</v>
      </c>
      <c r="D3017" t="str">
        <f t="shared" si="1087"/>
        <v>M93</v>
      </c>
      <c r="E3017" t="str">
        <f t="shared" ca="1" si="1088"/>
        <v/>
      </c>
      <c r="F3017" t="str">
        <f t="shared" ca="1" si="1089"/>
        <v xml:space="preserve">Enter a 'Eligible Basis for Rehab' for  building 90 in cell M93.
</v>
      </c>
      <c r="G3017" s="9" t="str">
        <f t="shared" ca="1" si="1076"/>
        <v xml:space="preserve">Enter a value for 'Number of Floors in the Tallest Building' in cell B58.
</v>
      </c>
      <c r="H3017" s="52" t="str">
        <f t="shared" ca="1" si="1090"/>
        <v>Eligible Basis for Rehab</v>
      </c>
      <c r="I3017" s="52">
        <v>13</v>
      </c>
    </row>
    <row r="3018" spans="1:10" ht="15" customHeight="1">
      <c r="A3018" t="str">
        <f ca="1">IF(AND(OFFSET(A3018, -I3018 + 2, 4) &gt;  0, E3018="", Calculations!$B$7), F3018, "")</f>
        <v/>
      </c>
      <c r="B3018">
        <f t="shared" si="1086"/>
        <v>93</v>
      </c>
      <c r="C3018">
        <f t="shared" ca="1" si="1078"/>
        <v>90</v>
      </c>
      <c r="D3018" t="str">
        <f t="shared" si="1087"/>
        <v>N93</v>
      </c>
      <c r="E3018" t="str">
        <f t="shared" ca="1" si="1088"/>
        <v/>
      </c>
      <c r="F3018" t="str">
        <f t="shared" ca="1" si="1089"/>
        <v xml:space="preserve">Enter a 'Cost of Acquiring the Building***' for  building 90 in cell N93.
</v>
      </c>
      <c r="G3018" s="9" t="str">
        <f t="shared" ca="1" si="1076"/>
        <v xml:space="preserve">Enter a value for 'Number of Floors in the Tallest Building' in cell B58.
</v>
      </c>
      <c r="H3018" s="52" t="str">
        <f t="shared" ca="1" si="1090"/>
        <v>Cost of Acquiring the Building***</v>
      </c>
      <c r="I3018" s="52">
        <v>14</v>
      </c>
    </row>
    <row r="3019" spans="1:10" ht="15" customHeight="1">
      <c r="A3019" t="str">
        <f ca="1">IF(AND(OFFSET(A3019, -I3019 + 2, 4) &gt;  0, E3019="", Calculations!$B$7), F3019, "")</f>
        <v/>
      </c>
      <c r="B3019">
        <f t="shared" si="1086"/>
        <v>93</v>
      </c>
      <c r="C3019">
        <f t="shared" ca="1" si="1078"/>
        <v>90</v>
      </c>
      <c r="D3019" t="str">
        <f t="shared" si="1087"/>
        <v>O93</v>
      </c>
      <c r="E3019" t="str">
        <f t="shared" ca="1" si="1088"/>
        <v/>
      </c>
      <c r="F3019" t="str">
        <f t="shared" ca="1" si="1089"/>
        <v xml:space="preserve">Enter a 'Higher of Land Purchase Price or Land Appraised Value****' for  building 90 in cell O93.
</v>
      </c>
      <c r="G3019" s="9" t="str">
        <f t="shared" ca="1" si="1076"/>
        <v xml:space="preserve">Enter a value for 'Number of Floors in the Tallest Building' in cell B58.
</v>
      </c>
      <c r="H3019" s="52" t="str">
        <f t="shared" ca="1" si="1090"/>
        <v>Higher of Land Purchase Price or Land Appraised Value****</v>
      </c>
      <c r="I3019" s="52">
        <v>15</v>
      </c>
    </row>
    <row r="3020" spans="1:10" ht="15" customHeight="1">
      <c r="A3020" t="str">
        <f ca="1">IF(AND(OFFSET(A3020, -I3020 + 2, 4) &gt;  0, E3020="", Calculations!$B$7), F3020, "")</f>
        <v/>
      </c>
      <c r="B3020">
        <f t="shared" si="1086"/>
        <v>93</v>
      </c>
      <c r="C3020">
        <f t="shared" ca="1" si="1078"/>
        <v>90</v>
      </c>
      <c r="D3020" t="str">
        <f t="shared" si="1087"/>
        <v>P93</v>
      </c>
      <c r="E3020" t="str">
        <f t="shared" ca="1" si="1088"/>
        <v/>
      </c>
      <c r="F3020" t="str">
        <f t="shared" ca="1" si="1089"/>
        <v xml:space="preserve">Enter a 'Acquisition Placed-in-Service Date' for  building 90 in cell P93.
</v>
      </c>
      <c r="G3020" s="9" t="str">
        <f t="shared" ca="1" si="1076"/>
        <v xml:space="preserve">Enter a value for 'Number of Floors in the Tallest Building' in cell B58.
</v>
      </c>
      <c r="H3020" s="52" t="str">
        <f t="shared" ca="1" si="1090"/>
        <v>Acquisition Placed-in-Service Date</v>
      </c>
      <c r="I3020" s="52">
        <v>16</v>
      </c>
    </row>
    <row r="3021" spans="1:10" ht="15" customHeight="1">
      <c r="A3021" t="str">
        <f ca="1">IF(AND(OFFSET(A3021, -I3021 + 2, 4) &gt;  0, E3021="", Calculations!$B$7), F3021, "")</f>
        <v/>
      </c>
      <c r="B3021">
        <f t="shared" si="1086"/>
        <v>93</v>
      </c>
      <c r="C3021">
        <f t="shared" ca="1" si="1078"/>
        <v>90</v>
      </c>
      <c r="D3021" t="str">
        <f t="shared" si="1087"/>
        <v>Q93</v>
      </c>
      <c r="E3021" t="str">
        <f t="shared" ca="1" si="1088"/>
        <v/>
      </c>
      <c r="F3021" t="str">
        <f t="shared" ca="1" si="1089"/>
        <v xml:space="preserve">Enter a 'Acquisition APR' for  building 90 in cell Q93.
</v>
      </c>
      <c r="G3021" s="9" t="str">
        <f t="shared" ca="1" si="1076"/>
        <v xml:space="preserve">Enter a value for 'Number of Floors in the Tallest Building' in cell B58.
</v>
      </c>
      <c r="H3021" s="52" t="str">
        <f t="shared" ca="1" si="1090"/>
        <v>Acquisition APR</v>
      </c>
      <c r="I3021" s="52">
        <v>17</v>
      </c>
    </row>
    <row r="3022" spans="1:10" ht="15" customHeight="1">
      <c r="A3022" t="str">
        <f ca="1">IF(AND(Calculations!$B$4,Calculations!$B$28&gt;=C3022, E3022 &lt;&gt; 13),F3022,"")</f>
        <v/>
      </c>
      <c r="B3022">
        <f>ROW('Final Building Profile'!C94)</f>
        <v>94</v>
      </c>
      <c r="C3022">
        <f t="shared" ca="1" si="1078"/>
        <v>91</v>
      </c>
      <c r="D3022" t="str">
        <f>ADDRESS(B3022, 3,4  )</f>
        <v>C94</v>
      </c>
      <c r="E3022" s="52">
        <f ca="1">H3022+I3022</f>
        <v>0</v>
      </c>
      <c r="F3022" t="str">
        <f ca="1">CONCATENATE("Based upon the number of buildings specified, information for  building ", C3022, " required for a final application in row ", B3022, ".", CHAR(10))</f>
        <v xml:space="preserve">Based upon the number of buildings specified, information for  building 91 required for a final application in row 94.
</v>
      </c>
      <c r="G3022" s="9" t="str">
        <f t="shared" ca="1" si="1076"/>
        <v xml:space="preserve">Enter a value for 'Number of Floors in the Tallest Building' in cell B58.
</v>
      </c>
      <c r="H3022" s="52">
        <f ca="1">SUMPRODUCT(--ISTEXT(INDIRECT(J3022)))</f>
        <v>0</v>
      </c>
      <c r="I3022" s="52">
        <f ca="1">SUMPRODUCT(--ISNUMBER(INDIRECT(J3022)))</f>
        <v>0</v>
      </c>
      <c r="J3022" s="52" t="str">
        <f>$F$1564&amp; ADDRESS(B3022,3,4) &amp; ":" &amp; ADDRESS(B3022,15,4)</f>
        <v>'Final Building Profile'!C94:O94</v>
      </c>
    </row>
    <row r="3023" spans="1:10" ht="15" customHeight="1">
      <c r="A3023" t="str">
        <f t="shared" ref="A3023:A3032" ca="1" si="1091">IF(AND(OFFSET(A3023, -I3023 + 2, 4) &gt;  0, E3023=""), F3023, "")</f>
        <v/>
      </c>
      <c r="B3023">
        <f t="shared" ref="B3023:B3037" si="1092">B3022</f>
        <v>94</v>
      </c>
      <c r="C3023">
        <f t="shared" ca="1" si="1078"/>
        <v>91</v>
      </c>
      <c r="D3023" t="str">
        <f t="shared" ref="D3023:D3037" si="1093">ADDRESS(B3023, I3023,4  )</f>
        <v>C94</v>
      </c>
      <c r="E3023" t="str">
        <f t="shared" ref="E3023:E3037" ca="1" si="1094">IF(ISBLANK( INDIRECT($F$1564 &amp; D3023)),"", INDIRECT($F$1564 &amp; D3023))</f>
        <v/>
      </c>
      <c r="F3023" t="str">
        <f t="shared" ref="F3023:F3037" ca="1" si="1095">CONCATENATE("Enter a '"&amp; H3023 &amp;"' for  building ", C3023, " in cell ", D3023, ".", CHAR(10))</f>
        <v xml:space="preserve">Enter a 'Building Street Address Only 
(DO NOT ENTER CITY, STATE, OR ZIP)' for  building 91 in cell C94.
</v>
      </c>
      <c r="G3023" s="9" t="str">
        <f t="shared" ca="1" si="1076"/>
        <v xml:space="preserve">Enter a value for 'Number of Floors in the Tallest Building' in cell B58.
</v>
      </c>
      <c r="H3023" s="52" t="str">
        <f t="shared" ref="H3023:H3037" ca="1" si="1096">OFFSET(INDIRECT($F$1564 &amp; D3023), -B3023 + 3, 0)</f>
        <v>Building Street Address Only 
(DO NOT ENTER CITY, STATE, OR ZIP)</v>
      </c>
      <c r="I3023" s="52">
        <v>3</v>
      </c>
    </row>
    <row r="3024" spans="1:10" ht="15" customHeight="1">
      <c r="A3024" t="str">
        <f t="shared" ca="1" si="1091"/>
        <v/>
      </c>
      <c r="B3024">
        <f t="shared" si="1092"/>
        <v>94</v>
      </c>
      <c r="C3024">
        <f t="shared" ca="1" si="1078"/>
        <v>91</v>
      </c>
      <c r="D3024" t="str">
        <f t="shared" si="1093"/>
        <v>D94</v>
      </c>
      <c r="E3024" t="str">
        <f t="shared" ca="1" si="1094"/>
        <v/>
      </c>
      <c r="F3024" t="str">
        <f t="shared" ca="1" si="1095"/>
        <v xml:space="preserve">Enter a 'Total Units in Building*' for  building 91 in cell D94.
</v>
      </c>
      <c r="G3024" s="9" t="str">
        <f t="shared" ca="1" si="1076"/>
        <v xml:space="preserve">Enter a value for 'Number of Floors in the Tallest Building' in cell B58.
</v>
      </c>
      <c r="H3024" s="52" t="str">
        <f t="shared" ca="1" si="1096"/>
        <v>Total Units in Building*</v>
      </c>
      <c r="I3024" s="52">
        <v>4</v>
      </c>
    </row>
    <row r="3025" spans="1:10" ht="15" customHeight="1">
      <c r="A3025" t="str">
        <f t="shared" ca="1" si="1091"/>
        <v/>
      </c>
      <c r="B3025">
        <f t="shared" si="1092"/>
        <v>94</v>
      </c>
      <c r="C3025">
        <f t="shared" ca="1" si="1078"/>
        <v>91</v>
      </c>
      <c r="D3025" t="str">
        <f t="shared" si="1093"/>
        <v>E94</v>
      </c>
      <c r="E3025" t="str">
        <f t="shared" ca="1" si="1094"/>
        <v/>
      </c>
      <c r="F3025" t="str">
        <f t="shared" ca="1" si="1095"/>
        <v xml:space="preserve">Enter a 'Employee Units' for  building 91 in cell E94.
</v>
      </c>
      <c r="G3025" s="9" t="str">
        <f t="shared" ca="1" si="1076"/>
        <v xml:space="preserve">Enter a value for 'Number of Floors in the Tallest Building' in cell B58.
</v>
      </c>
      <c r="H3025" s="52" t="str">
        <f t="shared" ca="1" si="1096"/>
        <v>Employee Units</v>
      </c>
      <c r="I3025" s="52">
        <v>5</v>
      </c>
    </row>
    <row r="3026" spans="1:10" ht="15" customHeight="1">
      <c r="A3026" t="str">
        <f t="shared" ca="1" si="1091"/>
        <v/>
      </c>
      <c r="B3026">
        <f t="shared" si="1092"/>
        <v>94</v>
      </c>
      <c r="C3026">
        <f t="shared" ca="1" si="1078"/>
        <v>91</v>
      </c>
      <c r="D3026" t="str">
        <f t="shared" si="1093"/>
        <v>F94</v>
      </c>
      <c r="E3026" t="str">
        <f t="shared" ca="1" si="1094"/>
        <v/>
      </c>
      <c r="F3026" t="str">
        <f t="shared" ca="1" si="1095"/>
        <v xml:space="preserve">Enter a 'Low-Income Units' for  building 91 in cell F94.
</v>
      </c>
      <c r="G3026" s="9" t="str">
        <f t="shared" ca="1" si="1076"/>
        <v xml:space="preserve">Enter a value for 'Number of Floors in the Tallest Building' in cell B58.
</v>
      </c>
      <c r="H3026" s="52" t="str">
        <f t="shared" ca="1" si="1096"/>
        <v>Low-Income Units</v>
      </c>
      <c r="I3026" s="52">
        <v>6</v>
      </c>
    </row>
    <row r="3027" spans="1:10" ht="15" customHeight="1">
      <c r="A3027" t="str">
        <f t="shared" ca="1" si="1091"/>
        <v/>
      </c>
      <c r="B3027">
        <f t="shared" si="1092"/>
        <v>94</v>
      </c>
      <c r="C3027">
        <f t="shared" ca="1" si="1078"/>
        <v>91</v>
      </c>
      <c r="D3027" t="str">
        <f t="shared" si="1093"/>
        <v>G94</v>
      </c>
      <c r="E3027" t="str">
        <f t="shared" ca="1" si="1094"/>
        <v/>
      </c>
      <c r="F3027" t="str">
        <f t="shared" ca="1" si="1095"/>
        <v xml:space="preserve">Enter a 'Residential Square Footage**' for  building 91 in cell G94.
</v>
      </c>
      <c r="G3027" s="9" t="str">
        <f t="shared" ca="1" si="1076"/>
        <v xml:space="preserve">Enter a value for 'Number of Floors in the Tallest Building' in cell B58.
</v>
      </c>
      <c r="H3027" s="52" t="str">
        <f t="shared" ca="1" si="1096"/>
        <v>Residential Square Footage**</v>
      </c>
      <c r="I3027" s="52">
        <v>7</v>
      </c>
    </row>
    <row r="3028" spans="1:10" ht="15" customHeight="1">
      <c r="A3028" t="str">
        <f t="shared" ca="1" si="1091"/>
        <v/>
      </c>
      <c r="B3028">
        <f t="shared" si="1092"/>
        <v>94</v>
      </c>
      <c r="C3028">
        <f t="shared" ca="1" si="1078"/>
        <v>91</v>
      </c>
      <c r="D3028" t="str">
        <f t="shared" si="1093"/>
        <v>H94</v>
      </c>
      <c r="E3028" t="str">
        <f t="shared" ca="1" si="1094"/>
        <v/>
      </c>
      <c r="F3028" t="str">
        <f t="shared" ca="1" si="1095"/>
        <v xml:space="preserve">Enter a 'Square Footage of Employee Units' for  building 91 in cell H94.
</v>
      </c>
      <c r="G3028" s="9" t="str">
        <f t="shared" ca="1" si="1076"/>
        <v xml:space="preserve">Enter a value for 'Number of Floors in the Tallest Building' in cell B58.
</v>
      </c>
      <c r="H3028" s="52" t="str">
        <f t="shared" ca="1" si="1096"/>
        <v>Square Footage of Employee Units</v>
      </c>
      <c r="I3028" s="52">
        <v>8</v>
      </c>
    </row>
    <row r="3029" spans="1:10" ht="15" customHeight="1">
      <c r="A3029" t="str">
        <f t="shared" ca="1" si="1091"/>
        <v/>
      </c>
      <c r="B3029">
        <f t="shared" si="1092"/>
        <v>94</v>
      </c>
      <c r="C3029">
        <f t="shared" ca="1" si="1078"/>
        <v>91</v>
      </c>
      <c r="D3029" t="str">
        <f t="shared" si="1093"/>
        <v>I94</v>
      </c>
      <c r="E3029" t="str">
        <f t="shared" ca="1" si="1094"/>
        <v/>
      </c>
      <c r="F3029" t="str">
        <f t="shared" ca="1" si="1095"/>
        <v xml:space="preserve">Enter a 'Square Footage of Low-Income Units' for  building 91 in cell I94.
</v>
      </c>
      <c r="G3029" s="9" t="str">
        <f t="shared" ca="1" si="1076"/>
        <v xml:space="preserve">Enter a value for 'Number of Floors in the Tallest Building' in cell B58.
</v>
      </c>
      <c r="H3029" s="52" t="str">
        <f t="shared" ca="1" si="1096"/>
        <v>Square Footage of Low-Income Units</v>
      </c>
      <c r="I3029" s="52">
        <v>9</v>
      </c>
    </row>
    <row r="3030" spans="1:10" ht="15" customHeight="1">
      <c r="A3030" t="str">
        <f t="shared" ca="1" si="1091"/>
        <v/>
      </c>
      <c r="B3030">
        <f t="shared" si="1092"/>
        <v>94</v>
      </c>
      <c r="C3030">
        <f t="shared" ca="1" si="1078"/>
        <v>91</v>
      </c>
      <c r="D3030" t="str">
        <f t="shared" si="1093"/>
        <v>J94</v>
      </c>
      <c r="E3030" t="str">
        <f t="shared" ca="1" si="1094"/>
        <v/>
      </c>
      <c r="F3030" t="str">
        <f t="shared" ca="1" si="1095"/>
        <v xml:space="preserve">Enter a 'Placed-In-Service Date' for  building 91 in cell J94.
</v>
      </c>
      <c r="G3030" s="9" t="str">
        <f t="shared" ca="1" si="1076"/>
        <v xml:space="preserve">Enter a value for 'Number of Floors in the Tallest Building' in cell B58.
</v>
      </c>
      <c r="H3030" s="52" t="str">
        <f t="shared" ca="1" si="1096"/>
        <v>Placed-In-Service Date</v>
      </c>
      <c r="I3030" s="52">
        <v>10</v>
      </c>
    </row>
    <row r="3031" spans="1:10" ht="15" customHeight="1">
      <c r="A3031" t="str">
        <f t="shared" ca="1" si="1091"/>
        <v/>
      </c>
      <c r="B3031">
        <f t="shared" si="1092"/>
        <v>94</v>
      </c>
      <c r="C3031">
        <f t="shared" ca="1" si="1078"/>
        <v>91</v>
      </c>
      <c r="D3031" t="str">
        <f t="shared" si="1093"/>
        <v>K94</v>
      </c>
      <c r="E3031" t="str">
        <f t="shared" ca="1" si="1094"/>
        <v/>
      </c>
      <c r="F3031" t="str">
        <f t="shared" ca="1" si="1095"/>
        <v xml:space="preserve">Enter a 'New Construction/ Rehab APR' for  building 91 in cell K94.
</v>
      </c>
      <c r="G3031" s="9" t="str">
        <f t="shared" ca="1" si="1076"/>
        <v xml:space="preserve">Enter a value for 'Number of Floors in the Tallest Building' in cell B58.
</v>
      </c>
      <c r="H3031" s="52" t="str">
        <f t="shared" ca="1" si="1096"/>
        <v>New Construction/ Rehab APR</v>
      </c>
      <c r="I3031" s="52">
        <v>11</v>
      </c>
    </row>
    <row r="3032" spans="1:10" ht="15" customHeight="1">
      <c r="A3032" t="str">
        <f t="shared" ca="1" si="1091"/>
        <v/>
      </c>
      <c r="B3032">
        <f t="shared" si="1092"/>
        <v>94</v>
      </c>
      <c r="C3032">
        <f t="shared" ca="1" si="1078"/>
        <v>91</v>
      </c>
      <c r="D3032" t="str">
        <f t="shared" si="1093"/>
        <v>L94</v>
      </c>
      <c r="E3032" t="str">
        <f t="shared" ca="1" si="1094"/>
        <v/>
      </c>
      <c r="F3032" t="str">
        <f t="shared" ca="1" si="1095"/>
        <v xml:space="preserve">Enter a 'New Construction Eligible Basis' for  building 91 in cell L94.
</v>
      </c>
      <c r="G3032" s="9" t="str">
        <f t="shared" ca="1" si="1076"/>
        <v xml:space="preserve">Enter a value for 'Number of Floors in the Tallest Building' in cell B58.
</v>
      </c>
      <c r="H3032" s="52" t="str">
        <f t="shared" ca="1" si="1096"/>
        <v>New Construction Eligible Basis</v>
      </c>
      <c r="I3032" s="52">
        <v>12</v>
      </c>
    </row>
    <row r="3033" spans="1:10" ht="15" customHeight="1">
      <c r="A3033" t="str">
        <f ca="1">IF(AND(OFFSET(A3033, -I3033 + 2, 4) &gt;  0, E3033="", Calculations!$B$7), F3033, "")</f>
        <v/>
      </c>
      <c r="B3033">
        <f t="shared" si="1092"/>
        <v>94</v>
      </c>
      <c r="C3033">
        <f t="shared" ca="1" si="1078"/>
        <v>91</v>
      </c>
      <c r="D3033" t="str">
        <f t="shared" si="1093"/>
        <v>M94</v>
      </c>
      <c r="E3033" t="str">
        <f t="shared" ca="1" si="1094"/>
        <v/>
      </c>
      <c r="F3033" t="str">
        <f t="shared" ca="1" si="1095"/>
        <v xml:space="preserve">Enter a 'Eligible Basis for Rehab' for  building 91 in cell M94.
</v>
      </c>
      <c r="G3033" s="9" t="str">
        <f t="shared" ca="1" si="1076"/>
        <v xml:space="preserve">Enter a value for 'Number of Floors in the Tallest Building' in cell B58.
</v>
      </c>
      <c r="H3033" s="52" t="str">
        <f t="shared" ca="1" si="1096"/>
        <v>Eligible Basis for Rehab</v>
      </c>
      <c r="I3033" s="52">
        <v>13</v>
      </c>
    </row>
    <row r="3034" spans="1:10" ht="15" customHeight="1">
      <c r="A3034" t="str">
        <f ca="1">IF(AND(OFFSET(A3034, -I3034 + 2, 4) &gt;  0, E3034="", Calculations!$B$7), F3034, "")</f>
        <v/>
      </c>
      <c r="B3034">
        <f t="shared" si="1092"/>
        <v>94</v>
      </c>
      <c r="C3034">
        <f t="shared" ca="1" si="1078"/>
        <v>91</v>
      </c>
      <c r="D3034" t="str">
        <f t="shared" si="1093"/>
        <v>N94</v>
      </c>
      <c r="E3034" t="str">
        <f t="shared" ca="1" si="1094"/>
        <v/>
      </c>
      <c r="F3034" t="str">
        <f t="shared" ca="1" si="1095"/>
        <v xml:space="preserve">Enter a 'Cost of Acquiring the Building***' for  building 91 in cell N94.
</v>
      </c>
      <c r="G3034" s="9" t="str">
        <f t="shared" ca="1" si="1076"/>
        <v xml:space="preserve">Enter a value for 'Number of Floors in the Tallest Building' in cell B58.
</v>
      </c>
      <c r="H3034" s="52" t="str">
        <f t="shared" ca="1" si="1096"/>
        <v>Cost of Acquiring the Building***</v>
      </c>
      <c r="I3034" s="52">
        <v>14</v>
      </c>
    </row>
    <row r="3035" spans="1:10" ht="15" customHeight="1">
      <c r="A3035" t="str">
        <f ca="1">IF(AND(OFFSET(A3035, -I3035 + 2, 4) &gt;  0, E3035="", Calculations!$B$7), F3035, "")</f>
        <v/>
      </c>
      <c r="B3035">
        <f t="shared" si="1092"/>
        <v>94</v>
      </c>
      <c r="C3035">
        <f t="shared" ca="1" si="1078"/>
        <v>91</v>
      </c>
      <c r="D3035" t="str">
        <f t="shared" si="1093"/>
        <v>O94</v>
      </c>
      <c r="E3035" t="str">
        <f t="shared" ca="1" si="1094"/>
        <v/>
      </c>
      <c r="F3035" t="str">
        <f t="shared" ca="1" si="1095"/>
        <v xml:space="preserve">Enter a 'Higher of Land Purchase Price or Land Appraised Value****' for  building 91 in cell O94.
</v>
      </c>
      <c r="G3035" s="9" t="str">
        <f t="shared" ca="1" si="1076"/>
        <v xml:space="preserve">Enter a value for 'Number of Floors in the Tallest Building' in cell B58.
</v>
      </c>
      <c r="H3035" s="52" t="str">
        <f t="shared" ca="1" si="1096"/>
        <v>Higher of Land Purchase Price or Land Appraised Value****</v>
      </c>
      <c r="I3035" s="52">
        <v>15</v>
      </c>
    </row>
    <row r="3036" spans="1:10" ht="15" customHeight="1">
      <c r="A3036" t="str">
        <f ca="1">IF(AND(OFFSET(A3036, -I3036 + 2, 4) &gt;  0, E3036="", Calculations!$B$7), F3036, "")</f>
        <v/>
      </c>
      <c r="B3036">
        <f t="shared" si="1092"/>
        <v>94</v>
      </c>
      <c r="C3036">
        <f t="shared" ca="1" si="1078"/>
        <v>91</v>
      </c>
      <c r="D3036" t="str">
        <f t="shared" si="1093"/>
        <v>P94</v>
      </c>
      <c r="E3036" t="str">
        <f t="shared" ca="1" si="1094"/>
        <v/>
      </c>
      <c r="F3036" t="str">
        <f t="shared" ca="1" si="1095"/>
        <v xml:space="preserve">Enter a 'Acquisition Placed-in-Service Date' for  building 91 in cell P94.
</v>
      </c>
      <c r="G3036" s="9" t="str">
        <f t="shared" ca="1" si="1076"/>
        <v xml:space="preserve">Enter a value for 'Number of Floors in the Tallest Building' in cell B58.
</v>
      </c>
      <c r="H3036" s="52" t="str">
        <f t="shared" ca="1" si="1096"/>
        <v>Acquisition Placed-in-Service Date</v>
      </c>
      <c r="I3036" s="52">
        <v>16</v>
      </c>
    </row>
    <row r="3037" spans="1:10" ht="15" customHeight="1">
      <c r="A3037" t="str">
        <f ca="1">IF(AND(OFFSET(A3037, -I3037 + 2, 4) &gt;  0, E3037="", Calculations!$B$7), F3037, "")</f>
        <v/>
      </c>
      <c r="B3037">
        <f t="shared" si="1092"/>
        <v>94</v>
      </c>
      <c r="C3037">
        <f t="shared" ca="1" si="1078"/>
        <v>91</v>
      </c>
      <c r="D3037" t="str">
        <f t="shared" si="1093"/>
        <v>Q94</v>
      </c>
      <c r="E3037" t="str">
        <f t="shared" ca="1" si="1094"/>
        <v/>
      </c>
      <c r="F3037" t="str">
        <f t="shared" ca="1" si="1095"/>
        <v xml:space="preserve">Enter a 'Acquisition APR' for  building 91 in cell Q94.
</v>
      </c>
      <c r="G3037" s="9" t="str">
        <f t="shared" ca="1" si="1076"/>
        <v xml:space="preserve">Enter a value for 'Number of Floors in the Tallest Building' in cell B58.
</v>
      </c>
      <c r="H3037" s="52" t="str">
        <f t="shared" ca="1" si="1096"/>
        <v>Acquisition APR</v>
      </c>
      <c r="I3037" s="52">
        <v>17</v>
      </c>
    </row>
    <row r="3038" spans="1:10" ht="15" customHeight="1">
      <c r="A3038" t="str">
        <f ca="1">IF(AND(Calculations!$B$4,Calculations!$B$28&gt;=C3038, E3038 &lt;&gt; 13),F3038,"")</f>
        <v/>
      </c>
      <c r="B3038">
        <f>ROW('Final Building Profile'!C95)</f>
        <v>95</v>
      </c>
      <c r="C3038">
        <f t="shared" ca="1" si="1078"/>
        <v>92</v>
      </c>
      <c r="D3038" t="str">
        <f>ADDRESS(B3038, 3,4  )</f>
        <v>C95</v>
      </c>
      <c r="E3038" s="52">
        <f ca="1">H3038+I3038</f>
        <v>0</v>
      </c>
      <c r="F3038" t="str">
        <f ca="1">CONCATENATE("Based upon the number of buildings specified, information for  building ", C3038, " required for a final application in row ", B3038, ".", CHAR(10))</f>
        <v xml:space="preserve">Based upon the number of buildings specified, information for  building 92 required for a final application in row 95.
</v>
      </c>
      <c r="G3038" s="9" t="str">
        <f t="shared" ca="1" si="1076"/>
        <v xml:space="preserve">Enter a value for 'Number of Floors in the Tallest Building' in cell B58.
</v>
      </c>
      <c r="H3038" s="52">
        <f ca="1">SUMPRODUCT(--ISTEXT(INDIRECT(J3038)))</f>
        <v>0</v>
      </c>
      <c r="I3038" s="52">
        <f ca="1">SUMPRODUCT(--ISNUMBER(INDIRECT(J3038)))</f>
        <v>0</v>
      </c>
      <c r="J3038" s="52" t="str">
        <f>$F$1564&amp; ADDRESS(B3038,3,4) &amp; ":" &amp; ADDRESS(B3038,15,4)</f>
        <v>'Final Building Profile'!C95:O95</v>
      </c>
    </row>
    <row r="3039" spans="1:10" ht="15" customHeight="1">
      <c r="A3039" t="str">
        <f t="shared" ref="A3039:A3048" ca="1" si="1097">IF(AND(OFFSET(A3039, -I3039 + 2, 4) &gt;  0, E3039=""), F3039, "")</f>
        <v/>
      </c>
      <c r="B3039">
        <f t="shared" ref="B3039:B3053" si="1098">B3038</f>
        <v>95</v>
      </c>
      <c r="C3039">
        <f t="shared" ca="1" si="1078"/>
        <v>92</v>
      </c>
      <c r="D3039" t="str">
        <f t="shared" ref="D3039:D3053" si="1099">ADDRESS(B3039, I3039,4  )</f>
        <v>C95</v>
      </c>
      <c r="E3039" t="str">
        <f t="shared" ref="E3039:E3053" ca="1" si="1100">IF(ISBLANK( INDIRECT($F$1564 &amp; D3039)),"", INDIRECT($F$1564 &amp; D3039))</f>
        <v/>
      </c>
      <c r="F3039" t="str">
        <f t="shared" ref="F3039:F3053" ca="1" si="1101">CONCATENATE("Enter a '"&amp; H3039 &amp;"' for  building ", C3039, " in cell ", D3039, ".", CHAR(10))</f>
        <v xml:space="preserve">Enter a 'Building Street Address Only 
(DO NOT ENTER CITY, STATE, OR ZIP)' for  building 92 in cell C95.
</v>
      </c>
      <c r="G3039" s="9" t="str">
        <f t="shared" ref="G3039:G3102" ca="1" si="1102">OFFSET(G3039, -1, 0) &amp; A3039</f>
        <v xml:space="preserve">Enter a value for 'Number of Floors in the Tallest Building' in cell B58.
</v>
      </c>
      <c r="H3039" s="52" t="str">
        <f t="shared" ref="H3039:H3053" ca="1" si="1103">OFFSET(INDIRECT($F$1564 &amp; D3039), -B3039 + 3, 0)</f>
        <v>Building Street Address Only 
(DO NOT ENTER CITY, STATE, OR ZIP)</v>
      </c>
      <c r="I3039" s="52">
        <v>3</v>
      </c>
    </row>
    <row r="3040" spans="1:10" ht="15" customHeight="1">
      <c r="A3040" t="str">
        <f t="shared" ca="1" si="1097"/>
        <v/>
      </c>
      <c r="B3040">
        <f t="shared" si="1098"/>
        <v>95</v>
      </c>
      <c r="C3040">
        <f t="shared" ca="1" si="1078"/>
        <v>92</v>
      </c>
      <c r="D3040" t="str">
        <f t="shared" si="1099"/>
        <v>D95</v>
      </c>
      <c r="E3040" t="str">
        <f t="shared" ca="1" si="1100"/>
        <v/>
      </c>
      <c r="F3040" t="str">
        <f t="shared" ca="1" si="1101"/>
        <v xml:space="preserve">Enter a 'Total Units in Building*' for  building 92 in cell D95.
</v>
      </c>
      <c r="G3040" s="9" t="str">
        <f t="shared" ca="1" si="1102"/>
        <v xml:space="preserve">Enter a value for 'Number of Floors in the Tallest Building' in cell B58.
</v>
      </c>
      <c r="H3040" s="52" t="str">
        <f t="shared" ca="1" si="1103"/>
        <v>Total Units in Building*</v>
      </c>
      <c r="I3040" s="52">
        <v>4</v>
      </c>
    </row>
    <row r="3041" spans="1:10" ht="15" customHeight="1">
      <c r="A3041" t="str">
        <f t="shared" ca="1" si="1097"/>
        <v/>
      </c>
      <c r="B3041">
        <f t="shared" si="1098"/>
        <v>95</v>
      </c>
      <c r="C3041">
        <f t="shared" ca="1" si="1078"/>
        <v>92</v>
      </c>
      <c r="D3041" t="str">
        <f t="shared" si="1099"/>
        <v>E95</v>
      </c>
      <c r="E3041" t="str">
        <f t="shared" ca="1" si="1100"/>
        <v/>
      </c>
      <c r="F3041" t="str">
        <f t="shared" ca="1" si="1101"/>
        <v xml:space="preserve">Enter a 'Employee Units' for  building 92 in cell E95.
</v>
      </c>
      <c r="G3041" s="9" t="str">
        <f t="shared" ca="1" si="1102"/>
        <v xml:space="preserve">Enter a value for 'Number of Floors in the Tallest Building' in cell B58.
</v>
      </c>
      <c r="H3041" s="52" t="str">
        <f t="shared" ca="1" si="1103"/>
        <v>Employee Units</v>
      </c>
      <c r="I3041" s="52">
        <v>5</v>
      </c>
    </row>
    <row r="3042" spans="1:10" ht="15" customHeight="1">
      <c r="A3042" t="str">
        <f t="shared" ca="1" si="1097"/>
        <v/>
      </c>
      <c r="B3042">
        <f t="shared" si="1098"/>
        <v>95</v>
      </c>
      <c r="C3042">
        <f t="shared" ca="1" si="1078"/>
        <v>92</v>
      </c>
      <c r="D3042" t="str">
        <f t="shared" si="1099"/>
        <v>F95</v>
      </c>
      <c r="E3042" t="str">
        <f t="shared" ca="1" si="1100"/>
        <v/>
      </c>
      <c r="F3042" t="str">
        <f t="shared" ca="1" si="1101"/>
        <v xml:space="preserve">Enter a 'Low-Income Units' for  building 92 in cell F95.
</v>
      </c>
      <c r="G3042" s="9" t="str">
        <f t="shared" ca="1" si="1102"/>
        <v xml:space="preserve">Enter a value for 'Number of Floors in the Tallest Building' in cell B58.
</v>
      </c>
      <c r="H3042" s="52" t="str">
        <f t="shared" ca="1" si="1103"/>
        <v>Low-Income Units</v>
      </c>
      <c r="I3042" s="52">
        <v>6</v>
      </c>
    </row>
    <row r="3043" spans="1:10" ht="15" customHeight="1">
      <c r="A3043" t="str">
        <f t="shared" ca="1" si="1097"/>
        <v/>
      </c>
      <c r="B3043">
        <f t="shared" si="1098"/>
        <v>95</v>
      </c>
      <c r="C3043">
        <f t="shared" ca="1" si="1078"/>
        <v>92</v>
      </c>
      <c r="D3043" t="str">
        <f t="shared" si="1099"/>
        <v>G95</v>
      </c>
      <c r="E3043" t="str">
        <f t="shared" ca="1" si="1100"/>
        <v/>
      </c>
      <c r="F3043" t="str">
        <f t="shared" ca="1" si="1101"/>
        <v xml:space="preserve">Enter a 'Residential Square Footage**' for  building 92 in cell G95.
</v>
      </c>
      <c r="G3043" s="9" t="str">
        <f t="shared" ca="1" si="1102"/>
        <v xml:space="preserve">Enter a value for 'Number of Floors in the Tallest Building' in cell B58.
</v>
      </c>
      <c r="H3043" s="52" t="str">
        <f t="shared" ca="1" si="1103"/>
        <v>Residential Square Footage**</v>
      </c>
      <c r="I3043" s="52">
        <v>7</v>
      </c>
    </row>
    <row r="3044" spans="1:10" ht="15" customHeight="1">
      <c r="A3044" t="str">
        <f t="shared" ca="1" si="1097"/>
        <v/>
      </c>
      <c r="B3044">
        <f t="shared" si="1098"/>
        <v>95</v>
      </c>
      <c r="C3044">
        <f t="shared" ca="1" si="1078"/>
        <v>92</v>
      </c>
      <c r="D3044" t="str">
        <f t="shared" si="1099"/>
        <v>H95</v>
      </c>
      <c r="E3044" t="str">
        <f t="shared" ca="1" si="1100"/>
        <v/>
      </c>
      <c r="F3044" t="str">
        <f t="shared" ca="1" si="1101"/>
        <v xml:space="preserve">Enter a 'Square Footage of Employee Units' for  building 92 in cell H95.
</v>
      </c>
      <c r="G3044" s="9" t="str">
        <f t="shared" ca="1" si="1102"/>
        <v xml:space="preserve">Enter a value for 'Number of Floors in the Tallest Building' in cell B58.
</v>
      </c>
      <c r="H3044" s="52" t="str">
        <f t="shared" ca="1" si="1103"/>
        <v>Square Footage of Employee Units</v>
      </c>
      <c r="I3044" s="52">
        <v>8</v>
      </c>
    </row>
    <row r="3045" spans="1:10" ht="15" customHeight="1">
      <c r="A3045" t="str">
        <f t="shared" ca="1" si="1097"/>
        <v/>
      </c>
      <c r="B3045">
        <f t="shared" si="1098"/>
        <v>95</v>
      </c>
      <c r="C3045">
        <f t="shared" ca="1" si="1078"/>
        <v>92</v>
      </c>
      <c r="D3045" t="str">
        <f t="shared" si="1099"/>
        <v>I95</v>
      </c>
      <c r="E3045" t="str">
        <f t="shared" ca="1" si="1100"/>
        <v/>
      </c>
      <c r="F3045" t="str">
        <f t="shared" ca="1" si="1101"/>
        <v xml:space="preserve">Enter a 'Square Footage of Low-Income Units' for  building 92 in cell I95.
</v>
      </c>
      <c r="G3045" s="9" t="str">
        <f t="shared" ca="1" si="1102"/>
        <v xml:space="preserve">Enter a value for 'Number of Floors in the Tallest Building' in cell B58.
</v>
      </c>
      <c r="H3045" s="52" t="str">
        <f t="shared" ca="1" si="1103"/>
        <v>Square Footage of Low-Income Units</v>
      </c>
      <c r="I3045" s="52">
        <v>9</v>
      </c>
    </row>
    <row r="3046" spans="1:10" ht="15" customHeight="1">
      <c r="A3046" t="str">
        <f t="shared" ca="1" si="1097"/>
        <v/>
      </c>
      <c r="B3046">
        <f t="shared" si="1098"/>
        <v>95</v>
      </c>
      <c r="C3046">
        <f t="shared" ca="1" si="1078"/>
        <v>92</v>
      </c>
      <c r="D3046" t="str">
        <f t="shared" si="1099"/>
        <v>J95</v>
      </c>
      <c r="E3046" t="str">
        <f t="shared" ca="1" si="1100"/>
        <v/>
      </c>
      <c r="F3046" t="str">
        <f t="shared" ca="1" si="1101"/>
        <v xml:space="preserve">Enter a 'Placed-In-Service Date' for  building 92 in cell J95.
</v>
      </c>
      <c r="G3046" s="9" t="str">
        <f t="shared" ca="1" si="1102"/>
        <v xml:space="preserve">Enter a value for 'Number of Floors in the Tallest Building' in cell B58.
</v>
      </c>
      <c r="H3046" s="52" t="str">
        <f t="shared" ca="1" si="1103"/>
        <v>Placed-In-Service Date</v>
      </c>
      <c r="I3046" s="52">
        <v>10</v>
      </c>
    </row>
    <row r="3047" spans="1:10" ht="15" customHeight="1">
      <c r="A3047" t="str">
        <f t="shared" ca="1" si="1097"/>
        <v/>
      </c>
      <c r="B3047">
        <f t="shared" si="1098"/>
        <v>95</v>
      </c>
      <c r="C3047">
        <f t="shared" ca="1" si="1078"/>
        <v>92</v>
      </c>
      <c r="D3047" t="str">
        <f t="shared" si="1099"/>
        <v>K95</v>
      </c>
      <c r="E3047" t="str">
        <f t="shared" ca="1" si="1100"/>
        <v/>
      </c>
      <c r="F3047" t="str">
        <f t="shared" ca="1" si="1101"/>
        <v xml:space="preserve">Enter a 'New Construction/ Rehab APR' for  building 92 in cell K95.
</v>
      </c>
      <c r="G3047" s="9" t="str">
        <f t="shared" ca="1" si="1102"/>
        <v xml:space="preserve">Enter a value for 'Number of Floors in the Tallest Building' in cell B58.
</v>
      </c>
      <c r="H3047" s="52" t="str">
        <f t="shared" ca="1" si="1103"/>
        <v>New Construction/ Rehab APR</v>
      </c>
      <c r="I3047" s="52">
        <v>11</v>
      </c>
    </row>
    <row r="3048" spans="1:10" ht="15" customHeight="1">
      <c r="A3048" t="str">
        <f t="shared" ca="1" si="1097"/>
        <v/>
      </c>
      <c r="B3048">
        <f t="shared" si="1098"/>
        <v>95</v>
      </c>
      <c r="C3048">
        <f t="shared" ca="1" si="1078"/>
        <v>92</v>
      </c>
      <c r="D3048" t="str">
        <f t="shared" si="1099"/>
        <v>L95</v>
      </c>
      <c r="E3048" t="str">
        <f t="shared" ca="1" si="1100"/>
        <v/>
      </c>
      <c r="F3048" t="str">
        <f t="shared" ca="1" si="1101"/>
        <v xml:space="preserve">Enter a 'New Construction Eligible Basis' for  building 92 in cell L95.
</v>
      </c>
      <c r="G3048" s="9" t="str">
        <f t="shared" ca="1" si="1102"/>
        <v xml:space="preserve">Enter a value for 'Number of Floors in the Tallest Building' in cell B58.
</v>
      </c>
      <c r="H3048" s="52" t="str">
        <f t="shared" ca="1" si="1103"/>
        <v>New Construction Eligible Basis</v>
      </c>
      <c r="I3048" s="52">
        <v>12</v>
      </c>
    </row>
    <row r="3049" spans="1:10" ht="15" customHeight="1">
      <c r="A3049" t="str">
        <f ca="1">IF(AND(OFFSET(A3049, -I3049 + 2, 4) &gt;  0, E3049="", Calculations!$B$7), F3049, "")</f>
        <v/>
      </c>
      <c r="B3049">
        <f t="shared" si="1098"/>
        <v>95</v>
      </c>
      <c r="C3049">
        <f t="shared" ca="1" si="1078"/>
        <v>92</v>
      </c>
      <c r="D3049" t="str">
        <f t="shared" si="1099"/>
        <v>M95</v>
      </c>
      <c r="E3049" t="str">
        <f t="shared" ca="1" si="1100"/>
        <v/>
      </c>
      <c r="F3049" t="str">
        <f t="shared" ca="1" si="1101"/>
        <v xml:space="preserve">Enter a 'Eligible Basis for Rehab' for  building 92 in cell M95.
</v>
      </c>
      <c r="G3049" s="9" t="str">
        <f t="shared" ca="1" si="1102"/>
        <v xml:space="preserve">Enter a value for 'Number of Floors in the Tallest Building' in cell B58.
</v>
      </c>
      <c r="H3049" s="52" t="str">
        <f t="shared" ca="1" si="1103"/>
        <v>Eligible Basis for Rehab</v>
      </c>
      <c r="I3049" s="52">
        <v>13</v>
      </c>
    </row>
    <row r="3050" spans="1:10" ht="15" customHeight="1">
      <c r="A3050" t="str">
        <f ca="1">IF(AND(OFFSET(A3050, -I3050 + 2, 4) &gt;  0, E3050="", Calculations!$B$7), F3050, "")</f>
        <v/>
      </c>
      <c r="B3050">
        <f t="shared" si="1098"/>
        <v>95</v>
      </c>
      <c r="C3050">
        <f t="shared" ca="1" si="1078"/>
        <v>92</v>
      </c>
      <c r="D3050" t="str">
        <f t="shared" si="1099"/>
        <v>N95</v>
      </c>
      <c r="E3050" t="str">
        <f t="shared" ca="1" si="1100"/>
        <v/>
      </c>
      <c r="F3050" t="str">
        <f t="shared" ca="1" si="1101"/>
        <v xml:space="preserve">Enter a 'Cost of Acquiring the Building***' for  building 92 in cell N95.
</v>
      </c>
      <c r="G3050" s="9" t="str">
        <f t="shared" ca="1" si="1102"/>
        <v xml:space="preserve">Enter a value for 'Number of Floors in the Tallest Building' in cell B58.
</v>
      </c>
      <c r="H3050" s="52" t="str">
        <f t="shared" ca="1" si="1103"/>
        <v>Cost of Acquiring the Building***</v>
      </c>
      <c r="I3050" s="52">
        <v>14</v>
      </c>
    </row>
    <row r="3051" spans="1:10" ht="15" customHeight="1">
      <c r="A3051" t="str">
        <f ca="1">IF(AND(OFFSET(A3051, -I3051 + 2, 4) &gt;  0, E3051="", Calculations!$B$7), F3051, "")</f>
        <v/>
      </c>
      <c r="B3051">
        <f t="shared" si="1098"/>
        <v>95</v>
      </c>
      <c r="C3051">
        <f t="shared" ca="1" si="1078"/>
        <v>92</v>
      </c>
      <c r="D3051" t="str">
        <f t="shared" si="1099"/>
        <v>O95</v>
      </c>
      <c r="E3051" t="str">
        <f t="shared" ca="1" si="1100"/>
        <v/>
      </c>
      <c r="F3051" t="str">
        <f t="shared" ca="1" si="1101"/>
        <v xml:space="preserve">Enter a 'Higher of Land Purchase Price or Land Appraised Value****' for  building 92 in cell O95.
</v>
      </c>
      <c r="G3051" s="9" t="str">
        <f t="shared" ca="1" si="1102"/>
        <v xml:space="preserve">Enter a value for 'Number of Floors in the Tallest Building' in cell B58.
</v>
      </c>
      <c r="H3051" s="52" t="str">
        <f t="shared" ca="1" si="1103"/>
        <v>Higher of Land Purchase Price or Land Appraised Value****</v>
      </c>
      <c r="I3051" s="52">
        <v>15</v>
      </c>
    </row>
    <row r="3052" spans="1:10" ht="15" customHeight="1">
      <c r="A3052" t="str">
        <f ca="1">IF(AND(OFFSET(A3052, -I3052 + 2, 4) &gt;  0, E3052="", Calculations!$B$7), F3052, "")</f>
        <v/>
      </c>
      <c r="B3052">
        <f t="shared" si="1098"/>
        <v>95</v>
      </c>
      <c r="C3052">
        <f t="shared" ca="1" si="1078"/>
        <v>92</v>
      </c>
      <c r="D3052" t="str">
        <f t="shared" si="1099"/>
        <v>P95</v>
      </c>
      <c r="E3052" t="str">
        <f t="shared" ca="1" si="1100"/>
        <v/>
      </c>
      <c r="F3052" t="str">
        <f t="shared" ca="1" si="1101"/>
        <v xml:space="preserve">Enter a 'Acquisition Placed-in-Service Date' for  building 92 in cell P95.
</v>
      </c>
      <c r="G3052" s="9" t="str">
        <f t="shared" ca="1" si="1102"/>
        <v xml:space="preserve">Enter a value for 'Number of Floors in the Tallest Building' in cell B58.
</v>
      </c>
      <c r="H3052" s="52" t="str">
        <f t="shared" ca="1" si="1103"/>
        <v>Acquisition Placed-in-Service Date</v>
      </c>
      <c r="I3052" s="52">
        <v>16</v>
      </c>
    </row>
    <row r="3053" spans="1:10" ht="15" customHeight="1">
      <c r="A3053" t="str">
        <f ca="1">IF(AND(OFFSET(A3053, -I3053 + 2, 4) &gt;  0, E3053="", Calculations!$B$7), F3053, "")</f>
        <v/>
      </c>
      <c r="B3053">
        <f t="shared" si="1098"/>
        <v>95</v>
      </c>
      <c r="C3053">
        <f t="shared" ca="1" si="1078"/>
        <v>92</v>
      </c>
      <c r="D3053" t="str">
        <f t="shared" si="1099"/>
        <v>Q95</v>
      </c>
      <c r="E3053" t="str">
        <f t="shared" ca="1" si="1100"/>
        <v/>
      </c>
      <c r="F3053" t="str">
        <f t="shared" ca="1" si="1101"/>
        <v xml:space="preserve">Enter a 'Acquisition APR' for  building 92 in cell Q95.
</v>
      </c>
      <c r="G3053" s="9" t="str">
        <f t="shared" ca="1" si="1102"/>
        <v xml:space="preserve">Enter a value for 'Number of Floors in the Tallest Building' in cell B58.
</v>
      </c>
      <c r="H3053" s="52" t="str">
        <f t="shared" ca="1" si="1103"/>
        <v>Acquisition APR</v>
      </c>
      <c r="I3053" s="52">
        <v>17</v>
      </c>
    </row>
    <row r="3054" spans="1:10" ht="15" customHeight="1">
      <c r="A3054" t="str">
        <f ca="1">IF(AND(Calculations!$B$4,Calculations!$B$28&gt;=C3054, E3054 &lt;&gt; 13),F3054,"")</f>
        <v/>
      </c>
      <c r="B3054">
        <f>ROW('Final Building Profile'!C96)</f>
        <v>96</v>
      </c>
      <c r="C3054">
        <f t="shared" ref="C3054:C3117" ca="1" si="1104">INDIRECT($F$1564 &amp; ADDRESS(B3054, 1,4  ))</f>
        <v>93</v>
      </c>
      <c r="D3054" t="str">
        <f>ADDRESS(B3054, 3,4  )</f>
        <v>C96</v>
      </c>
      <c r="E3054" s="52">
        <f ca="1">H3054+I3054</f>
        <v>0</v>
      </c>
      <c r="F3054" t="str">
        <f ca="1">CONCATENATE("Based upon the number of buildings specified, information for  building ", C3054, " required for a final application in row ", B3054, ".", CHAR(10))</f>
        <v xml:space="preserve">Based upon the number of buildings specified, information for  building 93 required for a final application in row 96.
</v>
      </c>
      <c r="G3054" s="9" t="str">
        <f t="shared" ca="1" si="1102"/>
        <v xml:space="preserve">Enter a value for 'Number of Floors in the Tallest Building' in cell B58.
</v>
      </c>
      <c r="H3054" s="52">
        <f ca="1">SUMPRODUCT(--ISTEXT(INDIRECT(J3054)))</f>
        <v>0</v>
      </c>
      <c r="I3054" s="52">
        <f ca="1">SUMPRODUCT(--ISNUMBER(INDIRECT(J3054)))</f>
        <v>0</v>
      </c>
      <c r="J3054" s="52" t="str">
        <f>$F$1564&amp; ADDRESS(B3054,3,4) &amp; ":" &amp; ADDRESS(B3054,15,4)</f>
        <v>'Final Building Profile'!C96:O96</v>
      </c>
    </row>
    <row r="3055" spans="1:10" ht="15" customHeight="1">
      <c r="A3055" t="str">
        <f t="shared" ref="A3055:A3064" ca="1" si="1105">IF(AND(OFFSET(A3055, -I3055 + 2, 4) &gt;  0, E3055=""), F3055, "")</f>
        <v/>
      </c>
      <c r="B3055">
        <f t="shared" ref="B3055:B3069" si="1106">B3054</f>
        <v>96</v>
      </c>
      <c r="C3055">
        <f t="shared" ca="1" si="1104"/>
        <v>93</v>
      </c>
      <c r="D3055" t="str">
        <f t="shared" ref="D3055:D3069" si="1107">ADDRESS(B3055, I3055,4  )</f>
        <v>C96</v>
      </c>
      <c r="E3055" t="str">
        <f t="shared" ref="E3055:E3069" ca="1" si="1108">IF(ISBLANK( INDIRECT($F$1564 &amp; D3055)),"", INDIRECT($F$1564 &amp; D3055))</f>
        <v/>
      </c>
      <c r="F3055" t="str">
        <f t="shared" ref="F3055:F3069" ca="1" si="1109">CONCATENATE("Enter a '"&amp; H3055 &amp;"' for  building ", C3055, " in cell ", D3055, ".", CHAR(10))</f>
        <v xml:space="preserve">Enter a 'Building Street Address Only 
(DO NOT ENTER CITY, STATE, OR ZIP)' for  building 93 in cell C96.
</v>
      </c>
      <c r="G3055" s="9" t="str">
        <f t="shared" ca="1" si="1102"/>
        <v xml:space="preserve">Enter a value for 'Number of Floors in the Tallest Building' in cell B58.
</v>
      </c>
      <c r="H3055" s="52" t="str">
        <f t="shared" ref="H3055:H3069" ca="1" si="1110">OFFSET(INDIRECT($F$1564 &amp; D3055), -B3055 + 3, 0)</f>
        <v>Building Street Address Only 
(DO NOT ENTER CITY, STATE, OR ZIP)</v>
      </c>
      <c r="I3055" s="52">
        <v>3</v>
      </c>
    </row>
    <row r="3056" spans="1:10" ht="15" customHeight="1">
      <c r="A3056" t="str">
        <f t="shared" ca="1" si="1105"/>
        <v/>
      </c>
      <c r="B3056">
        <f t="shared" si="1106"/>
        <v>96</v>
      </c>
      <c r="C3056">
        <f t="shared" ca="1" si="1104"/>
        <v>93</v>
      </c>
      <c r="D3056" t="str">
        <f t="shared" si="1107"/>
        <v>D96</v>
      </c>
      <c r="E3056" t="str">
        <f t="shared" ca="1" si="1108"/>
        <v/>
      </c>
      <c r="F3056" t="str">
        <f t="shared" ca="1" si="1109"/>
        <v xml:space="preserve">Enter a 'Total Units in Building*' for  building 93 in cell D96.
</v>
      </c>
      <c r="G3056" s="9" t="str">
        <f t="shared" ca="1" si="1102"/>
        <v xml:space="preserve">Enter a value for 'Number of Floors in the Tallest Building' in cell B58.
</v>
      </c>
      <c r="H3056" s="52" t="str">
        <f t="shared" ca="1" si="1110"/>
        <v>Total Units in Building*</v>
      </c>
      <c r="I3056" s="52">
        <v>4</v>
      </c>
    </row>
    <row r="3057" spans="1:10" ht="15" customHeight="1">
      <c r="A3057" t="str">
        <f t="shared" ca="1" si="1105"/>
        <v/>
      </c>
      <c r="B3057">
        <f t="shared" si="1106"/>
        <v>96</v>
      </c>
      <c r="C3057">
        <f t="shared" ca="1" si="1104"/>
        <v>93</v>
      </c>
      <c r="D3057" t="str">
        <f t="shared" si="1107"/>
        <v>E96</v>
      </c>
      <c r="E3057" t="str">
        <f t="shared" ca="1" si="1108"/>
        <v/>
      </c>
      <c r="F3057" t="str">
        <f t="shared" ca="1" si="1109"/>
        <v xml:space="preserve">Enter a 'Employee Units' for  building 93 in cell E96.
</v>
      </c>
      <c r="G3057" s="9" t="str">
        <f t="shared" ca="1" si="1102"/>
        <v xml:space="preserve">Enter a value for 'Number of Floors in the Tallest Building' in cell B58.
</v>
      </c>
      <c r="H3057" s="52" t="str">
        <f t="shared" ca="1" si="1110"/>
        <v>Employee Units</v>
      </c>
      <c r="I3057" s="52">
        <v>5</v>
      </c>
    </row>
    <row r="3058" spans="1:10" ht="15" customHeight="1">
      <c r="A3058" t="str">
        <f t="shared" ca="1" si="1105"/>
        <v/>
      </c>
      <c r="B3058">
        <f t="shared" si="1106"/>
        <v>96</v>
      </c>
      <c r="C3058">
        <f t="shared" ca="1" si="1104"/>
        <v>93</v>
      </c>
      <c r="D3058" t="str">
        <f t="shared" si="1107"/>
        <v>F96</v>
      </c>
      <c r="E3058" t="str">
        <f t="shared" ca="1" si="1108"/>
        <v/>
      </c>
      <c r="F3058" t="str">
        <f t="shared" ca="1" si="1109"/>
        <v xml:space="preserve">Enter a 'Low-Income Units' for  building 93 in cell F96.
</v>
      </c>
      <c r="G3058" s="9" t="str">
        <f t="shared" ca="1" si="1102"/>
        <v xml:space="preserve">Enter a value for 'Number of Floors in the Tallest Building' in cell B58.
</v>
      </c>
      <c r="H3058" s="52" t="str">
        <f t="shared" ca="1" si="1110"/>
        <v>Low-Income Units</v>
      </c>
      <c r="I3058" s="52">
        <v>6</v>
      </c>
    </row>
    <row r="3059" spans="1:10" ht="15" customHeight="1">
      <c r="A3059" t="str">
        <f t="shared" ca="1" si="1105"/>
        <v/>
      </c>
      <c r="B3059">
        <f t="shared" si="1106"/>
        <v>96</v>
      </c>
      <c r="C3059">
        <f t="shared" ca="1" si="1104"/>
        <v>93</v>
      </c>
      <c r="D3059" t="str">
        <f t="shared" si="1107"/>
        <v>G96</v>
      </c>
      <c r="E3059" t="str">
        <f t="shared" ca="1" si="1108"/>
        <v/>
      </c>
      <c r="F3059" t="str">
        <f t="shared" ca="1" si="1109"/>
        <v xml:space="preserve">Enter a 'Residential Square Footage**' for  building 93 in cell G96.
</v>
      </c>
      <c r="G3059" s="9" t="str">
        <f t="shared" ca="1" si="1102"/>
        <v xml:space="preserve">Enter a value for 'Number of Floors in the Tallest Building' in cell B58.
</v>
      </c>
      <c r="H3059" s="52" t="str">
        <f t="shared" ca="1" si="1110"/>
        <v>Residential Square Footage**</v>
      </c>
      <c r="I3059" s="52">
        <v>7</v>
      </c>
    </row>
    <row r="3060" spans="1:10" ht="15" customHeight="1">
      <c r="A3060" t="str">
        <f t="shared" ca="1" si="1105"/>
        <v/>
      </c>
      <c r="B3060">
        <f t="shared" si="1106"/>
        <v>96</v>
      </c>
      <c r="C3060">
        <f t="shared" ca="1" si="1104"/>
        <v>93</v>
      </c>
      <c r="D3060" t="str">
        <f t="shared" si="1107"/>
        <v>H96</v>
      </c>
      <c r="E3060" t="str">
        <f t="shared" ca="1" si="1108"/>
        <v/>
      </c>
      <c r="F3060" t="str">
        <f t="shared" ca="1" si="1109"/>
        <v xml:space="preserve">Enter a 'Square Footage of Employee Units' for  building 93 in cell H96.
</v>
      </c>
      <c r="G3060" s="9" t="str">
        <f t="shared" ca="1" si="1102"/>
        <v xml:space="preserve">Enter a value for 'Number of Floors in the Tallest Building' in cell B58.
</v>
      </c>
      <c r="H3060" s="52" t="str">
        <f t="shared" ca="1" si="1110"/>
        <v>Square Footage of Employee Units</v>
      </c>
      <c r="I3060" s="52">
        <v>8</v>
      </c>
    </row>
    <row r="3061" spans="1:10" ht="15" customHeight="1">
      <c r="A3061" t="str">
        <f t="shared" ca="1" si="1105"/>
        <v/>
      </c>
      <c r="B3061">
        <f t="shared" si="1106"/>
        <v>96</v>
      </c>
      <c r="C3061">
        <f t="shared" ca="1" si="1104"/>
        <v>93</v>
      </c>
      <c r="D3061" t="str">
        <f t="shared" si="1107"/>
        <v>I96</v>
      </c>
      <c r="E3061" t="str">
        <f t="shared" ca="1" si="1108"/>
        <v/>
      </c>
      <c r="F3061" t="str">
        <f t="shared" ca="1" si="1109"/>
        <v xml:space="preserve">Enter a 'Square Footage of Low-Income Units' for  building 93 in cell I96.
</v>
      </c>
      <c r="G3061" s="9" t="str">
        <f t="shared" ca="1" si="1102"/>
        <v xml:space="preserve">Enter a value for 'Number of Floors in the Tallest Building' in cell B58.
</v>
      </c>
      <c r="H3061" s="52" t="str">
        <f t="shared" ca="1" si="1110"/>
        <v>Square Footage of Low-Income Units</v>
      </c>
      <c r="I3061" s="52">
        <v>9</v>
      </c>
    </row>
    <row r="3062" spans="1:10" ht="15" customHeight="1">
      <c r="A3062" t="str">
        <f t="shared" ca="1" si="1105"/>
        <v/>
      </c>
      <c r="B3062">
        <f t="shared" si="1106"/>
        <v>96</v>
      </c>
      <c r="C3062">
        <f t="shared" ca="1" si="1104"/>
        <v>93</v>
      </c>
      <c r="D3062" t="str">
        <f t="shared" si="1107"/>
        <v>J96</v>
      </c>
      <c r="E3062" t="str">
        <f t="shared" ca="1" si="1108"/>
        <v/>
      </c>
      <c r="F3062" t="str">
        <f t="shared" ca="1" si="1109"/>
        <v xml:space="preserve">Enter a 'Placed-In-Service Date' for  building 93 in cell J96.
</v>
      </c>
      <c r="G3062" s="9" t="str">
        <f t="shared" ca="1" si="1102"/>
        <v xml:space="preserve">Enter a value for 'Number of Floors in the Tallest Building' in cell B58.
</v>
      </c>
      <c r="H3062" s="52" t="str">
        <f t="shared" ca="1" si="1110"/>
        <v>Placed-In-Service Date</v>
      </c>
      <c r="I3062" s="52">
        <v>10</v>
      </c>
    </row>
    <row r="3063" spans="1:10" ht="15" customHeight="1">
      <c r="A3063" t="str">
        <f t="shared" ca="1" si="1105"/>
        <v/>
      </c>
      <c r="B3063">
        <f t="shared" si="1106"/>
        <v>96</v>
      </c>
      <c r="C3063">
        <f t="shared" ca="1" si="1104"/>
        <v>93</v>
      </c>
      <c r="D3063" t="str">
        <f t="shared" si="1107"/>
        <v>K96</v>
      </c>
      <c r="E3063" t="str">
        <f t="shared" ca="1" si="1108"/>
        <v/>
      </c>
      <c r="F3063" t="str">
        <f t="shared" ca="1" si="1109"/>
        <v xml:space="preserve">Enter a 'New Construction/ Rehab APR' for  building 93 in cell K96.
</v>
      </c>
      <c r="G3063" s="9" t="str">
        <f t="shared" ca="1" si="1102"/>
        <v xml:space="preserve">Enter a value for 'Number of Floors in the Tallest Building' in cell B58.
</v>
      </c>
      <c r="H3063" s="52" t="str">
        <f t="shared" ca="1" si="1110"/>
        <v>New Construction/ Rehab APR</v>
      </c>
      <c r="I3063" s="52">
        <v>11</v>
      </c>
    </row>
    <row r="3064" spans="1:10" ht="15" customHeight="1">
      <c r="A3064" t="str">
        <f t="shared" ca="1" si="1105"/>
        <v/>
      </c>
      <c r="B3064">
        <f t="shared" si="1106"/>
        <v>96</v>
      </c>
      <c r="C3064">
        <f t="shared" ca="1" si="1104"/>
        <v>93</v>
      </c>
      <c r="D3064" t="str">
        <f t="shared" si="1107"/>
        <v>L96</v>
      </c>
      <c r="E3064" t="str">
        <f t="shared" ca="1" si="1108"/>
        <v/>
      </c>
      <c r="F3064" t="str">
        <f t="shared" ca="1" si="1109"/>
        <v xml:space="preserve">Enter a 'New Construction Eligible Basis' for  building 93 in cell L96.
</v>
      </c>
      <c r="G3064" s="9" t="str">
        <f t="shared" ca="1" si="1102"/>
        <v xml:space="preserve">Enter a value for 'Number of Floors in the Tallest Building' in cell B58.
</v>
      </c>
      <c r="H3064" s="52" t="str">
        <f t="shared" ca="1" si="1110"/>
        <v>New Construction Eligible Basis</v>
      </c>
      <c r="I3064" s="52">
        <v>12</v>
      </c>
    </row>
    <row r="3065" spans="1:10" ht="15" customHeight="1">
      <c r="A3065" t="str">
        <f ca="1">IF(AND(OFFSET(A3065, -I3065 + 2, 4) &gt;  0, E3065="", Calculations!$B$7), F3065, "")</f>
        <v/>
      </c>
      <c r="B3065">
        <f t="shared" si="1106"/>
        <v>96</v>
      </c>
      <c r="C3065">
        <f t="shared" ca="1" si="1104"/>
        <v>93</v>
      </c>
      <c r="D3065" t="str">
        <f t="shared" si="1107"/>
        <v>M96</v>
      </c>
      <c r="E3065" t="str">
        <f t="shared" ca="1" si="1108"/>
        <v/>
      </c>
      <c r="F3065" t="str">
        <f t="shared" ca="1" si="1109"/>
        <v xml:space="preserve">Enter a 'Eligible Basis for Rehab' for  building 93 in cell M96.
</v>
      </c>
      <c r="G3065" s="9" t="str">
        <f t="shared" ca="1" si="1102"/>
        <v xml:space="preserve">Enter a value for 'Number of Floors in the Tallest Building' in cell B58.
</v>
      </c>
      <c r="H3065" s="52" t="str">
        <f t="shared" ca="1" si="1110"/>
        <v>Eligible Basis for Rehab</v>
      </c>
      <c r="I3065" s="52">
        <v>13</v>
      </c>
    </row>
    <row r="3066" spans="1:10" ht="15" customHeight="1">
      <c r="A3066" t="str">
        <f ca="1">IF(AND(OFFSET(A3066, -I3066 + 2, 4) &gt;  0, E3066="", Calculations!$B$7), F3066, "")</f>
        <v/>
      </c>
      <c r="B3066">
        <f t="shared" si="1106"/>
        <v>96</v>
      </c>
      <c r="C3066">
        <f t="shared" ca="1" si="1104"/>
        <v>93</v>
      </c>
      <c r="D3066" t="str">
        <f t="shared" si="1107"/>
        <v>N96</v>
      </c>
      <c r="E3066" t="str">
        <f t="shared" ca="1" si="1108"/>
        <v/>
      </c>
      <c r="F3066" t="str">
        <f t="shared" ca="1" si="1109"/>
        <v xml:space="preserve">Enter a 'Cost of Acquiring the Building***' for  building 93 in cell N96.
</v>
      </c>
      <c r="G3066" s="9" t="str">
        <f t="shared" ca="1" si="1102"/>
        <v xml:space="preserve">Enter a value for 'Number of Floors in the Tallest Building' in cell B58.
</v>
      </c>
      <c r="H3066" s="52" t="str">
        <f t="shared" ca="1" si="1110"/>
        <v>Cost of Acquiring the Building***</v>
      </c>
      <c r="I3066" s="52">
        <v>14</v>
      </c>
    </row>
    <row r="3067" spans="1:10" ht="15" customHeight="1">
      <c r="A3067" t="str">
        <f ca="1">IF(AND(OFFSET(A3067, -I3067 + 2, 4) &gt;  0, E3067="", Calculations!$B$7), F3067, "")</f>
        <v/>
      </c>
      <c r="B3067">
        <f t="shared" si="1106"/>
        <v>96</v>
      </c>
      <c r="C3067">
        <f t="shared" ca="1" si="1104"/>
        <v>93</v>
      </c>
      <c r="D3067" t="str">
        <f t="shared" si="1107"/>
        <v>O96</v>
      </c>
      <c r="E3067" t="str">
        <f t="shared" ca="1" si="1108"/>
        <v/>
      </c>
      <c r="F3067" t="str">
        <f t="shared" ca="1" si="1109"/>
        <v xml:space="preserve">Enter a 'Higher of Land Purchase Price or Land Appraised Value****' for  building 93 in cell O96.
</v>
      </c>
      <c r="G3067" s="9" t="str">
        <f t="shared" ca="1" si="1102"/>
        <v xml:space="preserve">Enter a value for 'Number of Floors in the Tallest Building' in cell B58.
</v>
      </c>
      <c r="H3067" s="52" t="str">
        <f t="shared" ca="1" si="1110"/>
        <v>Higher of Land Purchase Price or Land Appraised Value****</v>
      </c>
      <c r="I3067" s="52">
        <v>15</v>
      </c>
    </row>
    <row r="3068" spans="1:10" ht="15" customHeight="1">
      <c r="A3068" t="str">
        <f ca="1">IF(AND(OFFSET(A3068, -I3068 + 2, 4) &gt;  0, E3068="", Calculations!$B$7), F3068, "")</f>
        <v/>
      </c>
      <c r="B3068">
        <f t="shared" si="1106"/>
        <v>96</v>
      </c>
      <c r="C3068">
        <f t="shared" ca="1" si="1104"/>
        <v>93</v>
      </c>
      <c r="D3068" t="str">
        <f t="shared" si="1107"/>
        <v>P96</v>
      </c>
      <c r="E3068" t="str">
        <f t="shared" ca="1" si="1108"/>
        <v/>
      </c>
      <c r="F3068" t="str">
        <f t="shared" ca="1" si="1109"/>
        <v xml:space="preserve">Enter a 'Acquisition Placed-in-Service Date' for  building 93 in cell P96.
</v>
      </c>
      <c r="G3068" s="9" t="str">
        <f t="shared" ca="1" si="1102"/>
        <v xml:space="preserve">Enter a value for 'Number of Floors in the Tallest Building' in cell B58.
</v>
      </c>
      <c r="H3068" s="52" t="str">
        <f t="shared" ca="1" si="1110"/>
        <v>Acquisition Placed-in-Service Date</v>
      </c>
      <c r="I3068" s="52">
        <v>16</v>
      </c>
    </row>
    <row r="3069" spans="1:10" ht="15" customHeight="1">
      <c r="A3069" t="str">
        <f ca="1">IF(AND(OFFSET(A3069, -I3069 + 2, 4) &gt;  0, E3069="", Calculations!$B$7), F3069, "")</f>
        <v/>
      </c>
      <c r="B3069">
        <f t="shared" si="1106"/>
        <v>96</v>
      </c>
      <c r="C3069">
        <f t="shared" ca="1" si="1104"/>
        <v>93</v>
      </c>
      <c r="D3069" t="str">
        <f t="shared" si="1107"/>
        <v>Q96</v>
      </c>
      <c r="E3069" t="str">
        <f t="shared" ca="1" si="1108"/>
        <v/>
      </c>
      <c r="F3069" t="str">
        <f t="shared" ca="1" si="1109"/>
        <v xml:space="preserve">Enter a 'Acquisition APR' for  building 93 in cell Q96.
</v>
      </c>
      <c r="G3069" s="9" t="str">
        <f t="shared" ca="1" si="1102"/>
        <v xml:space="preserve">Enter a value for 'Number of Floors in the Tallest Building' in cell B58.
</v>
      </c>
      <c r="H3069" s="52" t="str">
        <f t="shared" ca="1" si="1110"/>
        <v>Acquisition APR</v>
      </c>
      <c r="I3069" s="52">
        <v>17</v>
      </c>
    </row>
    <row r="3070" spans="1:10" ht="15" customHeight="1">
      <c r="A3070" t="str">
        <f ca="1">IF(AND(Calculations!$B$4,Calculations!$B$28&gt;=C3070, E3070 &lt;&gt; 13),F3070,"")</f>
        <v/>
      </c>
      <c r="B3070">
        <f>ROW('Final Building Profile'!C97)</f>
        <v>97</v>
      </c>
      <c r="C3070">
        <f t="shared" ca="1" si="1104"/>
        <v>94</v>
      </c>
      <c r="D3070" t="str">
        <f>ADDRESS(B3070, 3,4  )</f>
        <v>C97</v>
      </c>
      <c r="E3070" s="52">
        <f ca="1">H3070+I3070</f>
        <v>0</v>
      </c>
      <c r="F3070" t="str">
        <f ca="1">CONCATENATE("Based upon the number of buildings specified, information for  building ", C3070, " required for a final application in row ", B3070, ".", CHAR(10))</f>
        <v xml:space="preserve">Based upon the number of buildings specified, information for  building 94 required for a final application in row 97.
</v>
      </c>
      <c r="G3070" s="9" t="str">
        <f t="shared" ca="1" si="1102"/>
        <v xml:space="preserve">Enter a value for 'Number of Floors in the Tallest Building' in cell B58.
</v>
      </c>
      <c r="H3070" s="52">
        <f ca="1">SUMPRODUCT(--ISTEXT(INDIRECT(J3070)))</f>
        <v>0</v>
      </c>
      <c r="I3070" s="52">
        <f ca="1">SUMPRODUCT(--ISNUMBER(INDIRECT(J3070)))</f>
        <v>0</v>
      </c>
      <c r="J3070" s="52" t="str">
        <f>$F$1564&amp; ADDRESS(B3070,3,4) &amp; ":" &amp; ADDRESS(B3070,15,4)</f>
        <v>'Final Building Profile'!C97:O97</v>
      </c>
    </row>
    <row r="3071" spans="1:10" ht="15" customHeight="1">
      <c r="A3071" t="str">
        <f t="shared" ref="A3071:A3080" ca="1" si="1111">IF(AND(OFFSET(A3071, -I3071 + 2, 4) &gt;  0, E3071=""), F3071, "")</f>
        <v/>
      </c>
      <c r="B3071">
        <f t="shared" ref="B3071:B3085" si="1112">B3070</f>
        <v>97</v>
      </c>
      <c r="C3071">
        <f t="shared" ca="1" si="1104"/>
        <v>94</v>
      </c>
      <c r="D3071" t="str">
        <f t="shared" ref="D3071:D3085" si="1113">ADDRESS(B3071, I3071,4  )</f>
        <v>C97</v>
      </c>
      <c r="E3071" t="str">
        <f t="shared" ref="E3071:E3085" ca="1" si="1114">IF(ISBLANK( INDIRECT($F$1564 &amp; D3071)),"", INDIRECT($F$1564 &amp; D3071))</f>
        <v/>
      </c>
      <c r="F3071" t="str">
        <f t="shared" ref="F3071:F3085" ca="1" si="1115">CONCATENATE("Enter a '"&amp; H3071 &amp;"' for  building ", C3071, " in cell ", D3071, ".", CHAR(10))</f>
        <v xml:space="preserve">Enter a 'Building Street Address Only 
(DO NOT ENTER CITY, STATE, OR ZIP)' for  building 94 in cell C97.
</v>
      </c>
      <c r="G3071" s="9" t="str">
        <f t="shared" ca="1" si="1102"/>
        <v xml:space="preserve">Enter a value for 'Number of Floors in the Tallest Building' in cell B58.
</v>
      </c>
      <c r="H3071" s="52" t="str">
        <f t="shared" ref="H3071:H3085" ca="1" si="1116">OFFSET(INDIRECT($F$1564 &amp; D3071), -B3071 + 3, 0)</f>
        <v>Building Street Address Only 
(DO NOT ENTER CITY, STATE, OR ZIP)</v>
      </c>
      <c r="I3071" s="52">
        <v>3</v>
      </c>
    </row>
    <row r="3072" spans="1:10" ht="15" customHeight="1">
      <c r="A3072" t="str">
        <f t="shared" ca="1" si="1111"/>
        <v/>
      </c>
      <c r="B3072">
        <f t="shared" si="1112"/>
        <v>97</v>
      </c>
      <c r="C3072">
        <f t="shared" ca="1" si="1104"/>
        <v>94</v>
      </c>
      <c r="D3072" t="str">
        <f t="shared" si="1113"/>
        <v>D97</v>
      </c>
      <c r="E3072" t="str">
        <f t="shared" ca="1" si="1114"/>
        <v/>
      </c>
      <c r="F3072" t="str">
        <f t="shared" ca="1" si="1115"/>
        <v xml:space="preserve">Enter a 'Total Units in Building*' for  building 94 in cell D97.
</v>
      </c>
      <c r="G3072" s="9" t="str">
        <f t="shared" ca="1" si="1102"/>
        <v xml:space="preserve">Enter a value for 'Number of Floors in the Tallest Building' in cell B58.
</v>
      </c>
      <c r="H3072" s="52" t="str">
        <f t="shared" ca="1" si="1116"/>
        <v>Total Units in Building*</v>
      </c>
      <c r="I3072" s="52">
        <v>4</v>
      </c>
    </row>
    <row r="3073" spans="1:10" ht="15" customHeight="1">
      <c r="A3073" t="str">
        <f t="shared" ca="1" si="1111"/>
        <v/>
      </c>
      <c r="B3073">
        <f t="shared" si="1112"/>
        <v>97</v>
      </c>
      <c r="C3073">
        <f t="shared" ca="1" si="1104"/>
        <v>94</v>
      </c>
      <c r="D3073" t="str">
        <f t="shared" si="1113"/>
        <v>E97</v>
      </c>
      <c r="E3073" t="str">
        <f t="shared" ca="1" si="1114"/>
        <v/>
      </c>
      <c r="F3073" t="str">
        <f t="shared" ca="1" si="1115"/>
        <v xml:space="preserve">Enter a 'Employee Units' for  building 94 in cell E97.
</v>
      </c>
      <c r="G3073" s="9" t="str">
        <f t="shared" ca="1" si="1102"/>
        <v xml:space="preserve">Enter a value for 'Number of Floors in the Tallest Building' in cell B58.
</v>
      </c>
      <c r="H3073" s="52" t="str">
        <f t="shared" ca="1" si="1116"/>
        <v>Employee Units</v>
      </c>
      <c r="I3073" s="52">
        <v>5</v>
      </c>
    </row>
    <row r="3074" spans="1:10" ht="15" customHeight="1">
      <c r="A3074" t="str">
        <f t="shared" ca="1" si="1111"/>
        <v/>
      </c>
      <c r="B3074">
        <f t="shared" si="1112"/>
        <v>97</v>
      </c>
      <c r="C3074">
        <f t="shared" ca="1" si="1104"/>
        <v>94</v>
      </c>
      <c r="D3074" t="str">
        <f t="shared" si="1113"/>
        <v>F97</v>
      </c>
      <c r="E3074" t="str">
        <f t="shared" ca="1" si="1114"/>
        <v/>
      </c>
      <c r="F3074" t="str">
        <f t="shared" ca="1" si="1115"/>
        <v xml:space="preserve">Enter a 'Low-Income Units' for  building 94 in cell F97.
</v>
      </c>
      <c r="G3074" s="9" t="str">
        <f t="shared" ca="1" si="1102"/>
        <v xml:space="preserve">Enter a value for 'Number of Floors in the Tallest Building' in cell B58.
</v>
      </c>
      <c r="H3074" s="52" t="str">
        <f t="shared" ca="1" si="1116"/>
        <v>Low-Income Units</v>
      </c>
      <c r="I3074" s="52">
        <v>6</v>
      </c>
    </row>
    <row r="3075" spans="1:10" ht="15" customHeight="1">
      <c r="A3075" t="str">
        <f t="shared" ca="1" si="1111"/>
        <v/>
      </c>
      <c r="B3075">
        <f t="shared" si="1112"/>
        <v>97</v>
      </c>
      <c r="C3075">
        <f t="shared" ca="1" si="1104"/>
        <v>94</v>
      </c>
      <c r="D3075" t="str">
        <f t="shared" si="1113"/>
        <v>G97</v>
      </c>
      <c r="E3075" t="str">
        <f t="shared" ca="1" si="1114"/>
        <v/>
      </c>
      <c r="F3075" t="str">
        <f t="shared" ca="1" si="1115"/>
        <v xml:space="preserve">Enter a 'Residential Square Footage**' for  building 94 in cell G97.
</v>
      </c>
      <c r="G3075" s="9" t="str">
        <f t="shared" ca="1" si="1102"/>
        <v xml:space="preserve">Enter a value for 'Number of Floors in the Tallest Building' in cell B58.
</v>
      </c>
      <c r="H3075" s="52" t="str">
        <f t="shared" ca="1" si="1116"/>
        <v>Residential Square Footage**</v>
      </c>
      <c r="I3075" s="52">
        <v>7</v>
      </c>
    </row>
    <row r="3076" spans="1:10" ht="15" customHeight="1">
      <c r="A3076" t="str">
        <f t="shared" ca="1" si="1111"/>
        <v/>
      </c>
      <c r="B3076">
        <f t="shared" si="1112"/>
        <v>97</v>
      </c>
      <c r="C3076">
        <f t="shared" ca="1" si="1104"/>
        <v>94</v>
      </c>
      <c r="D3076" t="str">
        <f t="shared" si="1113"/>
        <v>H97</v>
      </c>
      <c r="E3076" t="str">
        <f t="shared" ca="1" si="1114"/>
        <v/>
      </c>
      <c r="F3076" t="str">
        <f t="shared" ca="1" si="1115"/>
        <v xml:space="preserve">Enter a 'Square Footage of Employee Units' for  building 94 in cell H97.
</v>
      </c>
      <c r="G3076" s="9" t="str">
        <f t="shared" ca="1" si="1102"/>
        <v xml:space="preserve">Enter a value for 'Number of Floors in the Tallest Building' in cell B58.
</v>
      </c>
      <c r="H3076" s="52" t="str">
        <f t="shared" ca="1" si="1116"/>
        <v>Square Footage of Employee Units</v>
      </c>
      <c r="I3076" s="52">
        <v>8</v>
      </c>
    </row>
    <row r="3077" spans="1:10" ht="15" customHeight="1">
      <c r="A3077" t="str">
        <f t="shared" ca="1" si="1111"/>
        <v/>
      </c>
      <c r="B3077">
        <f t="shared" si="1112"/>
        <v>97</v>
      </c>
      <c r="C3077">
        <f t="shared" ca="1" si="1104"/>
        <v>94</v>
      </c>
      <c r="D3077" t="str">
        <f t="shared" si="1113"/>
        <v>I97</v>
      </c>
      <c r="E3077" t="str">
        <f t="shared" ca="1" si="1114"/>
        <v/>
      </c>
      <c r="F3077" t="str">
        <f t="shared" ca="1" si="1115"/>
        <v xml:space="preserve">Enter a 'Square Footage of Low-Income Units' for  building 94 in cell I97.
</v>
      </c>
      <c r="G3077" s="9" t="str">
        <f t="shared" ca="1" si="1102"/>
        <v xml:space="preserve">Enter a value for 'Number of Floors in the Tallest Building' in cell B58.
</v>
      </c>
      <c r="H3077" s="52" t="str">
        <f t="shared" ca="1" si="1116"/>
        <v>Square Footage of Low-Income Units</v>
      </c>
      <c r="I3077" s="52">
        <v>9</v>
      </c>
    </row>
    <row r="3078" spans="1:10" ht="15" customHeight="1">
      <c r="A3078" t="str">
        <f t="shared" ca="1" si="1111"/>
        <v/>
      </c>
      <c r="B3078">
        <f t="shared" si="1112"/>
        <v>97</v>
      </c>
      <c r="C3078">
        <f t="shared" ca="1" si="1104"/>
        <v>94</v>
      </c>
      <c r="D3078" t="str">
        <f t="shared" si="1113"/>
        <v>J97</v>
      </c>
      <c r="E3078" t="str">
        <f t="shared" ca="1" si="1114"/>
        <v/>
      </c>
      <c r="F3078" t="str">
        <f t="shared" ca="1" si="1115"/>
        <v xml:space="preserve">Enter a 'Placed-In-Service Date' for  building 94 in cell J97.
</v>
      </c>
      <c r="G3078" s="9" t="str">
        <f t="shared" ca="1" si="1102"/>
        <v xml:space="preserve">Enter a value for 'Number of Floors in the Tallest Building' in cell B58.
</v>
      </c>
      <c r="H3078" s="52" t="str">
        <f t="shared" ca="1" si="1116"/>
        <v>Placed-In-Service Date</v>
      </c>
      <c r="I3078" s="52">
        <v>10</v>
      </c>
    </row>
    <row r="3079" spans="1:10" ht="15" customHeight="1">
      <c r="A3079" t="str">
        <f t="shared" ca="1" si="1111"/>
        <v/>
      </c>
      <c r="B3079">
        <f t="shared" si="1112"/>
        <v>97</v>
      </c>
      <c r="C3079">
        <f t="shared" ca="1" si="1104"/>
        <v>94</v>
      </c>
      <c r="D3079" t="str">
        <f t="shared" si="1113"/>
        <v>K97</v>
      </c>
      <c r="E3079" t="str">
        <f t="shared" ca="1" si="1114"/>
        <v/>
      </c>
      <c r="F3079" t="str">
        <f t="shared" ca="1" si="1115"/>
        <v xml:space="preserve">Enter a 'New Construction/ Rehab APR' for  building 94 in cell K97.
</v>
      </c>
      <c r="G3079" s="9" t="str">
        <f t="shared" ca="1" si="1102"/>
        <v xml:space="preserve">Enter a value for 'Number of Floors in the Tallest Building' in cell B58.
</v>
      </c>
      <c r="H3079" s="52" t="str">
        <f t="shared" ca="1" si="1116"/>
        <v>New Construction/ Rehab APR</v>
      </c>
      <c r="I3079" s="52">
        <v>11</v>
      </c>
    </row>
    <row r="3080" spans="1:10" ht="15" customHeight="1">
      <c r="A3080" t="str">
        <f t="shared" ca="1" si="1111"/>
        <v/>
      </c>
      <c r="B3080">
        <f t="shared" si="1112"/>
        <v>97</v>
      </c>
      <c r="C3080">
        <f t="shared" ca="1" si="1104"/>
        <v>94</v>
      </c>
      <c r="D3080" t="str">
        <f t="shared" si="1113"/>
        <v>L97</v>
      </c>
      <c r="E3080" t="str">
        <f t="shared" ca="1" si="1114"/>
        <v/>
      </c>
      <c r="F3080" t="str">
        <f t="shared" ca="1" si="1115"/>
        <v xml:space="preserve">Enter a 'New Construction Eligible Basis' for  building 94 in cell L97.
</v>
      </c>
      <c r="G3080" s="9" t="str">
        <f t="shared" ca="1" si="1102"/>
        <v xml:space="preserve">Enter a value for 'Number of Floors in the Tallest Building' in cell B58.
</v>
      </c>
      <c r="H3080" s="52" t="str">
        <f t="shared" ca="1" si="1116"/>
        <v>New Construction Eligible Basis</v>
      </c>
      <c r="I3080" s="52">
        <v>12</v>
      </c>
    </row>
    <row r="3081" spans="1:10" ht="15" customHeight="1">
      <c r="A3081" t="str">
        <f ca="1">IF(AND(OFFSET(A3081, -I3081 + 2, 4) &gt;  0, E3081="", Calculations!$B$7), F3081, "")</f>
        <v/>
      </c>
      <c r="B3081">
        <f t="shared" si="1112"/>
        <v>97</v>
      </c>
      <c r="C3081">
        <f t="shared" ca="1" si="1104"/>
        <v>94</v>
      </c>
      <c r="D3081" t="str">
        <f t="shared" si="1113"/>
        <v>M97</v>
      </c>
      <c r="E3081" t="str">
        <f t="shared" ca="1" si="1114"/>
        <v/>
      </c>
      <c r="F3081" t="str">
        <f t="shared" ca="1" si="1115"/>
        <v xml:space="preserve">Enter a 'Eligible Basis for Rehab' for  building 94 in cell M97.
</v>
      </c>
      <c r="G3081" s="9" t="str">
        <f t="shared" ca="1" si="1102"/>
        <v xml:space="preserve">Enter a value for 'Number of Floors in the Tallest Building' in cell B58.
</v>
      </c>
      <c r="H3081" s="52" t="str">
        <f t="shared" ca="1" si="1116"/>
        <v>Eligible Basis for Rehab</v>
      </c>
      <c r="I3081" s="52">
        <v>13</v>
      </c>
    </row>
    <row r="3082" spans="1:10" ht="15" customHeight="1">
      <c r="A3082" t="str">
        <f ca="1">IF(AND(OFFSET(A3082, -I3082 + 2, 4) &gt;  0, E3082="", Calculations!$B$7), F3082, "")</f>
        <v/>
      </c>
      <c r="B3082">
        <f t="shared" si="1112"/>
        <v>97</v>
      </c>
      <c r="C3082">
        <f t="shared" ca="1" si="1104"/>
        <v>94</v>
      </c>
      <c r="D3082" t="str">
        <f t="shared" si="1113"/>
        <v>N97</v>
      </c>
      <c r="E3082" t="str">
        <f t="shared" ca="1" si="1114"/>
        <v/>
      </c>
      <c r="F3082" t="str">
        <f t="shared" ca="1" si="1115"/>
        <v xml:space="preserve">Enter a 'Cost of Acquiring the Building***' for  building 94 in cell N97.
</v>
      </c>
      <c r="G3082" s="9" t="str">
        <f t="shared" ca="1" si="1102"/>
        <v xml:space="preserve">Enter a value for 'Number of Floors in the Tallest Building' in cell B58.
</v>
      </c>
      <c r="H3082" s="52" t="str">
        <f t="shared" ca="1" si="1116"/>
        <v>Cost of Acquiring the Building***</v>
      </c>
      <c r="I3082" s="52">
        <v>14</v>
      </c>
    </row>
    <row r="3083" spans="1:10" ht="15" customHeight="1">
      <c r="A3083" t="str">
        <f ca="1">IF(AND(OFFSET(A3083, -I3083 + 2, 4) &gt;  0, E3083="", Calculations!$B$7), F3083, "")</f>
        <v/>
      </c>
      <c r="B3083">
        <f t="shared" si="1112"/>
        <v>97</v>
      </c>
      <c r="C3083">
        <f t="shared" ca="1" si="1104"/>
        <v>94</v>
      </c>
      <c r="D3083" t="str">
        <f t="shared" si="1113"/>
        <v>O97</v>
      </c>
      <c r="E3083" t="str">
        <f t="shared" ca="1" si="1114"/>
        <v/>
      </c>
      <c r="F3083" t="str">
        <f t="shared" ca="1" si="1115"/>
        <v xml:space="preserve">Enter a 'Higher of Land Purchase Price or Land Appraised Value****' for  building 94 in cell O97.
</v>
      </c>
      <c r="G3083" s="9" t="str">
        <f t="shared" ca="1" si="1102"/>
        <v xml:space="preserve">Enter a value for 'Number of Floors in the Tallest Building' in cell B58.
</v>
      </c>
      <c r="H3083" s="52" t="str">
        <f t="shared" ca="1" si="1116"/>
        <v>Higher of Land Purchase Price or Land Appraised Value****</v>
      </c>
      <c r="I3083" s="52">
        <v>15</v>
      </c>
    </row>
    <row r="3084" spans="1:10" ht="15" customHeight="1">
      <c r="A3084" t="str">
        <f ca="1">IF(AND(OFFSET(A3084, -I3084 + 2, 4) &gt;  0, E3084="", Calculations!$B$7), F3084, "")</f>
        <v/>
      </c>
      <c r="B3084">
        <f t="shared" si="1112"/>
        <v>97</v>
      </c>
      <c r="C3084">
        <f t="shared" ca="1" si="1104"/>
        <v>94</v>
      </c>
      <c r="D3084" t="str">
        <f t="shared" si="1113"/>
        <v>P97</v>
      </c>
      <c r="E3084" t="str">
        <f t="shared" ca="1" si="1114"/>
        <v/>
      </c>
      <c r="F3084" t="str">
        <f t="shared" ca="1" si="1115"/>
        <v xml:space="preserve">Enter a 'Acquisition Placed-in-Service Date' for  building 94 in cell P97.
</v>
      </c>
      <c r="G3084" s="9" t="str">
        <f t="shared" ca="1" si="1102"/>
        <v xml:space="preserve">Enter a value for 'Number of Floors in the Tallest Building' in cell B58.
</v>
      </c>
      <c r="H3084" s="52" t="str">
        <f t="shared" ca="1" si="1116"/>
        <v>Acquisition Placed-in-Service Date</v>
      </c>
      <c r="I3084" s="52">
        <v>16</v>
      </c>
    </row>
    <row r="3085" spans="1:10" ht="15" customHeight="1">
      <c r="A3085" t="str">
        <f ca="1">IF(AND(OFFSET(A3085, -I3085 + 2, 4) &gt;  0, E3085="", Calculations!$B$7), F3085, "")</f>
        <v/>
      </c>
      <c r="B3085">
        <f t="shared" si="1112"/>
        <v>97</v>
      </c>
      <c r="C3085">
        <f t="shared" ca="1" si="1104"/>
        <v>94</v>
      </c>
      <c r="D3085" t="str">
        <f t="shared" si="1113"/>
        <v>Q97</v>
      </c>
      <c r="E3085" t="str">
        <f t="shared" ca="1" si="1114"/>
        <v/>
      </c>
      <c r="F3085" t="str">
        <f t="shared" ca="1" si="1115"/>
        <v xml:space="preserve">Enter a 'Acquisition APR' for  building 94 in cell Q97.
</v>
      </c>
      <c r="G3085" s="9" t="str">
        <f t="shared" ca="1" si="1102"/>
        <v xml:space="preserve">Enter a value for 'Number of Floors in the Tallest Building' in cell B58.
</v>
      </c>
      <c r="H3085" s="52" t="str">
        <f t="shared" ca="1" si="1116"/>
        <v>Acquisition APR</v>
      </c>
      <c r="I3085" s="52">
        <v>17</v>
      </c>
    </row>
    <row r="3086" spans="1:10" ht="15" customHeight="1">
      <c r="A3086" t="str">
        <f ca="1">IF(AND(Calculations!$B$4,Calculations!$B$28&gt;=C3086, E3086 &lt;&gt; 13),F3086,"")</f>
        <v/>
      </c>
      <c r="B3086">
        <f>ROW('Final Building Profile'!C98)</f>
        <v>98</v>
      </c>
      <c r="C3086">
        <f t="shared" ca="1" si="1104"/>
        <v>95</v>
      </c>
      <c r="D3086" t="str">
        <f>ADDRESS(B3086, 3,4  )</f>
        <v>C98</v>
      </c>
      <c r="E3086" s="52">
        <f ca="1">H3086+I3086</f>
        <v>0</v>
      </c>
      <c r="F3086" t="str">
        <f ca="1">CONCATENATE("Based upon the number of buildings specified, information for  building ", C3086, " required for a final application in row ", B3086, ".", CHAR(10))</f>
        <v xml:space="preserve">Based upon the number of buildings specified, information for  building 95 required for a final application in row 98.
</v>
      </c>
      <c r="G3086" s="9" t="str">
        <f t="shared" ca="1" si="1102"/>
        <v xml:space="preserve">Enter a value for 'Number of Floors in the Tallest Building' in cell B58.
</v>
      </c>
      <c r="H3086" s="52">
        <f ca="1">SUMPRODUCT(--ISTEXT(INDIRECT(J3086)))</f>
        <v>0</v>
      </c>
      <c r="I3086" s="52">
        <f ca="1">SUMPRODUCT(--ISNUMBER(INDIRECT(J3086)))</f>
        <v>0</v>
      </c>
      <c r="J3086" s="52" t="str">
        <f>$F$1564&amp; ADDRESS(B3086,3,4) &amp; ":" &amp; ADDRESS(B3086,15,4)</f>
        <v>'Final Building Profile'!C98:O98</v>
      </c>
    </row>
    <row r="3087" spans="1:10" ht="15" customHeight="1">
      <c r="A3087" t="str">
        <f t="shared" ref="A3087:A3096" ca="1" si="1117">IF(AND(OFFSET(A3087, -I3087 + 2, 4) &gt;  0, E3087=""), F3087, "")</f>
        <v/>
      </c>
      <c r="B3087">
        <f t="shared" ref="B3087:B3101" si="1118">B3086</f>
        <v>98</v>
      </c>
      <c r="C3087">
        <f t="shared" ca="1" si="1104"/>
        <v>95</v>
      </c>
      <c r="D3087" t="str">
        <f t="shared" ref="D3087:D3101" si="1119">ADDRESS(B3087, I3087,4  )</f>
        <v>C98</v>
      </c>
      <c r="E3087" t="str">
        <f t="shared" ref="E3087:E3101" ca="1" si="1120">IF(ISBLANK( INDIRECT($F$1564 &amp; D3087)),"", INDIRECT($F$1564 &amp; D3087))</f>
        <v/>
      </c>
      <c r="F3087" t="str">
        <f t="shared" ref="F3087:F3101" ca="1" si="1121">CONCATENATE("Enter a '"&amp; H3087 &amp;"' for  building ", C3087, " in cell ", D3087, ".", CHAR(10))</f>
        <v xml:space="preserve">Enter a 'Building Street Address Only 
(DO NOT ENTER CITY, STATE, OR ZIP)' for  building 95 in cell C98.
</v>
      </c>
      <c r="G3087" s="9" t="str">
        <f t="shared" ca="1" si="1102"/>
        <v xml:space="preserve">Enter a value for 'Number of Floors in the Tallest Building' in cell B58.
</v>
      </c>
      <c r="H3087" s="52" t="str">
        <f t="shared" ref="H3087:H3101" ca="1" si="1122">OFFSET(INDIRECT($F$1564 &amp; D3087), -B3087 + 3, 0)</f>
        <v>Building Street Address Only 
(DO NOT ENTER CITY, STATE, OR ZIP)</v>
      </c>
      <c r="I3087" s="52">
        <v>3</v>
      </c>
    </row>
    <row r="3088" spans="1:10" ht="15" customHeight="1">
      <c r="A3088" t="str">
        <f t="shared" ca="1" si="1117"/>
        <v/>
      </c>
      <c r="B3088">
        <f t="shared" si="1118"/>
        <v>98</v>
      </c>
      <c r="C3088">
        <f t="shared" ca="1" si="1104"/>
        <v>95</v>
      </c>
      <c r="D3088" t="str">
        <f t="shared" si="1119"/>
        <v>D98</v>
      </c>
      <c r="E3088" t="str">
        <f t="shared" ca="1" si="1120"/>
        <v/>
      </c>
      <c r="F3088" t="str">
        <f t="shared" ca="1" si="1121"/>
        <v xml:space="preserve">Enter a 'Total Units in Building*' for  building 95 in cell D98.
</v>
      </c>
      <c r="G3088" s="9" t="str">
        <f t="shared" ca="1" si="1102"/>
        <v xml:space="preserve">Enter a value for 'Number of Floors in the Tallest Building' in cell B58.
</v>
      </c>
      <c r="H3088" s="52" t="str">
        <f t="shared" ca="1" si="1122"/>
        <v>Total Units in Building*</v>
      </c>
      <c r="I3088" s="52">
        <v>4</v>
      </c>
    </row>
    <row r="3089" spans="1:10" ht="15" customHeight="1">
      <c r="A3089" t="str">
        <f t="shared" ca="1" si="1117"/>
        <v/>
      </c>
      <c r="B3089">
        <f t="shared" si="1118"/>
        <v>98</v>
      </c>
      <c r="C3089">
        <f t="shared" ca="1" si="1104"/>
        <v>95</v>
      </c>
      <c r="D3089" t="str">
        <f t="shared" si="1119"/>
        <v>E98</v>
      </c>
      <c r="E3089" t="str">
        <f t="shared" ca="1" si="1120"/>
        <v/>
      </c>
      <c r="F3089" t="str">
        <f t="shared" ca="1" si="1121"/>
        <v xml:space="preserve">Enter a 'Employee Units' for  building 95 in cell E98.
</v>
      </c>
      <c r="G3089" s="9" t="str">
        <f t="shared" ca="1" si="1102"/>
        <v xml:space="preserve">Enter a value for 'Number of Floors in the Tallest Building' in cell B58.
</v>
      </c>
      <c r="H3089" s="52" t="str">
        <f t="shared" ca="1" si="1122"/>
        <v>Employee Units</v>
      </c>
      <c r="I3089" s="52">
        <v>5</v>
      </c>
    </row>
    <row r="3090" spans="1:10" ht="15" customHeight="1">
      <c r="A3090" t="str">
        <f t="shared" ca="1" si="1117"/>
        <v/>
      </c>
      <c r="B3090">
        <f t="shared" si="1118"/>
        <v>98</v>
      </c>
      <c r="C3090">
        <f t="shared" ca="1" si="1104"/>
        <v>95</v>
      </c>
      <c r="D3090" t="str">
        <f t="shared" si="1119"/>
        <v>F98</v>
      </c>
      <c r="E3090" t="str">
        <f t="shared" ca="1" si="1120"/>
        <v/>
      </c>
      <c r="F3090" t="str">
        <f t="shared" ca="1" si="1121"/>
        <v xml:space="preserve">Enter a 'Low-Income Units' for  building 95 in cell F98.
</v>
      </c>
      <c r="G3090" s="9" t="str">
        <f t="shared" ca="1" si="1102"/>
        <v xml:space="preserve">Enter a value for 'Number of Floors in the Tallest Building' in cell B58.
</v>
      </c>
      <c r="H3090" s="52" t="str">
        <f t="shared" ca="1" si="1122"/>
        <v>Low-Income Units</v>
      </c>
      <c r="I3090" s="52">
        <v>6</v>
      </c>
    </row>
    <row r="3091" spans="1:10" ht="15" customHeight="1">
      <c r="A3091" t="str">
        <f t="shared" ca="1" si="1117"/>
        <v/>
      </c>
      <c r="B3091">
        <f t="shared" si="1118"/>
        <v>98</v>
      </c>
      <c r="C3091">
        <f t="shared" ca="1" si="1104"/>
        <v>95</v>
      </c>
      <c r="D3091" t="str">
        <f t="shared" si="1119"/>
        <v>G98</v>
      </c>
      <c r="E3091" t="str">
        <f t="shared" ca="1" si="1120"/>
        <v/>
      </c>
      <c r="F3091" t="str">
        <f t="shared" ca="1" si="1121"/>
        <v xml:space="preserve">Enter a 'Residential Square Footage**' for  building 95 in cell G98.
</v>
      </c>
      <c r="G3091" s="9" t="str">
        <f t="shared" ca="1" si="1102"/>
        <v xml:space="preserve">Enter a value for 'Number of Floors in the Tallest Building' in cell B58.
</v>
      </c>
      <c r="H3091" s="52" t="str">
        <f t="shared" ca="1" si="1122"/>
        <v>Residential Square Footage**</v>
      </c>
      <c r="I3091" s="52">
        <v>7</v>
      </c>
    </row>
    <row r="3092" spans="1:10" ht="15" customHeight="1">
      <c r="A3092" t="str">
        <f t="shared" ca="1" si="1117"/>
        <v/>
      </c>
      <c r="B3092">
        <f t="shared" si="1118"/>
        <v>98</v>
      </c>
      <c r="C3092">
        <f t="shared" ca="1" si="1104"/>
        <v>95</v>
      </c>
      <c r="D3092" t="str">
        <f t="shared" si="1119"/>
        <v>H98</v>
      </c>
      <c r="E3092" t="str">
        <f t="shared" ca="1" si="1120"/>
        <v/>
      </c>
      <c r="F3092" t="str">
        <f t="shared" ca="1" si="1121"/>
        <v xml:space="preserve">Enter a 'Square Footage of Employee Units' for  building 95 in cell H98.
</v>
      </c>
      <c r="G3092" s="9" t="str">
        <f t="shared" ca="1" si="1102"/>
        <v xml:space="preserve">Enter a value for 'Number of Floors in the Tallest Building' in cell B58.
</v>
      </c>
      <c r="H3092" s="52" t="str">
        <f t="shared" ca="1" si="1122"/>
        <v>Square Footage of Employee Units</v>
      </c>
      <c r="I3092" s="52">
        <v>8</v>
      </c>
    </row>
    <row r="3093" spans="1:10" ht="15" customHeight="1">
      <c r="A3093" t="str">
        <f t="shared" ca="1" si="1117"/>
        <v/>
      </c>
      <c r="B3093">
        <f t="shared" si="1118"/>
        <v>98</v>
      </c>
      <c r="C3093">
        <f t="shared" ca="1" si="1104"/>
        <v>95</v>
      </c>
      <c r="D3093" t="str">
        <f t="shared" si="1119"/>
        <v>I98</v>
      </c>
      <c r="E3093" t="str">
        <f t="shared" ca="1" si="1120"/>
        <v/>
      </c>
      <c r="F3093" t="str">
        <f t="shared" ca="1" si="1121"/>
        <v xml:space="preserve">Enter a 'Square Footage of Low-Income Units' for  building 95 in cell I98.
</v>
      </c>
      <c r="G3093" s="9" t="str">
        <f t="shared" ca="1" si="1102"/>
        <v xml:space="preserve">Enter a value for 'Number of Floors in the Tallest Building' in cell B58.
</v>
      </c>
      <c r="H3093" s="52" t="str">
        <f t="shared" ca="1" si="1122"/>
        <v>Square Footage of Low-Income Units</v>
      </c>
      <c r="I3093" s="52">
        <v>9</v>
      </c>
    </row>
    <row r="3094" spans="1:10" ht="15" customHeight="1">
      <c r="A3094" t="str">
        <f t="shared" ca="1" si="1117"/>
        <v/>
      </c>
      <c r="B3094">
        <f t="shared" si="1118"/>
        <v>98</v>
      </c>
      <c r="C3094">
        <f t="shared" ca="1" si="1104"/>
        <v>95</v>
      </c>
      <c r="D3094" t="str">
        <f t="shared" si="1119"/>
        <v>J98</v>
      </c>
      <c r="E3094" t="str">
        <f t="shared" ca="1" si="1120"/>
        <v/>
      </c>
      <c r="F3094" t="str">
        <f t="shared" ca="1" si="1121"/>
        <v xml:space="preserve">Enter a 'Placed-In-Service Date' for  building 95 in cell J98.
</v>
      </c>
      <c r="G3094" s="9" t="str">
        <f t="shared" ca="1" si="1102"/>
        <v xml:space="preserve">Enter a value for 'Number of Floors in the Tallest Building' in cell B58.
</v>
      </c>
      <c r="H3094" s="52" t="str">
        <f t="shared" ca="1" si="1122"/>
        <v>Placed-In-Service Date</v>
      </c>
      <c r="I3094" s="52">
        <v>10</v>
      </c>
    </row>
    <row r="3095" spans="1:10" ht="15" customHeight="1">
      <c r="A3095" t="str">
        <f t="shared" ca="1" si="1117"/>
        <v/>
      </c>
      <c r="B3095">
        <f t="shared" si="1118"/>
        <v>98</v>
      </c>
      <c r="C3095">
        <f t="shared" ca="1" si="1104"/>
        <v>95</v>
      </c>
      <c r="D3095" t="str">
        <f t="shared" si="1119"/>
        <v>K98</v>
      </c>
      <c r="E3095" t="str">
        <f t="shared" ca="1" si="1120"/>
        <v/>
      </c>
      <c r="F3095" t="str">
        <f t="shared" ca="1" si="1121"/>
        <v xml:space="preserve">Enter a 'New Construction/ Rehab APR' for  building 95 in cell K98.
</v>
      </c>
      <c r="G3095" s="9" t="str">
        <f t="shared" ca="1" si="1102"/>
        <v xml:space="preserve">Enter a value for 'Number of Floors in the Tallest Building' in cell B58.
</v>
      </c>
      <c r="H3095" s="52" t="str">
        <f t="shared" ca="1" si="1122"/>
        <v>New Construction/ Rehab APR</v>
      </c>
      <c r="I3095" s="52">
        <v>11</v>
      </c>
    </row>
    <row r="3096" spans="1:10" ht="15" customHeight="1">
      <c r="A3096" t="str">
        <f t="shared" ca="1" si="1117"/>
        <v/>
      </c>
      <c r="B3096">
        <f t="shared" si="1118"/>
        <v>98</v>
      </c>
      <c r="C3096">
        <f t="shared" ca="1" si="1104"/>
        <v>95</v>
      </c>
      <c r="D3096" t="str">
        <f t="shared" si="1119"/>
        <v>L98</v>
      </c>
      <c r="E3096" t="str">
        <f t="shared" ca="1" si="1120"/>
        <v/>
      </c>
      <c r="F3096" t="str">
        <f t="shared" ca="1" si="1121"/>
        <v xml:space="preserve">Enter a 'New Construction Eligible Basis' for  building 95 in cell L98.
</v>
      </c>
      <c r="G3096" s="9" t="str">
        <f t="shared" ca="1" si="1102"/>
        <v xml:space="preserve">Enter a value for 'Number of Floors in the Tallest Building' in cell B58.
</v>
      </c>
      <c r="H3096" s="52" t="str">
        <f t="shared" ca="1" si="1122"/>
        <v>New Construction Eligible Basis</v>
      </c>
      <c r="I3096" s="52">
        <v>12</v>
      </c>
    </row>
    <row r="3097" spans="1:10" ht="15" customHeight="1">
      <c r="A3097" t="str">
        <f ca="1">IF(AND(OFFSET(A3097, -I3097 + 2, 4) &gt;  0, E3097="", Calculations!$B$7), F3097, "")</f>
        <v/>
      </c>
      <c r="B3097">
        <f t="shared" si="1118"/>
        <v>98</v>
      </c>
      <c r="C3097">
        <f t="shared" ca="1" si="1104"/>
        <v>95</v>
      </c>
      <c r="D3097" t="str">
        <f t="shared" si="1119"/>
        <v>M98</v>
      </c>
      <c r="E3097" t="str">
        <f t="shared" ca="1" si="1120"/>
        <v/>
      </c>
      <c r="F3097" t="str">
        <f t="shared" ca="1" si="1121"/>
        <v xml:space="preserve">Enter a 'Eligible Basis for Rehab' for  building 95 in cell M98.
</v>
      </c>
      <c r="G3097" s="9" t="str">
        <f t="shared" ca="1" si="1102"/>
        <v xml:space="preserve">Enter a value for 'Number of Floors in the Tallest Building' in cell B58.
</v>
      </c>
      <c r="H3097" s="52" t="str">
        <f t="shared" ca="1" si="1122"/>
        <v>Eligible Basis for Rehab</v>
      </c>
      <c r="I3097" s="52">
        <v>13</v>
      </c>
    </row>
    <row r="3098" spans="1:10" ht="15" customHeight="1">
      <c r="A3098" t="str">
        <f ca="1">IF(AND(OFFSET(A3098, -I3098 + 2, 4) &gt;  0, E3098="", Calculations!$B$7), F3098, "")</f>
        <v/>
      </c>
      <c r="B3098">
        <f t="shared" si="1118"/>
        <v>98</v>
      </c>
      <c r="C3098">
        <f t="shared" ca="1" si="1104"/>
        <v>95</v>
      </c>
      <c r="D3098" t="str">
        <f t="shared" si="1119"/>
        <v>N98</v>
      </c>
      <c r="E3098" t="str">
        <f t="shared" ca="1" si="1120"/>
        <v/>
      </c>
      <c r="F3098" t="str">
        <f t="shared" ca="1" si="1121"/>
        <v xml:space="preserve">Enter a 'Cost of Acquiring the Building***' for  building 95 in cell N98.
</v>
      </c>
      <c r="G3098" s="9" t="str">
        <f t="shared" ca="1" si="1102"/>
        <v xml:space="preserve">Enter a value for 'Number of Floors in the Tallest Building' in cell B58.
</v>
      </c>
      <c r="H3098" s="52" t="str">
        <f t="shared" ca="1" si="1122"/>
        <v>Cost of Acquiring the Building***</v>
      </c>
      <c r="I3098" s="52">
        <v>14</v>
      </c>
    </row>
    <row r="3099" spans="1:10" ht="15" customHeight="1">
      <c r="A3099" t="str">
        <f ca="1">IF(AND(OFFSET(A3099, -I3099 + 2, 4) &gt;  0, E3099="", Calculations!$B$7), F3099, "")</f>
        <v/>
      </c>
      <c r="B3099">
        <f t="shared" si="1118"/>
        <v>98</v>
      </c>
      <c r="C3099">
        <f t="shared" ca="1" si="1104"/>
        <v>95</v>
      </c>
      <c r="D3099" t="str">
        <f t="shared" si="1119"/>
        <v>O98</v>
      </c>
      <c r="E3099" t="str">
        <f t="shared" ca="1" si="1120"/>
        <v/>
      </c>
      <c r="F3099" t="str">
        <f t="shared" ca="1" si="1121"/>
        <v xml:space="preserve">Enter a 'Higher of Land Purchase Price or Land Appraised Value****' for  building 95 in cell O98.
</v>
      </c>
      <c r="G3099" s="9" t="str">
        <f t="shared" ca="1" si="1102"/>
        <v xml:space="preserve">Enter a value for 'Number of Floors in the Tallest Building' in cell B58.
</v>
      </c>
      <c r="H3099" s="52" t="str">
        <f t="shared" ca="1" si="1122"/>
        <v>Higher of Land Purchase Price or Land Appraised Value****</v>
      </c>
      <c r="I3099" s="52">
        <v>15</v>
      </c>
    </row>
    <row r="3100" spans="1:10" ht="15" customHeight="1">
      <c r="A3100" t="str">
        <f ca="1">IF(AND(OFFSET(A3100, -I3100 + 2, 4) &gt;  0, E3100="", Calculations!$B$7), F3100, "")</f>
        <v/>
      </c>
      <c r="B3100">
        <f t="shared" si="1118"/>
        <v>98</v>
      </c>
      <c r="C3100">
        <f t="shared" ca="1" si="1104"/>
        <v>95</v>
      </c>
      <c r="D3100" t="str">
        <f t="shared" si="1119"/>
        <v>P98</v>
      </c>
      <c r="E3100" t="str">
        <f t="shared" ca="1" si="1120"/>
        <v/>
      </c>
      <c r="F3100" t="str">
        <f t="shared" ca="1" si="1121"/>
        <v xml:space="preserve">Enter a 'Acquisition Placed-in-Service Date' for  building 95 in cell P98.
</v>
      </c>
      <c r="G3100" s="9" t="str">
        <f t="shared" ca="1" si="1102"/>
        <v xml:space="preserve">Enter a value for 'Number of Floors in the Tallest Building' in cell B58.
</v>
      </c>
      <c r="H3100" s="52" t="str">
        <f t="shared" ca="1" si="1122"/>
        <v>Acquisition Placed-in-Service Date</v>
      </c>
      <c r="I3100" s="52">
        <v>16</v>
      </c>
    </row>
    <row r="3101" spans="1:10" ht="15" customHeight="1">
      <c r="A3101" t="str">
        <f ca="1">IF(AND(OFFSET(A3101, -I3101 + 2, 4) &gt;  0, E3101="", Calculations!$B$7), F3101, "")</f>
        <v/>
      </c>
      <c r="B3101">
        <f t="shared" si="1118"/>
        <v>98</v>
      </c>
      <c r="C3101">
        <f t="shared" ca="1" si="1104"/>
        <v>95</v>
      </c>
      <c r="D3101" t="str">
        <f t="shared" si="1119"/>
        <v>Q98</v>
      </c>
      <c r="E3101" t="str">
        <f t="shared" ca="1" si="1120"/>
        <v/>
      </c>
      <c r="F3101" t="str">
        <f t="shared" ca="1" si="1121"/>
        <v xml:space="preserve">Enter a 'Acquisition APR' for  building 95 in cell Q98.
</v>
      </c>
      <c r="G3101" s="9" t="str">
        <f t="shared" ca="1" si="1102"/>
        <v xml:space="preserve">Enter a value for 'Number of Floors in the Tallest Building' in cell B58.
</v>
      </c>
      <c r="H3101" s="52" t="str">
        <f t="shared" ca="1" si="1122"/>
        <v>Acquisition APR</v>
      </c>
      <c r="I3101" s="52">
        <v>17</v>
      </c>
    </row>
    <row r="3102" spans="1:10" ht="15" customHeight="1">
      <c r="A3102" t="str">
        <f ca="1">IF(AND(Calculations!$B$4,Calculations!$B$28&gt;=C3102, E3102 &lt;&gt; 13),F3102,"")</f>
        <v/>
      </c>
      <c r="B3102">
        <f>ROW('Final Building Profile'!C99)</f>
        <v>99</v>
      </c>
      <c r="C3102">
        <f t="shared" ca="1" si="1104"/>
        <v>96</v>
      </c>
      <c r="D3102" t="str">
        <f>ADDRESS(B3102, 3,4  )</f>
        <v>C99</v>
      </c>
      <c r="E3102" s="52">
        <f ca="1">H3102+I3102</f>
        <v>0</v>
      </c>
      <c r="F3102" t="str">
        <f ca="1">CONCATENATE("Based upon the number of buildings specified, information for  building ", C3102, " required for a final application in row ", B3102, ".", CHAR(10))</f>
        <v xml:space="preserve">Based upon the number of buildings specified, information for  building 96 required for a final application in row 99.
</v>
      </c>
      <c r="G3102" s="9" t="str">
        <f t="shared" ca="1" si="1102"/>
        <v xml:space="preserve">Enter a value for 'Number of Floors in the Tallest Building' in cell B58.
</v>
      </c>
      <c r="H3102" s="52">
        <f ca="1">SUMPRODUCT(--ISTEXT(INDIRECT(J3102)))</f>
        <v>0</v>
      </c>
      <c r="I3102" s="52">
        <f ca="1">SUMPRODUCT(--ISNUMBER(INDIRECT(J3102)))</f>
        <v>0</v>
      </c>
      <c r="J3102" s="52" t="str">
        <f>$F$1564&amp; ADDRESS(B3102,3,4) &amp; ":" &amp; ADDRESS(B3102,15,4)</f>
        <v>'Final Building Profile'!C99:O99</v>
      </c>
    </row>
    <row r="3103" spans="1:10" ht="15" customHeight="1">
      <c r="A3103" t="str">
        <f t="shared" ref="A3103:A3112" ca="1" si="1123">IF(AND(OFFSET(A3103, -I3103 + 2, 4) &gt;  0, E3103=""), F3103, "")</f>
        <v/>
      </c>
      <c r="B3103">
        <f t="shared" ref="B3103:B3117" si="1124">B3102</f>
        <v>99</v>
      </c>
      <c r="C3103">
        <f t="shared" ca="1" si="1104"/>
        <v>96</v>
      </c>
      <c r="D3103" t="str">
        <f t="shared" ref="D3103:D3117" si="1125">ADDRESS(B3103, I3103,4  )</f>
        <v>C99</v>
      </c>
      <c r="E3103" t="str">
        <f t="shared" ref="E3103:E3117" ca="1" si="1126">IF(ISBLANK( INDIRECT($F$1564 &amp; D3103)),"", INDIRECT($F$1564 &amp; D3103))</f>
        <v/>
      </c>
      <c r="F3103" t="str">
        <f t="shared" ref="F3103:F3117" ca="1" si="1127">CONCATENATE("Enter a '"&amp; H3103 &amp;"' for  building ", C3103, " in cell ", D3103, ".", CHAR(10))</f>
        <v xml:space="preserve">Enter a 'Building Street Address Only 
(DO NOT ENTER CITY, STATE, OR ZIP)' for  building 96 in cell C99.
</v>
      </c>
      <c r="G3103" s="9" t="str">
        <f t="shared" ref="G3103:G3166" ca="1" si="1128">OFFSET(G3103, -1, 0) &amp; A3103</f>
        <v xml:space="preserve">Enter a value for 'Number of Floors in the Tallest Building' in cell B58.
</v>
      </c>
      <c r="H3103" s="52" t="str">
        <f t="shared" ref="H3103:H3117" ca="1" si="1129">OFFSET(INDIRECT($F$1564 &amp; D3103), -B3103 + 3, 0)</f>
        <v>Building Street Address Only 
(DO NOT ENTER CITY, STATE, OR ZIP)</v>
      </c>
      <c r="I3103" s="52">
        <v>3</v>
      </c>
    </row>
    <row r="3104" spans="1:10" ht="15" customHeight="1">
      <c r="A3104" t="str">
        <f t="shared" ca="1" si="1123"/>
        <v/>
      </c>
      <c r="B3104">
        <f t="shared" si="1124"/>
        <v>99</v>
      </c>
      <c r="C3104">
        <f t="shared" ca="1" si="1104"/>
        <v>96</v>
      </c>
      <c r="D3104" t="str">
        <f t="shared" si="1125"/>
        <v>D99</v>
      </c>
      <c r="E3104" t="str">
        <f t="shared" ca="1" si="1126"/>
        <v/>
      </c>
      <c r="F3104" t="str">
        <f t="shared" ca="1" si="1127"/>
        <v xml:space="preserve">Enter a 'Total Units in Building*' for  building 96 in cell D99.
</v>
      </c>
      <c r="G3104" s="9" t="str">
        <f t="shared" ca="1" si="1128"/>
        <v xml:space="preserve">Enter a value for 'Number of Floors in the Tallest Building' in cell B58.
</v>
      </c>
      <c r="H3104" s="52" t="str">
        <f t="shared" ca="1" si="1129"/>
        <v>Total Units in Building*</v>
      </c>
      <c r="I3104" s="52">
        <v>4</v>
      </c>
    </row>
    <row r="3105" spans="1:10" ht="15" customHeight="1">
      <c r="A3105" t="str">
        <f t="shared" ca="1" si="1123"/>
        <v/>
      </c>
      <c r="B3105">
        <f t="shared" si="1124"/>
        <v>99</v>
      </c>
      <c r="C3105">
        <f t="shared" ca="1" si="1104"/>
        <v>96</v>
      </c>
      <c r="D3105" t="str">
        <f t="shared" si="1125"/>
        <v>E99</v>
      </c>
      <c r="E3105" t="str">
        <f t="shared" ca="1" si="1126"/>
        <v/>
      </c>
      <c r="F3105" t="str">
        <f t="shared" ca="1" si="1127"/>
        <v xml:space="preserve">Enter a 'Employee Units' for  building 96 in cell E99.
</v>
      </c>
      <c r="G3105" s="9" t="str">
        <f t="shared" ca="1" si="1128"/>
        <v xml:space="preserve">Enter a value for 'Number of Floors in the Tallest Building' in cell B58.
</v>
      </c>
      <c r="H3105" s="52" t="str">
        <f t="shared" ca="1" si="1129"/>
        <v>Employee Units</v>
      </c>
      <c r="I3105" s="52">
        <v>5</v>
      </c>
    </row>
    <row r="3106" spans="1:10" ht="15" customHeight="1">
      <c r="A3106" t="str">
        <f t="shared" ca="1" si="1123"/>
        <v/>
      </c>
      <c r="B3106">
        <f t="shared" si="1124"/>
        <v>99</v>
      </c>
      <c r="C3106">
        <f t="shared" ca="1" si="1104"/>
        <v>96</v>
      </c>
      <c r="D3106" t="str">
        <f t="shared" si="1125"/>
        <v>F99</v>
      </c>
      <c r="E3106" t="str">
        <f t="shared" ca="1" si="1126"/>
        <v/>
      </c>
      <c r="F3106" t="str">
        <f t="shared" ca="1" si="1127"/>
        <v xml:space="preserve">Enter a 'Low-Income Units' for  building 96 in cell F99.
</v>
      </c>
      <c r="G3106" s="9" t="str">
        <f t="shared" ca="1" si="1128"/>
        <v xml:space="preserve">Enter a value for 'Number of Floors in the Tallest Building' in cell B58.
</v>
      </c>
      <c r="H3106" s="52" t="str">
        <f t="shared" ca="1" si="1129"/>
        <v>Low-Income Units</v>
      </c>
      <c r="I3106" s="52">
        <v>6</v>
      </c>
    </row>
    <row r="3107" spans="1:10" ht="15" customHeight="1">
      <c r="A3107" t="str">
        <f t="shared" ca="1" si="1123"/>
        <v/>
      </c>
      <c r="B3107">
        <f t="shared" si="1124"/>
        <v>99</v>
      </c>
      <c r="C3107">
        <f t="shared" ca="1" si="1104"/>
        <v>96</v>
      </c>
      <c r="D3107" t="str">
        <f t="shared" si="1125"/>
        <v>G99</v>
      </c>
      <c r="E3107" t="str">
        <f t="shared" ca="1" si="1126"/>
        <v/>
      </c>
      <c r="F3107" t="str">
        <f t="shared" ca="1" si="1127"/>
        <v xml:space="preserve">Enter a 'Residential Square Footage**' for  building 96 in cell G99.
</v>
      </c>
      <c r="G3107" s="9" t="str">
        <f t="shared" ca="1" si="1128"/>
        <v xml:space="preserve">Enter a value for 'Number of Floors in the Tallest Building' in cell B58.
</v>
      </c>
      <c r="H3107" s="52" t="str">
        <f t="shared" ca="1" si="1129"/>
        <v>Residential Square Footage**</v>
      </c>
      <c r="I3107" s="52">
        <v>7</v>
      </c>
    </row>
    <row r="3108" spans="1:10" ht="15" customHeight="1">
      <c r="A3108" t="str">
        <f t="shared" ca="1" si="1123"/>
        <v/>
      </c>
      <c r="B3108">
        <f t="shared" si="1124"/>
        <v>99</v>
      </c>
      <c r="C3108">
        <f t="shared" ca="1" si="1104"/>
        <v>96</v>
      </c>
      <c r="D3108" t="str">
        <f t="shared" si="1125"/>
        <v>H99</v>
      </c>
      <c r="E3108" t="str">
        <f t="shared" ca="1" si="1126"/>
        <v/>
      </c>
      <c r="F3108" t="str">
        <f t="shared" ca="1" si="1127"/>
        <v xml:space="preserve">Enter a 'Square Footage of Employee Units' for  building 96 in cell H99.
</v>
      </c>
      <c r="G3108" s="9" t="str">
        <f t="shared" ca="1" si="1128"/>
        <v xml:space="preserve">Enter a value for 'Number of Floors in the Tallest Building' in cell B58.
</v>
      </c>
      <c r="H3108" s="52" t="str">
        <f t="shared" ca="1" si="1129"/>
        <v>Square Footage of Employee Units</v>
      </c>
      <c r="I3108" s="52">
        <v>8</v>
      </c>
    </row>
    <row r="3109" spans="1:10" ht="15" customHeight="1">
      <c r="A3109" t="str">
        <f t="shared" ca="1" si="1123"/>
        <v/>
      </c>
      <c r="B3109">
        <f t="shared" si="1124"/>
        <v>99</v>
      </c>
      <c r="C3109">
        <f t="shared" ca="1" si="1104"/>
        <v>96</v>
      </c>
      <c r="D3109" t="str">
        <f t="shared" si="1125"/>
        <v>I99</v>
      </c>
      <c r="E3109" t="str">
        <f t="shared" ca="1" si="1126"/>
        <v/>
      </c>
      <c r="F3109" t="str">
        <f t="shared" ca="1" si="1127"/>
        <v xml:space="preserve">Enter a 'Square Footage of Low-Income Units' for  building 96 in cell I99.
</v>
      </c>
      <c r="G3109" s="9" t="str">
        <f t="shared" ca="1" si="1128"/>
        <v xml:space="preserve">Enter a value for 'Number of Floors in the Tallest Building' in cell B58.
</v>
      </c>
      <c r="H3109" s="52" t="str">
        <f t="shared" ca="1" si="1129"/>
        <v>Square Footage of Low-Income Units</v>
      </c>
      <c r="I3109" s="52">
        <v>9</v>
      </c>
    </row>
    <row r="3110" spans="1:10" ht="15" customHeight="1">
      <c r="A3110" t="str">
        <f t="shared" ca="1" si="1123"/>
        <v/>
      </c>
      <c r="B3110">
        <f t="shared" si="1124"/>
        <v>99</v>
      </c>
      <c r="C3110">
        <f t="shared" ca="1" si="1104"/>
        <v>96</v>
      </c>
      <c r="D3110" t="str">
        <f t="shared" si="1125"/>
        <v>J99</v>
      </c>
      <c r="E3110" t="str">
        <f t="shared" ca="1" si="1126"/>
        <v/>
      </c>
      <c r="F3110" t="str">
        <f t="shared" ca="1" si="1127"/>
        <v xml:space="preserve">Enter a 'Placed-In-Service Date' for  building 96 in cell J99.
</v>
      </c>
      <c r="G3110" s="9" t="str">
        <f t="shared" ca="1" si="1128"/>
        <v xml:space="preserve">Enter a value for 'Number of Floors in the Tallest Building' in cell B58.
</v>
      </c>
      <c r="H3110" s="52" t="str">
        <f t="shared" ca="1" si="1129"/>
        <v>Placed-In-Service Date</v>
      </c>
      <c r="I3110" s="52">
        <v>10</v>
      </c>
    </row>
    <row r="3111" spans="1:10" ht="15" customHeight="1">
      <c r="A3111" t="str">
        <f t="shared" ca="1" si="1123"/>
        <v/>
      </c>
      <c r="B3111">
        <f t="shared" si="1124"/>
        <v>99</v>
      </c>
      <c r="C3111">
        <f t="shared" ca="1" si="1104"/>
        <v>96</v>
      </c>
      <c r="D3111" t="str">
        <f t="shared" si="1125"/>
        <v>K99</v>
      </c>
      <c r="E3111" t="str">
        <f t="shared" ca="1" si="1126"/>
        <v/>
      </c>
      <c r="F3111" t="str">
        <f t="shared" ca="1" si="1127"/>
        <v xml:space="preserve">Enter a 'New Construction/ Rehab APR' for  building 96 in cell K99.
</v>
      </c>
      <c r="G3111" s="9" t="str">
        <f t="shared" ca="1" si="1128"/>
        <v xml:space="preserve">Enter a value for 'Number of Floors in the Tallest Building' in cell B58.
</v>
      </c>
      <c r="H3111" s="52" t="str">
        <f t="shared" ca="1" si="1129"/>
        <v>New Construction/ Rehab APR</v>
      </c>
      <c r="I3111" s="52">
        <v>11</v>
      </c>
    </row>
    <row r="3112" spans="1:10" ht="15" customHeight="1">
      <c r="A3112" t="str">
        <f t="shared" ca="1" si="1123"/>
        <v/>
      </c>
      <c r="B3112">
        <f t="shared" si="1124"/>
        <v>99</v>
      </c>
      <c r="C3112">
        <f t="shared" ca="1" si="1104"/>
        <v>96</v>
      </c>
      <c r="D3112" t="str">
        <f t="shared" si="1125"/>
        <v>L99</v>
      </c>
      <c r="E3112" t="str">
        <f t="shared" ca="1" si="1126"/>
        <v/>
      </c>
      <c r="F3112" t="str">
        <f t="shared" ca="1" si="1127"/>
        <v xml:space="preserve">Enter a 'New Construction Eligible Basis' for  building 96 in cell L99.
</v>
      </c>
      <c r="G3112" s="9" t="str">
        <f t="shared" ca="1" si="1128"/>
        <v xml:space="preserve">Enter a value for 'Number of Floors in the Tallest Building' in cell B58.
</v>
      </c>
      <c r="H3112" s="52" t="str">
        <f t="shared" ca="1" si="1129"/>
        <v>New Construction Eligible Basis</v>
      </c>
      <c r="I3112" s="52">
        <v>12</v>
      </c>
    </row>
    <row r="3113" spans="1:10" ht="15" customHeight="1">
      <c r="A3113" t="str">
        <f ca="1">IF(AND(OFFSET(A3113, -I3113 + 2, 4) &gt;  0, E3113="", Calculations!$B$7), F3113, "")</f>
        <v/>
      </c>
      <c r="B3113">
        <f t="shared" si="1124"/>
        <v>99</v>
      </c>
      <c r="C3113">
        <f t="shared" ca="1" si="1104"/>
        <v>96</v>
      </c>
      <c r="D3113" t="str">
        <f t="shared" si="1125"/>
        <v>M99</v>
      </c>
      <c r="E3113" t="str">
        <f t="shared" ca="1" si="1126"/>
        <v/>
      </c>
      <c r="F3113" t="str">
        <f t="shared" ca="1" si="1127"/>
        <v xml:space="preserve">Enter a 'Eligible Basis for Rehab' for  building 96 in cell M99.
</v>
      </c>
      <c r="G3113" s="9" t="str">
        <f t="shared" ca="1" si="1128"/>
        <v xml:space="preserve">Enter a value for 'Number of Floors in the Tallest Building' in cell B58.
</v>
      </c>
      <c r="H3113" s="52" t="str">
        <f t="shared" ca="1" si="1129"/>
        <v>Eligible Basis for Rehab</v>
      </c>
      <c r="I3113" s="52">
        <v>13</v>
      </c>
    </row>
    <row r="3114" spans="1:10" ht="15" customHeight="1">
      <c r="A3114" t="str">
        <f ca="1">IF(AND(OFFSET(A3114, -I3114 + 2, 4) &gt;  0, E3114="", Calculations!$B$7), F3114, "")</f>
        <v/>
      </c>
      <c r="B3114">
        <f t="shared" si="1124"/>
        <v>99</v>
      </c>
      <c r="C3114">
        <f t="shared" ca="1" si="1104"/>
        <v>96</v>
      </c>
      <c r="D3114" t="str">
        <f t="shared" si="1125"/>
        <v>N99</v>
      </c>
      <c r="E3114" t="str">
        <f t="shared" ca="1" si="1126"/>
        <v/>
      </c>
      <c r="F3114" t="str">
        <f t="shared" ca="1" si="1127"/>
        <v xml:space="preserve">Enter a 'Cost of Acquiring the Building***' for  building 96 in cell N99.
</v>
      </c>
      <c r="G3114" s="9" t="str">
        <f t="shared" ca="1" si="1128"/>
        <v xml:space="preserve">Enter a value for 'Number of Floors in the Tallest Building' in cell B58.
</v>
      </c>
      <c r="H3114" s="52" t="str">
        <f t="shared" ca="1" si="1129"/>
        <v>Cost of Acquiring the Building***</v>
      </c>
      <c r="I3114" s="52">
        <v>14</v>
      </c>
    </row>
    <row r="3115" spans="1:10" ht="15" customHeight="1">
      <c r="A3115" t="str">
        <f ca="1">IF(AND(OFFSET(A3115, -I3115 + 2, 4) &gt;  0, E3115="", Calculations!$B$7), F3115, "")</f>
        <v/>
      </c>
      <c r="B3115">
        <f t="shared" si="1124"/>
        <v>99</v>
      </c>
      <c r="C3115">
        <f t="shared" ca="1" si="1104"/>
        <v>96</v>
      </c>
      <c r="D3115" t="str">
        <f t="shared" si="1125"/>
        <v>O99</v>
      </c>
      <c r="E3115" t="str">
        <f t="shared" ca="1" si="1126"/>
        <v/>
      </c>
      <c r="F3115" t="str">
        <f t="shared" ca="1" si="1127"/>
        <v xml:space="preserve">Enter a 'Higher of Land Purchase Price or Land Appraised Value****' for  building 96 in cell O99.
</v>
      </c>
      <c r="G3115" s="9" t="str">
        <f t="shared" ca="1" si="1128"/>
        <v xml:space="preserve">Enter a value for 'Number of Floors in the Tallest Building' in cell B58.
</v>
      </c>
      <c r="H3115" s="52" t="str">
        <f t="shared" ca="1" si="1129"/>
        <v>Higher of Land Purchase Price or Land Appraised Value****</v>
      </c>
      <c r="I3115" s="52">
        <v>15</v>
      </c>
    </row>
    <row r="3116" spans="1:10" ht="15" customHeight="1">
      <c r="A3116" t="str">
        <f ca="1">IF(AND(OFFSET(A3116, -I3116 + 2, 4) &gt;  0, E3116="", Calculations!$B$7), F3116, "")</f>
        <v/>
      </c>
      <c r="B3116">
        <f t="shared" si="1124"/>
        <v>99</v>
      </c>
      <c r="C3116">
        <f t="shared" ca="1" si="1104"/>
        <v>96</v>
      </c>
      <c r="D3116" t="str">
        <f t="shared" si="1125"/>
        <v>P99</v>
      </c>
      <c r="E3116" t="str">
        <f t="shared" ca="1" si="1126"/>
        <v/>
      </c>
      <c r="F3116" t="str">
        <f t="shared" ca="1" si="1127"/>
        <v xml:space="preserve">Enter a 'Acquisition Placed-in-Service Date' for  building 96 in cell P99.
</v>
      </c>
      <c r="G3116" s="9" t="str">
        <f t="shared" ca="1" si="1128"/>
        <v xml:space="preserve">Enter a value for 'Number of Floors in the Tallest Building' in cell B58.
</v>
      </c>
      <c r="H3116" s="52" t="str">
        <f t="shared" ca="1" si="1129"/>
        <v>Acquisition Placed-in-Service Date</v>
      </c>
      <c r="I3116" s="52">
        <v>16</v>
      </c>
    </row>
    <row r="3117" spans="1:10" ht="15" customHeight="1">
      <c r="A3117" t="str">
        <f ca="1">IF(AND(OFFSET(A3117, -I3117 + 2, 4) &gt;  0, E3117="", Calculations!$B$7), F3117, "")</f>
        <v/>
      </c>
      <c r="B3117">
        <f t="shared" si="1124"/>
        <v>99</v>
      </c>
      <c r="C3117">
        <f t="shared" ca="1" si="1104"/>
        <v>96</v>
      </c>
      <c r="D3117" t="str">
        <f t="shared" si="1125"/>
        <v>Q99</v>
      </c>
      <c r="E3117" t="str">
        <f t="shared" ca="1" si="1126"/>
        <v/>
      </c>
      <c r="F3117" t="str">
        <f t="shared" ca="1" si="1127"/>
        <v xml:space="preserve">Enter a 'Acquisition APR' for  building 96 in cell Q99.
</v>
      </c>
      <c r="G3117" s="9" t="str">
        <f t="shared" ca="1" si="1128"/>
        <v xml:space="preserve">Enter a value for 'Number of Floors in the Tallest Building' in cell B58.
</v>
      </c>
      <c r="H3117" s="52" t="str">
        <f t="shared" ca="1" si="1129"/>
        <v>Acquisition APR</v>
      </c>
      <c r="I3117" s="52">
        <v>17</v>
      </c>
    </row>
    <row r="3118" spans="1:10" ht="15" customHeight="1">
      <c r="A3118" t="str">
        <f ca="1">IF(AND(Calculations!$B$4,Calculations!$B$28&gt;=C3118, E3118 &lt;&gt; 13),F3118,"")</f>
        <v/>
      </c>
      <c r="B3118">
        <f>ROW('Final Building Profile'!C100)</f>
        <v>100</v>
      </c>
      <c r="C3118">
        <f t="shared" ref="C3118:C3165" ca="1" si="1130">INDIRECT($F$1564 &amp; ADDRESS(B3118, 1,4  ))</f>
        <v>97</v>
      </c>
      <c r="D3118" t="str">
        <f>ADDRESS(B3118, 3,4  )</f>
        <v>C100</v>
      </c>
      <c r="E3118" s="52">
        <f ca="1">H3118+I3118</f>
        <v>0</v>
      </c>
      <c r="F3118" t="str">
        <f ca="1">CONCATENATE("Based upon the number of buildings specified, information for  building ", C3118, " required for a final application in row ", B3118, ".", CHAR(10))</f>
        <v xml:space="preserve">Based upon the number of buildings specified, information for  building 97 required for a final application in row 100.
</v>
      </c>
      <c r="G3118" s="9" t="str">
        <f t="shared" ca="1" si="1128"/>
        <v xml:space="preserve">Enter a value for 'Number of Floors in the Tallest Building' in cell B58.
</v>
      </c>
      <c r="H3118" s="52">
        <f ca="1">SUMPRODUCT(--ISTEXT(INDIRECT(J3118)))</f>
        <v>0</v>
      </c>
      <c r="I3118" s="52">
        <f ca="1">SUMPRODUCT(--ISNUMBER(INDIRECT(J3118)))</f>
        <v>0</v>
      </c>
      <c r="J3118" s="52" t="str">
        <f>$F$1564&amp; ADDRESS(B3118,3,4) &amp; ":" &amp; ADDRESS(B3118,15,4)</f>
        <v>'Final Building Profile'!C100:O100</v>
      </c>
    </row>
    <row r="3119" spans="1:10" ht="15" customHeight="1">
      <c r="A3119" t="str">
        <f t="shared" ref="A3119:A3128" ca="1" si="1131">IF(AND(OFFSET(A3119, -I3119 + 2, 4) &gt;  0, E3119=""), F3119, "")</f>
        <v/>
      </c>
      <c r="B3119">
        <f t="shared" ref="B3119:B3133" si="1132">B3118</f>
        <v>100</v>
      </c>
      <c r="C3119">
        <f t="shared" ca="1" si="1130"/>
        <v>97</v>
      </c>
      <c r="D3119" t="str">
        <f t="shared" ref="D3119:D3133" si="1133">ADDRESS(B3119, I3119,4  )</f>
        <v>C100</v>
      </c>
      <c r="E3119" t="str">
        <f t="shared" ref="E3119:E3133" ca="1" si="1134">IF(ISBLANK( INDIRECT($F$1564 &amp; D3119)),"", INDIRECT($F$1564 &amp; D3119))</f>
        <v/>
      </c>
      <c r="F3119" t="str">
        <f t="shared" ref="F3119:F3133" ca="1" si="1135">CONCATENATE("Enter a '"&amp; H3119 &amp;"' for  building ", C3119, " in cell ", D3119, ".", CHAR(10))</f>
        <v xml:space="preserve">Enter a 'Building Street Address Only 
(DO NOT ENTER CITY, STATE, OR ZIP)' for  building 97 in cell C100.
</v>
      </c>
      <c r="G3119" s="9" t="str">
        <f t="shared" ca="1" si="1128"/>
        <v xml:space="preserve">Enter a value for 'Number of Floors in the Tallest Building' in cell B58.
</v>
      </c>
      <c r="H3119" s="52" t="str">
        <f t="shared" ref="H3119:H3133" ca="1" si="1136">OFFSET(INDIRECT($F$1564 &amp; D3119), -B3119 + 3, 0)</f>
        <v>Building Street Address Only 
(DO NOT ENTER CITY, STATE, OR ZIP)</v>
      </c>
      <c r="I3119" s="52">
        <v>3</v>
      </c>
    </row>
    <row r="3120" spans="1:10" ht="15" customHeight="1">
      <c r="A3120" t="str">
        <f t="shared" ca="1" si="1131"/>
        <v/>
      </c>
      <c r="B3120">
        <f t="shared" si="1132"/>
        <v>100</v>
      </c>
      <c r="C3120">
        <f t="shared" ca="1" si="1130"/>
        <v>97</v>
      </c>
      <c r="D3120" t="str">
        <f t="shared" si="1133"/>
        <v>D100</v>
      </c>
      <c r="E3120" t="str">
        <f t="shared" ca="1" si="1134"/>
        <v/>
      </c>
      <c r="F3120" t="str">
        <f t="shared" ca="1" si="1135"/>
        <v xml:space="preserve">Enter a 'Total Units in Building*' for  building 97 in cell D100.
</v>
      </c>
      <c r="G3120" s="9" t="str">
        <f t="shared" ca="1" si="1128"/>
        <v xml:space="preserve">Enter a value for 'Number of Floors in the Tallest Building' in cell B58.
</v>
      </c>
      <c r="H3120" s="52" t="str">
        <f t="shared" ca="1" si="1136"/>
        <v>Total Units in Building*</v>
      </c>
      <c r="I3120" s="52">
        <v>4</v>
      </c>
    </row>
    <row r="3121" spans="1:10" ht="15" customHeight="1">
      <c r="A3121" t="str">
        <f t="shared" ca="1" si="1131"/>
        <v/>
      </c>
      <c r="B3121">
        <f t="shared" si="1132"/>
        <v>100</v>
      </c>
      <c r="C3121">
        <f t="shared" ca="1" si="1130"/>
        <v>97</v>
      </c>
      <c r="D3121" t="str">
        <f t="shared" si="1133"/>
        <v>E100</v>
      </c>
      <c r="E3121" t="str">
        <f t="shared" ca="1" si="1134"/>
        <v/>
      </c>
      <c r="F3121" t="str">
        <f t="shared" ca="1" si="1135"/>
        <v xml:space="preserve">Enter a 'Employee Units' for  building 97 in cell E100.
</v>
      </c>
      <c r="G3121" s="9" t="str">
        <f t="shared" ca="1" si="1128"/>
        <v xml:space="preserve">Enter a value for 'Number of Floors in the Tallest Building' in cell B58.
</v>
      </c>
      <c r="H3121" s="52" t="str">
        <f t="shared" ca="1" si="1136"/>
        <v>Employee Units</v>
      </c>
      <c r="I3121" s="52">
        <v>5</v>
      </c>
    </row>
    <row r="3122" spans="1:10" ht="15" customHeight="1">
      <c r="A3122" t="str">
        <f t="shared" ca="1" si="1131"/>
        <v/>
      </c>
      <c r="B3122">
        <f t="shared" si="1132"/>
        <v>100</v>
      </c>
      <c r="C3122">
        <f t="shared" ca="1" si="1130"/>
        <v>97</v>
      </c>
      <c r="D3122" t="str">
        <f t="shared" si="1133"/>
        <v>F100</v>
      </c>
      <c r="E3122" t="str">
        <f t="shared" ca="1" si="1134"/>
        <v/>
      </c>
      <c r="F3122" t="str">
        <f t="shared" ca="1" si="1135"/>
        <v xml:space="preserve">Enter a 'Low-Income Units' for  building 97 in cell F100.
</v>
      </c>
      <c r="G3122" s="9" t="str">
        <f t="shared" ca="1" si="1128"/>
        <v xml:space="preserve">Enter a value for 'Number of Floors in the Tallest Building' in cell B58.
</v>
      </c>
      <c r="H3122" s="52" t="str">
        <f t="shared" ca="1" si="1136"/>
        <v>Low-Income Units</v>
      </c>
      <c r="I3122" s="52">
        <v>6</v>
      </c>
    </row>
    <row r="3123" spans="1:10" ht="15" customHeight="1">
      <c r="A3123" t="str">
        <f t="shared" ca="1" si="1131"/>
        <v/>
      </c>
      <c r="B3123">
        <f t="shared" si="1132"/>
        <v>100</v>
      </c>
      <c r="C3123">
        <f t="shared" ca="1" si="1130"/>
        <v>97</v>
      </c>
      <c r="D3123" t="str">
        <f t="shared" si="1133"/>
        <v>G100</v>
      </c>
      <c r="E3123" t="str">
        <f t="shared" ca="1" si="1134"/>
        <v/>
      </c>
      <c r="F3123" t="str">
        <f t="shared" ca="1" si="1135"/>
        <v xml:space="preserve">Enter a 'Residential Square Footage**' for  building 97 in cell G100.
</v>
      </c>
      <c r="G3123" s="9" t="str">
        <f t="shared" ca="1" si="1128"/>
        <v xml:space="preserve">Enter a value for 'Number of Floors in the Tallest Building' in cell B58.
</v>
      </c>
      <c r="H3123" s="52" t="str">
        <f t="shared" ca="1" si="1136"/>
        <v>Residential Square Footage**</v>
      </c>
      <c r="I3123" s="52">
        <v>7</v>
      </c>
    </row>
    <row r="3124" spans="1:10" ht="15" customHeight="1">
      <c r="A3124" t="str">
        <f t="shared" ca="1" si="1131"/>
        <v/>
      </c>
      <c r="B3124">
        <f t="shared" si="1132"/>
        <v>100</v>
      </c>
      <c r="C3124">
        <f t="shared" ca="1" si="1130"/>
        <v>97</v>
      </c>
      <c r="D3124" t="str">
        <f t="shared" si="1133"/>
        <v>H100</v>
      </c>
      <c r="E3124" t="str">
        <f t="shared" ca="1" si="1134"/>
        <v/>
      </c>
      <c r="F3124" t="str">
        <f t="shared" ca="1" si="1135"/>
        <v xml:space="preserve">Enter a 'Square Footage of Employee Units' for  building 97 in cell H100.
</v>
      </c>
      <c r="G3124" s="9" t="str">
        <f t="shared" ca="1" si="1128"/>
        <v xml:space="preserve">Enter a value for 'Number of Floors in the Tallest Building' in cell B58.
</v>
      </c>
      <c r="H3124" s="52" t="str">
        <f t="shared" ca="1" si="1136"/>
        <v>Square Footage of Employee Units</v>
      </c>
      <c r="I3124" s="52">
        <v>8</v>
      </c>
    </row>
    <row r="3125" spans="1:10" ht="15" customHeight="1">
      <c r="A3125" t="str">
        <f t="shared" ca="1" si="1131"/>
        <v/>
      </c>
      <c r="B3125">
        <f t="shared" si="1132"/>
        <v>100</v>
      </c>
      <c r="C3125">
        <f t="shared" ca="1" si="1130"/>
        <v>97</v>
      </c>
      <c r="D3125" t="str">
        <f t="shared" si="1133"/>
        <v>I100</v>
      </c>
      <c r="E3125" t="str">
        <f t="shared" ca="1" si="1134"/>
        <v/>
      </c>
      <c r="F3125" t="str">
        <f t="shared" ca="1" si="1135"/>
        <v xml:space="preserve">Enter a 'Square Footage of Low-Income Units' for  building 97 in cell I100.
</v>
      </c>
      <c r="G3125" s="9" t="str">
        <f t="shared" ca="1" si="1128"/>
        <v xml:space="preserve">Enter a value for 'Number of Floors in the Tallest Building' in cell B58.
</v>
      </c>
      <c r="H3125" s="52" t="str">
        <f t="shared" ca="1" si="1136"/>
        <v>Square Footage of Low-Income Units</v>
      </c>
      <c r="I3125" s="52">
        <v>9</v>
      </c>
    </row>
    <row r="3126" spans="1:10" ht="15" customHeight="1">
      <c r="A3126" t="str">
        <f t="shared" ca="1" si="1131"/>
        <v/>
      </c>
      <c r="B3126">
        <f t="shared" si="1132"/>
        <v>100</v>
      </c>
      <c r="C3126">
        <f t="shared" ca="1" si="1130"/>
        <v>97</v>
      </c>
      <c r="D3126" t="str">
        <f t="shared" si="1133"/>
        <v>J100</v>
      </c>
      <c r="E3126" t="str">
        <f t="shared" ca="1" si="1134"/>
        <v/>
      </c>
      <c r="F3126" t="str">
        <f t="shared" ca="1" si="1135"/>
        <v xml:space="preserve">Enter a 'Placed-In-Service Date' for  building 97 in cell J100.
</v>
      </c>
      <c r="G3126" s="9" t="str">
        <f t="shared" ca="1" si="1128"/>
        <v xml:space="preserve">Enter a value for 'Number of Floors in the Tallest Building' in cell B58.
</v>
      </c>
      <c r="H3126" s="52" t="str">
        <f t="shared" ca="1" si="1136"/>
        <v>Placed-In-Service Date</v>
      </c>
      <c r="I3126" s="52">
        <v>10</v>
      </c>
    </row>
    <row r="3127" spans="1:10" ht="15" customHeight="1">
      <c r="A3127" t="str">
        <f t="shared" ca="1" si="1131"/>
        <v/>
      </c>
      <c r="B3127">
        <f t="shared" si="1132"/>
        <v>100</v>
      </c>
      <c r="C3127">
        <f t="shared" ca="1" si="1130"/>
        <v>97</v>
      </c>
      <c r="D3127" t="str">
        <f t="shared" si="1133"/>
        <v>K100</v>
      </c>
      <c r="E3127" t="str">
        <f t="shared" ca="1" si="1134"/>
        <v/>
      </c>
      <c r="F3127" t="str">
        <f t="shared" ca="1" si="1135"/>
        <v xml:space="preserve">Enter a 'New Construction/ Rehab APR' for  building 97 in cell K100.
</v>
      </c>
      <c r="G3127" s="9" t="str">
        <f t="shared" ca="1" si="1128"/>
        <v xml:space="preserve">Enter a value for 'Number of Floors in the Tallest Building' in cell B58.
</v>
      </c>
      <c r="H3127" s="52" t="str">
        <f t="shared" ca="1" si="1136"/>
        <v>New Construction/ Rehab APR</v>
      </c>
      <c r="I3127" s="52">
        <v>11</v>
      </c>
    </row>
    <row r="3128" spans="1:10" ht="15" customHeight="1">
      <c r="A3128" t="str">
        <f t="shared" ca="1" si="1131"/>
        <v/>
      </c>
      <c r="B3128">
        <f t="shared" si="1132"/>
        <v>100</v>
      </c>
      <c r="C3128">
        <f t="shared" ca="1" si="1130"/>
        <v>97</v>
      </c>
      <c r="D3128" t="str">
        <f t="shared" si="1133"/>
        <v>L100</v>
      </c>
      <c r="E3128" t="str">
        <f t="shared" ca="1" si="1134"/>
        <v/>
      </c>
      <c r="F3128" t="str">
        <f t="shared" ca="1" si="1135"/>
        <v xml:space="preserve">Enter a 'New Construction Eligible Basis' for  building 97 in cell L100.
</v>
      </c>
      <c r="G3128" s="9" t="str">
        <f t="shared" ca="1" si="1128"/>
        <v xml:space="preserve">Enter a value for 'Number of Floors in the Tallest Building' in cell B58.
</v>
      </c>
      <c r="H3128" s="52" t="str">
        <f t="shared" ca="1" si="1136"/>
        <v>New Construction Eligible Basis</v>
      </c>
      <c r="I3128" s="52">
        <v>12</v>
      </c>
    </row>
    <row r="3129" spans="1:10" ht="15" customHeight="1">
      <c r="A3129" t="str">
        <f ca="1">IF(AND(OFFSET(A3129, -I3129 + 2, 4) &gt;  0, E3129="", Calculations!$B$7), F3129, "")</f>
        <v/>
      </c>
      <c r="B3129">
        <f t="shared" si="1132"/>
        <v>100</v>
      </c>
      <c r="C3129">
        <f t="shared" ca="1" si="1130"/>
        <v>97</v>
      </c>
      <c r="D3129" t="str">
        <f t="shared" si="1133"/>
        <v>M100</v>
      </c>
      <c r="E3129" t="str">
        <f t="shared" ca="1" si="1134"/>
        <v/>
      </c>
      <c r="F3129" t="str">
        <f t="shared" ca="1" si="1135"/>
        <v xml:space="preserve">Enter a 'Eligible Basis for Rehab' for  building 97 in cell M100.
</v>
      </c>
      <c r="G3129" s="9" t="str">
        <f t="shared" ca="1" si="1128"/>
        <v xml:space="preserve">Enter a value for 'Number of Floors in the Tallest Building' in cell B58.
</v>
      </c>
      <c r="H3129" s="52" t="str">
        <f t="shared" ca="1" si="1136"/>
        <v>Eligible Basis for Rehab</v>
      </c>
      <c r="I3129" s="52">
        <v>13</v>
      </c>
    </row>
    <row r="3130" spans="1:10" ht="15" customHeight="1">
      <c r="A3130" t="str">
        <f ca="1">IF(AND(OFFSET(A3130, -I3130 + 2, 4) &gt;  0, E3130="", Calculations!$B$7), F3130, "")</f>
        <v/>
      </c>
      <c r="B3130">
        <f t="shared" si="1132"/>
        <v>100</v>
      </c>
      <c r="C3130">
        <f t="shared" ca="1" si="1130"/>
        <v>97</v>
      </c>
      <c r="D3130" t="str">
        <f t="shared" si="1133"/>
        <v>N100</v>
      </c>
      <c r="E3130" t="str">
        <f t="shared" ca="1" si="1134"/>
        <v/>
      </c>
      <c r="F3130" t="str">
        <f t="shared" ca="1" si="1135"/>
        <v xml:space="preserve">Enter a 'Cost of Acquiring the Building***' for  building 97 in cell N100.
</v>
      </c>
      <c r="G3130" s="9" t="str">
        <f t="shared" ca="1" si="1128"/>
        <v xml:space="preserve">Enter a value for 'Number of Floors in the Tallest Building' in cell B58.
</v>
      </c>
      <c r="H3130" s="52" t="str">
        <f t="shared" ca="1" si="1136"/>
        <v>Cost of Acquiring the Building***</v>
      </c>
      <c r="I3130" s="52">
        <v>14</v>
      </c>
    </row>
    <row r="3131" spans="1:10" ht="15" customHeight="1">
      <c r="A3131" t="str">
        <f ca="1">IF(AND(OFFSET(A3131, -I3131 + 2, 4) &gt;  0, E3131="", Calculations!$B$7), F3131, "")</f>
        <v/>
      </c>
      <c r="B3131">
        <f t="shared" si="1132"/>
        <v>100</v>
      </c>
      <c r="C3131">
        <f t="shared" ca="1" si="1130"/>
        <v>97</v>
      </c>
      <c r="D3131" t="str">
        <f t="shared" si="1133"/>
        <v>O100</v>
      </c>
      <c r="E3131" t="str">
        <f t="shared" ca="1" si="1134"/>
        <v/>
      </c>
      <c r="F3131" t="str">
        <f t="shared" ca="1" si="1135"/>
        <v xml:space="preserve">Enter a 'Higher of Land Purchase Price or Land Appraised Value****' for  building 97 in cell O100.
</v>
      </c>
      <c r="G3131" s="9" t="str">
        <f t="shared" ca="1" si="1128"/>
        <v xml:space="preserve">Enter a value for 'Number of Floors in the Tallest Building' in cell B58.
</v>
      </c>
      <c r="H3131" s="52" t="str">
        <f t="shared" ca="1" si="1136"/>
        <v>Higher of Land Purchase Price or Land Appraised Value****</v>
      </c>
      <c r="I3131" s="52">
        <v>15</v>
      </c>
    </row>
    <row r="3132" spans="1:10" ht="15" customHeight="1">
      <c r="A3132" t="str">
        <f ca="1">IF(AND(OFFSET(A3132, -I3132 + 2, 4) &gt;  0, E3132="", Calculations!$B$7), F3132, "")</f>
        <v/>
      </c>
      <c r="B3132">
        <f t="shared" si="1132"/>
        <v>100</v>
      </c>
      <c r="C3132">
        <f t="shared" ca="1" si="1130"/>
        <v>97</v>
      </c>
      <c r="D3132" t="str">
        <f t="shared" si="1133"/>
        <v>P100</v>
      </c>
      <c r="E3132" t="str">
        <f t="shared" ca="1" si="1134"/>
        <v/>
      </c>
      <c r="F3132" t="str">
        <f t="shared" ca="1" si="1135"/>
        <v xml:space="preserve">Enter a 'Acquisition Placed-in-Service Date' for  building 97 in cell P100.
</v>
      </c>
      <c r="G3132" s="9" t="str">
        <f t="shared" ca="1" si="1128"/>
        <v xml:space="preserve">Enter a value for 'Number of Floors in the Tallest Building' in cell B58.
</v>
      </c>
      <c r="H3132" s="52" t="str">
        <f t="shared" ca="1" si="1136"/>
        <v>Acquisition Placed-in-Service Date</v>
      </c>
      <c r="I3132" s="52">
        <v>16</v>
      </c>
    </row>
    <row r="3133" spans="1:10" ht="15" customHeight="1">
      <c r="A3133" t="str">
        <f ca="1">IF(AND(OFFSET(A3133, -I3133 + 2, 4) &gt;  0, E3133="", Calculations!$B$7), F3133, "")</f>
        <v/>
      </c>
      <c r="B3133">
        <f t="shared" si="1132"/>
        <v>100</v>
      </c>
      <c r="C3133">
        <f t="shared" ca="1" si="1130"/>
        <v>97</v>
      </c>
      <c r="D3133" t="str">
        <f t="shared" si="1133"/>
        <v>Q100</v>
      </c>
      <c r="E3133" t="str">
        <f t="shared" ca="1" si="1134"/>
        <v/>
      </c>
      <c r="F3133" t="str">
        <f t="shared" ca="1" si="1135"/>
        <v xml:space="preserve">Enter a 'Acquisition APR' for  building 97 in cell Q100.
</v>
      </c>
      <c r="G3133" s="9" t="str">
        <f t="shared" ca="1" si="1128"/>
        <v xml:space="preserve">Enter a value for 'Number of Floors in the Tallest Building' in cell B58.
</v>
      </c>
      <c r="H3133" s="52" t="str">
        <f t="shared" ca="1" si="1136"/>
        <v>Acquisition APR</v>
      </c>
      <c r="I3133" s="52">
        <v>17</v>
      </c>
    </row>
    <row r="3134" spans="1:10" ht="15" customHeight="1">
      <c r="A3134" t="str">
        <f ca="1">IF(AND(Calculations!$B$4,Calculations!$B$28&gt;=C3134, E3134 &lt;&gt; 13),F3134,"")</f>
        <v/>
      </c>
      <c r="B3134">
        <f>ROW('Final Building Profile'!C101)</f>
        <v>101</v>
      </c>
      <c r="C3134">
        <f t="shared" ca="1" si="1130"/>
        <v>98</v>
      </c>
      <c r="D3134" t="str">
        <f>ADDRESS(B3134, 3,4  )</f>
        <v>C101</v>
      </c>
      <c r="E3134" s="52">
        <f ca="1">H3134+I3134</f>
        <v>0</v>
      </c>
      <c r="F3134" t="str">
        <f ca="1">CONCATENATE("Based upon the number of buildings specified, information for  building ", C3134, " required for a final application in row ", B3134, ".", CHAR(10))</f>
        <v xml:space="preserve">Based upon the number of buildings specified, information for  building 98 required for a final application in row 101.
</v>
      </c>
      <c r="G3134" s="9" t="str">
        <f t="shared" ca="1" si="1128"/>
        <v xml:space="preserve">Enter a value for 'Number of Floors in the Tallest Building' in cell B58.
</v>
      </c>
      <c r="H3134" s="52">
        <f ca="1">SUMPRODUCT(--ISTEXT(INDIRECT(J3134)))</f>
        <v>0</v>
      </c>
      <c r="I3134" s="52">
        <f ca="1">SUMPRODUCT(--ISNUMBER(INDIRECT(J3134)))</f>
        <v>0</v>
      </c>
      <c r="J3134" s="52" t="str">
        <f>$F$1564&amp; ADDRESS(B3134,3,4) &amp; ":" &amp; ADDRESS(B3134,15,4)</f>
        <v>'Final Building Profile'!C101:O101</v>
      </c>
    </row>
    <row r="3135" spans="1:10" ht="15" customHeight="1">
      <c r="A3135" t="str">
        <f t="shared" ref="A3135:A3144" ca="1" si="1137">IF(AND(OFFSET(A3135, -I3135 + 2, 4) &gt;  0, E3135=""), F3135, "")</f>
        <v/>
      </c>
      <c r="B3135">
        <f t="shared" ref="B3135:B3149" si="1138">B3134</f>
        <v>101</v>
      </c>
      <c r="C3135">
        <f t="shared" ca="1" si="1130"/>
        <v>98</v>
      </c>
      <c r="D3135" t="str">
        <f t="shared" ref="D3135:D3149" si="1139">ADDRESS(B3135, I3135,4  )</f>
        <v>C101</v>
      </c>
      <c r="E3135" t="str">
        <f t="shared" ref="E3135:E3149" ca="1" si="1140">IF(ISBLANK( INDIRECT($F$1564 &amp; D3135)),"", INDIRECT($F$1564 &amp; D3135))</f>
        <v/>
      </c>
      <c r="F3135" t="str">
        <f t="shared" ref="F3135:F3149" ca="1" si="1141">CONCATENATE("Enter a '"&amp; H3135 &amp;"' for  building ", C3135, " in cell ", D3135, ".", CHAR(10))</f>
        <v xml:space="preserve">Enter a 'Building Street Address Only 
(DO NOT ENTER CITY, STATE, OR ZIP)' for  building 98 in cell C101.
</v>
      </c>
      <c r="G3135" s="9" t="str">
        <f t="shared" ca="1" si="1128"/>
        <v xml:space="preserve">Enter a value for 'Number of Floors in the Tallest Building' in cell B58.
</v>
      </c>
      <c r="H3135" s="52" t="str">
        <f t="shared" ref="H3135:H3149" ca="1" si="1142">OFFSET(INDIRECT($F$1564 &amp; D3135), -B3135 + 3, 0)</f>
        <v>Building Street Address Only 
(DO NOT ENTER CITY, STATE, OR ZIP)</v>
      </c>
      <c r="I3135" s="52">
        <v>3</v>
      </c>
    </row>
    <row r="3136" spans="1:10" ht="15" customHeight="1">
      <c r="A3136" t="str">
        <f t="shared" ca="1" si="1137"/>
        <v/>
      </c>
      <c r="B3136">
        <f t="shared" si="1138"/>
        <v>101</v>
      </c>
      <c r="C3136">
        <f t="shared" ca="1" si="1130"/>
        <v>98</v>
      </c>
      <c r="D3136" t="str">
        <f t="shared" si="1139"/>
        <v>D101</v>
      </c>
      <c r="E3136" t="str">
        <f t="shared" ca="1" si="1140"/>
        <v/>
      </c>
      <c r="F3136" t="str">
        <f t="shared" ca="1" si="1141"/>
        <v xml:space="preserve">Enter a 'Total Units in Building*' for  building 98 in cell D101.
</v>
      </c>
      <c r="G3136" s="9" t="str">
        <f t="shared" ca="1" si="1128"/>
        <v xml:space="preserve">Enter a value for 'Number of Floors in the Tallest Building' in cell B58.
</v>
      </c>
      <c r="H3136" s="52" t="str">
        <f t="shared" ca="1" si="1142"/>
        <v>Total Units in Building*</v>
      </c>
      <c r="I3136" s="52">
        <v>4</v>
      </c>
    </row>
    <row r="3137" spans="1:10" ht="15" customHeight="1">
      <c r="A3137" t="str">
        <f t="shared" ca="1" si="1137"/>
        <v/>
      </c>
      <c r="B3137">
        <f t="shared" si="1138"/>
        <v>101</v>
      </c>
      <c r="C3137">
        <f t="shared" ca="1" si="1130"/>
        <v>98</v>
      </c>
      <c r="D3137" t="str">
        <f t="shared" si="1139"/>
        <v>E101</v>
      </c>
      <c r="E3137" t="str">
        <f t="shared" ca="1" si="1140"/>
        <v/>
      </c>
      <c r="F3137" t="str">
        <f t="shared" ca="1" si="1141"/>
        <v xml:space="preserve">Enter a 'Employee Units' for  building 98 in cell E101.
</v>
      </c>
      <c r="G3137" s="9" t="str">
        <f t="shared" ca="1" si="1128"/>
        <v xml:space="preserve">Enter a value for 'Number of Floors in the Tallest Building' in cell B58.
</v>
      </c>
      <c r="H3137" s="52" t="str">
        <f t="shared" ca="1" si="1142"/>
        <v>Employee Units</v>
      </c>
      <c r="I3137" s="52">
        <v>5</v>
      </c>
    </row>
    <row r="3138" spans="1:10" ht="15" customHeight="1">
      <c r="A3138" t="str">
        <f t="shared" ca="1" si="1137"/>
        <v/>
      </c>
      <c r="B3138">
        <f t="shared" si="1138"/>
        <v>101</v>
      </c>
      <c r="C3138">
        <f t="shared" ca="1" si="1130"/>
        <v>98</v>
      </c>
      <c r="D3138" t="str">
        <f t="shared" si="1139"/>
        <v>F101</v>
      </c>
      <c r="E3138" t="str">
        <f t="shared" ca="1" si="1140"/>
        <v/>
      </c>
      <c r="F3138" t="str">
        <f t="shared" ca="1" si="1141"/>
        <v xml:space="preserve">Enter a 'Low-Income Units' for  building 98 in cell F101.
</v>
      </c>
      <c r="G3138" s="9" t="str">
        <f t="shared" ca="1" si="1128"/>
        <v xml:space="preserve">Enter a value for 'Number of Floors in the Tallest Building' in cell B58.
</v>
      </c>
      <c r="H3138" s="52" t="str">
        <f t="shared" ca="1" si="1142"/>
        <v>Low-Income Units</v>
      </c>
      <c r="I3138" s="52">
        <v>6</v>
      </c>
    </row>
    <row r="3139" spans="1:10" ht="15" customHeight="1">
      <c r="A3139" t="str">
        <f t="shared" ca="1" si="1137"/>
        <v/>
      </c>
      <c r="B3139">
        <f t="shared" si="1138"/>
        <v>101</v>
      </c>
      <c r="C3139">
        <f t="shared" ca="1" si="1130"/>
        <v>98</v>
      </c>
      <c r="D3139" t="str">
        <f t="shared" si="1139"/>
        <v>G101</v>
      </c>
      <c r="E3139" t="str">
        <f t="shared" ca="1" si="1140"/>
        <v/>
      </c>
      <c r="F3139" t="str">
        <f t="shared" ca="1" si="1141"/>
        <v xml:space="preserve">Enter a 'Residential Square Footage**' for  building 98 in cell G101.
</v>
      </c>
      <c r="G3139" s="9" t="str">
        <f t="shared" ca="1" si="1128"/>
        <v xml:space="preserve">Enter a value for 'Number of Floors in the Tallest Building' in cell B58.
</v>
      </c>
      <c r="H3139" s="52" t="str">
        <f t="shared" ca="1" si="1142"/>
        <v>Residential Square Footage**</v>
      </c>
      <c r="I3139" s="52">
        <v>7</v>
      </c>
    </row>
    <row r="3140" spans="1:10" ht="15" customHeight="1">
      <c r="A3140" t="str">
        <f t="shared" ca="1" si="1137"/>
        <v/>
      </c>
      <c r="B3140">
        <f t="shared" si="1138"/>
        <v>101</v>
      </c>
      <c r="C3140">
        <f t="shared" ca="1" si="1130"/>
        <v>98</v>
      </c>
      <c r="D3140" t="str">
        <f t="shared" si="1139"/>
        <v>H101</v>
      </c>
      <c r="E3140" t="str">
        <f t="shared" ca="1" si="1140"/>
        <v/>
      </c>
      <c r="F3140" t="str">
        <f t="shared" ca="1" si="1141"/>
        <v xml:space="preserve">Enter a 'Square Footage of Employee Units' for  building 98 in cell H101.
</v>
      </c>
      <c r="G3140" s="9" t="str">
        <f t="shared" ca="1" si="1128"/>
        <v xml:space="preserve">Enter a value for 'Number of Floors in the Tallest Building' in cell B58.
</v>
      </c>
      <c r="H3140" s="52" t="str">
        <f t="shared" ca="1" si="1142"/>
        <v>Square Footage of Employee Units</v>
      </c>
      <c r="I3140" s="52">
        <v>8</v>
      </c>
    </row>
    <row r="3141" spans="1:10" ht="15" customHeight="1">
      <c r="A3141" t="str">
        <f t="shared" ca="1" si="1137"/>
        <v/>
      </c>
      <c r="B3141">
        <f t="shared" si="1138"/>
        <v>101</v>
      </c>
      <c r="C3141">
        <f t="shared" ca="1" si="1130"/>
        <v>98</v>
      </c>
      <c r="D3141" t="str">
        <f t="shared" si="1139"/>
        <v>I101</v>
      </c>
      <c r="E3141" t="str">
        <f t="shared" ca="1" si="1140"/>
        <v/>
      </c>
      <c r="F3141" t="str">
        <f t="shared" ca="1" si="1141"/>
        <v xml:space="preserve">Enter a 'Square Footage of Low-Income Units' for  building 98 in cell I101.
</v>
      </c>
      <c r="G3141" s="9" t="str">
        <f t="shared" ca="1" si="1128"/>
        <v xml:space="preserve">Enter a value for 'Number of Floors in the Tallest Building' in cell B58.
</v>
      </c>
      <c r="H3141" s="52" t="str">
        <f t="shared" ca="1" si="1142"/>
        <v>Square Footage of Low-Income Units</v>
      </c>
      <c r="I3141" s="52">
        <v>9</v>
      </c>
    </row>
    <row r="3142" spans="1:10" ht="15" customHeight="1">
      <c r="A3142" t="str">
        <f t="shared" ca="1" si="1137"/>
        <v/>
      </c>
      <c r="B3142">
        <f t="shared" si="1138"/>
        <v>101</v>
      </c>
      <c r="C3142">
        <f t="shared" ca="1" si="1130"/>
        <v>98</v>
      </c>
      <c r="D3142" t="str">
        <f t="shared" si="1139"/>
        <v>J101</v>
      </c>
      <c r="E3142" t="str">
        <f t="shared" ca="1" si="1140"/>
        <v/>
      </c>
      <c r="F3142" t="str">
        <f t="shared" ca="1" si="1141"/>
        <v xml:space="preserve">Enter a 'Placed-In-Service Date' for  building 98 in cell J101.
</v>
      </c>
      <c r="G3142" s="9" t="str">
        <f t="shared" ca="1" si="1128"/>
        <v xml:space="preserve">Enter a value for 'Number of Floors in the Tallest Building' in cell B58.
</v>
      </c>
      <c r="H3142" s="52" t="str">
        <f t="shared" ca="1" si="1142"/>
        <v>Placed-In-Service Date</v>
      </c>
      <c r="I3142" s="52">
        <v>10</v>
      </c>
    </row>
    <row r="3143" spans="1:10" ht="15" customHeight="1">
      <c r="A3143" t="str">
        <f t="shared" ca="1" si="1137"/>
        <v/>
      </c>
      <c r="B3143">
        <f t="shared" si="1138"/>
        <v>101</v>
      </c>
      <c r="C3143">
        <f t="shared" ca="1" si="1130"/>
        <v>98</v>
      </c>
      <c r="D3143" t="str">
        <f t="shared" si="1139"/>
        <v>K101</v>
      </c>
      <c r="E3143" t="str">
        <f t="shared" ca="1" si="1140"/>
        <v/>
      </c>
      <c r="F3143" t="str">
        <f t="shared" ca="1" si="1141"/>
        <v xml:space="preserve">Enter a 'New Construction/ Rehab APR' for  building 98 in cell K101.
</v>
      </c>
      <c r="G3143" s="9" t="str">
        <f t="shared" ca="1" si="1128"/>
        <v xml:space="preserve">Enter a value for 'Number of Floors in the Tallest Building' in cell B58.
</v>
      </c>
      <c r="H3143" s="52" t="str">
        <f t="shared" ca="1" si="1142"/>
        <v>New Construction/ Rehab APR</v>
      </c>
      <c r="I3143" s="52">
        <v>11</v>
      </c>
    </row>
    <row r="3144" spans="1:10" ht="15" customHeight="1">
      <c r="A3144" t="str">
        <f t="shared" ca="1" si="1137"/>
        <v/>
      </c>
      <c r="B3144">
        <f t="shared" si="1138"/>
        <v>101</v>
      </c>
      <c r="C3144">
        <f t="shared" ca="1" si="1130"/>
        <v>98</v>
      </c>
      <c r="D3144" t="str">
        <f t="shared" si="1139"/>
        <v>L101</v>
      </c>
      <c r="E3144" t="str">
        <f t="shared" ca="1" si="1140"/>
        <v/>
      </c>
      <c r="F3144" t="str">
        <f t="shared" ca="1" si="1141"/>
        <v xml:space="preserve">Enter a 'New Construction Eligible Basis' for  building 98 in cell L101.
</v>
      </c>
      <c r="G3144" s="9" t="str">
        <f t="shared" ca="1" si="1128"/>
        <v xml:space="preserve">Enter a value for 'Number of Floors in the Tallest Building' in cell B58.
</v>
      </c>
      <c r="H3144" s="52" t="str">
        <f t="shared" ca="1" si="1142"/>
        <v>New Construction Eligible Basis</v>
      </c>
      <c r="I3144" s="52">
        <v>12</v>
      </c>
    </row>
    <row r="3145" spans="1:10" ht="15" customHeight="1">
      <c r="A3145" t="str">
        <f ca="1">IF(AND(OFFSET(A3145, -I3145 + 2, 4) &gt;  0, E3145="", Calculations!$B$7), F3145, "")</f>
        <v/>
      </c>
      <c r="B3145">
        <f t="shared" si="1138"/>
        <v>101</v>
      </c>
      <c r="C3145">
        <f t="shared" ca="1" si="1130"/>
        <v>98</v>
      </c>
      <c r="D3145" t="str">
        <f t="shared" si="1139"/>
        <v>M101</v>
      </c>
      <c r="E3145" t="str">
        <f t="shared" ca="1" si="1140"/>
        <v/>
      </c>
      <c r="F3145" t="str">
        <f t="shared" ca="1" si="1141"/>
        <v xml:space="preserve">Enter a 'Eligible Basis for Rehab' for  building 98 in cell M101.
</v>
      </c>
      <c r="G3145" s="9" t="str">
        <f t="shared" ca="1" si="1128"/>
        <v xml:space="preserve">Enter a value for 'Number of Floors in the Tallest Building' in cell B58.
</v>
      </c>
      <c r="H3145" s="52" t="str">
        <f t="shared" ca="1" si="1142"/>
        <v>Eligible Basis for Rehab</v>
      </c>
      <c r="I3145" s="52">
        <v>13</v>
      </c>
    </row>
    <row r="3146" spans="1:10" ht="15" customHeight="1">
      <c r="A3146" t="str">
        <f ca="1">IF(AND(OFFSET(A3146, -I3146 + 2, 4) &gt;  0, E3146="", Calculations!$B$7), F3146, "")</f>
        <v/>
      </c>
      <c r="B3146">
        <f t="shared" si="1138"/>
        <v>101</v>
      </c>
      <c r="C3146">
        <f t="shared" ca="1" si="1130"/>
        <v>98</v>
      </c>
      <c r="D3146" t="str">
        <f t="shared" si="1139"/>
        <v>N101</v>
      </c>
      <c r="E3146" t="str">
        <f t="shared" ca="1" si="1140"/>
        <v/>
      </c>
      <c r="F3146" t="str">
        <f t="shared" ca="1" si="1141"/>
        <v xml:space="preserve">Enter a 'Cost of Acquiring the Building***' for  building 98 in cell N101.
</v>
      </c>
      <c r="G3146" s="9" t="str">
        <f t="shared" ca="1" si="1128"/>
        <v xml:space="preserve">Enter a value for 'Number of Floors in the Tallest Building' in cell B58.
</v>
      </c>
      <c r="H3146" s="52" t="str">
        <f t="shared" ca="1" si="1142"/>
        <v>Cost of Acquiring the Building***</v>
      </c>
      <c r="I3146" s="52">
        <v>14</v>
      </c>
    </row>
    <row r="3147" spans="1:10" ht="15" customHeight="1">
      <c r="A3147" t="str">
        <f ca="1">IF(AND(OFFSET(A3147, -I3147 + 2, 4) &gt;  0, E3147="", Calculations!$B$7), F3147, "")</f>
        <v/>
      </c>
      <c r="B3147">
        <f t="shared" si="1138"/>
        <v>101</v>
      </c>
      <c r="C3147">
        <f t="shared" ca="1" si="1130"/>
        <v>98</v>
      </c>
      <c r="D3147" t="str">
        <f t="shared" si="1139"/>
        <v>O101</v>
      </c>
      <c r="E3147" t="str">
        <f t="shared" ca="1" si="1140"/>
        <v/>
      </c>
      <c r="F3147" t="str">
        <f t="shared" ca="1" si="1141"/>
        <v xml:space="preserve">Enter a 'Higher of Land Purchase Price or Land Appraised Value****' for  building 98 in cell O101.
</v>
      </c>
      <c r="G3147" s="9" t="str">
        <f t="shared" ca="1" si="1128"/>
        <v xml:space="preserve">Enter a value for 'Number of Floors in the Tallest Building' in cell B58.
</v>
      </c>
      <c r="H3147" s="52" t="str">
        <f t="shared" ca="1" si="1142"/>
        <v>Higher of Land Purchase Price or Land Appraised Value****</v>
      </c>
      <c r="I3147" s="52">
        <v>15</v>
      </c>
    </row>
    <row r="3148" spans="1:10" ht="15" customHeight="1">
      <c r="A3148" t="str">
        <f ca="1">IF(AND(OFFSET(A3148, -I3148 + 2, 4) &gt;  0, E3148="", Calculations!$B$7), F3148, "")</f>
        <v/>
      </c>
      <c r="B3148">
        <f t="shared" si="1138"/>
        <v>101</v>
      </c>
      <c r="C3148">
        <f t="shared" ca="1" si="1130"/>
        <v>98</v>
      </c>
      <c r="D3148" t="str">
        <f t="shared" si="1139"/>
        <v>P101</v>
      </c>
      <c r="E3148" t="str">
        <f t="shared" ca="1" si="1140"/>
        <v/>
      </c>
      <c r="F3148" t="str">
        <f t="shared" ca="1" si="1141"/>
        <v xml:space="preserve">Enter a 'Acquisition Placed-in-Service Date' for  building 98 in cell P101.
</v>
      </c>
      <c r="G3148" s="9" t="str">
        <f t="shared" ca="1" si="1128"/>
        <v xml:space="preserve">Enter a value for 'Number of Floors in the Tallest Building' in cell B58.
</v>
      </c>
      <c r="H3148" s="52" t="str">
        <f t="shared" ca="1" si="1142"/>
        <v>Acquisition Placed-in-Service Date</v>
      </c>
      <c r="I3148" s="52">
        <v>16</v>
      </c>
    </row>
    <row r="3149" spans="1:10" ht="15" customHeight="1">
      <c r="A3149" t="str">
        <f ca="1">IF(AND(OFFSET(A3149, -I3149 + 2, 4) &gt;  0, E3149="", Calculations!$B$7), F3149, "")</f>
        <v/>
      </c>
      <c r="B3149">
        <f t="shared" si="1138"/>
        <v>101</v>
      </c>
      <c r="C3149">
        <f t="shared" ca="1" si="1130"/>
        <v>98</v>
      </c>
      <c r="D3149" t="str">
        <f t="shared" si="1139"/>
        <v>Q101</v>
      </c>
      <c r="E3149" t="str">
        <f t="shared" ca="1" si="1140"/>
        <v/>
      </c>
      <c r="F3149" t="str">
        <f t="shared" ca="1" si="1141"/>
        <v xml:space="preserve">Enter a 'Acquisition APR' for  building 98 in cell Q101.
</v>
      </c>
      <c r="G3149" s="9" t="str">
        <f t="shared" ca="1" si="1128"/>
        <v xml:space="preserve">Enter a value for 'Number of Floors in the Tallest Building' in cell B58.
</v>
      </c>
      <c r="H3149" s="52" t="str">
        <f t="shared" ca="1" si="1142"/>
        <v>Acquisition APR</v>
      </c>
      <c r="I3149" s="52">
        <v>17</v>
      </c>
    </row>
    <row r="3150" spans="1:10" ht="15" customHeight="1">
      <c r="A3150" t="b">
        <f ca="1">A3132=IF(AND(Calculations!$B$4,Calculations!$B$28&gt;=C3150, E3150 &lt;&gt; 13),F3150,"")</f>
        <v>1</v>
      </c>
      <c r="B3150">
        <f>ROW('Final Building Profile'!C102)</f>
        <v>102</v>
      </c>
      <c r="C3150">
        <f t="shared" ca="1" si="1130"/>
        <v>99</v>
      </c>
      <c r="D3150" t="str">
        <f>ADDRESS(B3150, 3,4  )</f>
        <v>C102</v>
      </c>
      <c r="E3150" s="52">
        <f ca="1">H3150+I3150</f>
        <v>0</v>
      </c>
      <c r="F3150" t="str">
        <f ca="1">CONCATENATE("Based upon the number of buildings specified, information for  building ", C3150, " required for a final application in row ", B3150, ".", CHAR(10))</f>
        <v xml:space="preserve">Based upon the number of buildings specified, information for  building 99 required for a final application in row 102.
</v>
      </c>
      <c r="G3150" s="9" t="str">
        <f t="shared" ca="1" si="1128"/>
        <v>Enter a value for 'Number of Floors in the Tallest Building' in cell B58.
TRUE</v>
      </c>
      <c r="H3150" s="52">
        <f ca="1">SUMPRODUCT(--ISTEXT(INDIRECT(J3150)))</f>
        <v>0</v>
      </c>
      <c r="I3150" s="52">
        <f ca="1">SUMPRODUCT(--ISNUMBER(INDIRECT(J3150)))</f>
        <v>0</v>
      </c>
      <c r="J3150" s="52" t="str">
        <f>$F$1564&amp; ADDRESS(B3150,3,4) &amp; ":" &amp; ADDRESS(B3150,15,4)</f>
        <v>'Final Building Profile'!C102:O102</v>
      </c>
    </row>
    <row r="3151" spans="1:10" ht="15" customHeight="1">
      <c r="A3151" t="str">
        <f t="shared" ref="A3151:A3160" ca="1" si="1143">IF(AND(OFFSET(A3151, -I3151 + 2, 4) &gt;  0, E3151=""), F3151, "")</f>
        <v/>
      </c>
      <c r="B3151">
        <f t="shared" ref="B3151:B3165" si="1144">B3150</f>
        <v>102</v>
      </c>
      <c r="C3151">
        <f t="shared" ca="1" si="1130"/>
        <v>99</v>
      </c>
      <c r="D3151" t="str">
        <f t="shared" ref="D3151:D3165" si="1145">ADDRESS(B3151, I3151,4  )</f>
        <v>C102</v>
      </c>
      <c r="E3151" t="str">
        <f t="shared" ref="E3151:E3165" ca="1" si="1146">IF(ISBLANK( INDIRECT($F$1564 &amp; D3151)),"", INDIRECT($F$1564 &amp; D3151))</f>
        <v/>
      </c>
      <c r="F3151" t="str">
        <f t="shared" ref="F3151:F3165" ca="1" si="1147">CONCATENATE("Enter a '"&amp; H3151 &amp;"' for  building ", C3151, " in cell ", D3151, ".", CHAR(10))</f>
        <v xml:space="preserve">Enter a 'Building Street Address Only 
(DO NOT ENTER CITY, STATE, OR ZIP)' for  building 99 in cell C102.
</v>
      </c>
      <c r="G3151" s="9" t="str">
        <f t="shared" ca="1" si="1128"/>
        <v>Enter a value for 'Number of Floors in the Tallest Building' in cell B58.
TRUE</v>
      </c>
      <c r="H3151" s="52" t="str">
        <f t="shared" ref="H3151:H3165" ca="1" si="1148">OFFSET(INDIRECT($F$1564 &amp; D3151), -B3151 + 3, 0)</f>
        <v>Building Street Address Only 
(DO NOT ENTER CITY, STATE, OR ZIP)</v>
      </c>
      <c r="I3151" s="52">
        <v>3</v>
      </c>
    </row>
    <row r="3152" spans="1:10" ht="15" customHeight="1">
      <c r="A3152" t="str">
        <f t="shared" ca="1" si="1143"/>
        <v/>
      </c>
      <c r="B3152">
        <f t="shared" si="1144"/>
        <v>102</v>
      </c>
      <c r="C3152">
        <f t="shared" ca="1" si="1130"/>
        <v>99</v>
      </c>
      <c r="D3152" t="str">
        <f t="shared" si="1145"/>
        <v>D102</v>
      </c>
      <c r="E3152" t="str">
        <f t="shared" ca="1" si="1146"/>
        <v/>
      </c>
      <c r="F3152" t="str">
        <f t="shared" ca="1" si="1147"/>
        <v xml:space="preserve">Enter a 'Total Units in Building*' for  building 99 in cell D102.
</v>
      </c>
      <c r="G3152" s="9" t="str">
        <f t="shared" ca="1" si="1128"/>
        <v>Enter a value for 'Number of Floors in the Tallest Building' in cell B58.
TRUE</v>
      </c>
      <c r="H3152" s="52" t="str">
        <f t="shared" ca="1" si="1148"/>
        <v>Total Units in Building*</v>
      </c>
      <c r="I3152" s="52">
        <v>4</v>
      </c>
    </row>
    <row r="3153" spans="1:9" ht="15" customHeight="1">
      <c r="A3153" t="str">
        <f t="shared" ca="1" si="1143"/>
        <v/>
      </c>
      <c r="B3153">
        <f t="shared" si="1144"/>
        <v>102</v>
      </c>
      <c r="C3153">
        <f t="shared" ca="1" si="1130"/>
        <v>99</v>
      </c>
      <c r="D3153" t="str">
        <f t="shared" si="1145"/>
        <v>E102</v>
      </c>
      <c r="E3153" t="str">
        <f t="shared" ca="1" si="1146"/>
        <v/>
      </c>
      <c r="F3153" t="str">
        <f t="shared" ca="1" si="1147"/>
        <v xml:space="preserve">Enter a 'Employee Units' for  building 99 in cell E102.
</v>
      </c>
      <c r="G3153" s="9" t="str">
        <f t="shared" ca="1" si="1128"/>
        <v>Enter a value for 'Number of Floors in the Tallest Building' in cell B58.
TRUE</v>
      </c>
      <c r="H3153" s="52" t="str">
        <f t="shared" ca="1" si="1148"/>
        <v>Employee Units</v>
      </c>
      <c r="I3153" s="52">
        <v>5</v>
      </c>
    </row>
    <row r="3154" spans="1:9" ht="15" customHeight="1">
      <c r="A3154" t="str">
        <f t="shared" ca="1" si="1143"/>
        <v/>
      </c>
      <c r="B3154">
        <f t="shared" si="1144"/>
        <v>102</v>
      </c>
      <c r="C3154">
        <f t="shared" ca="1" si="1130"/>
        <v>99</v>
      </c>
      <c r="D3154" t="str">
        <f t="shared" si="1145"/>
        <v>F102</v>
      </c>
      <c r="E3154" t="str">
        <f t="shared" ca="1" si="1146"/>
        <v/>
      </c>
      <c r="F3154" t="str">
        <f t="shared" ca="1" si="1147"/>
        <v xml:space="preserve">Enter a 'Low-Income Units' for  building 99 in cell F102.
</v>
      </c>
      <c r="G3154" s="9" t="str">
        <f t="shared" ca="1" si="1128"/>
        <v>Enter a value for 'Number of Floors in the Tallest Building' in cell B58.
TRUE</v>
      </c>
      <c r="H3154" s="52" t="str">
        <f t="shared" ca="1" si="1148"/>
        <v>Low-Income Units</v>
      </c>
      <c r="I3154" s="52">
        <v>6</v>
      </c>
    </row>
    <row r="3155" spans="1:9" ht="15" customHeight="1">
      <c r="A3155" t="str">
        <f t="shared" ca="1" si="1143"/>
        <v/>
      </c>
      <c r="B3155">
        <f t="shared" si="1144"/>
        <v>102</v>
      </c>
      <c r="C3155">
        <f t="shared" ca="1" si="1130"/>
        <v>99</v>
      </c>
      <c r="D3155" t="str">
        <f t="shared" si="1145"/>
        <v>G102</v>
      </c>
      <c r="E3155" t="str">
        <f t="shared" ca="1" si="1146"/>
        <v/>
      </c>
      <c r="F3155" t="str">
        <f t="shared" ca="1" si="1147"/>
        <v xml:space="preserve">Enter a 'Residential Square Footage**' for  building 99 in cell G102.
</v>
      </c>
      <c r="G3155" s="9" t="str">
        <f t="shared" ca="1" si="1128"/>
        <v>Enter a value for 'Number of Floors in the Tallest Building' in cell B58.
TRUE</v>
      </c>
      <c r="H3155" s="52" t="str">
        <f t="shared" ca="1" si="1148"/>
        <v>Residential Square Footage**</v>
      </c>
      <c r="I3155" s="52">
        <v>7</v>
      </c>
    </row>
    <row r="3156" spans="1:9" ht="15" customHeight="1">
      <c r="A3156" t="str">
        <f t="shared" ca="1" si="1143"/>
        <v/>
      </c>
      <c r="B3156">
        <f t="shared" si="1144"/>
        <v>102</v>
      </c>
      <c r="C3156">
        <f t="shared" ca="1" si="1130"/>
        <v>99</v>
      </c>
      <c r="D3156" t="str">
        <f t="shared" si="1145"/>
        <v>H102</v>
      </c>
      <c r="E3156" t="str">
        <f t="shared" ca="1" si="1146"/>
        <v/>
      </c>
      <c r="F3156" t="str">
        <f t="shared" ca="1" si="1147"/>
        <v xml:space="preserve">Enter a 'Square Footage of Employee Units' for  building 99 in cell H102.
</v>
      </c>
      <c r="G3156" s="9" t="str">
        <f t="shared" ca="1" si="1128"/>
        <v>Enter a value for 'Number of Floors in the Tallest Building' in cell B58.
TRUE</v>
      </c>
      <c r="H3156" s="52" t="str">
        <f t="shared" ca="1" si="1148"/>
        <v>Square Footage of Employee Units</v>
      </c>
      <c r="I3156" s="52">
        <v>8</v>
      </c>
    </row>
    <row r="3157" spans="1:9" ht="15" customHeight="1">
      <c r="A3157" t="str">
        <f t="shared" ca="1" si="1143"/>
        <v/>
      </c>
      <c r="B3157">
        <f t="shared" si="1144"/>
        <v>102</v>
      </c>
      <c r="C3157">
        <f t="shared" ca="1" si="1130"/>
        <v>99</v>
      </c>
      <c r="D3157" t="str">
        <f t="shared" si="1145"/>
        <v>I102</v>
      </c>
      <c r="E3157" t="str">
        <f t="shared" ca="1" si="1146"/>
        <v/>
      </c>
      <c r="F3157" t="str">
        <f t="shared" ca="1" si="1147"/>
        <v xml:space="preserve">Enter a 'Square Footage of Low-Income Units' for  building 99 in cell I102.
</v>
      </c>
      <c r="G3157" s="9" t="str">
        <f t="shared" ca="1" si="1128"/>
        <v>Enter a value for 'Number of Floors in the Tallest Building' in cell B58.
TRUE</v>
      </c>
      <c r="H3157" s="52" t="str">
        <f t="shared" ca="1" si="1148"/>
        <v>Square Footage of Low-Income Units</v>
      </c>
      <c r="I3157" s="52">
        <v>9</v>
      </c>
    </row>
    <row r="3158" spans="1:9" ht="15" customHeight="1">
      <c r="A3158" t="str">
        <f t="shared" ca="1" si="1143"/>
        <v/>
      </c>
      <c r="B3158">
        <f t="shared" si="1144"/>
        <v>102</v>
      </c>
      <c r="C3158">
        <f t="shared" ca="1" si="1130"/>
        <v>99</v>
      </c>
      <c r="D3158" t="str">
        <f t="shared" si="1145"/>
        <v>J102</v>
      </c>
      <c r="E3158" t="str">
        <f t="shared" ca="1" si="1146"/>
        <v/>
      </c>
      <c r="F3158" t="str">
        <f t="shared" ca="1" si="1147"/>
        <v xml:space="preserve">Enter a 'Placed-In-Service Date' for  building 99 in cell J102.
</v>
      </c>
      <c r="G3158" s="9" t="str">
        <f t="shared" ca="1" si="1128"/>
        <v>Enter a value for 'Number of Floors in the Tallest Building' in cell B58.
TRUE</v>
      </c>
      <c r="H3158" s="52" t="str">
        <f t="shared" ca="1" si="1148"/>
        <v>Placed-In-Service Date</v>
      </c>
      <c r="I3158" s="52">
        <v>10</v>
      </c>
    </row>
    <row r="3159" spans="1:9" ht="15" customHeight="1">
      <c r="A3159" t="str">
        <f t="shared" ca="1" si="1143"/>
        <v/>
      </c>
      <c r="B3159">
        <f t="shared" si="1144"/>
        <v>102</v>
      </c>
      <c r="C3159">
        <f t="shared" ca="1" si="1130"/>
        <v>99</v>
      </c>
      <c r="D3159" t="str">
        <f t="shared" si="1145"/>
        <v>K102</v>
      </c>
      <c r="E3159" t="str">
        <f t="shared" ca="1" si="1146"/>
        <v/>
      </c>
      <c r="F3159" t="str">
        <f t="shared" ca="1" si="1147"/>
        <v xml:space="preserve">Enter a 'New Construction/ Rehab APR' for  building 99 in cell K102.
</v>
      </c>
      <c r="G3159" s="9" t="str">
        <f t="shared" ca="1" si="1128"/>
        <v>Enter a value for 'Number of Floors in the Tallest Building' in cell B58.
TRUE</v>
      </c>
      <c r="H3159" s="52" t="str">
        <f t="shared" ca="1" si="1148"/>
        <v>New Construction/ Rehab APR</v>
      </c>
      <c r="I3159" s="52">
        <v>11</v>
      </c>
    </row>
    <row r="3160" spans="1:9" ht="15" customHeight="1">
      <c r="A3160" t="str">
        <f t="shared" ca="1" si="1143"/>
        <v/>
      </c>
      <c r="B3160">
        <f t="shared" si="1144"/>
        <v>102</v>
      </c>
      <c r="C3160">
        <f t="shared" ca="1" si="1130"/>
        <v>99</v>
      </c>
      <c r="D3160" t="str">
        <f t="shared" si="1145"/>
        <v>L102</v>
      </c>
      <c r="E3160" t="str">
        <f t="shared" ca="1" si="1146"/>
        <v/>
      </c>
      <c r="F3160" t="str">
        <f t="shared" ca="1" si="1147"/>
        <v xml:space="preserve">Enter a 'New Construction Eligible Basis' for  building 99 in cell L102.
</v>
      </c>
      <c r="G3160" s="9" t="str">
        <f t="shared" ca="1" si="1128"/>
        <v>Enter a value for 'Number of Floors in the Tallest Building' in cell B58.
TRUE</v>
      </c>
      <c r="H3160" s="52" t="str">
        <f t="shared" ca="1" si="1148"/>
        <v>New Construction Eligible Basis</v>
      </c>
      <c r="I3160" s="52">
        <v>12</v>
      </c>
    </row>
    <row r="3161" spans="1:9" ht="15" customHeight="1">
      <c r="A3161" t="str">
        <f ca="1">IF(AND(OFFSET(A3161, -I3161 + 2, 4) &gt;  0, E3161="", Calculations!$B$7), F3161, "")</f>
        <v/>
      </c>
      <c r="B3161">
        <f t="shared" si="1144"/>
        <v>102</v>
      </c>
      <c r="C3161">
        <f t="shared" ca="1" si="1130"/>
        <v>99</v>
      </c>
      <c r="D3161" t="str">
        <f t="shared" si="1145"/>
        <v>M102</v>
      </c>
      <c r="E3161" t="str">
        <f t="shared" ca="1" si="1146"/>
        <v/>
      </c>
      <c r="F3161" t="str">
        <f t="shared" ca="1" si="1147"/>
        <v xml:space="preserve">Enter a 'Eligible Basis for Rehab' for  building 99 in cell M102.
</v>
      </c>
      <c r="G3161" s="9" t="str">
        <f t="shared" ca="1" si="1128"/>
        <v>Enter a value for 'Number of Floors in the Tallest Building' in cell B58.
TRUE</v>
      </c>
      <c r="H3161" s="52" t="str">
        <f t="shared" ca="1" si="1148"/>
        <v>Eligible Basis for Rehab</v>
      </c>
      <c r="I3161" s="52">
        <v>13</v>
      </c>
    </row>
    <row r="3162" spans="1:9" ht="15" customHeight="1">
      <c r="A3162" t="str">
        <f ca="1">IF(AND(OFFSET(A3162, -I3162 + 2, 4) &gt;  0, E3162="", Calculations!$B$7), F3162, "")</f>
        <v/>
      </c>
      <c r="B3162">
        <f t="shared" si="1144"/>
        <v>102</v>
      </c>
      <c r="C3162">
        <f t="shared" ca="1" si="1130"/>
        <v>99</v>
      </c>
      <c r="D3162" t="str">
        <f t="shared" si="1145"/>
        <v>N102</v>
      </c>
      <c r="E3162" t="str">
        <f t="shared" ca="1" si="1146"/>
        <v/>
      </c>
      <c r="F3162" t="str">
        <f t="shared" ca="1" si="1147"/>
        <v xml:space="preserve">Enter a 'Cost of Acquiring the Building***' for  building 99 in cell N102.
</v>
      </c>
      <c r="G3162" s="9" t="str">
        <f t="shared" ca="1" si="1128"/>
        <v>Enter a value for 'Number of Floors in the Tallest Building' in cell B58.
TRUE</v>
      </c>
      <c r="H3162" s="52" t="str">
        <f t="shared" ca="1" si="1148"/>
        <v>Cost of Acquiring the Building***</v>
      </c>
      <c r="I3162" s="52">
        <v>14</v>
      </c>
    </row>
    <row r="3163" spans="1:9" ht="15" customHeight="1">
      <c r="A3163" t="str">
        <f ca="1">IF(AND(OFFSET(A3163, -I3163 + 2, 4) &gt;  0, E3163="", Calculations!$B$7), F3163, "")</f>
        <v/>
      </c>
      <c r="B3163">
        <f t="shared" si="1144"/>
        <v>102</v>
      </c>
      <c r="C3163">
        <f t="shared" ca="1" si="1130"/>
        <v>99</v>
      </c>
      <c r="D3163" t="str">
        <f t="shared" si="1145"/>
        <v>O102</v>
      </c>
      <c r="E3163" t="str">
        <f t="shared" ca="1" si="1146"/>
        <v/>
      </c>
      <c r="F3163" t="str">
        <f t="shared" ca="1" si="1147"/>
        <v xml:space="preserve">Enter a 'Higher of Land Purchase Price or Land Appraised Value****' for  building 99 in cell O102.
</v>
      </c>
      <c r="G3163" s="9" t="str">
        <f t="shared" ca="1" si="1128"/>
        <v>Enter a value for 'Number of Floors in the Tallest Building' in cell B58.
TRUE</v>
      </c>
      <c r="H3163" s="52" t="str">
        <f t="shared" ca="1" si="1148"/>
        <v>Higher of Land Purchase Price or Land Appraised Value****</v>
      </c>
      <c r="I3163" s="52">
        <v>15</v>
      </c>
    </row>
    <row r="3164" spans="1:9" ht="15" customHeight="1">
      <c r="A3164" t="str">
        <f ca="1">IF(AND(OFFSET(A3164, -I3164 + 2, 4) &gt;  0, E3164="", Calculations!$B$7), F3164, "")</f>
        <v/>
      </c>
      <c r="B3164">
        <f t="shared" si="1144"/>
        <v>102</v>
      </c>
      <c r="C3164">
        <f t="shared" ca="1" si="1130"/>
        <v>99</v>
      </c>
      <c r="D3164" t="str">
        <f t="shared" si="1145"/>
        <v>P102</v>
      </c>
      <c r="E3164" t="str">
        <f t="shared" ca="1" si="1146"/>
        <v/>
      </c>
      <c r="F3164" t="str">
        <f t="shared" ca="1" si="1147"/>
        <v xml:space="preserve">Enter a 'Acquisition Placed-in-Service Date' for  building 99 in cell P102.
</v>
      </c>
      <c r="G3164" s="9" t="str">
        <f t="shared" ca="1" si="1128"/>
        <v>Enter a value for 'Number of Floors in the Tallest Building' in cell B58.
TRUE</v>
      </c>
      <c r="H3164" s="52" t="str">
        <f t="shared" ca="1" si="1148"/>
        <v>Acquisition Placed-in-Service Date</v>
      </c>
      <c r="I3164" s="52">
        <v>16</v>
      </c>
    </row>
    <row r="3165" spans="1:9" ht="15" customHeight="1">
      <c r="A3165" t="str">
        <f ca="1">IF(AND(OFFSET(A3165, -I3165 + 2, 4) &gt;  0, E3165="", Calculations!$B$7), F3165, "")</f>
        <v/>
      </c>
      <c r="B3165">
        <f t="shared" si="1144"/>
        <v>102</v>
      </c>
      <c r="C3165">
        <f t="shared" ca="1" si="1130"/>
        <v>99</v>
      </c>
      <c r="D3165" t="str">
        <f t="shared" si="1145"/>
        <v>Q102</v>
      </c>
      <c r="E3165" t="str">
        <f t="shared" ca="1" si="1146"/>
        <v/>
      </c>
      <c r="F3165" t="str">
        <f t="shared" ca="1" si="1147"/>
        <v xml:space="preserve">Enter a 'Acquisition APR' for  building 99 in cell Q102.
</v>
      </c>
      <c r="G3165" s="9" t="str">
        <f t="shared" ca="1" si="1128"/>
        <v>Enter a value for 'Number of Floors in the Tallest Building' in cell B58.
TRUE</v>
      </c>
      <c r="H3165" s="52" t="str">
        <f t="shared" ca="1" si="1148"/>
        <v>Acquisition APR</v>
      </c>
      <c r="I3165" s="52">
        <v>17</v>
      </c>
    </row>
    <row r="3166" spans="1:9" ht="15" customHeight="1">
      <c r="A3166" t="str">
        <f t="shared" ref="A3166:A3197" si="1149">IF(E3166&gt;1, F3166, "")</f>
        <v/>
      </c>
      <c r="B3166">
        <f>Calculations!A654</f>
        <v>1</v>
      </c>
      <c r="E3166" s="137">
        <f>Calculations!H654</f>
        <v>0</v>
      </c>
      <c r="F3166" t="str">
        <f t="shared" ref="F3166:F3197" si="1150">CONCATENATE("Low-Income Unit Applicable Fraction canot exceed 100% ensure that total units minus employee units is less than LI units for  building ", B3166, ".", CHAR(10))</f>
        <v xml:space="preserve">Low-Income Unit Applicable Fraction canot exceed 100% ensure that total units minus employee units is less than LI units for  building 1.
</v>
      </c>
      <c r="G3166" s="9" t="str">
        <f t="shared" ca="1" si="1128"/>
        <v>Enter a value for 'Number of Floors in the Tallest Building' in cell B58.
TRUE</v>
      </c>
    </row>
    <row r="3167" spans="1:9" ht="15" customHeight="1">
      <c r="A3167" t="str">
        <f t="shared" si="1149"/>
        <v/>
      </c>
      <c r="B3167">
        <f>Calculations!A655</f>
        <v>2</v>
      </c>
      <c r="E3167" s="137">
        <f>Calculations!H655</f>
        <v>0</v>
      </c>
      <c r="F3167" t="str">
        <f t="shared" si="1150"/>
        <v xml:space="preserve">Low-Income Unit Applicable Fraction canot exceed 100% ensure that total units minus employee units is less than LI units for  building 2.
</v>
      </c>
      <c r="G3167" s="9" t="str">
        <f t="shared" ref="G3167:G3230" ca="1" si="1151">OFFSET(G3167, -1, 0) &amp; A3167</f>
        <v>Enter a value for 'Number of Floors in the Tallest Building' in cell B58.
TRUE</v>
      </c>
    </row>
    <row r="3168" spans="1:9" ht="15" customHeight="1">
      <c r="A3168" t="str">
        <f t="shared" si="1149"/>
        <v/>
      </c>
      <c r="B3168">
        <f>Calculations!A656</f>
        <v>3</v>
      </c>
      <c r="E3168" s="137">
        <f>Calculations!H656</f>
        <v>0</v>
      </c>
      <c r="F3168" t="str">
        <f t="shared" si="1150"/>
        <v xml:space="preserve">Low-Income Unit Applicable Fraction canot exceed 100% ensure that total units minus employee units is less than LI units for  building 3.
</v>
      </c>
      <c r="G3168" s="9" t="str">
        <f t="shared" ca="1" si="1151"/>
        <v>Enter a value for 'Number of Floors in the Tallest Building' in cell B58.
TRUE</v>
      </c>
    </row>
    <row r="3169" spans="1:7" ht="15" customHeight="1">
      <c r="A3169" t="str">
        <f t="shared" si="1149"/>
        <v/>
      </c>
      <c r="B3169">
        <f>Calculations!A657</f>
        <v>4</v>
      </c>
      <c r="E3169" s="137">
        <f>Calculations!H657</f>
        <v>0</v>
      </c>
      <c r="F3169" t="str">
        <f t="shared" si="1150"/>
        <v xml:space="preserve">Low-Income Unit Applicable Fraction canot exceed 100% ensure that total units minus employee units is less than LI units for  building 4.
</v>
      </c>
      <c r="G3169" s="9" t="str">
        <f t="shared" ca="1" si="1151"/>
        <v>Enter a value for 'Number of Floors in the Tallest Building' in cell B58.
TRUE</v>
      </c>
    </row>
    <row r="3170" spans="1:7" ht="15" customHeight="1">
      <c r="A3170" t="str">
        <f t="shared" si="1149"/>
        <v/>
      </c>
      <c r="B3170">
        <f>Calculations!A658</f>
        <v>5</v>
      </c>
      <c r="E3170" s="137">
        <f>Calculations!H658</f>
        <v>0</v>
      </c>
      <c r="F3170" t="str">
        <f t="shared" si="1150"/>
        <v xml:space="preserve">Low-Income Unit Applicable Fraction canot exceed 100% ensure that total units minus employee units is less than LI units for  building 5.
</v>
      </c>
      <c r="G3170" s="9" t="str">
        <f t="shared" ca="1" si="1151"/>
        <v>Enter a value for 'Number of Floors in the Tallest Building' in cell B58.
TRUE</v>
      </c>
    </row>
    <row r="3171" spans="1:7" ht="15" customHeight="1">
      <c r="A3171" t="str">
        <f t="shared" si="1149"/>
        <v/>
      </c>
      <c r="B3171">
        <f>Calculations!A659</f>
        <v>6</v>
      </c>
      <c r="E3171" s="137">
        <f>Calculations!H659</f>
        <v>0</v>
      </c>
      <c r="F3171" t="str">
        <f t="shared" si="1150"/>
        <v xml:space="preserve">Low-Income Unit Applicable Fraction canot exceed 100% ensure that total units minus employee units is less than LI units for  building 6.
</v>
      </c>
      <c r="G3171" s="9" t="str">
        <f t="shared" ca="1" si="1151"/>
        <v>Enter a value for 'Number of Floors in the Tallest Building' in cell B58.
TRUE</v>
      </c>
    </row>
    <row r="3172" spans="1:7" ht="15" customHeight="1">
      <c r="A3172" t="str">
        <f t="shared" si="1149"/>
        <v/>
      </c>
      <c r="B3172">
        <f>Calculations!A660</f>
        <v>7</v>
      </c>
      <c r="E3172" s="137">
        <f>Calculations!H660</f>
        <v>0</v>
      </c>
      <c r="F3172" t="str">
        <f t="shared" si="1150"/>
        <v xml:space="preserve">Low-Income Unit Applicable Fraction canot exceed 100% ensure that total units minus employee units is less than LI units for  building 7.
</v>
      </c>
      <c r="G3172" s="9" t="str">
        <f t="shared" ca="1" si="1151"/>
        <v>Enter a value for 'Number of Floors in the Tallest Building' in cell B58.
TRUE</v>
      </c>
    </row>
    <row r="3173" spans="1:7" ht="15" customHeight="1">
      <c r="A3173" t="str">
        <f t="shared" si="1149"/>
        <v/>
      </c>
      <c r="B3173">
        <f>Calculations!A661</f>
        <v>8</v>
      </c>
      <c r="E3173" s="137">
        <f>Calculations!H661</f>
        <v>0</v>
      </c>
      <c r="F3173" t="str">
        <f t="shared" si="1150"/>
        <v xml:space="preserve">Low-Income Unit Applicable Fraction canot exceed 100% ensure that total units minus employee units is less than LI units for  building 8.
</v>
      </c>
      <c r="G3173" s="9" t="str">
        <f t="shared" ca="1" si="1151"/>
        <v>Enter a value for 'Number of Floors in the Tallest Building' in cell B58.
TRUE</v>
      </c>
    </row>
    <row r="3174" spans="1:7" ht="15" customHeight="1">
      <c r="A3174" t="str">
        <f t="shared" si="1149"/>
        <v/>
      </c>
      <c r="B3174">
        <f>Calculations!A662</f>
        <v>9</v>
      </c>
      <c r="E3174" s="137">
        <f>Calculations!H662</f>
        <v>0</v>
      </c>
      <c r="F3174" t="str">
        <f t="shared" si="1150"/>
        <v xml:space="preserve">Low-Income Unit Applicable Fraction canot exceed 100% ensure that total units minus employee units is less than LI units for  building 9.
</v>
      </c>
      <c r="G3174" s="9" t="str">
        <f t="shared" ca="1" si="1151"/>
        <v>Enter a value for 'Number of Floors in the Tallest Building' in cell B58.
TRUE</v>
      </c>
    </row>
    <row r="3175" spans="1:7" ht="15" customHeight="1">
      <c r="A3175" t="str">
        <f t="shared" si="1149"/>
        <v/>
      </c>
      <c r="B3175">
        <f>Calculations!A663</f>
        <v>10</v>
      </c>
      <c r="E3175" s="137">
        <f>Calculations!H663</f>
        <v>0</v>
      </c>
      <c r="F3175" t="str">
        <f t="shared" si="1150"/>
        <v xml:space="preserve">Low-Income Unit Applicable Fraction canot exceed 100% ensure that total units minus employee units is less than LI units for  building 10.
</v>
      </c>
      <c r="G3175" s="9" t="str">
        <f t="shared" ca="1" si="1151"/>
        <v>Enter a value for 'Number of Floors in the Tallest Building' in cell B58.
TRUE</v>
      </c>
    </row>
    <row r="3176" spans="1:7" ht="15" customHeight="1">
      <c r="A3176" t="str">
        <f t="shared" si="1149"/>
        <v/>
      </c>
      <c r="B3176">
        <f>Calculations!A664</f>
        <v>11</v>
      </c>
      <c r="E3176" s="137">
        <f>Calculations!H664</f>
        <v>0</v>
      </c>
      <c r="F3176" t="str">
        <f t="shared" si="1150"/>
        <v xml:space="preserve">Low-Income Unit Applicable Fraction canot exceed 100% ensure that total units minus employee units is less than LI units for  building 11.
</v>
      </c>
      <c r="G3176" s="9" t="str">
        <f t="shared" ca="1" si="1151"/>
        <v>Enter a value for 'Number of Floors in the Tallest Building' in cell B58.
TRUE</v>
      </c>
    </row>
    <row r="3177" spans="1:7" ht="15" customHeight="1">
      <c r="A3177" t="str">
        <f t="shared" si="1149"/>
        <v/>
      </c>
      <c r="B3177">
        <f>Calculations!A665</f>
        <v>12</v>
      </c>
      <c r="E3177" s="137">
        <f>Calculations!H665</f>
        <v>0</v>
      </c>
      <c r="F3177" t="str">
        <f t="shared" si="1150"/>
        <v xml:space="preserve">Low-Income Unit Applicable Fraction canot exceed 100% ensure that total units minus employee units is less than LI units for  building 12.
</v>
      </c>
      <c r="G3177" s="9" t="str">
        <f t="shared" ca="1" si="1151"/>
        <v>Enter a value for 'Number of Floors in the Tallest Building' in cell B58.
TRUE</v>
      </c>
    </row>
    <row r="3178" spans="1:7" ht="15" customHeight="1">
      <c r="A3178" t="str">
        <f t="shared" si="1149"/>
        <v/>
      </c>
      <c r="B3178">
        <f>Calculations!A666</f>
        <v>13</v>
      </c>
      <c r="E3178" s="137">
        <f>Calculations!H666</f>
        <v>0</v>
      </c>
      <c r="F3178" t="str">
        <f t="shared" si="1150"/>
        <v xml:space="preserve">Low-Income Unit Applicable Fraction canot exceed 100% ensure that total units minus employee units is less than LI units for  building 13.
</v>
      </c>
      <c r="G3178" s="9" t="str">
        <f t="shared" ca="1" si="1151"/>
        <v>Enter a value for 'Number of Floors in the Tallest Building' in cell B58.
TRUE</v>
      </c>
    </row>
    <row r="3179" spans="1:7" ht="15" customHeight="1">
      <c r="A3179" t="str">
        <f t="shared" si="1149"/>
        <v/>
      </c>
      <c r="B3179">
        <f>Calculations!A667</f>
        <v>14</v>
      </c>
      <c r="E3179" s="137">
        <f>Calculations!H667</f>
        <v>0</v>
      </c>
      <c r="F3179" t="str">
        <f t="shared" si="1150"/>
        <v xml:space="preserve">Low-Income Unit Applicable Fraction canot exceed 100% ensure that total units minus employee units is less than LI units for  building 14.
</v>
      </c>
      <c r="G3179" s="9" t="str">
        <f t="shared" ca="1" si="1151"/>
        <v>Enter a value for 'Number of Floors in the Tallest Building' in cell B58.
TRUE</v>
      </c>
    </row>
    <row r="3180" spans="1:7" ht="15" customHeight="1">
      <c r="A3180" t="str">
        <f t="shared" si="1149"/>
        <v/>
      </c>
      <c r="B3180">
        <f>Calculations!A668</f>
        <v>15</v>
      </c>
      <c r="E3180" s="137">
        <f>Calculations!H668</f>
        <v>0</v>
      </c>
      <c r="F3180" t="str">
        <f t="shared" si="1150"/>
        <v xml:space="preserve">Low-Income Unit Applicable Fraction canot exceed 100% ensure that total units minus employee units is less than LI units for  building 15.
</v>
      </c>
      <c r="G3180" s="9" t="str">
        <f t="shared" ca="1" si="1151"/>
        <v>Enter a value for 'Number of Floors in the Tallest Building' in cell B58.
TRUE</v>
      </c>
    </row>
    <row r="3181" spans="1:7" ht="15" customHeight="1">
      <c r="A3181" t="str">
        <f t="shared" si="1149"/>
        <v/>
      </c>
      <c r="B3181">
        <f>Calculations!A669</f>
        <v>16</v>
      </c>
      <c r="E3181" s="137">
        <f>Calculations!H669</f>
        <v>0</v>
      </c>
      <c r="F3181" t="str">
        <f t="shared" si="1150"/>
        <v xml:space="preserve">Low-Income Unit Applicable Fraction canot exceed 100% ensure that total units minus employee units is less than LI units for  building 16.
</v>
      </c>
      <c r="G3181" s="9" t="str">
        <f t="shared" ca="1" si="1151"/>
        <v>Enter a value for 'Number of Floors in the Tallest Building' in cell B58.
TRUE</v>
      </c>
    </row>
    <row r="3182" spans="1:7" ht="15" customHeight="1">
      <c r="A3182" t="str">
        <f t="shared" si="1149"/>
        <v/>
      </c>
      <c r="B3182">
        <f>Calculations!A670</f>
        <v>17</v>
      </c>
      <c r="E3182" s="137">
        <f>Calculations!H670</f>
        <v>0</v>
      </c>
      <c r="F3182" t="str">
        <f t="shared" si="1150"/>
        <v xml:space="preserve">Low-Income Unit Applicable Fraction canot exceed 100% ensure that total units minus employee units is less than LI units for  building 17.
</v>
      </c>
      <c r="G3182" s="9" t="str">
        <f t="shared" ca="1" si="1151"/>
        <v>Enter a value for 'Number of Floors in the Tallest Building' in cell B58.
TRUE</v>
      </c>
    </row>
    <row r="3183" spans="1:7" ht="15" customHeight="1">
      <c r="A3183" t="str">
        <f t="shared" si="1149"/>
        <v/>
      </c>
      <c r="B3183">
        <f>Calculations!A671</f>
        <v>18</v>
      </c>
      <c r="E3183" s="137">
        <f>Calculations!H671</f>
        <v>0</v>
      </c>
      <c r="F3183" t="str">
        <f t="shared" si="1150"/>
        <v xml:space="preserve">Low-Income Unit Applicable Fraction canot exceed 100% ensure that total units minus employee units is less than LI units for  building 18.
</v>
      </c>
      <c r="G3183" s="9" t="str">
        <f t="shared" ca="1" si="1151"/>
        <v>Enter a value for 'Number of Floors in the Tallest Building' in cell B58.
TRUE</v>
      </c>
    </row>
    <row r="3184" spans="1:7" ht="15" customHeight="1">
      <c r="A3184" t="str">
        <f t="shared" si="1149"/>
        <v/>
      </c>
      <c r="B3184">
        <f>Calculations!A672</f>
        <v>19</v>
      </c>
      <c r="E3184" s="137">
        <f>Calculations!H672</f>
        <v>0</v>
      </c>
      <c r="F3184" t="str">
        <f t="shared" si="1150"/>
        <v xml:space="preserve">Low-Income Unit Applicable Fraction canot exceed 100% ensure that total units minus employee units is less than LI units for  building 19.
</v>
      </c>
      <c r="G3184" s="9" t="str">
        <f t="shared" ca="1" si="1151"/>
        <v>Enter a value for 'Number of Floors in the Tallest Building' in cell B58.
TRUE</v>
      </c>
    </row>
    <row r="3185" spans="1:7" ht="15" customHeight="1">
      <c r="A3185" t="str">
        <f t="shared" si="1149"/>
        <v/>
      </c>
      <c r="B3185">
        <f>Calculations!A673</f>
        <v>20</v>
      </c>
      <c r="E3185" s="137">
        <f>Calculations!H673</f>
        <v>0</v>
      </c>
      <c r="F3185" t="str">
        <f t="shared" si="1150"/>
        <v xml:space="preserve">Low-Income Unit Applicable Fraction canot exceed 100% ensure that total units minus employee units is less than LI units for  building 20.
</v>
      </c>
      <c r="G3185" s="9" t="str">
        <f t="shared" ca="1" si="1151"/>
        <v>Enter a value for 'Number of Floors in the Tallest Building' in cell B58.
TRUE</v>
      </c>
    </row>
    <row r="3186" spans="1:7" ht="15" customHeight="1">
      <c r="A3186" t="str">
        <f t="shared" si="1149"/>
        <v/>
      </c>
      <c r="B3186">
        <f>Calculations!A674</f>
        <v>21</v>
      </c>
      <c r="E3186" s="137">
        <f>Calculations!H674</f>
        <v>0</v>
      </c>
      <c r="F3186" t="str">
        <f t="shared" si="1150"/>
        <v xml:space="preserve">Low-Income Unit Applicable Fraction canot exceed 100% ensure that total units minus employee units is less than LI units for  building 21.
</v>
      </c>
      <c r="G3186" s="9" t="str">
        <f t="shared" ca="1" si="1151"/>
        <v>Enter a value for 'Number of Floors in the Tallest Building' in cell B58.
TRUE</v>
      </c>
    </row>
    <row r="3187" spans="1:7" ht="15" customHeight="1">
      <c r="A3187" t="str">
        <f t="shared" si="1149"/>
        <v/>
      </c>
      <c r="B3187">
        <f>Calculations!A675</f>
        <v>22</v>
      </c>
      <c r="E3187" s="137">
        <f>Calculations!H675</f>
        <v>0</v>
      </c>
      <c r="F3187" t="str">
        <f t="shared" si="1150"/>
        <v xml:space="preserve">Low-Income Unit Applicable Fraction canot exceed 100% ensure that total units minus employee units is less than LI units for  building 22.
</v>
      </c>
      <c r="G3187" s="9" t="str">
        <f t="shared" ca="1" si="1151"/>
        <v>Enter a value for 'Number of Floors in the Tallest Building' in cell B58.
TRUE</v>
      </c>
    </row>
    <row r="3188" spans="1:7" ht="15" customHeight="1">
      <c r="A3188" t="str">
        <f t="shared" si="1149"/>
        <v/>
      </c>
      <c r="B3188">
        <f>Calculations!A676</f>
        <v>23</v>
      </c>
      <c r="E3188" s="137">
        <f>Calculations!H676</f>
        <v>0</v>
      </c>
      <c r="F3188" t="str">
        <f t="shared" si="1150"/>
        <v xml:space="preserve">Low-Income Unit Applicable Fraction canot exceed 100% ensure that total units minus employee units is less than LI units for  building 23.
</v>
      </c>
      <c r="G3188" s="9" t="str">
        <f t="shared" ca="1" si="1151"/>
        <v>Enter a value for 'Number of Floors in the Tallest Building' in cell B58.
TRUE</v>
      </c>
    </row>
    <row r="3189" spans="1:7" ht="15" customHeight="1">
      <c r="A3189" t="str">
        <f t="shared" si="1149"/>
        <v/>
      </c>
      <c r="B3189">
        <f>Calculations!A677</f>
        <v>24</v>
      </c>
      <c r="E3189" s="137">
        <f>Calculations!H677</f>
        <v>0</v>
      </c>
      <c r="F3189" t="str">
        <f t="shared" si="1150"/>
        <v xml:space="preserve">Low-Income Unit Applicable Fraction canot exceed 100% ensure that total units minus employee units is less than LI units for  building 24.
</v>
      </c>
      <c r="G3189" s="9" t="str">
        <f t="shared" ca="1" si="1151"/>
        <v>Enter a value for 'Number of Floors in the Tallest Building' in cell B58.
TRUE</v>
      </c>
    </row>
    <row r="3190" spans="1:7" ht="15" customHeight="1">
      <c r="A3190" t="str">
        <f t="shared" si="1149"/>
        <v/>
      </c>
      <c r="B3190">
        <f>Calculations!A678</f>
        <v>25</v>
      </c>
      <c r="E3190" s="137">
        <f>Calculations!H678</f>
        <v>0</v>
      </c>
      <c r="F3190" t="str">
        <f t="shared" si="1150"/>
        <v xml:space="preserve">Low-Income Unit Applicable Fraction canot exceed 100% ensure that total units minus employee units is less than LI units for  building 25.
</v>
      </c>
      <c r="G3190" s="9" t="str">
        <f t="shared" ca="1" si="1151"/>
        <v>Enter a value for 'Number of Floors in the Tallest Building' in cell B58.
TRUE</v>
      </c>
    </row>
    <row r="3191" spans="1:7" ht="15" customHeight="1">
      <c r="A3191" t="str">
        <f t="shared" si="1149"/>
        <v/>
      </c>
      <c r="B3191">
        <f>Calculations!A679</f>
        <v>26</v>
      </c>
      <c r="E3191" s="137">
        <f>Calculations!H679</f>
        <v>0</v>
      </c>
      <c r="F3191" t="str">
        <f t="shared" si="1150"/>
        <v xml:space="preserve">Low-Income Unit Applicable Fraction canot exceed 100% ensure that total units minus employee units is less than LI units for  building 26.
</v>
      </c>
      <c r="G3191" s="9" t="str">
        <f t="shared" ca="1" si="1151"/>
        <v>Enter a value for 'Number of Floors in the Tallest Building' in cell B58.
TRUE</v>
      </c>
    </row>
    <row r="3192" spans="1:7" ht="15" customHeight="1">
      <c r="A3192" t="str">
        <f t="shared" si="1149"/>
        <v/>
      </c>
      <c r="B3192">
        <f>Calculations!A680</f>
        <v>27</v>
      </c>
      <c r="E3192" s="137">
        <f>Calculations!H680</f>
        <v>0</v>
      </c>
      <c r="F3192" t="str">
        <f t="shared" si="1150"/>
        <v xml:space="preserve">Low-Income Unit Applicable Fraction canot exceed 100% ensure that total units minus employee units is less than LI units for  building 27.
</v>
      </c>
      <c r="G3192" s="9" t="str">
        <f t="shared" ca="1" si="1151"/>
        <v>Enter a value for 'Number of Floors in the Tallest Building' in cell B58.
TRUE</v>
      </c>
    </row>
    <row r="3193" spans="1:7" ht="15" customHeight="1">
      <c r="A3193" t="str">
        <f t="shared" si="1149"/>
        <v/>
      </c>
      <c r="B3193">
        <f>Calculations!A681</f>
        <v>28</v>
      </c>
      <c r="E3193" s="137">
        <f>Calculations!H681</f>
        <v>0</v>
      </c>
      <c r="F3193" t="str">
        <f t="shared" si="1150"/>
        <v xml:space="preserve">Low-Income Unit Applicable Fraction canot exceed 100% ensure that total units minus employee units is less than LI units for  building 28.
</v>
      </c>
      <c r="G3193" s="9" t="str">
        <f t="shared" ca="1" si="1151"/>
        <v>Enter a value for 'Number of Floors in the Tallest Building' in cell B58.
TRUE</v>
      </c>
    </row>
    <row r="3194" spans="1:7" ht="15" customHeight="1">
      <c r="A3194" t="str">
        <f t="shared" si="1149"/>
        <v/>
      </c>
      <c r="B3194">
        <f>Calculations!A682</f>
        <v>29</v>
      </c>
      <c r="E3194" s="137">
        <f>Calculations!H682</f>
        <v>0</v>
      </c>
      <c r="F3194" t="str">
        <f t="shared" si="1150"/>
        <v xml:space="preserve">Low-Income Unit Applicable Fraction canot exceed 100% ensure that total units minus employee units is less than LI units for  building 29.
</v>
      </c>
      <c r="G3194" s="9" t="str">
        <f t="shared" ca="1" si="1151"/>
        <v>Enter a value for 'Number of Floors in the Tallest Building' in cell B58.
TRUE</v>
      </c>
    </row>
    <row r="3195" spans="1:7" ht="15" customHeight="1">
      <c r="A3195" t="str">
        <f t="shared" si="1149"/>
        <v/>
      </c>
      <c r="B3195">
        <f>Calculations!A683</f>
        <v>30</v>
      </c>
      <c r="E3195" s="137">
        <f>Calculations!H683</f>
        <v>0</v>
      </c>
      <c r="F3195" t="str">
        <f t="shared" si="1150"/>
        <v xml:space="preserve">Low-Income Unit Applicable Fraction canot exceed 100% ensure that total units minus employee units is less than LI units for  building 30.
</v>
      </c>
      <c r="G3195" s="9" t="str">
        <f t="shared" ca="1" si="1151"/>
        <v>Enter a value for 'Number of Floors in the Tallest Building' in cell B58.
TRUE</v>
      </c>
    </row>
    <row r="3196" spans="1:7" ht="15" customHeight="1">
      <c r="A3196" t="str">
        <f t="shared" si="1149"/>
        <v/>
      </c>
      <c r="B3196">
        <f>Calculations!A684</f>
        <v>31</v>
      </c>
      <c r="E3196" s="137">
        <f>Calculations!H684</f>
        <v>0</v>
      </c>
      <c r="F3196" t="str">
        <f t="shared" si="1150"/>
        <v xml:space="preserve">Low-Income Unit Applicable Fraction canot exceed 100% ensure that total units minus employee units is less than LI units for  building 31.
</v>
      </c>
      <c r="G3196" s="9" t="str">
        <f t="shared" ca="1" si="1151"/>
        <v>Enter a value for 'Number of Floors in the Tallest Building' in cell B58.
TRUE</v>
      </c>
    </row>
    <row r="3197" spans="1:7" ht="15" customHeight="1">
      <c r="A3197" t="str">
        <f t="shared" si="1149"/>
        <v/>
      </c>
      <c r="B3197">
        <f>Calculations!A685</f>
        <v>32</v>
      </c>
      <c r="E3197" s="137">
        <f>Calculations!H685</f>
        <v>0</v>
      </c>
      <c r="F3197" t="str">
        <f t="shared" si="1150"/>
        <v xml:space="preserve">Low-Income Unit Applicable Fraction canot exceed 100% ensure that total units minus employee units is less than LI units for  building 32.
</v>
      </c>
      <c r="G3197" s="9" t="str">
        <f t="shared" ca="1" si="1151"/>
        <v>Enter a value for 'Number of Floors in the Tallest Building' in cell B58.
TRUE</v>
      </c>
    </row>
    <row r="3198" spans="1:7" ht="15" customHeight="1">
      <c r="A3198" t="str">
        <f t="shared" ref="A3198:A3229" si="1152">IF(E3198&gt;1, F3198, "")</f>
        <v/>
      </c>
      <c r="B3198">
        <f>Calculations!A686</f>
        <v>33</v>
      </c>
      <c r="E3198" s="137">
        <f>Calculations!H686</f>
        <v>0</v>
      </c>
      <c r="F3198" t="str">
        <f t="shared" ref="F3198:F3229" si="1153">CONCATENATE("Low-Income Unit Applicable Fraction canot exceed 100% ensure that total units minus employee units is less than LI units for  building ", B3198, ".", CHAR(10))</f>
        <v xml:space="preserve">Low-Income Unit Applicable Fraction canot exceed 100% ensure that total units minus employee units is less than LI units for  building 33.
</v>
      </c>
      <c r="G3198" s="9" t="str">
        <f t="shared" ca="1" si="1151"/>
        <v>Enter a value for 'Number of Floors in the Tallest Building' in cell B58.
TRUE</v>
      </c>
    </row>
    <row r="3199" spans="1:7" ht="15" customHeight="1">
      <c r="A3199" t="str">
        <f t="shared" si="1152"/>
        <v/>
      </c>
      <c r="B3199">
        <f>Calculations!A687</f>
        <v>34</v>
      </c>
      <c r="E3199" s="137">
        <f>Calculations!H687</f>
        <v>0</v>
      </c>
      <c r="F3199" t="str">
        <f t="shared" si="1153"/>
        <v xml:space="preserve">Low-Income Unit Applicable Fraction canot exceed 100% ensure that total units minus employee units is less than LI units for  building 34.
</v>
      </c>
      <c r="G3199" s="9" t="str">
        <f t="shared" ca="1" si="1151"/>
        <v>Enter a value for 'Number of Floors in the Tallest Building' in cell B58.
TRUE</v>
      </c>
    </row>
    <row r="3200" spans="1:7" ht="15" customHeight="1">
      <c r="A3200" t="str">
        <f t="shared" si="1152"/>
        <v/>
      </c>
      <c r="B3200">
        <f>Calculations!A688</f>
        <v>35</v>
      </c>
      <c r="E3200" s="137">
        <f>Calculations!H688</f>
        <v>0</v>
      </c>
      <c r="F3200" t="str">
        <f t="shared" si="1153"/>
        <v xml:space="preserve">Low-Income Unit Applicable Fraction canot exceed 100% ensure that total units minus employee units is less than LI units for  building 35.
</v>
      </c>
      <c r="G3200" s="9" t="str">
        <f t="shared" ca="1" si="1151"/>
        <v>Enter a value for 'Number of Floors in the Tallest Building' in cell B58.
TRUE</v>
      </c>
    </row>
    <row r="3201" spans="1:7" ht="15" customHeight="1">
      <c r="A3201" t="str">
        <f t="shared" si="1152"/>
        <v/>
      </c>
      <c r="B3201">
        <f>Calculations!A689</f>
        <v>36</v>
      </c>
      <c r="E3201" s="137">
        <f>Calculations!H689</f>
        <v>0</v>
      </c>
      <c r="F3201" t="str">
        <f t="shared" si="1153"/>
        <v xml:space="preserve">Low-Income Unit Applicable Fraction canot exceed 100% ensure that total units minus employee units is less than LI units for  building 36.
</v>
      </c>
      <c r="G3201" s="9" t="str">
        <f t="shared" ca="1" si="1151"/>
        <v>Enter a value for 'Number of Floors in the Tallest Building' in cell B58.
TRUE</v>
      </c>
    </row>
    <row r="3202" spans="1:7" ht="15" customHeight="1">
      <c r="A3202" t="str">
        <f t="shared" si="1152"/>
        <v/>
      </c>
      <c r="B3202">
        <f>Calculations!A690</f>
        <v>37</v>
      </c>
      <c r="E3202" s="137">
        <f>Calculations!H690</f>
        <v>0</v>
      </c>
      <c r="F3202" t="str">
        <f t="shared" si="1153"/>
        <v xml:space="preserve">Low-Income Unit Applicable Fraction canot exceed 100% ensure that total units minus employee units is less than LI units for  building 37.
</v>
      </c>
      <c r="G3202" s="9" t="str">
        <f t="shared" ca="1" si="1151"/>
        <v>Enter a value for 'Number of Floors in the Tallest Building' in cell B58.
TRUE</v>
      </c>
    </row>
    <row r="3203" spans="1:7" ht="15" customHeight="1">
      <c r="A3203" t="str">
        <f t="shared" si="1152"/>
        <v/>
      </c>
      <c r="B3203">
        <f>Calculations!A691</f>
        <v>38</v>
      </c>
      <c r="E3203" s="137">
        <f>Calculations!H691</f>
        <v>0</v>
      </c>
      <c r="F3203" t="str">
        <f t="shared" si="1153"/>
        <v xml:space="preserve">Low-Income Unit Applicable Fraction canot exceed 100% ensure that total units minus employee units is less than LI units for  building 38.
</v>
      </c>
      <c r="G3203" s="9" t="str">
        <f t="shared" ca="1" si="1151"/>
        <v>Enter a value for 'Number of Floors in the Tallest Building' in cell B58.
TRUE</v>
      </c>
    </row>
    <row r="3204" spans="1:7" ht="15" customHeight="1">
      <c r="A3204" t="str">
        <f t="shared" si="1152"/>
        <v/>
      </c>
      <c r="B3204">
        <f>Calculations!A692</f>
        <v>39</v>
      </c>
      <c r="E3204" s="137">
        <f>Calculations!H692</f>
        <v>0</v>
      </c>
      <c r="F3204" t="str">
        <f t="shared" si="1153"/>
        <v xml:space="preserve">Low-Income Unit Applicable Fraction canot exceed 100% ensure that total units minus employee units is less than LI units for  building 39.
</v>
      </c>
      <c r="G3204" s="9" t="str">
        <f t="shared" ca="1" si="1151"/>
        <v>Enter a value for 'Number of Floors in the Tallest Building' in cell B58.
TRUE</v>
      </c>
    </row>
    <row r="3205" spans="1:7" ht="15" customHeight="1">
      <c r="A3205" t="str">
        <f t="shared" si="1152"/>
        <v/>
      </c>
      <c r="B3205">
        <f>Calculations!A693</f>
        <v>40</v>
      </c>
      <c r="E3205" s="137">
        <f>Calculations!H693</f>
        <v>0</v>
      </c>
      <c r="F3205" t="str">
        <f t="shared" si="1153"/>
        <v xml:space="preserve">Low-Income Unit Applicable Fraction canot exceed 100% ensure that total units minus employee units is less than LI units for  building 40.
</v>
      </c>
      <c r="G3205" s="9" t="str">
        <f t="shared" ca="1" si="1151"/>
        <v>Enter a value for 'Number of Floors in the Tallest Building' in cell B58.
TRUE</v>
      </c>
    </row>
    <row r="3206" spans="1:7" ht="15" customHeight="1">
      <c r="A3206" t="str">
        <f t="shared" si="1152"/>
        <v/>
      </c>
      <c r="B3206">
        <f>Calculations!A694</f>
        <v>41</v>
      </c>
      <c r="E3206" s="137">
        <f>Calculations!H694</f>
        <v>0</v>
      </c>
      <c r="F3206" t="str">
        <f t="shared" si="1153"/>
        <v xml:space="preserve">Low-Income Unit Applicable Fraction canot exceed 100% ensure that total units minus employee units is less than LI units for  building 41.
</v>
      </c>
      <c r="G3206" s="9" t="str">
        <f t="shared" ca="1" si="1151"/>
        <v>Enter a value for 'Number of Floors in the Tallest Building' in cell B58.
TRUE</v>
      </c>
    </row>
    <row r="3207" spans="1:7" ht="15" customHeight="1">
      <c r="A3207" t="str">
        <f t="shared" si="1152"/>
        <v/>
      </c>
      <c r="B3207">
        <f>Calculations!A695</f>
        <v>42</v>
      </c>
      <c r="E3207" s="137">
        <f>Calculations!H695</f>
        <v>0</v>
      </c>
      <c r="F3207" t="str">
        <f t="shared" si="1153"/>
        <v xml:space="preserve">Low-Income Unit Applicable Fraction canot exceed 100% ensure that total units minus employee units is less than LI units for  building 42.
</v>
      </c>
      <c r="G3207" s="9" t="str">
        <f t="shared" ca="1" si="1151"/>
        <v>Enter a value for 'Number of Floors in the Tallest Building' in cell B58.
TRUE</v>
      </c>
    </row>
    <row r="3208" spans="1:7" ht="15" customHeight="1">
      <c r="A3208" t="str">
        <f t="shared" si="1152"/>
        <v/>
      </c>
      <c r="B3208">
        <f>Calculations!A696</f>
        <v>43</v>
      </c>
      <c r="E3208" s="137">
        <f>Calculations!H696</f>
        <v>0</v>
      </c>
      <c r="F3208" t="str">
        <f t="shared" si="1153"/>
        <v xml:space="preserve">Low-Income Unit Applicable Fraction canot exceed 100% ensure that total units minus employee units is less than LI units for  building 43.
</v>
      </c>
      <c r="G3208" s="9" t="str">
        <f t="shared" ca="1" si="1151"/>
        <v>Enter a value for 'Number of Floors in the Tallest Building' in cell B58.
TRUE</v>
      </c>
    </row>
    <row r="3209" spans="1:7" ht="15" customHeight="1">
      <c r="A3209" t="str">
        <f t="shared" si="1152"/>
        <v/>
      </c>
      <c r="B3209">
        <f>Calculations!A697</f>
        <v>44</v>
      </c>
      <c r="E3209" s="137">
        <f>Calculations!H697</f>
        <v>0</v>
      </c>
      <c r="F3209" t="str">
        <f t="shared" si="1153"/>
        <v xml:space="preserve">Low-Income Unit Applicable Fraction canot exceed 100% ensure that total units minus employee units is less than LI units for  building 44.
</v>
      </c>
      <c r="G3209" s="9" t="str">
        <f t="shared" ca="1" si="1151"/>
        <v>Enter a value for 'Number of Floors in the Tallest Building' in cell B58.
TRUE</v>
      </c>
    </row>
    <row r="3210" spans="1:7" ht="15" customHeight="1">
      <c r="A3210" t="str">
        <f t="shared" si="1152"/>
        <v/>
      </c>
      <c r="B3210">
        <f>Calculations!A698</f>
        <v>45</v>
      </c>
      <c r="E3210" s="137">
        <f>Calculations!H698</f>
        <v>0</v>
      </c>
      <c r="F3210" t="str">
        <f t="shared" si="1153"/>
        <v xml:space="preserve">Low-Income Unit Applicable Fraction canot exceed 100% ensure that total units minus employee units is less than LI units for  building 45.
</v>
      </c>
      <c r="G3210" s="9" t="str">
        <f t="shared" ca="1" si="1151"/>
        <v>Enter a value for 'Number of Floors in the Tallest Building' in cell B58.
TRUE</v>
      </c>
    </row>
    <row r="3211" spans="1:7" ht="15" customHeight="1">
      <c r="A3211" t="str">
        <f t="shared" si="1152"/>
        <v/>
      </c>
      <c r="B3211">
        <f>Calculations!A699</f>
        <v>46</v>
      </c>
      <c r="E3211" s="137">
        <f>Calculations!H699</f>
        <v>0</v>
      </c>
      <c r="F3211" t="str">
        <f t="shared" si="1153"/>
        <v xml:space="preserve">Low-Income Unit Applicable Fraction canot exceed 100% ensure that total units minus employee units is less than LI units for  building 46.
</v>
      </c>
      <c r="G3211" s="9" t="str">
        <f t="shared" ca="1" si="1151"/>
        <v>Enter a value for 'Number of Floors in the Tallest Building' in cell B58.
TRUE</v>
      </c>
    </row>
    <row r="3212" spans="1:7" ht="15" customHeight="1">
      <c r="A3212" t="str">
        <f t="shared" si="1152"/>
        <v/>
      </c>
      <c r="B3212">
        <f>Calculations!A700</f>
        <v>47</v>
      </c>
      <c r="E3212" s="137">
        <f>Calculations!H700</f>
        <v>0</v>
      </c>
      <c r="F3212" t="str">
        <f t="shared" si="1153"/>
        <v xml:space="preserve">Low-Income Unit Applicable Fraction canot exceed 100% ensure that total units minus employee units is less than LI units for  building 47.
</v>
      </c>
      <c r="G3212" s="9" t="str">
        <f t="shared" ca="1" si="1151"/>
        <v>Enter a value for 'Number of Floors in the Tallest Building' in cell B58.
TRUE</v>
      </c>
    </row>
    <row r="3213" spans="1:7" ht="15" customHeight="1">
      <c r="A3213" t="str">
        <f t="shared" si="1152"/>
        <v/>
      </c>
      <c r="B3213">
        <f>Calculations!A701</f>
        <v>48</v>
      </c>
      <c r="E3213" s="137">
        <f>Calculations!H701</f>
        <v>0</v>
      </c>
      <c r="F3213" t="str">
        <f t="shared" si="1153"/>
        <v xml:space="preserve">Low-Income Unit Applicable Fraction canot exceed 100% ensure that total units minus employee units is less than LI units for  building 48.
</v>
      </c>
      <c r="G3213" s="9" t="str">
        <f t="shared" ca="1" si="1151"/>
        <v>Enter a value for 'Number of Floors in the Tallest Building' in cell B58.
TRUE</v>
      </c>
    </row>
    <row r="3214" spans="1:7" ht="15" customHeight="1">
      <c r="A3214" t="str">
        <f t="shared" si="1152"/>
        <v/>
      </c>
      <c r="B3214">
        <f>Calculations!A702</f>
        <v>49</v>
      </c>
      <c r="E3214" s="137">
        <f>Calculations!H702</f>
        <v>0</v>
      </c>
      <c r="F3214" t="str">
        <f t="shared" si="1153"/>
        <v xml:space="preserve">Low-Income Unit Applicable Fraction canot exceed 100% ensure that total units minus employee units is less than LI units for  building 49.
</v>
      </c>
      <c r="G3214" s="9" t="str">
        <f t="shared" ca="1" si="1151"/>
        <v>Enter a value for 'Number of Floors in the Tallest Building' in cell B58.
TRUE</v>
      </c>
    </row>
    <row r="3215" spans="1:7" ht="15" customHeight="1">
      <c r="A3215" t="str">
        <f t="shared" si="1152"/>
        <v/>
      </c>
      <c r="B3215">
        <f>Calculations!A703</f>
        <v>50</v>
      </c>
      <c r="E3215" s="137">
        <f>Calculations!H703</f>
        <v>0</v>
      </c>
      <c r="F3215" t="str">
        <f t="shared" si="1153"/>
        <v xml:space="preserve">Low-Income Unit Applicable Fraction canot exceed 100% ensure that total units minus employee units is less than LI units for  building 50.
</v>
      </c>
      <c r="G3215" s="9" t="str">
        <f t="shared" ca="1" si="1151"/>
        <v>Enter a value for 'Number of Floors in the Tallest Building' in cell B58.
TRUE</v>
      </c>
    </row>
    <row r="3216" spans="1:7" ht="15" customHeight="1">
      <c r="A3216" t="str">
        <f t="shared" si="1152"/>
        <v/>
      </c>
      <c r="B3216">
        <f>Calculations!A704</f>
        <v>51</v>
      </c>
      <c r="E3216" s="137">
        <f>Calculations!H704</f>
        <v>0</v>
      </c>
      <c r="F3216" t="str">
        <f t="shared" si="1153"/>
        <v xml:space="preserve">Low-Income Unit Applicable Fraction canot exceed 100% ensure that total units minus employee units is less than LI units for  building 51.
</v>
      </c>
      <c r="G3216" s="9" t="str">
        <f t="shared" ca="1" si="1151"/>
        <v>Enter a value for 'Number of Floors in the Tallest Building' in cell B58.
TRUE</v>
      </c>
    </row>
    <row r="3217" spans="1:7" ht="15" customHeight="1">
      <c r="A3217" t="str">
        <f t="shared" si="1152"/>
        <v/>
      </c>
      <c r="B3217">
        <f>Calculations!A705</f>
        <v>52</v>
      </c>
      <c r="E3217" s="137">
        <f>Calculations!H705</f>
        <v>0</v>
      </c>
      <c r="F3217" t="str">
        <f t="shared" si="1153"/>
        <v xml:space="preserve">Low-Income Unit Applicable Fraction canot exceed 100% ensure that total units minus employee units is less than LI units for  building 52.
</v>
      </c>
      <c r="G3217" s="9" t="str">
        <f t="shared" ca="1" si="1151"/>
        <v>Enter a value for 'Number of Floors in the Tallest Building' in cell B58.
TRUE</v>
      </c>
    </row>
    <row r="3218" spans="1:7" ht="15" customHeight="1">
      <c r="A3218" t="str">
        <f t="shared" si="1152"/>
        <v/>
      </c>
      <c r="B3218">
        <f>Calculations!A706</f>
        <v>53</v>
      </c>
      <c r="E3218" s="137">
        <f>Calculations!H706</f>
        <v>0</v>
      </c>
      <c r="F3218" t="str">
        <f t="shared" si="1153"/>
        <v xml:space="preserve">Low-Income Unit Applicable Fraction canot exceed 100% ensure that total units minus employee units is less than LI units for  building 53.
</v>
      </c>
      <c r="G3218" s="9" t="str">
        <f t="shared" ca="1" si="1151"/>
        <v>Enter a value for 'Number of Floors in the Tallest Building' in cell B58.
TRUE</v>
      </c>
    </row>
    <row r="3219" spans="1:7" ht="15" customHeight="1">
      <c r="A3219" t="str">
        <f t="shared" si="1152"/>
        <v/>
      </c>
      <c r="B3219">
        <f>Calculations!A707</f>
        <v>54</v>
      </c>
      <c r="E3219" s="137">
        <f>Calculations!H707</f>
        <v>0</v>
      </c>
      <c r="F3219" t="str">
        <f t="shared" si="1153"/>
        <v xml:space="preserve">Low-Income Unit Applicable Fraction canot exceed 100% ensure that total units minus employee units is less than LI units for  building 54.
</v>
      </c>
      <c r="G3219" s="9" t="str">
        <f t="shared" ca="1" si="1151"/>
        <v>Enter a value for 'Number of Floors in the Tallest Building' in cell B58.
TRUE</v>
      </c>
    </row>
    <row r="3220" spans="1:7" ht="15" customHeight="1">
      <c r="A3220" t="str">
        <f t="shared" si="1152"/>
        <v/>
      </c>
      <c r="B3220">
        <f>Calculations!A708</f>
        <v>55</v>
      </c>
      <c r="E3220" s="137">
        <f>Calculations!H708</f>
        <v>0</v>
      </c>
      <c r="F3220" t="str">
        <f t="shared" si="1153"/>
        <v xml:space="preserve">Low-Income Unit Applicable Fraction canot exceed 100% ensure that total units minus employee units is less than LI units for  building 55.
</v>
      </c>
      <c r="G3220" s="9" t="str">
        <f t="shared" ca="1" si="1151"/>
        <v>Enter a value for 'Number of Floors in the Tallest Building' in cell B58.
TRUE</v>
      </c>
    </row>
    <row r="3221" spans="1:7" ht="15" customHeight="1">
      <c r="A3221" t="str">
        <f t="shared" si="1152"/>
        <v/>
      </c>
      <c r="B3221">
        <f>Calculations!A709</f>
        <v>56</v>
      </c>
      <c r="E3221" s="137">
        <f>Calculations!H709</f>
        <v>0</v>
      </c>
      <c r="F3221" t="str">
        <f t="shared" si="1153"/>
        <v xml:space="preserve">Low-Income Unit Applicable Fraction canot exceed 100% ensure that total units minus employee units is less than LI units for  building 56.
</v>
      </c>
      <c r="G3221" s="9" t="str">
        <f t="shared" ca="1" si="1151"/>
        <v>Enter a value for 'Number of Floors in the Tallest Building' in cell B58.
TRUE</v>
      </c>
    </row>
    <row r="3222" spans="1:7" ht="15" customHeight="1">
      <c r="A3222" t="str">
        <f t="shared" si="1152"/>
        <v/>
      </c>
      <c r="B3222">
        <f>Calculations!A710</f>
        <v>57</v>
      </c>
      <c r="E3222" s="137">
        <f>Calculations!H710</f>
        <v>0</v>
      </c>
      <c r="F3222" t="str">
        <f t="shared" si="1153"/>
        <v xml:space="preserve">Low-Income Unit Applicable Fraction canot exceed 100% ensure that total units minus employee units is less than LI units for  building 57.
</v>
      </c>
      <c r="G3222" s="9" t="str">
        <f t="shared" ca="1" si="1151"/>
        <v>Enter a value for 'Number of Floors in the Tallest Building' in cell B58.
TRUE</v>
      </c>
    </row>
    <row r="3223" spans="1:7" ht="15" customHeight="1">
      <c r="A3223" t="str">
        <f t="shared" si="1152"/>
        <v/>
      </c>
      <c r="B3223">
        <f>Calculations!A711</f>
        <v>58</v>
      </c>
      <c r="E3223" s="137">
        <f>Calculations!H711</f>
        <v>0</v>
      </c>
      <c r="F3223" t="str">
        <f t="shared" si="1153"/>
        <v xml:space="preserve">Low-Income Unit Applicable Fraction canot exceed 100% ensure that total units minus employee units is less than LI units for  building 58.
</v>
      </c>
      <c r="G3223" s="9" t="str">
        <f t="shared" ca="1" si="1151"/>
        <v>Enter a value for 'Number of Floors in the Tallest Building' in cell B58.
TRUE</v>
      </c>
    </row>
    <row r="3224" spans="1:7" ht="15" customHeight="1">
      <c r="A3224" t="str">
        <f t="shared" si="1152"/>
        <v/>
      </c>
      <c r="B3224">
        <f>Calculations!A712</f>
        <v>59</v>
      </c>
      <c r="E3224" s="137">
        <f>Calculations!H712</f>
        <v>0</v>
      </c>
      <c r="F3224" t="str">
        <f t="shared" si="1153"/>
        <v xml:space="preserve">Low-Income Unit Applicable Fraction canot exceed 100% ensure that total units minus employee units is less than LI units for  building 59.
</v>
      </c>
      <c r="G3224" s="9" t="str">
        <f t="shared" ca="1" si="1151"/>
        <v>Enter a value for 'Number of Floors in the Tallest Building' in cell B58.
TRUE</v>
      </c>
    </row>
    <row r="3225" spans="1:7" ht="15" customHeight="1">
      <c r="A3225" t="str">
        <f t="shared" si="1152"/>
        <v/>
      </c>
      <c r="B3225">
        <f>Calculations!A713</f>
        <v>60</v>
      </c>
      <c r="E3225" s="137">
        <f>Calculations!H713</f>
        <v>0</v>
      </c>
      <c r="F3225" t="str">
        <f t="shared" si="1153"/>
        <v xml:space="preserve">Low-Income Unit Applicable Fraction canot exceed 100% ensure that total units minus employee units is less than LI units for  building 60.
</v>
      </c>
      <c r="G3225" s="9" t="str">
        <f t="shared" ca="1" si="1151"/>
        <v>Enter a value for 'Number of Floors in the Tallest Building' in cell B58.
TRUE</v>
      </c>
    </row>
    <row r="3226" spans="1:7" ht="15" customHeight="1">
      <c r="A3226" t="str">
        <f t="shared" si="1152"/>
        <v/>
      </c>
      <c r="B3226">
        <f>Calculations!A714</f>
        <v>61</v>
      </c>
      <c r="E3226" s="137">
        <f>Calculations!H714</f>
        <v>0</v>
      </c>
      <c r="F3226" t="str">
        <f t="shared" si="1153"/>
        <v xml:space="preserve">Low-Income Unit Applicable Fraction canot exceed 100% ensure that total units minus employee units is less than LI units for  building 61.
</v>
      </c>
      <c r="G3226" s="9" t="str">
        <f t="shared" ca="1" si="1151"/>
        <v>Enter a value for 'Number of Floors in the Tallest Building' in cell B58.
TRUE</v>
      </c>
    </row>
    <row r="3227" spans="1:7" ht="15" customHeight="1">
      <c r="A3227" t="str">
        <f t="shared" si="1152"/>
        <v/>
      </c>
      <c r="B3227">
        <f>Calculations!A715</f>
        <v>62</v>
      </c>
      <c r="E3227" s="137">
        <f>Calculations!H715</f>
        <v>0</v>
      </c>
      <c r="F3227" t="str">
        <f t="shared" si="1153"/>
        <v xml:space="preserve">Low-Income Unit Applicable Fraction canot exceed 100% ensure that total units minus employee units is less than LI units for  building 62.
</v>
      </c>
      <c r="G3227" s="9" t="str">
        <f t="shared" ca="1" si="1151"/>
        <v>Enter a value for 'Number of Floors in the Tallest Building' in cell B58.
TRUE</v>
      </c>
    </row>
    <row r="3228" spans="1:7" ht="15" customHeight="1">
      <c r="A3228" t="str">
        <f t="shared" si="1152"/>
        <v/>
      </c>
      <c r="B3228">
        <f>Calculations!A716</f>
        <v>63</v>
      </c>
      <c r="E3228" s="137">
        <f>Calculations!H716</f>
        <v>0</v>
      </c>
      <c r="F3228" t="str">
        <f t="shared" si="1153"/>
        <v xml:space="preserve">Low-Income Unit Applicable Fraction canot exceed 100% ensure that total units minus employee units is less than LI units for  building 63.
</v>
      </c>
      <c r="G3228" s="9" t="str">
        <f t="shared" ca="1" si="1151"/>
        <v>Enter a value for 'Number of Floors in the Tallest Building' in cell B58.
TRUE</v>
      </c>
    </row>
    <row r="3229" spans="1:7" ht="15" customHeight="1">
      <c r="A3229" t="str">
        <f t="shared" si="1152"/>
        <v/>
      </c>
      <c r="B3229">
        <f>Calculations!A717</f>
        <v>64</v>
      </c>
      <c r="E3229" s="137">
        <f>Calculations!H717</f>
        <v>0</v>
      </c>
      <c r="F3229" t="str">
        <f t="shared" si="1153"/>
        <v xml:space="preserve">Low-Income Unit Applicable Fraction canot exceed 100% ensure that total units minus employee units is less than LI units for  building 64.
</v>
      </c>
      <c r="G3229" s="9" t="str">
        <f t="shared" ca="1" si="1151"/>
        <v>Enter a value for 'Number of Floors in the Tallest Building' in cell B58.
TRUE</v>
      </c>
    </row>
    <row r="3230" spans="1:7" ht="15" customHeight="1">
      <c r="A3230" t="str">
        <f t="shared" ref="A3230:A3261" si="1154">IF(E3230&gt;1, F3230, "")</f>
        <v/>
      </c>
      <c r="B3230">
        <f>Calculations!A718</f>
        <v>65</v>
      </c>
      <c r="E3230" s="137">
        <f>Calculations!H718</f>
        <v>0</v>
      </c>
      <c r="F3230" t="str">
        <f t="shared" ref="F3230:F3264" si="1155">CONCATENATE("Low-Income Unit Applicable Fraction canot exceed 100% ensure that total units minus employee units is less than LI units for  building ", B3230, ".", CHAR(10))</f>
        <v xml:space="preserve">Low-Income Unit Applicable Fraction canot exceed 100% ensure that total units minus employee units is less than LI units for  building 65.
</v>
      </c>
      <c r="G3230" s="9" t="str">
        <f t="shared" ca="1" si="1151"/>
        <v>Enter a value for 'Number of Floors in the Tallest Building' in cell B58.
TRUE</v>
      </c>
    </row>
    <row r="3231" spans="1:7" ht="15" customHeight="1">
      <c r="A3231" t="str">
        <f t="shared" si="1154"/>
        <v/>
      </c>
      <c r="B3231">
        <f>Calculations!A719</f>
        <v>66</v>
      </c>
      <c r="E3231" s="137">
        <f>Calculations!H719</f>
        <v>0</v>
      </c>
      <c r="F3231" t="str">
        <f t="shared" si="1155"/>
        <v xml:space="preserve">Low-Income Unit Applicable Fraction canot exceed 100% ensure that total units minus employee units is less than LI units for  building 66.
</v>
      </c>
      <c r="G3231" s="9" t="str">
        <f t="shared" ref="G3231:G3294" ca="1" si="1156">OFFSET(G3231, -1, 0) &amp; A3231</f>
        <v>Enter a value for 'Number of Floors in the Tallest Building' in cell B58.
TRUE</v>
      </c>
    </row>
    <row r="3232" spans="1:7" ht="15" customHeight="1">
      <c r="A3232" t="str">
        <f t="shared" si="1154"/>
        <v/>
      </c>
      <c r="B3232">
        <f>Calculations!A720</f>
        <v>67</v>
      </c>
      <c r="E3232" s="137">
        <f>Calculations!H720</f>
        <v>0</v>
      </c>
      <c r="F3232" t="str">
        <f t="shared" si="1155"/>
        <v xml:space="preserve">Low-Income Unit Applicable Fraction canot exceed 100% ensure that total units minus employee units is less than LI units for  building 67.
</v>
      </c>
      <c r="G3232" s="9" t="str">
        <f t="shared" ca="1" si="1156"/>
        <v>Enter a value for 'Number of Floors in the Tallest Building' in cell B58.
TRUE</v>
      </c>
    </row>
    <row r="3233" spans="1:7" ht="15" customHeight="1">
      <c r="A3233" t="str">
        <f t="shared" si="1154"/>
        <v/>
      </c>
      <c r="B3233">
        <f>Calculations!A721</f>
        <v>68</v>
      </c>
      <c r="E3233" s="137">
        <f>Calculations!H721</f>
        <v>0</v>
      </c>
      <c r="F3233" t="str">
        <f t="shared" si="1155"/>
        <v xml:space="preserve">Low-Income Unit Applicable Fraction canot exceed 100% ensure that total units minus employee units is less than LI units for  building 68.
</v>
      </c>
      <c r="G3233" s="9" t="str">
        <f t="shared" ca="1" si="1156"/>
        <v>Enter a value for 'Number of Floors in the Tallest Building' in cell B58.
TRUE</v>
      </c>
    </row>
    <row r="3234" spans="1:7" ht="15" customHeight="1">
      <c r="A3234" t="str">
        <f t="shared" si="1154"/>
        <v/>
      </c>
      <c r="B3234">
        <f>Calculations!A722</f>
        <v>69</v>
      </c>
      <c r="E3234" s="137">
        <f>Calculations!H722</f>
        <v>0</v>
      </c>
      <c r="F3234" t="str">
        <f t="shared" si="1155"/>
        <v xml:space="preserve">Low-Income Unit Applicable Fraction canot exceed 100% ensure that total units minus employee units is less than LI units for  building 69.
</v>
      </c>
      <c r="G3234" s="9" t="str">
        <f t="shared" ca="1" si="1156"/>
        <v>Enter a value for 'Number of Floors in the Tallest Building' in cell B58.
TRUE</v>
      </c>
    </row>
    <row r="3235" spans="1:7" ht="15" customHeight="1">
      <c r="A3235" t="str">
        <f t="shared" si="1154"/>
        <v/>
      </c>
      <c r="B3235">
        <f>Calculations!A723</f>
        <v>70</v>
      </c>
      <c r="E3235" s="137">
        <f>Calculations!H723</f>
        <v>0</v>
      </c>
      <c r="F3235" t="str">
        <f t="shared" si="1155"/>
        <v xml:space="preserve">Low-Income Unit Applicable Fraction canot exceed 100% ensure that total units minus employee units is less than LI units for  building 70.
</v>
      </c>
      <c r="G3235" s="9" t="str">
        <f t="shared" ca="1" si="1156"/>
        <v>Enter a value for 'Number of Floors in the Tallest Building' in cell B58.
TRUE</v>
      </c>
    </row>
    <row r="3236" spans="1:7" ht="15" customHeight="1">
      <c r="A3236" t="str">
        <f t="shared" si="1154"/>
        <v/>
      </c>
      <c r="B3236">
        <f>Calculations!A724</f>
        <v>71</v>
      </c>
      <c r="E3236" s="137">
        <f>Calculations!H724</f>
        <v>0</v>
      </c>
      <c r="F3236" t="str">
        <f t="shared" si="1155"/>
        <v xml:space="preserve">Low-Income Unit Applicable Fraction canot exceed 100% ensure that total units minus employee units is less than LI units for  building 71.
</v>
      </c>
      <c r="G3236" s="9" t="str">
        <f t="shared" ca="1" si="1156"/>
        <v>Enter a value for 'Number of Floors in the Tallest Building' in cell B58.
TRUE</v>
      </c>
    </row>
    <row r="3237" spans="1:7" ht="15" customHeight="1">
      <c r="A3237" t="str">
        <f t="shared" si="1154"/>
        <v/>
      </c>
      <c r="B3237">
        <f>Calculations!A725</f>
        <v>72</v>
      </c>
      <c r="E3237" s="137">
        <f>Calculations!H725</f>
        <v>0</v>
      </c>
      <c r="F3237" t="str">
        <f t="shared" si="1155"/>
        <v xml:space="preserve">Low-Income Unit Applicable Fraction canot exceed 100% ensure that total units minus employee units is less than LI units for  building 72.
</v>
      </c>
      <c r="G3237" s="9" t="str">
        <f t="shared" ca="1" si="1156"/>
        <v>Enter a value for 'Number of Floors in the Tallest Building' in cell B58.
TRUE</v>
      </c>
    </row>
    <row r="3238" spans="1:7" ht="15" customHeight="1">
      <c r="A3238" t="str">
        <f t="shared" si="1154"/>
        <v/>
      </c>
      <c r="B3238">
        <f>Calculations!A726</f>
        <v>73</v>
      </c>
      <c r="E3238" s="137">
        <f>Calculations!H726</f>
        <v>0</v>
      </c>
      <c r="F3238" t="str">
        <f t="shared" si="1155"/>
        <v xml:space="preserve">Low-Income Unit Applicable Fraction canot exceed 100% ensure that total units minus employee units is less than LI units for  building 73.
</v>
      </c>
      <c r="G3238" s="9" t="str">
        <f t="shared" ca="1" si="1156"/>
        <v>Enter a value for 'Number of Floors in the Tallest Building' in cell B58.
TRUE</v>
      </c>
    </row>
    <row r="3239" spans="1:7" ht="15" customHeight="1">
      <c r="A3239" t="str">
        <f t="shared" si="1154"/>
        <v/>
      </c>
      <c r="B3239">
        <f>Calculations!A727</f>
        <v>74</v>
      </c>
      <c r="E3239" s="137">
        <f>Calculations!H727</f>
        <v>0</v>
      </c>
      <c r="F3239" t="str">
        <f t="shared" si="1155"/>
        <v xml:space="preserve">Low-Income Unit Applicable Fraction canot exceed 100% ensure that total units minus employee units is less than LI units for  building 74.
</v>
      </c>
      <c r="G3239" s="9" t="str">
        <f t="shared" ca="1" si="1156"/>
        <v>Enter a value for 'Number of Floors in the Tallest Building' in cell B58.
TRUE</v>
      </c>
    </row>
    <row r="3240" spans="1:7" ht="15" customHeight="1">
      <c r="A3240" t="str">
        <f t="shared" si="1154"/>
        <v/>
      </c>
      <c r="B3240">
        <f>Calculations!A728</f>
        <v>75</v>
      </c>
      <c r="E3240" s="137">
        <f>Calculations!H728</f>
        <v>0</v>
      </c>
      <c r="F3240" t="str">
        <f t="shared" si="1155"/>
        <v xml:space="preserve">Low-Income Unit Applicable Fraction canot exceed 100% ensure that total units minus employee units is less than LI units for  building 75.
</v>
      </c>
      <c r="G3240" s="9" t="str">
        <f t="shared" ca="1" si="1156"/>
        <v>Enter a value for 'Number of Floors in the Tallest Building' in cell B58.
TRUE</v>
      </c>
    </row>
    <row r="3241" spans="1:7" ht="15" customHeight="1">
      <c r="A3241" t="str">
        <f t="shared" si="1154"/>
        <v/>
      </c>
      <c r="B3241">
        <f>Calculations!A729</f>
        <v>76</v>
      </c>
      <c r="E3241" s="137">
        <f>Calculations!H729</f>
        <v>0</v>
      </c>
      <c r="F3241" t="str">
        <f t="shared" si="1155"/>
        <v xml:space="preserve">Low-Income Unit Applicable Fraction canot exceed 100% ensure that total units minus employee units is less than LI units for  building 76.
</v>
      </c>
      <c r="G3241" s="9" t="str">
        <f t="shared" ca="1" si="1156"/>
        <v>Enter a value for 'Number of Floors in the Tallest Building' in cell B58.
TRUE</v>
      </c>
    </row>
    <row r="3242" spans="1:7" ht="15" customHeight="1">
      <c r="A3242" t="str">
        <f t="shared" si="1154"/>
        <v/>
      </c>
      <c r="B3242">
        <f>Calculations!A730</f>
        <v>77</v>
      </c>
      <c r="E3242" s="137">
        <f>Calculations!H730</f>
        <v>0</v>
      </c>
      <c r="F3242" t="str">
        <f t="shared" si="1155"/>
        <v xml:space="preserve">Low-Income Unit Applicable Fraction canot exceed 100% ensure that total units minus employee units is less than LI units for  building 77.
</v>
      </c>
      <c r="G3242" s="9" t="str">
        <f t="shared" ca="1" si="1156"/>
        <v>Enter a value for 'Number of Floors in the Tallest Building' in cell B58.
TRUE</v>
      </c>
    </row>
    <row r="3243" spans="1:7" ht="15" customHeight="1">
      <c r="A3243" t="str">
        <f t="shared" si="1154"/>
        <v/>
      </c>
      <c r="B3243">
        <f>Calculations!A731</f>
        <v>78</v>
      </c>
      <c r="E3243" s="137">
        <f>Calculations!H731</f>
        <v>0</v>
      </c>
      <c r="F3243" t="str">
        <f t="shared" si="1155"/>
        <v xml:space="preserve">Low-Income Unit Applicable Fraction canot exceed 100% ensure that total units minus employee units is less than LI units for  building 78.
</v>
      </c>
      <c r="G3243" s="9" t="str">
        <f t="shared" ca="1" si="1156"/>
        <v>Enter a value for 'Number of Floors in the Tallest Building' in cell B58.
TRUE</v>
      </c>
    </row>
    <row r="3244" spans="1:7" ht="15" customHeight="1">
      <c r="A3244" t="str">
        <f t="shared" si="1154"/>
        <v/>
      </c>
      <c r="B3244">
        <f>Calculations!A732</f>
        <v>79</v>
      </c>
      <c r="E3244" s="137">
        <f>Calculations!H732</f>
        <v>0</v>
      </c>
      <c r="F3244" t="str">
        <f t="shared" si="1155"/>
        <v xml:space="preserve">Low-Income Unit Applicable Fraction canot exceed 100% ensure that total units minus employee units is less than LI units for  building 79.
</v>
      </c>
      <c r="G3244" s="9" t="str">
        <f t="shared" ca="1" si="1156"/>
        <v>Enter a value for 'Number of Floors in the Tallest Building' in cell B58.
TRUE</v>
      </c>
    </row>
    <row r="3245" spans="1:7" ht="15" customHeight="1">
      <c r="A3245" t="str">
        <f t="shared" si="1154"/>
        <v/>
      </c>
      <c r="B3245">
        <f>Calculations!A733</f>
        <v>80</v>
      </c>
      <c r="E3245" s="137">
        <f>Calculations!H733</f>
        <v>0</v>
      </c>
      <c r="F3245" t="str">
        <f t="shared" si="1155"/>
        <v xml:space="preserve">Low-Income Unit Applicable Fraction canot exceed 100% ensure that total units minus employee units is less than LI units for  building 80.
</v>
      </c>
      <c r="G3245" s="9" t="str">
        <f t="shared" ca="1" si="1156"/>
        <v>Enter a value for 'Number of Floors in the Tallest Building' in cell B58.
TRUE</v>
      </c>
    </row>
    <row r="3246" spans="1:7" ht="15" customHeight="1">
      <c r="A3246" t="str">
        <f t="shared" si="1154"/>
        <v/>
      </c>
      <c r="B3246">
        <f>Calculations!A734</f>
        <v>81</v>
      </c>
      <c r="E3246" s="137">
        <f>Calculations!H734</f>
        <v>0</v>
      </c>
      <c r="F3246" t="str">
        <f t="shared" si="1155"/>
        <v xml:space="preserve">Low-Income Unit Applicable Fraction canot exceed 100% ensure that total units minus employee units is less than LI units for  building 81.
</v>
      </c>
      <c r="G3246" s="9" t="str">
        <f t="shared" ca="1" si="1156"/>
        <v>Enter a value for 'Number of Floors in the Tallest Building' in cell B58.
TRUE</v>
      </c>
    </row>
    <row r="3247" spans="1:7" ht="15" customHeight="1">
      <c r="A3247" t="str">
        <f t="shared" si="1154"/>
        <v/>
      </c>
      <c r="B3247">
        <f>Calculations!A735</f>
        <v>82</v>
      </c>
      <c r="E3247" s="137">
        <f>Calculations!H735</f>
        <v>0</v>
      </c>
      <c r="F3247" t="str">
        <f t="shared" si="1155"/>
        <v xml:space="preserve">Low-Income Unit Applicable Fraction canot exceed 100% ensure that total units minus employee units is less than LI units for  building 82.
</v>
      </c>
      <c r="G3247" s="9" t="str">
        <f t="shared" ca="1" si="1156"/>
        <v>Enter a value for 'Number of Floors in the Tallest Building' in cell B58.
TRUE</v>
      </c>
    </row>
    <row r="3248" spans="1:7" ht="15" customHeight="1">
      <c r="A3248" t="str">
        <f t="shared" si="1154"/>
        <v/>
      </c>
      <c r="B3248">
        <f>Calculations!A736</f>
        <v>83</v>
      </c>
      <c r="E3248" s="137">
        <f>Calculations!H736</f>
        <v>0</v>
      </c>
      <c r="F3248" t="str">
        <f t="shared" si="1155"/>
        <v xml:space="preserve">Low-Income Unit Applicable Fraction canot exceed 100% ensure that total units minus employee units is less than LI units for  building 83.
</v>
      </c>
      <c r="G3248" s="9" t="str">
        <f t="shared" ca="1" si="1156"/>
        <v>Enter a value for 'Number of Floors in the Tallest Building' in cell B58.
TRUE</v>
      </c>
    </row>
    <row r="3249" spans="1:7" ht="15" customHeight="1">
      <c r="A3249" t="str">
        <f t="shared" si="1154"/>
        <v/>
      </c>
      <c r="B3249">
        <f>Calculations!A737</f>
        <v>84</v>
      </c>
      <c r="E3249" s="137">
        <f>Calculations!H737</f>
        <v>0</v>
      </c>
      <c r="F3249" t="str">
        <f t="shared" si="1155"/>
        <v xml:space="preserve">Low-Income Unit Applicable Fraction canot exceed 100% ensure that total units minus employee units is less than LI units for  building 84.
</v>
      </c>
      <c r="G3249" s="9" t="str">
        <f t="shared" ca="1" si="1156"/>
        <v>Enter a value for 'Number of Floors in the Tallest Building' in cell B58.
TRUE</v>
      </c>
    </row>
    <row r="3250" spans="1:7" ht="15" customHeight="1">
      <c r="A3250" t="str">
        <f t="shared" si="1154"/>
        <v/>
      </c>
      <c r="B3250">
        <f>Calculations!A738</f>
        <v>85</v>
      </c>
      <c r="E3250" s="137">
        <f>Calculations!H738</f>
        <v>0</v>
      </c>
      <c r="F3250" t="str">
        <f t="shared" si="1155"/>
        <v xml:space="preserve">Low-Income Unit Applicable Fraction canot exceed 100% ensure that total units minus employee units is less than LI units for  building 85.
</v>
      </c>
      <c r="G3250" s="9" t="str">
        <f t="shared" ca="1" si="1156"/>
        <v>Enter a value for 'Number of Floors in the Tallest Building' in cell B58.
TRUE</v>
      </c>
    </row>
    <row r="3251" spans="1:7" ht="15" customHeight="1">
      <c r="A3251" t="str">
        <f t="shared" si="1154"/>
        <v/>
      </c>
      <c r="B3251">
        <f>Calculations!A739</f>
        <v>86</v>
      </c>
      <c r="E3251" s="137">
        <f>Calculations!H739</f>
        <v>0</v>
      </c>
      <c r="F3251" t="str">
        <f t="shared" si="1155"/>
        <v xml:space="preserve">Low-Income Unit Applicable Fraction canot exceed 100% ensure that total units minus employee units is less than LI units for  building 86.
</v>
      </c>
      <c r="G3251" s="9" t="str">
        <f t="shared" ca="1" si="1156"/>
        <v>Enter a value for 'Number of Floors in the Tallest Building' in cell B58.
TRUE</v>
      </c>
    </row>
    <row r="3252" spans="1:7" ht="15" customHeight="1">
      <c r="A3252" t="str">
        <f t="shared" si="1154"/>
        <v/>
      </c>
      <c r="B3252">
        <f>Calculations!A740</f>
        <v>87</v>
      </c>
      <c r="E3252" s="137">
        <f>Calculations!H740</f>
        <v>0</v>
      </c>
      <c r="F3252" t="str">
        <f t="shared" si="1155"/>
        <v xml:space="preserve">Low-Income Unit Applicable Fraction canot exceed 100% ensure that total units minus employee units is less than LI units for  building 87.
</v>
      </c>
      <c r="G3252" s="9" t="str">
        <f t="shared" ca="1" si="1156"/>
        <v>Enter a value for 'Number of Floors in the Tallest Building' in cell B58.
TRUE</v>
      </c>
    </row>
    <row r="3253" spans="1:7" ht="15" customHeight="1">
      <c r="A3253" t="str">
        <f t="shared" si="1154"/>
        <v/>
      </c>
      <c r="B3253">
        <f>Calculations!A741</f>
        <v>88</v>
      </c>
      <c r="E3253" s="137">
        <f>Calculations!H741</f>
        <v>0</v>
      </c>
      <c r="F3253" t="str">
        <f t="shared" si="1155"/>
        <v xml:space="preserve">Low-Income Unit Applicable Fraction canot exceed 100% ensure that total units minus employee units is less than LI units for  building 88.
</v>
      </c>
      <c r="G3253" s="9" t="str">
        <f t="shared" ca="1" si="1156"/>
        <v>Enter a value for 'Number of Floors in the Tallest Building' in cell B58.
TRUE</v>
      </c>
    </row>
    <row r="3254" spans="1:7" ht="15" customHeight="1">
      <c r="A3254" t="str">
        <f t="shared" si="1154"/>
        <v/>
      </c>
      <c r="B3254">
        <f>Calculations!A742</f>
        <v>89</v>
      </c>
      <c r="E3254" s="137">
        <f>Calculations!H742</f>
        <v>0</v>
      </c>
      <c r="F3254" t="str">
        <f t="shared" si="1155"/>
        <v xml:space="preserve">Low-Income Unit Applicable Fraction canot exceed 100% ensure that total units minus employee units is less than LI units for  building 89.
</v>
      </c>
      <c r="G3254" s="9" t="str">
        <f t="shared" ca="1" si="1156"/>
        <v>Enter a value for 'Number of Floors in the Tallest Building' in cell B58.
TRUE</v>
      </c>
    </row>
    <row r="3255" spans="1:7" ht="15" customHeight="1">
      <c r="A3255" t="str">
        <f t="shared" si="1154"/>
        <v/>
      </c>
      <c r="B3255">
        <f>Calculations!A743</f>
        <v>90</v>
      </c>
      <c r="E3255" s="137">
        <f>Calculations!H743</f>
        <v>0</v>
      </c>
      <c r="F3255" t="str">
        <f t="shared" si="1155"/>
        <v xml:space="preserve">Low-Income Unit Applicable Fraction canot exceed 100% ensure that total units minus employee units is less than LI units for  building 90.
</v>
      </c>
      <c r="G3255" s="9" t="str">
        <f t="shared" ca="1" si="1156"/>
        <v>Enter a value for 'Number of Floors in the Tallest Building' in cell B58.
TRUE</v>
      </c>
    </row>
    <row r="3256" spans="1:7" ht="15" customHeight="1">
      <c r="A3256" t="str">
        <f t="shared" si="1154"/>
        <v/>
      </c>
      <c r="B3256">
        <f>Calculations!A744</f>
        <v>91</v>
      </c>
      <c r="E3256" s="137">
        <f>Calculations!H744</f>
        <v>0</v>
      </c>
      <c r="F3256" t="str">
        <f t="shared" si="1155"/>
        <v xml:space="preserve">Low-Income Unit Applicable Fraction canot exceed 100% ensure that total units minus employee units is less than LI units for  building 91.
</v>
      </c>
      <c r="G3256" s="9" t="str">
        <f t="shared" ca="1" si="1156"/>
        <v>Enter a value for 'Number of Floors in the Tallest Building' in cell B58.
TRUE</v>
      </c>
    </row>
    <row r="3257" spans="1:7" ht="15" customHeight="1">
      <c r="A3257" t="str">
        <f t="shared" si="1154"/>
        <v/>
      </c>
      <c r="B3257">
        <f>Calculations!A745</f>
        <v>92</v>
      </c>
      <c r="E3257" s="137">
        <f>Calculations!H745</f>
        <v>0</v>
      </c>
      <c r="F3257" t="str">
        <f t="shared" si="1155"/>
        <v xml:space="preserve">Low-Income Unit Applicable Fraction canot exceed 100% ensure that total units minus employee units is less than LI units for  building 92.
</v>
      </c>
      <c r="G3257" s="9" t="str">
        <f t="shared" ca="1" si="1156"/>
        <v>Enter a value for 'Number of Floors in the Tallest Building' in cell B58.
TRUE</v>
      </c>
    </row>
    <row r="3258" spans="1:7" ht="15" customHeight="1">
      <c r="A3258" t="str">
        <f t="shared" si="1154"/>
        <v/>
      </c>
      <c r="B3258">
        <f>Calculations!A746</f>
        <v>93</v>
      </c>
      <c r="E3258" s="137">
        <f>Calculations!H746</f>
        <v>0</v>
      </c>
      <c r="F3258" t="str">
        <f t="shared" si="1155"/>
        <v xml:space="preserve">Low-Income Unit Applicable Fraction canot exceed 100% ensure that total units minus employee units is less than LI units for  building 93.
</v>
      </c>
      <c r="G3258" s="9" t="str">
        <f t="shared" ca="1" si="1156"/>
        <v>Enter a value for 'Number of Floors in the Tallest Building' in cell B58.
TRUE</v>
      </c>
    </row>
    <row r="3259" spans="1:7" ht="15" customHeight="1">
      <c r="A3259" t="str">
        <f t="shared" si="1154"/>
        <v/>
      </c>
      <c r="B3259">
        <f>Calculations!A747</f>
        <v>94</v>
      </c>
      <c r="E3259" s="137">
        <f>Calculations!H747</f>
        <v>0</v>
      </c>
      <c r="F3259" t="str">
        <f t="shared" si="1155"/>
        <v xml:space="preserve">Low-Income Unit Applicable Fraction canot exceed 100% ensure that total units minus employee units is less than LI units for  building 94.
</v>
      </c>
      <c r="G3259" s="9" t="str">
        <f t="shared" ca="1" si="1156"/>
        <v>Enter a value for 'Number of Floors in the Tallest Building' in cell B58.
TRUE</v>
      </c>
    </row>
    <row r="3260" spans="1:7" ht="15" customHeight="1">
      <c r="A3260" t="str">
        <f t="shared" si="1154"/>
        <v/>
      </c>
      <c r="B3260">
        <f>Calculations!A748</f>
        <v>95</v>
      </c>
      <c r="E3260" s="137">
        <f>Calculations!H748</f>
        <v>0</v>
      </c>
      <c r="F3260" t="str">
        <f t="shared" si="1155"/>
        <v xml:space="preserve">Low-Income Unit Applicable Fraction canot exceed 100% ensure that total units minus employee units is less than LI units for  building 95.
</v>
      </c>
      <c r="G3260" s="9" t="str">
        <f t="shared" ca="1" si="1156"/>
        <v>Enter a value for 'Number of Floors in the Tallest Building' in cell B58.
TRUE</v>
      </c>
    </row>
    <row r="3261" spans="1:7" ht="15" customHeight="1">
      <c r="A3261" t="str">
        <f t="shared" si="1154"/>
        <v/>
      </c>
      <c r="B3261">
        <f>Calculations!A749</f>
        <v>96</v>
      </c>
      <c r="E3261" s="137">
        <f>Calculations!H749</f>
        <v>0</v>
      </c>
      <c r="F3261" t="str">
        <f t="shared" si="1155"/>
        <v xml:space="preserve">Low-Income Unit Applicable Fraction canot exceed 100% ensure that total units minus employee units is less than LI units for  building 96.
</v>
      </c>
      <c r="G3261" s="9" t="str">
        <f t="shared" ca="1" si="1156"/>
        <v>Enter a value for 'Number of Floors in the Tallest Building' in cell B58.
TRUE</v>
      </c>
    </row>
    <row r="3262" spans="1:7" ht="15" customHeight="1">
      <c r="A3262" t="str">
        <f t="shared" ref="A3262:A3293" si="1157">IF(E3262&gt;1, F3262, "")</f>
        <v/>
      </c>
      <c r="B3262">
        <f>Calculations!A750</f>
        <v>97</v>
      </c>
      <c r="E3262" s="137">
        <f>Calculations!H750</f>
        <v>0</v>
      </c>
      <c r="F3262" t="str">
        <f t="shared" si="1155"/>
        <v xml:space="preserve">Low-Income Unit Applicable Fraction canot exceed 100% ensure that total units minus employee units is less than LI units for  building 97.
</v>
      </c>
      <c r="G3262" s="9" t="str">
        <f t="shared" ca="1" si="1156"/>
        <v>Enter a value for 'Number of Floors in the Tallest Building' in cell B58.
TRUE</v>
      </c>
    </row>
    <row r="3263" spans="1:7" ht="15" customHeight="1">
      <c r="A3263" t="str">
        <f t="shared" si="1157"/>
        <v/>
      </c>
      <c r="B3263">
        <f>Calculations!A751</f>
        <v>98</v>
      </c>
      <c r="E3263" s="137">
        <f>Calculations!H751</f>
        <v>0</v>
      </c>
      <c r="F3263" t="str">
        <f t="shared" si="1155"/>
        <v xml:space="preserve">Low-Income Unit Applicable Fraction canot exceed 100% ensure that total units minus employee units is less than LI units for  building 98.
</v>
      </c>
      <c r="G3263" s="9" t="str">
        <f t="shared" ca="1" si="1156"/>
        <v>Enter a value for 'Number of Floors in the Tallest Building' in cell B58.
TRUE</v>
      </c>
    </row>
    <row r="3264" spans="1:7" ht="15" customHeight="1">
      <c r="A3264" t="str">
        <f t="shared" si="1157"/>
        <v/>
      </c>
      <c r="B3264">
        <f>Calculations!A752</f>
        <v>99</v>
      </c>
      <c r="E3264" s="137">
        <f>Calculations!H752</f>
        <v>0</v>
      </c>
      <c r="F3264" t="str">
        <f t="shared" si="1155"/>
        <v xml:space="preserve">Low-Income Unit Applicable Fraction canot exceed 100% ensure that total units minus employee units is less than LI units for  building 99.
</v>
      </c>
      <c r="G3264" s="9" t="str">
        <f t="shared" ca="1" si="1156"/>
        <v>Enter a value for 'Number of Floors in the Tallest Building' in cell B58.
TRUE</v>
      </c>
    </row>
    <row r="3265" spans="1:7" ht="15" customHeight="1">
      <c r="A3265" t="str">
        <f t="shared" si="1157"/>
        <v/>
      </c>
      <c r="B3265">
        <f>Calculations!A654</f>
        <v>1</v>
      </c>
      <c r="E3265" s="137">
        <f>Calculations!I654</f>
        <v>0</v>
      </c>
      <c r="F3265" t="str">
        <f t="shared" ref="F3265:F3296" si="1158">CONCATENATE("Square Footage Applicable Fraction canot exceed 100% ensure that total sq. feet minus employee sq. feet is less than LI sq. feet for  building ", B3265, ".", CHAR(10))</f>
        <v xml:space="preserve">Square Footage Applicable Fraction canot exceed 100% ensure that total sq. feet minus employee sq. feet is less than LI sq. feet for  building 1.
</v>
      </c>
      <c r="G3265" s="9" t="str">
        <f t="shared" ca="1" si="1156"/>
        <v>Enter a value for 'Number of Floors in the Tallest Building' in cell B58.
TRUE</v>
      </c>
    </row>
    <row r="3266" spans="1:7" ht="15" customHeight="1">
      <c r="A3266" t="str">
        <f t="shared" si="1157"/>
        <v/>
      </c>
      <c r="B3266">
        <f>Calculations!A655</f>
        <v>2</v>
      </c>
      <c r="E3266" s="137">
        <f>Calculations!I655</f>
        <v>0</v>
      </c>
      <c r="F3266" t="str">
        <f t="shared" si="1158"/>
        <v xml:space="preserve">Square Footage Applicable Fraction canot exceed 100% ensure that total sq. feet minus employee sq. feet is less than LI sq. feet for  building 2.
</v>
      </c>
      <c r="G3266" s="9" t="str">
        <f t="shared" ca="1" si="1156"/>
        <v>Enter a value for 'Number of Floors in the Tallest Building' in cell B58.
TRUE</v>
      </c>
    </row>
    <row r="3267" spans="1:7" ht="15" customHeight="1">
      <c r="A3267" t="str">
        <f t="shared" si="1157"/>
        <v/>
      </c>
      <c r="B3267">
        <f>Calculations!A656</f>
        <v>3</v>
      </c>
      <c r="E3267" s="137">
        <f>Calculations!I656</f>
        <v>0</v>
      </c>
      <c r="F3267" t="str">
        <f t="shared" si="1158"/>
        <v xml:space="preserve">Square Footage Applicable Fraction canot exceed 100% ensure that total sq. feet minus employee sq. feet is less than LI sq. feet for  building 3.
</v>
      </c>
      <c r="G3267" s="9" t="str">
        <f t="shared" ca="1" si="1156"/>
        <v>Enter a value for 'Number of Floors in the Tallest Building' in cell B58.
TRUE</v>
      </c>
    </row>
    <row r="3268" spans="1:7" ht="15" customHeight="1">
      <c r="A3268" t="str">
        <f t="shared" si="1157"/>
        <v/>
      </c>
      <c r="B3268">
        <f>Calculations!A657</f>
        <v>4</v>
      </c>
      <c r="E3268" s="137">
        <f>Calculations!I657</f>
        <v>0</v>
      </c>
      <c r="F3268" t="str">
        <f t="shared" si="1158"/>
        <v xml:space="preserve">Square Footage Applicable Fraction canot exceed 100% ensure that total sq. feet minus employee sq. feet is less than LI sq. feet for  building 4.
</v>
      </c>
      <c r="G3268" s="9" t="str">
        <f t="shared" ca="1" si="1156"/>
        <v>Enter a value for 'Number of Floors in the Tallest Building' in cell B58.
TRUE</v>
      </c>
    </row>
    <row r="3269" spans="1:7" ht="15" customHeight="1">
      <c r="A3269" t="str">
        <f t="shared" si="1157"/>
        <v/>
      </c>
      <c r="B3269">
        <f>Calculations!A658</f>
        <v>5</v>
      </c>
      <c r="E3269" s="137">
        <f>Calculations!I658</f>
        <v>0</v>
      </c>
      <c r="F3269" t="str">
        <f t="shared" si="1158"/>
        <v xml:space="preserve">Square Footage Applicable Fraction canot exceed 100% ensure that total sq. feet minus employee sq. feet is less than LI sq. feet for  building 5.
</v>
      </c>
      <c r="G3269" s="9" t="str">
        <f t="shared" ca="1" si="1156"/>
        <v>Enter a value for 'Number of Floors in the Tallest Building' in cell B58.
TRUE</v>
      </c>
    </row>
    <row r="3270" spans="1:7" ht="15" customHeight="1">
      <c r="A3270" t="str">
        <f t="shared" si="1157"/>
        <v/>
      </c>
      <c r="B3270">
        <f>Calculations!A659</f>
        <v>6</v>
      </c>
      <c r="E3270" s="137">
        <f>Calculations!I659</f>
        <v>0</v>
      </c>
      <c r="F3270" t="str">
        <f t="shared" si="1158"/>
        <v xml:space="preserve">Square Footage Applicable Fraction canot exceed 100% ensure that total sq. feet minus employee sq. feet is less than LI sq. feet for  building 6.
</v>
      </c>
      <c r="G3270" s="9" t="str">
        <f t="shared" ca="1" si="1156"/>
        <v>Enter a value for 'Number of Floors in the Tallest Building' in cell B58.
TRUE</v>
      </c>
    </row>
    <row r="3271" spans="1:7" ht="15" customHeight="1">
      <c r="A3271" t="str">
        <f t="shared" si="1157"/>
        <v/>
      </c>
      <c r="B3271">
        <f>Calculations!A660</f>
        <v>7</v>
      </c>
      <c r="E3271" s="137">
        <f>Calculations!I660</f>
        <v>0</v>
      </c>
      <c r="F3271" t="str">
        <f t="shared" si="1158"/>
        <v xml:space="preserve">Square Footage Applicable Fraction canot exceed 100% ensure that total sq. feet minus employee sq. feet is less than LI sq. feet for  building 7.
</v>
      </c>
      <c r="G3271" s="9" t="str">
        <f t="shared" ca="1" si="1156"/>
        <v>Enter a value for 'Number of Floors in the Tallest Building' in cell B58.
TRUE</v>
      </c>
    </row>
    <row r="3272" spans="1:7" ht="15" customHeight="1">
      <c r="A3272" t="str">
        <f t="shared" si="1157"/>
        <v/>
      </c>
      <c r="B3272">
        <f>Calculations!A661</f>
        <v>8</v>
      </c>
      <c r="E3272" s="137">
        <f>Calculations!I661</f>
        <v>0</v>
      </c>
      <c r="F3272" t="str">
        <f t="shared" si="1158"/>
        <v xml:space="preserve">Square Footage Applicable Fraction canot exceed 100% ensure that total sq. feet minus employee sq. feet is less than LI sq. feet for  building 8.
</v>
      </c>
      <c r="G3272" s="9" t="str">
        <f t="shared" ca="1" si="1156"/>
        <v>Enter a value for 'Number of Floors in the Tallest Building' in cell B58.
TRUE</v>
      </c>
    </row>
    <row r="3273" spans="1:7" ht="15" customHeight="1">
      <c r="A3273" t="str">
        <f t="shared" si="1157"/>
        <v/>
      </c>
      <c r="B3273">
        <f>Calculations!A662</f>
        <v>9</v>
      </c>
      <c r="E3273" s="137">
        <f>Calculations!I662</f>
        <v>0</v>
      </c>
      <c r="F3273" t="str">
        <f t="shared" si="1158"/>
        <v xml:space="preserve">Square Footage Applicable Fraction canot exceed 100% ensure that total sq. feet minus employee sq. feet is less than LI sq. feet for  building 9.
</v>
      </c>
      <c r="G3273" s="9" t="str">
        <f t="shared" ca="1" si="1156"/>
        <v>Enter a value for 'Number of Floors in the Tallest Building' in cell B58.
TRUE</v>
      </c>
    </row>
    <row r="3274" spans="1:7" ht="15" customHeight="1">
      <c r="A3274" t="str">
        <f t="shared" si="1157"/>
        <v/>
      </c>
      <c r="B3274">
        <f>Calculations!A663</f>
        <v>10</v>
      </c>
      <c r="E3274" s="137">
        <f>Calculations!I663</f>
        <v>0</v>
      </c>
      <c r="F3274" t="str">
        <f t="shared" si="1158"/>
        <v xml:space="preserve">Square Footage Applicable Fraction canot exceed 100% ensure that total sq. feet minus employee sq. feet is less than LI sq. feet for  building 10.
</v>
      </c>
      <c r="G3274" s="9" t="str">
        <f t="shared" ca="1" si="1156"/>
        <v>Enter a value for 'Number of Floors in the Tallest Building' in cell B58.
TRUE</v>
      </c>
    </row>
    <row r="3275" spans="1:7" ht="15" customHeight="1">
      <c r="A3275" t="str">
        <f t="shared" si="1157"/>
        <v/>
      </c>
      <c r="B3275">
        <f>Calculations!A664</f>
        <v>11</v>
      </c>
      <c r="E3275" s="137">
        <f>Calculations!I664</f>
        <v>0</v>
      </c>
      <c r="F3275" t="str">
        <f t="shared" si="1158"/>
        <v xml:space="preserve">Square Footage Applicable Fraction canot exceed 100% ensure that total sq. feet minus employee sq. feet is less than LI sq. feet for  building 11.
</v>
      </c>
      <c r="G3275" s="9" t="str">
        <f t="shared" ca="1" si="1156"/>
        <v>Enter a value for 'Number of Floors in the Tallest Building' in cell B58.
TRUE</v>
      </c>
    </row>
    <row r="3276" spans="1:7" ht="15" customHeight="1">
      <c r="A3276" t="str">
        <f t="shared" si="1157"/>
        <v/>
      </c>
      <c r="B3276">
        <f>Calculations!A665</f>
        <v>12</v>
      </c>
      <c r="E3276" s="137">
        <f>Calculations!I665</f>
        <v>0</v>
      </c>
      <c r="F3276" t="str">
        <f t="shared" si="1158"/>
        <v xml:space="preserve">Square Footage Applicable Fraction canot exceed 100% ensure that total sq. feet minus employee sq. feet is less than LI sq. feet for  building 12.
</v>
      </c>
      <c r="G3276" s="9" t="str">
        <f t="shared" ca="1" si="1156"/>
        <v>Enter a value for 'Number of Floors in the Tallest Building' in cell B58.
TRUE</v>
      </c>
    </row>
    <row r="3277" spans="1:7" ht="15" customHeight="1">
      <c r="A3277" t="str">
        <f t="shared" si="1157"/>
        <v/>
      </c>
      <c r="B3277">
        <f>Calculations!A666</f>
        <v>13</v>
      </c>
      <c r="E3277" s="137">
        <f>Calculations!I666</f>
        <v>0</v>
      </c>
      <c r="F3277" t="str">
        <f t="shared" si="1158"/>
        <v xml:space="preserve">Square Footage Applicable Fraction canot exceed 100% ensure that total sq. feet minus employee sq. feet is less than LI sq. feet for  building 13.
</v>
      </c>
      <c r="G3277" s="9" t="str">
        <f t="shared" ca="1" si="1156"/>
        <v>Enter a value for 'Number of Floors in the Tallest Building' in cell B58.
TRUE</v>
      </c>
    </row>
    <row r="3278" spans="1:7" ht="15" customHeight="1">
      <c r="A3278" t="str">
        <f t="shared" si="1157"/>
        <v/>
      </c>
      <c r="B3278">
        <f>Calculations!A667</f>
        <v>14</v>
      </c>
      <c r="E3278" s="137">
        <f>Calculations!I667</f>
        <v>0</v>
      </c>
      <c r="F3278" t="str">
        <f t="shared" si="1158"/>
        <v xml:space="preserve">Square Footage Applicable Fraction canot exceed 100% ensure that total sq. feet minus employee sq. feet is less than LI sq. feet for  building 14.
</v>
      </c>
      <c r="G3278" s="9" t="str">
        <f t="shared" ca="1" si="1156"/>
        <v>Enter a value for 'Number of Floors in the Tallest Building' in cell B58.
TRUE</v>
      </c>
    </row>
    <row r="3279" spans="1:7" ht="15" customHeight="1">
      <c r="A3279" t="str">
        <f t="shared" si="1157"/>
        <v/>
      </c>
      <c r="B3279">
        <f>Calculations!A668</f>
        <v>15</v>
      </c>
      <c r="E3279" s="137">
        <f>Calculations!I668</f>
        <v>0</v>
      </c>
      <c r="F3279" t="str">
        <f t="shared" si="1158"/>
        <v xml:space="preserve">Square Footage Applicable Fraction canot exceed 100% ensure that total sq. feet minus employee sq. feet is less than LI sq. feet for  building 15.
</v>
      </c>
      <c r="G3279" s="9" t="str">
        <f t="shared" ca="1" si="1156"/>
        <v>Enter a value for 'Number of Floors in the Tallest Building' in cell B58.
TRUE</v>
      </c>
    </row>
    <row r="3280" spans="1:7" ht="15" customHeight="1">
      <c r="A3280" t="str">
        <f t="shared" si="1157"/>
        <v/>
      </c>
      <c r="B3280">
        <f>Calculations!A669</f>
        <v>16</v>
      </c>
      <c r="E3280" s="137">
        <f>Calculations!I669</f>
        <v>0</v>
      </c>
      <c r="F3280" t="str">
        <f t="shared" si="1158"/>
        <v xml:space="preserve">Square Footage Applicable Fraction canot exceed 100% ensure that total sq. feet minus employee sq. feet is less than LI sq. feet for  building 16.
</v>
      </c>
      <c r="G3280" s="9" t="str">
        <f t="shared" ca="1" si="1156"/>
        <v>Enter a value for 'Number of Floors in the Tallest Building' in cell B58.
TRUE</v>
      </c>
    </row>
    <row r="3281" spans="1:7" ht="15" customHeight="1">
      <c r="A3281" t="str">
        <f t="shared" si="1157"/>
        <v/>
      </c>
      <c r="B3281">
        <f>Calculations!A670</f>
        <v>17</v>
      </c>
      <c r="E3281" s="137">
        <f>Calculations!I670</f>
        <v>0</v>
      </c>
      <c r="F3281" t="str">
        <f t="shared" si="1158"/>
        <v xml:space="preserve">Square Footage Applicable Fraction canot exceed 100% ensure that total sq. feet minus employee sq. feet is less than LI sq. feet for  building 17.
</v>
      </c>
      <c r="G3281" s="9" t="str">
        <f t="shared" ca="1" si="1156"/>
        <v>Enter a value for 'Number of Floors in the Tallest Building' in cell B58.
TRUE</v>
      </c>
    </row>
    <row r="3282" spans="1:7" ht="15" customHeight="1">
      <c r="A3282" t="str">
        <f t="shared" si="1157"/>
        <v/>
      </c>
      <c r="B3282">
        <f>Calculations!A671</f>
        <v>18</v>
      </c>
      <c r="E3282" s="137">
        <f>Calculations!I671</f>
        <v>0</v>
      </c>
      <c r="F3282" t="str">
        <f t="shared" si="1158"/>
        <v xml:space="preserve">Square Footage Applicable Fraction canot exceed 100% ensure that total sq. feet minus employee sq. feet is less than LI sq. feet for  building 18.
</v>
      </c>
      <c r="G3282" s="9" t="str">
        <f t="shared" ca="1" si="1156"/>
        <v>Enter a value for 'Number of Floors in the Tallest Building' in cell B58.
TRUE</v>
      </c>
    </row>
    <row r="3283" spans="1:7" ht="15" customHeight="1">
      <c r="A3283" t="str">
        <f t="shared" si="1157"/>
        <v/>
      </c>
      <c r="B3283">
        <f>Calculations!A672</f>
        <v>19</v>
      </c>
      <c r="E3283" s="137">
        <f>Calculations!I672</f>
        <v>0</v>
      </c>
      <c r="F3283" t="str">
        <f t="shared" si="1158"/>
        <v xml:space="preserve">Square Footage Applicable Fraction canot exceed 100% ensure that total sq. feet minus employee sq. feet is less than LI sq. feet for  building 19.
</v>
      </c>
      <c r="G3283" s="9" t="str">
        <f t="shared" ca="1" si="1156"/>
        <v>Enter a value for 'Number of Floors in the Tallest Building' in cell B58.
TRUE</v>
      </c>
    </row>
    <row r="3284" spans="1:7" ht="15" customHeight="1">
      <c r="A3284" t="str">
        <f t="shared" si="1157"/>
        <v/>
      </c>
      <c r="B3284">
        <f>Calculations!A673</f>
        <v>20</v>
      </c>
      <c r="E3284" s="137">
        <f>Calculations!I673</f>
        <v>0</v>
      </c>
      <c r="F3284" t="str">
        <f t="shared" si="1158"/>
        <v xml:space="preserve">Square Footage Applicable Fraction canot exceed 100% ensure that total sq. feet minus employee sq. feet is less than LI sq. feet for  building 20.
</v>
      </c>
      <c r="G3284" s="9" t="str">
        <f t="shared" ca="1" si="1156"/>
        <v>Enter a value for 'Number of Floors in the Tallest Building' in cell B58.
TRUE</v>
      </c>
    </row>
    <row r="3285" spans="1:7" ht="15" customHeight="1">
      <c r="A3285" t="str">
        <f t="shared" si="1157"/>
        <v/>
      </c>
      <c r="B3285">
        <f>Calculations!A674</f>
        <v>21</v>
      </c>
      <c r="E3285" s="137">
        <f>Calculations!I674</f>
        <v>0</v>
      </c>
      <c r="F3285" t="str">
        <f t="shared" si="1158"/>
        <v xml:space="preserve">Square Footage Applicable Fraction canot exceed 100% ensure that total sq. feet minus employee sq. feet is less than LI sq. feet for  building 21.
</v>
      </c>
      <c r="G3285" s="9" t="str">
        <f t="shared" ca="1" si="1156"/>
        <v>Enter a value for 'Number of Floors in the Tallest Building' in cell B58.
TRUE</v>
      </c>
    </row>
    <row r="3286" spans="1:7" ht="15" customHeight="1">
      <c r="A3286" t="str">
        <f t="shared" si="1157"/>
        <v/>
      </c>
      <c r="B3286">
        <f>Calculations!A675</f>
        <v>22</v>
      </c>
      <c r="E3286" s="137">
        <f>Calculations!I675</f>
        <v>0</v>
      </c>
      <c r="F3286" t="str">
        <f t="shared" si="1158"/>
        <v xml:space="preserve">Square Footage Applicable Fraction canot exceed 100% ensure that total sq. feet minus employee sq. feet is less than LI sq. feet for  building 22.
</v>
      </c>
      <c r="G3286" s="9" t="str">
        <f t="shared" ca="1" si="1156"/>
        <v>Enter a value for 'Number of Floors in the Tallest Building' in cell B58.
TRUE</v>
      </c>
    </row>
    <row r="3287" spans="1:7" ht="15" customHeight="1">
      <c r="A3287" t="str">
        <f t="shared" si="1157"/>
        <v/>
      </c>
      <c r="B3287">
        <f>Calculations!A676</f>
        <v>23</v>
      </c>
      <c r="E3287" s="137">
        <f>Calculations!I676</f>
        <v>0</v>
      </c>
      <c r="F3287" t="str">
        <f t="shared" si="1158"/>
        <v xml:space="preserve">Square Footage Applicable Fraction canot exceed 100% ensure that total sq. feet minus employee sq. feet is less than LI sq. feet for  building 23.
</v>
      </c>
      <c r="G3287" s="9" t="str">
        <f t="shared" ca="1" si="1156"/>
        <v>Enter a value for 'Number of Floors in the Tallest Building' in cell B58.
TRUE</v>
      </c>
    </row>
    <row r="3288" spans="1:7" ht="15" customHeight="1">
      <c r="A3288" t="str">
        <f t="shared" si="1157"/>
        <v/>
      </c>
      <c r="B3288">
        <f>Calculations!A677</f>
        <v>24</v>
      </c>
      <c r="E3288" s="137">
        <f>Calculations!I677</f>
        <v>0</v>
      </c>
      <c r="F3288" t="str">
        <f t="shared" si="1158"/>
        <v xml:space="preserve">Square Footage Applicable Fraction canot exceed 100% ensure that total sq. feet minus employee sq. feet is less than LI sq. feet for  building 24.
</v>
      </c>
      <c r="G3288" s="9" t="str">
        <f t="shared" ca="1" si="1156"/>
        <v>Enter a value for 'Number of Floors in the Tallest Building' in cell B58.
TRUE</v>
      </c>
    </row>
    <row r="3289" spans="1:7" ht="15" customHeight="1">
      <c r="A3289" t="str">
        <f t="shared" si="1157"/>
        <v/>
      </c>
      <c r="B3289">
        <f>Calculations!A678</f>
        <v>25</v>
      </c>
      <c r="E3289" s="137">
        <f>Calculations!I678</f>
        <v>0</v>
      </c>
      <c r="F3289" t="str">
        <f t="shared" si="1158"/>
        <v xml:space="preserve">Square Footage Applicable Fraction canot exceed 100% ensure that total sq. feet minus employee sq. feet is less than LI sq. feet for  building 25.
</v>
      </c>
      <c r="G3289" s="9" t="str">
        <f t="shared" ca="1" si="1156"/>
        <v>Enter a value for 'Number of Floors in the Tallest Building' in cell B58.
TRUE</v>
      </c>
    </row>
    <row r="3290" spans="1:7" ht="15" customHeight="1">
      <c r="A3290" t="str">
        <f t="shared" si="1157"/>
        <v/>
      </c>
      <c r="B3290">
        <f>Calculations!A679</f>
        <v>26</v>
      </c>
      <c r="E3290" s="137">
        <f>Calculations!I679</f>
        <v>0</v>
      </c>
      <c r="F3290" t="str">
        <f t="shared" si="1158"/>
        <v xml:space="preserve">Square Footage Applicable Fraction canot exceed 100% ensure that total sq. feet minus employee sq. feet is less than LI sq. feet for  building 26.
</v>
      </c>
      <c r="G3290" s="9" t="str">
        <f t="shared" ca="1" si="1156"/>
        <v>Enter a value for 'Number of Floors in the Tallest Building' in cell B58.
TRUE</v>
      </c>
    </row>
    <row r="3291" spans="1:7" ht="15" customHeight="1">
      <c r="A3291" t="str">
        <f t="shared" si="1157"/>
        <v/>
      </c>
      <c r="B3291">
        <f>Calculations!A680</f>
        <v>27</v>
      </c>
      <c r="E3291" s="137">
        <f>Calculations!I680</f>
        <v>0</v>
      </c>
      <c r="F3291" t="str">
        <f t="shared" si="1158"/>
        <v xml:space="preserve">Square Footage Applicable Fraction canot exceed 100% ensure that total sq. feet minus employee sq. feet is less than LI sq. feet for  building 27.
</v>
      </c>
      <c r="G3291" s="9" t="str">
        <f t="shared" ca="1" si="1156"/>
        <v>Enter a value for 'Number of Floors in the Tallest Building' in cell B58.
TRUE</v>
      </c>
    </row>
    <row r="3292" spans="1:7" ht="15" customHeight="1">
      <c r="A3292" t="str">
        <f t="shared" si="1157"/>
        <v/>
      </c>
      <c r="B3292">
        <f>Calculations!A681</f>
        <v>28</v>
      </c>
      <c r="E3292" s="137">
        <f>Calculations!I681</f>
        <v>0</v>
      </c>
      <c r="F3292" t="str">
        <f t="shared" si="1158"/>
        <v xml:space="preserve">Square Footage Applicable Fraction canot exceed 100% ensure that total sq. feet minus employee sq. feet is less than LI sq. feet for  building 28.
</v>
      </c>
      <c r="G3292" s="9" t="str">
        <f t="shared" ca="1" si="1156"/>
        <v>Enter a value for 'Number of Floors in the Tallest Building' in cell B58.
TRUE</v>
      </c>
    </row>
    <row r="3293" spans="1:7" ht="15" customHeight="1">
      <c r="A3293" t="str">
        <f t="shared" si="1157"/>
        <v/>
      </c>
      <c r="B3293">
        <f>Calculations!A682</f>
        <v>29</v>
      </c>
      <c r="E3293" s="137">
        <f>Calculations!I682</f>
        <v>0</v>
      </c>
      <c r="F3293" t="str">
        <f t="shared" si="1158"/>
        <v xml:space="preserve">Square Footage Applicable Fraction canot exceed 100% ensure that total sq. feet minus employee sq. feet is less than LI sq. feet for  building 29.
</v>
      </c>
      <c r="G3293" s="9" t="str">
        <f t="shared" ca="1" si="1156"/>
        <v>Enter a value for 'Number of Floors in the Tallest Building' in cell B58.
TRUE</v>
      </c>
    </row>
    <row r="3294" spans="1:7" ht="15" customHeight="1">
      <c r="A3294" t="str">
        <f t="shared" ref="A3294:A3325" si="1159">IF(E3294&gt;1, F3294, "")</f>
        <v/>
      </c>
      <c r="B3294">
        <f>Calculations!A683</f>
        <v>30</v>
      </c>
      <c r="E3294" s="137">
        <f>Calculations!I683</f>
        <v>0</v>
      </c>
      <c r="F3294" t="str">
        <f t="shared" si="1158"/>
        <v xml:space="preserve">Square Footage Applicable Fraction canot exceed 100% ensure that total sq. feet minus employee sq. feet is less than LI sq. feet for  building 30.
</v>
      </c>
      <c r="G3294" s="9" t="str">
        <f t="shared" ca="1" si="1156"/>
        <v>Enter a value for 'Number of Floors in the Tallest Building' in cell B58.
TRUE</v>
      </c>
    </row>
    <row r="3295" spans="1:7" ht="15" customHeight="1">
      <c r="A3295" t="str">
        <f t="shared" si="1159"/>
        <v/>
      </c>
      <c r="B3295">
        <f>Calculations!A684</f>
        <v>31</v>
      </c>
      <c r="E3295" s="137">
        <f>Calculations!I684</f>
        <v>0</v>
      </c>
      <c r="F3295" t="str">
        <f t="shared" si="1158"/>
        <v xml:space="preserve">Square Footage Applicable Fraction canot exceed 100% ensure that total sq. feet minus employee sq. feet is less than LI sq. feet for  building 31.
</v>
      </c>
      <c r="G3295" s="9" t="str">
        <f t="shared" ref="G3295:G3358" ca="1" si="1160">OFFSET(G3295, -1, 0) &amp; A3295</f>
        <v>Enter a value for 'Number of Floors in the Tallest Building' in cell B58.
TRUE</v>
      </c>
    </row>
    <row r="3296" spans="1:7" ht="15" customHeight="1">
      <c r="A3296" t="str">
        <f t="shared" si="1159"/>
        <v/>
      </c>
      <c r="B3296">
        <f>Calculations!A685</f>
        <v>32</v>
      </c>
      <c r="E3296" s="137">
        <f>Calculations!I685</f>
        <v>0</v>
      </c>
      <c r="F3296" t="str">
        <f t="shared" si="1158"/>
        <v xml:space="preserve">Square Footage Applicable Fraction canot exceed 100% ensure that total sq. feet minus employee sq. feet is less than LI sq. feet for  building 32.
</v>
      </c>
      <c r="G3296" s="9" t="str">
        <f t="shared" ca="1" si="1160"/>
        <v>Enter a value for 'Number of Floors in the Tallest Building' in cell B58.
TRUE</v>
      </c>
    </row>
    <row r="3297" spans="1:7" ht="15" customHeight="1">
      <c r="A3297" t="str">
        <f t="shared" si="1159"/>
        <v/>
      </c>
      <c r="B3297">
        <f>Calculations!A686</f>
        <v>33</v>
      </c>
      <c r="E3297" s="137">
        <f>Calculations!I686</f>
        <v>0</v>
      </c>
      <c r="F3297" t="str">
        <f t="shared" ref="F3297:F3328" si="1161">CONCATENATE("Square Footage Applicable Fraction canot exceed 100% ensure that total sq. feet minus employee sq. feet is less than LI sq. feet for  building ", B3297, ".", CHAR(10))</f>
        <v xml:space="preserve">Square Footage Applicable Fraction canot exceed 100% ensure that total sq. feet minus employee sq. feet is less than LI sq. feet for  building 33.
</v>
      </c>
      <c r="G3297" s="9" t="str">
        <f t="shared" ca="1" si="1160"/>
        <v>Enter a value for 'Number of Floors in the Tallest Building' in cell B58.
TRUE</v>
      </c>
    </row>
    <row r="3298" spans="1:7" ht="15" customHeight="1">
      <c r="A3298" t="str">
        <f t="shared" si="1159"/>
        <v/>
      </c>
      <c r="B3298">
        <f>Calculations!A687</f>
        <v>34</v>
      </c>
      <c r="E3298" s="137">
        <f>Calculations!I687</f>
        <v>0</v>
      </c>
      <c r="F3298" t="str">
        <f t="shared" si="1161"/>
        <v xml:space="preserve">Square Footage Applicable Fraction canot exceed 100% ensure that total sq. feet minus employee sq. feet is less than LI sq. feet for  building 34.
</v>
      </c>
      <c r="G3298" s="9" t="str">
        <f t="shared" ca="1" si="1160"/>
        <v>Enter a value for 'Number of Floors in the Tallest Building' in cell B58.
TRUE</v>
      </c>
    </row>
    <row r="3299" spans="1:7" ht="15" customHeight="1">
      <c r="A3299" t="str">
        <f t="shared" si="1159"/>
        <v/>
      </c>
      <c r="B3299">
        <f>Calculations!A688</f>
        <v>35</v>
      </c>
      <c r="E3299" s="137">
        <f>Calculations!I688</f>
        <v>0</v>
      </c>
      <c r="F3299" t="str">
        <f t="shared" si="1161"/>
        <v xml:space="preserve">Square Footage Applicable Fraction canot exceed 100% ensure that total sq. feet minus employee sq. feet is less than LI sq. feet for  building 35.
</v>
      </c>
      <c r="G3299" s="9" t="str">
        <f t="shared" ca="1" si="1160"/>
        <v>Enter a value for 'Number of Floors in the Tallest Building' in cell B58.
TRUE</v>
      </c>
    </row>
    <row r="3300" spans="1:7" ht="15" customHeight="1">
      <c r="A3300" t="str">
        <f t="shared" si="1159"/>
        <v/>
      </c>
      <c r="B3300">
        <f>Calculations!A689</f>
        <v>36</v>
      </c>
      <c r="E3300" s="137">
        <f>Calculations!I689</f>
        <v>0</v>
      </c>
      <c r="F3300" t="str">
        <f t="shared" si="1161"/>
        <v xml:space="preserve">Square Footage Applicable Fraction canot exceed 100% ensure that total sq. feet minus employee sq. feet is less than LI sq. feet for  building 36.
</v>
      </c>
      <c r="G3300" s="9" t="str">
        <f t="shared" ca="1" si="1160"/>
        <v>Enter a value for 'Number of Floors in the Tallest Building' in cell B58.
TRUE</v>
      </c>
    </row>
    <row r="3301" spans="1:7" ht="15" customHeight="1">
      <c r="A3301" t="str">
        <f t="shared" si="1159"/>
        <v/>
      </c>
      <c r="B3301">
        <f>Calculations!A690</f>
        <v>37</v>
      </c>
      <c r="E3301" s="137">
        <f>Calculations!I690</f>
        <v>0</v>
      </c>
      <c r="F3301" t="str">
        <f t="shared" si="1161"/>
        <v xml:space="preserve">Square Footage Applicable Fraction canot exceed 100% ensure that total sq. feet minus employee sq. feet is less than LI sq. feet for  building 37.
</v>
      </c>
      <c r="G3301" s="9" t="str">
        <f t="shared" ca="1" si="1160"/>
        <v>Enter a value for 'Number of Floors in the Tallest Building' in cell B58.
TRUE</v>
      </c>
    </row>
    <row r="3302" spans="1:7" ht="15" customHeight="1">
      <c r="A3302" t="str">
        <f t="shared" si="1159"/>
        <v/>
      </c>
      <c r="B3302">
        <f>Calculations!A691</f>
        <v>38</v>
      </c>
      <c r="E3302" s="137">
        <f>Calculations!I691</f>
        <v>0</v>
      </c>
      <c r="F3302" t="str">
        <f t="shared" si="1161"/>
        <v xml:space="preserve">Square Footage Applicable Fraction canot exceed 100% ensure that total sq. feet minus employee sq. feet is less than LI sq. feet for  building 38.
</v>
      </c>
      <c r="G3302" s="9" t="str">
        <f t="shared" ca="1" si="1160"/>
        <v>Enter a value for 'Number of Floors in the Tallest Building' in cell B58.
TRUE</v>
      </c>
    </row>
    <row r="3303" spans="1:7" ht="15" customHeight="1">
      <c r="A3303" t="str">
        <f t="shared" si="1159"/>
        <v/>
      </c>
      <c r="B3303">
        <f>Calculations!A692</f>
        <v>39</v>
      </c>
      <c r="E3303" s="137">
        <f>Calculations!I692</f>
        <v>0</v>
      </c>
      <c r="F3303" t="str">
        <f t="shared" si="1161"/>
        <v xml:space="preserve">Square Footage Applicable Fraction canot exceed 100% ensure that total sq. feet minus employee sq. feet is less than LI sq. feet for  building 39.
</v>
      </c>
      <c r="G3303" s="9" t="str">
        <f t="shared" ca="1" si="1160"/>
        <v>Enter a value for 'Number of Floors in the Tallest Building' in cell B58.
TRUE</v>
      </c>
    </row>
    <row r="3304" spans="1:7" ht="15" customHeight="1">
      <c r="A3304" t="str">
        <f t="shared" si="1159"/>
        <v/>
      </c>
      <c r="B3304">
        <f>Calculations!A693</f>
        <v>40</v>
      </c>
      <c r="E3304" s="137">
        <f>Calculations!I693</f>
        <v>0</v>
      </c>
      <c r="F3304" t="str">
        <f t="shared" si="1161"/>
        <v xml:space="preserve">Square Footage Applicable Fraction canot exceed 100% ensure that total sq. feet minus employee sq. feet is less than LI sq. feet for  building 40.
</v>
      </c>
      <c r="G3304" s="9" t="str">
        <f t="shared" ca="1" si="1160"/>
        <v>Enter a value for 'Number of Floors in the Tallest Building' in cell B58.
TRUE</v>
      </c>
    </row>
    <row r="3305" spans="1:7" ht="15" customHeight="1">
      <c r="A3305" t="str">
        <f t="shared" si="1159"/>
        <v/>
      </c>
      <c r="B3305">
        <f>Calculations!A694</f>
        <v>41</v>
      </c>
      <c r="E3305" s="137">
        <f>Calculations!I694</f>
        <v>0</v>
      </c>
      <c r="F3305" t="str">
        <f t="shared" si="1161"/>
        <v xml:space="preserve">Square Footage Applicable Fraction canot exceed 100% ensure that total sq. feet minus employee sq. feet is less than LI sq. feet for  building 41.
</v>
      </c>
      <c r="G3305" s="9" t="str">
        <f t="shared" ca="1" si="1160"/>
        <v>Enter a value for 'Number of Floors in the Tallest Building' in cell B58.
TRUE</v>
      </c>
    </row>
    <row r="3306" spans="1:7" ht="15" customHeight="1">
      <c r="A3306" t="str">
        <f t="shared" si="1159"/>
        <v/>
      </c>
      <c r="B3306">
        <f>Calculations!A695</f>
        <v>42</v>
      </c>
      <c r="E3306" s="137">
        <f>Calculations!I695</f>
        <v>0</v>
      </c>
      <c r="F3306" t="str">
        <f t="shared" si="1161"/>
        <v xml:space="preserve">Square Footage Applicable Fraction canot exceed 100% ensure that total sq. feet minus employee sq. feet is less than LI sq. feet for  building 42.
</v>
      </c>
      <c r="G3306" s="9" t="str">
        <f t="shared" ca="1" si="1160"/>
        <v>Enter a value for 'Number of Floors in the Tallest Building' in cell B58.
TRUE</v>
      </c>
    </row>
    <row r="3307" spans="1:7" ht="15" customHeight="1">
      <c r="A3307" t="str">
        <f t="shared" si="1159"/>
        <v/>
      </c>
      <c r="B3307">
        <f>Calculations!A696</f>
        <v>43</v>
      </c>
      <c r="E3307" s="137">
        <f>Calculations!I696</f>
        <v>0</v>
      </c>
      <c r="F3307" t="str">
        <f t="shared" si="1161"/>
        <v xml:space="preserve">Square Footage Applicable Fraction canot exceed 100% ensure that total sq. feet minus employee sq. feet is less than LI sq. feet for  building 43.
</v>
      </c>
      <c r="G3307" s="9" t="str">
        <f t="shared" ca="1" si="1160"/>
        <v>Enter a value for 'Number of Floors in the Tallest Building' in cell B58.
TRUE</v>
      </c>
    </row>
    <row r="3308" spans="1:7" ht="15" customHeight="1">
      <c r="A3308" t="str">
        <f t="shared" si="1159"/>
        <v/>
      </c>
      <c r="B3308">
        <f>Calculations!A697</f>
        <v>44</v>
      </c>
      <c r="E3308" s="137">
        <f>Calculations!I697</f>
        <v>0</v>
      </c>
      <c r="F3308" t="str">
        <f t="shared" si="1161"/>
        <v xml:space="preserve">Square Footage Applicable Fraction canot exceed 100% ensure that total sq. feet minus employee sq. feet is less than LI sq. feet for  building 44.
</v>
      </c>
      <c r="G3308" s="9" t="str">
        <f t="shared" ca="1" si="1160"/>
        <v>Enter a value for 'Number of Floors in the Tallest Building' in cell B58.
TRUE</v>
      </c>
    </row>
    <row r="3309" spans="1:7" ht="15" customHeight="1">
      <c r="A3309" t="str">
        <f t="shared" si="1159"/>
        <v/>
      </c>
      <c r="B3309">
        <f>Calculations!A698</f>
        <v>45</v>
      </c>
      <c r="E3309" s="137">
        <f>Calculations!I698</f>
        <v>0</v>
      </c>
      <c r="F3309" t="str">
        <f t="shared" si="1161"/>
        <v xml:space="preserve">Square Footage Applicable Fraction canot exceed 100% ensure that total sq. feet minus employee sq. feet is less than LI sq. feet for  building 45.
</v>
      </c>
      <c r="G3309" s="9" t="str">
        <f t="shared" ca="1" si="1160"/>
        <v>Enter a value for 'Number of Floors in the Tallest Building' in cell B58.
TRUE</v>
      </c>
    </row>
    <row r="3310" spans="1:7" ht="15" customHeight="1">
      <c r="A3310" t="str">
        <f t="shared" si="1159"/>
        <v/>
      </c>
      <c r="B3310">
        <f>Calculations!A699</f>
        <v>46</v>
      </c>
      <c r="E3310" s="137">
        <f>Calculations!I699</f>
        <v>0</v>
      </c>
      <c r="F3310" t="str">
        <f t="shared" si="1161"/>
        <v xml:space="preserve">Square Footage Applicable Fraction canot exceed 100% ensure that total sq. feet minus employee sq. feet is less than LI sq. feet for  building 46.
</v>
      </c>
      <c r="G3310" s="9" t="str">
        <f t="shared" ca="1" si="1160"/>
        <v>Enter a value for 'Number of Floors in the Tallest Building' in cell B58.
TRUE</v>
      </c>
    </row>
    <row r="3311" spans="1:7" ht="15" customHeight="1">
      <c r="A3311" t="str">
        <f t="shared" si="1159"/>
        <v/>
      </c>
      <c r="B3311">
        <f>Calculations!A700</f>
        <v>47</v>
      </c>
      <c r="E3311" s="137">
        <f>Calculations!I700</f>
        <v>0</v>
      </c>
      <c r="F3311" t="str">
        <f t="shared" si="1161"/>
        <v xml:space="preserve">Square Footage Applicable Fraction canot exceed 100% ensure that total sq. feet minus employee sq. feet is less than LI sq. feet for  building 47.
</v>
      </c>
      <c r="G3311" s="9" t="str">
        <f t="shared" ca="1" si="1160"/>
        <v>Enter a value for 'Number of Floors in the Tallest Building' in cell B58.
TRUE</v>
      </c>
    </row>
    <row r="3312" spans="1:7" ht="15" customHeight="1">
      <c r="A3312" t="str">
        <f t="shared" si="1159"/>
        <v/>
      </c>
      <c r="B3312">
        <f>Calculations!A701</f>
        <v>48</v>
      </c>
      <c r="E3312" s="137">
        <f>Calculations!I701</f>
        <v>0</v>
      </c>
      <c r="F3312" t="str">
        <f t="shared" si="1161"/>
        <v xml:space="preserve">Square Footage Applicable Fraction canot exceed 100% ensure that total sq. feet minus employee sq. feet is less than LI sq. feet for  building 48.
</v>
      </c>
      <c r="G3312" s="9" t="str">
        <f t="shared" ca="1" si="1160"/>
        <v>Enter a value for 'Number of Floors in the Tallest Building' in cell B58.
TRUE</v>
      </c>
    </row>
    <row r="3313" spans="1:7" ht="15" customHeight="1">
      <c r="A3313" t="str">
        <f t="shared" si="1159"/>
        <v/>
      </c>
      <c r="B3313">
        <f>Calculations!A702</f>
        <v>49</v>
      </c>
      <c r="E3313" s="137">
        <f>Calculations!I702</f>
        <v>0</v>
      </c>
      <c r="F3313" t="str">
        <f t="shared" si="1161"/>
        <v xml:space="preserve">Square Footage Applicable Fraction canot exceed 100% ensure that total sq. feet minus employee sq. feet is less than LI sq. feet for  building 49.
</v>
      </c>
      <c r="G3313" s="9" t="str">
        <f t="shared" ca="1" si="1160"/>
        <v>Enter a value for 'Number of Floors in the Tallest Building' in cell B58.
TRUE</v>
      </c>
    </row>
    <row r="3314" spans="1:7" ht="15" customHeight="1">
      <c r="A3314" t="str">
        <f t="shared" si="1159"/>
        <v/>
      </c>
      <c r="B3314">
        <f>Calculations!A703</f>
        <v>50</v>
      </c>
      <c r="E3314" s="137">
        <f>Calculations!I703</f>
        <v>0</v>
      </c>
      <c r="F3314" t="str">
        <f t="shared" si="1161"/>
        <v xml:space="preserve">Square Footage Applicable Fraction canot exceed 100% ensure that total sq. feet minus employee sq. feet is less than LI sq. feet for  building 50.
</v>
      </c>
      <c r="G3314" s="9" t="str">
        <f t="shared" ca="1" si="1160"/>
        <v>Enter a value for 'Number of Floors in the Tallest Building' in cell B58.
TRUE</v>
      </c>
    </row>
    <row r="3315" spans="1:7" ht="15" customHeight="1">
      <c r="A3315" t="str">
        <f t="shared" si="1159"/>
        <v/>
      </c>
      <c r="B3315">
        <f>Calculations!A704</f>
        <v>51</v>
      </c>
      <c r="E3315" s="137">
        <f>Calculations!I704</f>
        <v>0</v>
      </c>
      <c r="F3315" t="str">
        <f t="shared" si="1161"/>
        <v xml:space="preserve">Square Footage Applicable Fraction canot exceed 100% ensure that total sq. feet minus employee sq. feet is less than LI sq. feet for  building 51.
</v>
      </c>
      <c r="G3315" s="9" t="str">
        <f t="shared" ca="1" si="1160"/>
        <v>Enter a value for 'Number of Floors in the Tallest Building' in cell B58.
TRUE</v>
      </c>
    </row>
    <row r="3316" spans="1:7" ht="15" customHeight="1">
      <c r="A3316" t="str">
        <f t="shared" si="1159"/>
        <v/>
      </c>
      <c r="B3316">
        <f>Calculations!A705</f>
        <v>52</v>
      </c>
      <c r="E3316" s="137">
        <f>Calculations!I705</f>
        <v>0</v>
      </c>
      <c r="F3316" t="str">
        <f t="shared" si="1161"/>
        <v xml:space="preserve">Square Footage Applicable Fraction canot exceed 100% ensure that total sq. feet minus employee sq. feet is less than LI sq. feet for  building 52.
</v>
      </c>
      <c r="G3316" s="9" t="str">
        <f t="shared" ca="1" si="1160"/>
        <v>Enter a value for 'Number of Floors in the Tallest Building' in cell B58.
TRUE</v>
      </c>
    </row>
    <row r="3317" spans="1:7" ht="15" customHeight="1">
      <c r="A3317" t="str">
        <f t="shared" si="1159"/>
        <v/>
      </c>
      <c r="B3317">
        <f>Calculations!A706</f>
        <v>53</v>
      </c>
      <c r="E3317" s="137">
        <f>Calculations!I706</f>
        <v>0</v>
      </c>
      <c r="F3317" t="str">
        <f t="shared" si="1161"/>
        <v xml:space="preserve">Square Footage Applicable Fraction canot exceed 100% ensure that total sq. feet minus employee sq. feet is less than LI sq. feet for  building 53.
</v>
      </c>
      <c r="G3317" s="9" t="str">
        <f t="shared" ca="1" si="1160"/>
        <v>Enter a value for 'Number of Floors in the Tallest Building' in cell B58.
TRUE</v>
      </c>
    </row>
    <row r="3318" spans="1:7" ht="15" customHeight="1">
      <c r="A3318" t="str">
        <f t="shared" si="1159"/>
        <v/>
      </c>
      <c r="B3318">
        <f>Calculations!A707</f>
        <v>54</v>
      </c>
      <c r="E3318" s="137">
        <f>Calculations!I707</f>
        <v>0</v>
      </c>
      <c r="F3318" t="str">
        <f t="shared" si="1161"/>
        <v xml:space="preserve">Square Footage Applicable Fraction canot exceed 100% ensure that total sq. feet minus employee sq. feet is less than LI sq. feet for  building 54.
</v>
      </c>
      <c r="G3318" s="9" t="str">
        <f t="shared" ca="1" si="1160"/>
        <v>Enter a value for 'Number of Floors in the Tallest Building' in cell B58.
TRUE</v>
      </c>
    </row>
    <row r="3319" spans="1:7" ht="15" customHeight="1">
      <c r="A3319" t="str">
        <f t="shared" si="1159"/>
        <v/>
      </c>
      <c r="B3319">
        <f>Calculations!A708</f>
        <v>55</v>
      </c>
      <c r="E3319" s="137">
        <f>Calculations!I708</f>
        <v>0</v>
      </c>
      <c r="F3319" t="str">
        <f t="shared" si="1161"/>
        <v xml:space="preserve">Square Footage Applicable Fraction canot exceed 100% ensure that total sq. feet minus employee sq. feet is less than LI sq. feet for  building 55.
</v>
      </c>
      <c r="G3319" s="9" t="str">
        <f t="shared" ca="1" si="1160"/>
        <v>Enter a value for 'Number of Floors in the Tallest Building' in cell B58.
TRUE</v>
      </c>
    </row>
    <row r="3320" spans="1:7" ht="15" customHeight="1">
      <c r="A3320" t="str">
        <f t="shared" si="1159"/>
        <v/>
      </c>
      <c r="B3320">
        <f>Calculations!A709</f>
        <v>56</v>
      </c>
      <c r="E3320" s="137">
        <f>Calculations!I709</f>
        <v>0</v>
      </c>
      <c r="F3320" t="str">
        <f t="shared" si="1161"/>
        <v xml:space="preserve">Square Footage Applicable Fraction canot exceed 100% ensure that total sq. feet minus employee sq. feet is less than LI sq. feet for  building 56.
</v>
      </c>
      <c r="G3320" s="9" t="str">
        <f t="shared" ca="1" si="1160"/>
        <v>Enter a value for 'Number of Floors in the Tallest Building' in cell B58.
TRUE</v>
      </c>
    </row>
    <row r="3321" spans="1:7" ht="15" customHeight="1">
      <c r="A3321" t="str">
        <f t="shared" si="1159"/>
        <v/>
      </c>
      <c r="B3321">
        <f>Calculations!A710</f>
        <v>57</v>
      </c>
      <c r="E3321" s="137">
        <f>Calculations!I710</f>
        <v>0</v>
      </c>
      <c r="F3321" t="str">
        <f t="shared" si="1161"/>
        <v xml:space="preserve">Square Footage Applicable Fraction canot exceed 100% ensure that total sq. feet minus employee sq. feet is less than LI sq. feet for  building 57.
</v>
      </c>
      <c r="G3321" s="9" t="str">
        <f t="shared" ca="1" si="1160"/>
        <v>Enter a value for 'Number of Floors in the Tallest Building' in cell B58.
TRUE</v>
      </c>
    </row>
    <row r="3322" spans="1:7" ht="15" customHeight="1">
      <c r="A3322" t="str">
        <f t="shared" si="1159"/>
        <v/>
      </c>
      <c r="B3322">
        <f>Calculations!A711</f>
        <v>58</v>
      </c>
      <c r="E3322" s="137">
        <f>Calculations!I711</f>
        <v>0</v>
      </c>
      <c r="F3322" t="str">
        <f t="shared" si="1161"/>
        <v xml:space="preserve">Square Footage Applicable Fraction canot exceed 100% ensure that total sq. feet minus employee sq. feet is less than LI sq. feet for  building 58.
</v>
      </c>
      <c r="G3322" s="9" t="str">
        <f t="shared" ca="1" si="1160"/>
        <v>Enter a value for 'Number of Floors in the Tallest Building' in cell B58.
TRUE</v>
      </c>
    </row>
    <row r="3323" spans="1:7" ht="15" customHeight="1">
      <c r="A3323" t="str">
        <f t="shared" si="1159"/>
        <v/>
      </c>
      <c r="B3323">
        <f>Calculations!A712</f>
        <v>59</v>
      </c>
      <c r="E3323" s="137">
        <f>Calculations!I712</f>
        <v>0</v>
      </c>
      <c r="F3323" t="str">
        <f t="shared" si="1161"/>
        <v xml:space="preserve">Square Footage Applicable Fraction canot exceed 100% ensure that total sq. feet minus employee sq. feet is less than LI sq. feet for  building 59.
</v>
      </c>
      <c r="G3323" s="9" t="str">
        <f t="shared" ca="1" si="1160"/>
        <v>Enter a value for 'Number of Floors in the Tallest Building' in cell B58.
TRUE</v>
      </c>
    </row>
    <row r="3324" spans="1:7" ht="15" customHeight="1">
      <c r="A3324" t="str">
        <f t="shared" si="1159"/>
        <v/>
      </c>
      <c r="B3324">
        <f>Calculations!A713</f>
        <v>60</v>
      </c>
      <c r="E3324" s="137">
        <f>Calculations!I713</f>
        <v>0</v>
      </c>
      <c r="F3324" t="str">
        <f t="shared" si="1161"/>
        <v xml:space="preserve">Square Footage Applicable Fraction canot exceed 100% ensure that total sq. feet minus employee sq. feet is less than LI sq. feet for  building 60.
</v>
      </c>
      <c r="G3324" s="9" t="str">
        <f t="shared" ca="1" si="1160"/>
        <v>Enter a value for 'Number of Floors in the Tallest Building' in cell B58.
TRUE</v>
      </c>
    </row>
    <row r="3325" spans="1:7" ht="15" customHeight="1">
      <c r="A3325" t="str">
        <f t="shared" si="1159"/>
        <v/>
      </c>
      <c r="B3325">
        <f>Calculations!A714</f>
        <v>61</v>
      </c>
      <c r="E3325" s="137">
        <f>Calculations!I714</f>
        <v>0</v>
      </c>
      <c r="F3325" t="str">
        <f t="shared" si="1161"/>
        <v xml:space="preserve">Square Footage Applicable Fraction canot exceed 100% ensure that total sq. feet minus employee sq. feet is less than LI sq. feet for  building 61.
</v>
      </c>
      <c r="G3325" s="9" t="str">
        <f t="shared" ca="1" si="1160"/>
        <v>Enter a value for 'Number of Floors in the Tallest Building' in cell B58.
TRUE</v>
      </c>
    </row>
    <row r="3326" spans="1:7" ht="15" customHeight="1">
      <c r="A3326" t="str">
        <f t="shared" ref="A3326:A3357" si="1162">IF(E3326&gt;1, F3326, "")</f>
        <v/>
      </c>
      <c r="B3326">
        <f>Calculations!A715</f>
        <v>62</v>
      </c>
      <c r="E3326" s="137">
        <f>Calculations!I715</f>
        <v>0</v>
      </c>
      <c r="F3326" t="str">
        <f t="shared" si="1161"/>
        <v xml:space="preserve">Square Footage Applicable Fraction canot exceed 100% ensure that total sq. feet minus employee sq. feet is less than LI sq. feet for  building 62.
</v>
      </c>
      <c r="G3326" s="9" t="str">
        <f t="shared" ca="1" si="1160"/>
        <v>Enter a value for 'Number of Floors in the Tallest Building' in cell B58.
TRUE</v>
      </c>
    </row>
    <row r="3327" spans="1:7" ht="15" customHeight="1">
      <c r="A3327" t="str">
        <f t="shared" si="1162"/>
        <v/>
      </c>
      <c r="B3327">
        <f>Calculations!A716</f>
        <v>63</v>
      </c>
      <c r="E3327" s="137">
        <f>Calculations!I716</f>
        <v>0</v>
      </c>
      <c r="F3327" t="str">
        <f t="shared" si="1161"/>
        <v xml:space="preserve">Square Footage Applicable Fraction canot exceed 100% ensure that total sq. feet minus employee sq. feet is less than LI sq. feet for  building 63.
</v>
      </c>
      <c r="G3327" s="9" t="str">
        <f t="shared" ca="1" si="1160"/>
        <v>Enter a value for 'Number of Floors in the Tallest Building' in cell B58.
TRUE</v>
      </c>
    </row>
    <row r="3328" spans="1:7" ht="15" customHeight="1">
      <c r="A3328" t="str">
        <f t="shared" si="1162"/>
        <v/>
      </c>
      <c r="B3328">
        <f>Calculations!A717</f>
        <v>64</v>
      </c>
      <c r="E3328" s="137">
        <f>Calculations!I717</f>
        <v>0</v>
      </c>
      <c r="F3328" t="str">
        <f t="shared" si="1161"/>
        <v xml:space="preserve">Square Footage Applicable Fraction canot exceed 100% ensure that total sq. feet minus employee sq. feet is less than LI sq. feet for  building 64.
</v>
      </c>
      <c r="G3328" s="9" t="str">
        <f t="shared" ca="1" si="1160"/>
        <v>Enter a value for 'Number of Floors in the Tallest Building' in cell B58.
TRUE</v>
      </c>
    </row>
    <row r="3329" spans="1:7" ht="15" customHeight="1">
      <c r="A3329" t="str">
        <f t="shared" si="1162"/>
        <v/>
      </c>
      <c r="B3329">
        <f>Calculations!A718</f>
        <v>65</v>
      </c>
      <c r="E3329" s="137">
        <f>Calculations!I718</f>
        <v>0</v>
      </c>
      <c r="F3329" t="str">
        <f t="shared" ref="F3329:F3363" si="1163">CONCATENATE("Square Footage Applicable Fraction canot exceed 100% ensure that total sq. feet minus employee sq. feet is less than LI sq. feet for  building ", B3329, ".", CHAR(10))</f>
        <v xml:space="preserve">Square Footage Applicable Fraction canot exceed 100% ensure that total sq. feet minus employee sq. feet is less than LI sq. feet for  building 65.
</v>
      </c>
      <c r="G3329" s="9" t="str">
        <f t="shared" ca="1" si="1160"/>
        <v>Enter a value for 'Number of Floors in the Tallest Building' in cell B58.
TRUE</v>
      </c>
    </row>
    <row r="3330" spans="1:7" ht="15" customHeight="1">
      <c r="A3330" t="str">
        <f t="shared" si="1162"/>
        <v/>
      </c>
      <c r="B3330">
        <f>Calculations!A719</f>
        <v>66</v>
      </c>
      <c r="E3330" s="137">
        <f>Calculations!I719</f>
        <v>0</v>
      </c>
      <c r="F3330" t="str">
        <f t="shared" si="1163"/>
        <v xml:space="preserve">Square Footage Applicable Fraction canot exceed 100% ensure that total sq. feet minus employee sq. feet is less than LI sq. feet for  building 66.
</v>
      </c>
      <c r="G3330" s="9" t="str">
        <f t="shared" ca="1" si="1160"/>
        <v>Enter a value for 'Number of Floors in the Tallest Building' in cell B58.
TRUE</v>
      </c>
    </row>
    <row r="3331" spans="1:7" ht="15" customHeight="1">
      <c r="A3331" t="str">
        <f t="shared" si="1162"/>
        <v/>
      </c>
      <c r="B3331">
        <f>Calculations!A720</f>
        <v>67</v>
      </c>
      <c r="E3331" s="137">
        <f>Calculations!I720</f>
        <v>0</v>
      </c>
      <c r="F3331" t="str">
        <f t="shared" si="1163"/>
        <v xml:space="preserve">Square Footage Applicable Fraction canot exceed 100% ensure that total sq. feet minus employee sq. feet is less than LI sq. feet for  building 67.
</v>
      </c>
      <c r="G3331" s="9" t="str">
        <f t="shared" ca="1" si="1160"/>
        <v>Enter a value for 'Number of Floors in the Tallest Building' in cell B58.
TRUE</v>
      </c>
    </row>
    <row r="3332" spans="1:7" ht="15" customHeight="1">
      <c r="A3332" t="str">
        <f t="shared" si="1162"/>
        <v/>
      </c>
      <c r="B3332">
        <f>Calculations!A721</f>
        <v>68</v>
      </c>
      <c r="E3332" s="137">
        <f>Calculations!I721</f>
        <v>0</v>
      </c>
      <c r="F3332" t="str">
        <f t="shared" si="1163"/>
        <v xml:space="preserve">Square Footage Applicable Fraction canot exceed 100% ensure that total sq. feet minus employee sq. feet is less than LI sq. feet for  building 68.
</v>
      </c>
      <c r="G3332" s="9" t="str">
        <f t="shared" ca="1" si="1160"/>
        <v>Enter a value for 'Number of Floors in the Tallest Building' in cell B58.
TRUE</v>
      </c>
    </row>
    <row r="3333" spans="1:7" ht="15" customHeight="1">
      <c r="A3333" t="str">
        <f t="shared" si="1162"/>
        <v/>
      </c>
      <c r="B3333">
        <f>Calculations!A722</f>
        <v>69</v>
      </c>
      <c r="E3333" s="137">
        <f>Calculations!I722</f>
        <v>0</v>
      </c>
      <c r="F3333" t="str">
        <f t="shared" si="1163"/>
        <v xml:space="preserve">Square Footage Applicable Fraction canot exceed 100% ensure that total sq. feet minus employee sq. feet is less than LI sq. feet for  building 69.
</v>
      </c>
      <c r="G3333" s="9" t="str">
        <f t="shared" ca="1" si="1160"/>
        <v>Enter a value for 'Number of Floors in the Tallest Building' in cell B58.
TRUE</v>
      </c>
    </row>
    <row r="3334" spans="1:7" ht="15" customHeight="1">
      <c r="A3334" t="str">
        <f t="shared" si="1162"/>
        <v/>
      </c>
      <c r="B3334">
        <f>Calculations!A723</f>
        <v>70</v>
      </c>
      <c r="E3334" s="137">
        <f>Calculations!I723</f>
        <v>0</v>
      </c>
      <c r="F3334" t="str">
        <f t="shared" si="1163"/>
        <v xml:space="preserve">Square Footage Applicable Fraction canot exceed 100% ensure that total sq. feet minus employee sq. feet is less than LI sq. feet for  building 70.
</v>
      </c>
      <c r="G3334" s="9" t="str">
        <f t="shared" ca="1" si="1160"/>
        <v>Enter a value for 'Number of Floors in the Tallest Building' in cell B58.
TRUE</v>
      </c>
    </row>
    <row r="3335" spans="1:7" ht="15" customHeight="1">
      <c r="A3335" t="str">
        <f t="shared" si="1162"/>
        <v/>
      </c>
      <c r="B3335">
        <f>Calculations!A724</f>
        <v>71</v>
      </c>
      <c r="E3335" s="137">
        <f>Calculations!I724</f>
        <v>0</v>
      </c>
      <c r="F3335" t="str">
        <f t="shared" si="1163"/>
        <v xml:space="preserve">Square Footage Applicable Fraction canot exceed 100% ensure that total sq. feet minus employee sq. feet is less than LI sq. feet for  building 71.
</v>
      </c>
      <c r="G3335" s="9" t="str">
        <f t="shared" ca="1" si="1160"/>
        <v>Enter a value for 'Number of Floors in the Tallest Building' in cell B58.
TRUE</v>
      </c>
    </row>
    <row r="3336" spans="1:7" ht="15" customHeight="1">
      <c r="A3336" t="str">
        <f t="shared" si="1162"/>
        <v/>
      </c>
      <c r="B3336">
        <f>Calculations!A725</f>
        <v>72</v>
      </c>
      <c r="E3336" s="137">
        <f>Calculations!I725</f>
        <v>0</v>
      </c>
      <c r="F3336" t="str">
        <f t="shared" si="1163"/>
        <v xml:space="preserve">Square Footage Applicable Fraction canot exceed 100% ensure that total sq. feet minus employee sq. feet is less than LI sq. feet for  building 72.
</v>
      </c>
      <c r="G3336" s="9" t="str">
        <f t="shared" ca="1" si="1160"/>
        <v>Enter a value for 'Number of Floors in the Tallest Building' in cell B58.
TRUE</v>
      </c>
    </row>
    <row r="3337" spans="1:7" ht="15" customHeight="1">
      <c r="A3337" t="str">
        <f t="shared" si="1162"/>
        <v/>
      </c>
      <c r="B3337">
        <f>Calculations!A726</f>
        <v>73</v>
      </c>
      <c r="E3337" s="137">
        <f>Calculations!I726</f>
        <v>0</v>
      </c>
      <c r="F3337" t="str">
        <f t="shared" si="1163"/>
        <v xml:space="preserve">Square Footage Applicable Fraction canot exceed 100% ensure that total sq. feet minus employee sq. feet is less than LI sq. feet for  building 73.
</v>
      </c>
      <c r="G3337" s="9" t="str">
        <f t="shared" ca="1" si="1160"/>
        <v>Enter a value for 'Number of Floors in the Tallest Building' in cell B58.
TRUE</v>
      </c>
    </row>
    <row r="3338" spans="1:7" ht="15" customHeight="1">
      <c r="A3338" t="str">
        <f t="shared" si="1162"/>
        <v/>
      </c>
      <c r="B3338">
        <f>Calculations!A727</f>
        <v>74</v>
      </c>
      <c r="E3338" s="137">
        <f>Calculations!I727</f>
        <v>0</v>
      </c>
      <c r="F3338" t="str">
        <f t="shared" si="1163"/>
        <v xml:space="preserve">Square Footage Applicable Fraction canot exceed 100% ensure that total sq. feet minus employee sq. feet is less than LI sq. feet for  building 74.
</v>
      </c>
      <c r="G3338" s="9" t="str">
        <f t="shared" ca="1" si="1160"/>
        <v>Enter a value for 'Number of Floors in the Tallest Building' in cell B58.
TRUE</v>
      </c>
    </row>
    <row r="3339" spans="1:7" ht="15" customHeight="1">
      <c r="A3339" t="str">
        <f t="shared" si="1162"/>
        <v/>
      </c>
      <c r="B3339">
        <f>Calculations!A728</f>
        <v>75</v>
      </c>
      <c r="E3339" s="137">
        <f>Calculations!I728</f>
        <v>0</v>
      </c>
      <c r="F3339" t="str">
        <f t="shared" si="1163"/>
        <v xml:space="preserve">Square Footage Applicable Fraction canot exceed 100% ensure that total sq. feet minus employee sq. feet is less than LI sq. feet for  building 75.
</v>
      </c>
      <c r="G3339" s="9" t="str">
        <f t="shared" ca="1" si="1160"/>
        <v>Enter a value for 'Number of Floors in the Tallest Building' in cell B58.
TRUE</v>
      </c>
    </row>
    <row r="3340" spans="1:7" ht="15" customHeight="1">
      <c r="A3340" t="str">
        <f t="shared" si="1162"/>
        <v/>
      </c>
      <c r="B3340">
        <f>Calculations!A729</f>
        <v>76</v>
      </c>
      <c r="E3340" s="137">
        <f>Calculations!I729</f>
        <v>0</v>
      </c>
      <c r="F3340" t="str">
        <f t="shared" si="1163"/>
        <v xml:space="preserve">Square Footage Applicable Fraction canot exceed 100% ensure that total sq. feet minus employee sq. feet is less than LI sq. feet for  building 76.
</v>
      </c>
      <c r="G3340" s="9" t="str">
        <f t="shared" ca="1" si="1160"/>
        <v>Enter a value for 'Number of Floors in the Tallest Building' in cell B58.
TRUE</v>
      </c>
    </row>
    <row r="3341" spans="1:7" ht="15" customHeight="1">
      <c r="A3341" t="str">
        <f t="shared" si="1162"/>
        <v/>
      </c>
      <c r="B3341">
        <f>Calculations!A730</f>
        <v>77</v>
      </c>
      <c r="E3341" s="137">
        <f>Calculations!I730</f>
        <v>0</v>
      </c>
      <c r="F3341" t="str">
        <f t="shared" si="1163"/>
        <v xml:space="preserve">Square Footage Applicable Fraction canot exceed 100% ensure that total sq. feet minus employee sq. feet is less than LI sq. feet for  building 77.
</v>
      </c>
      <c r="G3341" s="9" t="str">
        <f t="shared" ca="1" si="1160"/>
        <v>Enter a value for 'Number of Floors in the Tallest Building' in cell B58.
TRUE</v>
      </c>
    </row>
    <row r="3342" spans="1:7" ht="15" customHeight="1">
      <c r="A3342" t="str">
        <f t="shared" si="1162"/>
        <v/>
      </c>
      <c r="B3342">
        <f>Calculations!A731</f>
        <v>78</v>
      </c>
      <c r="E3342" s="137">
        <f>Calculations!I731</f>
        <v>0</v>
      </c>
      <c r="F3342" t="str">
        <f t="shared" si="1163"/>
        <v xml:space="preserve">Square Footage Applicable Fraction canot exceed 100% ensure that total sq. feet minus employee sq. feet is less than LI sq. feet for  building 78.
</v>
      </c>
      <c r="G3342" s="9" t="str">
        <f t="shared" ca="1" si="1160"/>
        <v>Enter a value for 'Number of Floors in the Tallest Building' in cell B58.
TRUE</v>
      </c>
    </row>
    <row r="3343" spans="1:7" ht="15" customHeight="1">
      <c r="A3343" t="str">
        <f t="shared" si="1162"/>
        <v/>
      </c>
      <c r="B3343">
        <f>Calculations!A732</f>
        <v>79</v>
      </c>
      <c r="E3343" s="137">
        <f>Calculations!I732</f>
        <v>0</v>
      </c>
      <c r="F3343" t="str">
        <f t="shared" si="1163"/>
        <v xml:space="preserve">Square Footage Applicable Fraction canot exceed 100% ensure that total sq. feet minus employee sq. feet is less than LI sq. feet for  building 79.
</v>
      </c>
      <c r="G3343" s="9" t="str">
        <f t="shared" ca="1" si="1160"/>
        <v>Enter a value for 'Number of Floors in the Tallest Building' in cell B58.
TRUE</v>
      </c>
    </row>
    <row r="3344" spans="1:7" ht="15" customHeight="1">
      <c r="A3344" t="str">
        <f t="shared" si="1162"/>
        <v/>
      </c>
      <c r="B3344">
        <f>Calculations!A733</f>
        <v>80</v>
      </c>
      <c r="E3344" s="137">
        <f>Calculations!I733</f>
        <v>0</v>
      </c>
      <c r="F3344" t="str">
        <f t="shared" si="1163"/>
        <v xml:space="preserve">Square Footage Applicable Fraction canot exceed 100% ensure that total sq. feet minus employee sq. feet is less than LI sq. feet for  building 80.
</v>
      </c>
      <c r="G3344" s="9" t="str">
        <f t="shared" ca="1" si="1160"/>
        <v>Enter a value for 'Number of Floors in the Tallest Building' in cell B58.
TRUE</v>
      </c>
    </row>
    <row r="3345" spans="1:7" ht="15" customHeight="1">
      <c r="A3345" t="str">
        <f t="shared" si="1162"/>
        <v/>
      </c>
      <c r="B3345">
        <f>Calculations!A734</f>
        <v>81</v>
      </c>
      <c r="E3345" s="137">
        <f>Calculations!I734</f>
        <v>0</v>
      </c>
      <c r="F3345" t="str">
        <f t="shared" si="1163"/>
        <v xml:space="preserve">Square Footage Applicable Fraction canot exceed 100% ensure that total sq. feet minus employee sq. feet is less than LI sq. feet for  building 81.
</v>
      </c>
      <c r="G3345" s="9" t="str">
        <f t="shared" ca="1" si="1160"/>
        <v>Enter a value for 'Number of Floors in the Tallest Building' in cell B58.
TRUE</v>
      </c>
    </row>
    <row r="3346" spans="1:7" ht="15" customHeight="1">
      <c r="A3346" t="str">
        <f t="shared" si="1162"/>
        <v/>
      </c>
      <c r="B3346">
        <f>Calculations!A735</f>
        <v>82</v>
      </c>
      <c r="E3346" s="137">
        <f>Calculations!I735</f>
        <v>0</v>
      </c>
      <c r="F3346" t="str">
        <f t="shared" si="1163"/>
        <v xml:space="preserve">Square Footage Applicable Fraction canot exceed 100% ensure that total sq. feet minus employee sq. feet is less than LI sq. feet for  building 82.
</v>
      </c>
      <c r="G3346" s="9" t="str">
        <f t="shared" ca="1" si="1160"/>
        <v>Enter a value for 'Number of Floors in the Tallest Building' in cell B58.
TRUE</v>
      </c>
    </row>
    <row r="3347" spans="1:7" ht="15" customHeight="1">
      <c r="A3347" t="str">
        <f t="shared" si="1162"/>
        <v/>
      </c>
      <c r="B3347">
        <f>Calculations!A736</f>
        <v>83</v>
      </c>
      <c r="E3347" s="137">
        <f>Calculations!I736</f>
        <v>0</v>
      </c>
      <c r="F3347" t="str">
        <f t="shared" si="1163"/>
        <v xml:space="preserve">Square Footage Applicable Fraction canot exceed 100% ensure that total sq. feet minus employee sq. feet is less than LI sq. feet for  building 83.
</v>
      </c>
      <c r="G3347" s="9" t="str">
        <f t="shared" ca="1" si="1160"/>
        <v>Enter a value for 'Number of Floors in the Tallest Building' in cell B58.
TRUE</v>
      </c>
    </row>
    <row r="3348" spans="1:7" ht="15" customHeight="1">
      <c r="A3348" t="str">
        <f t="shared" si="1162"/>
        <v/>
      </c>
      <c r="B3348">
        <f>Calculations!A737</f>
        <v>84</v>
      </c>
      <c r="E3348" s="137">
        <f>Calculations!I737</f>
        <v>0</v>
      </c>
      <c r="F3348" t="str">
        <f t="shared" si="1163"/>
        <v xml:space="preserve">Square Footage Applicable Fraction canot exceed 100% ensure that total sq. feet minus employee sq. feet is less than LI sq. feet for  building 84.
</v>
      </c>
      <c r="G3348" s="9" t="str">
        <f t="shared" ca="1" si="1160"/>
        <v>Enter a value for 'Number of Floors in the Tallest Building' in cell B58.
TRUE</v>
      </c>
    </row>
    <row r="3349" spans="1:7" ht="15" customHeight="1">
      <c r="A3349" t="str">
        <f t="shared" si="1162"/>
        <v/>
      </c>
      <c r="B3349">
        <f>Calculations!A738</f>
        <v>85</v>
      </c>
      <c r="E3349" s="137">
        <f>Calculations!I738</f>
        <v>0</v>
      </c>
      <c r="F3349" t="str">
        <f t="shared" si="1163"/>
        <v xml:space="preserve">Square Footage Applicable Fraction canot exceed 100% ensure that total sq. feet minus employee sq. feet is less than LI sq. feet for  building 85.
</v>
      </c>
      <c r="G3349" s="9" t="str">
        <f t="shared" ca="1" si="1160"/>
        <v>Enter a value for 'Number of Floors in the Tallest Building' in cell B58.
TRUE</v>
      </c>
    </row>
    <row r="3350" spans="1:7" ht="15" customHeight="1">
      <c r="A3350" t="str">
        <f t="shared" si="1162"/>
        <v/>
      </c>
      <c r="B3350">
        <f>Calculations!A739</f>
        <v>86</v>
      </c>
      <c r="E3350" s="137">
        <f>Calculations!I739</f>
        <v>0</v>
      </c>
      <c r="F3350" t="str">
        <f t="shared" si="1163"/>
        <v xml:space="preserve">Square Footage Applicable Fraction canot exceed 100% ensure that total sq. feet minus employee sq. feet is less than LI sq. feet for  building 86.
</v>
      </c>
      <c r="G3350" s="9" t="str">
        <f t="shared" ca="1" si="1160"/>
        <v>Enter a value for 'Number of Floors in the Tallest Building' in cell B58.
TRUE</v>
      </c>
    </row>
    <row r="3351" spans="1:7" ht="15" customHeight="1">
      <c r="A3351" t="str">
        <f t="shared" si="1162"/>
        <v/>
      </c>
      <c r="B3351">
        <f>Calculations!A740</f>
        <v>87</v>
      </c>
      <c r="E3351" s="137">
        <f>Calculations!I740</f>
        <v>0</v>
      </c>
      <c r="F3351" t="str">
        <f t="shared" si="1163"/>
        <v xml:space="preserve">Square Footage Applicable Fraction canot exceed 100% ensure that total sq. feet minus employee sq. feet is less than LI sq. feet for  building 87.
</v>
      </c>
      <c r="G3351" s="9" t="str">
        <f t="shared" ca="1" si="1160"/>
        <v>Enter a value for 'Number of Floors in the Tallest Building' in cell B58.
TRUE</v>
      </c>
    </row>
    <row r="3352" spans="1:7" ht="15" customHeight="1">
      <c r="A3352" t="str">
        <f t="shared" si="1162"/>
        <v/>
      </c>
      <c r="B3352">
        <f>Calculations!A741</f>
        <v>88</v>
      </c>
      <c r="E3352" s="137">
        <f>Calculations!I741</f>
        <v>0</v>
      </c>
      <c r="F3352" t="str">
        <f t="shared" si="1163"/>
        <v xml:space="preserve">Square Footage Applicable Fraction canot exceed 100% ensure that total sq. feet minus employee sq. feet is less than LI sq. feet for  building 88.
</v>
      </c>
      <c r="G3352" s="9" t="str">
        <f t="shared" ca="1" si="1160"/>
        <v>Enter a value for 'Number of Floors in the Tallest Building' in cell B58.
TRUE</v>
      </c>
    </row>
    <row r="3353" spans="1:7" ht="15" customHeight="1">
      <c r="A3353" t="str">
        <f t="shared" si="1162"/>
        <v/>
      </c>
      <c r="B3353">
        <f>Calculations!A742</f>
        <v>89</v>
      </c>
      <c r="E3353" s="137">
        <f>Calculations!I742</f>
        <v>0</v>
      </c>
      <c r="F3353" t="str">
        <f t="shared" si="1163"/>
        <v xml:space="preserve">Square Footage Applicable Fraction canot exceed 100% ensure that total sq. feet minus employee sq. feet is less than LI sq. feet for  building 89.
</v>
      </c>
      <c r="G3353" s="9" t="str">
        <f t="shared" ca="1" si="1160"/>
        <v>Enter a value for 'Number of Floors in the Tallest Building' in cell B58.
TRUE</v>
      </c>
    </row>
    <row r="3354" spans="1:7" ht="15" customHeight="1">
      <c r="A3354" t="str">
        <f t="shared" si="1162"/>
        <v/>
      </c>
      <c r="B3354">
        <f>Calculations!A743</f>
        <v>90</v>
      </c>
      <c r="E3354" s="137">
        <f>Calculations!I743</f>
        <v>0</v>
      </c>
      <c r="F3354" t="str">
        <f t="shared" si="1163"/>
        <v xml:space="preserve">Square Footage Applicable Fraction canot exceed 100% ensure that total sq. feet minus employee sq. feet is less than LI sq. feet for  building 90.
</v>
      </c>
      <c r="G3354" s="9" t="str">
        <f t="shared" ca="1" si="1160"/>
        <v>Enter a value for 'Number of Floors in the Tallest Building' in cell B58.
TRUE</v>
      </c>
    </row>
    <row r="3355" spans="1:7" ht="15" customHeight="1">
      <c r="A3355" t="str">
        <f t="shared" si="1162"/>
        <v/>
      </c>
      <c r="B3355">
        <f>Calculations!A744</f>
        <v>91</v>
      </c>
      <c r="E3355" s="137">
        <f>Calculations!I744</f>
        <v>0</v>
      </c>
      <c r="F3355" t="str">
        <f t="shared" si="1163"/>
        <v xml:space="preserve">Square Footage Applicable Fraction canot exceed 100% ensure that total sq. feet minus employee sq. feet is less than LI sq. feet for  building 91.
</v>
      </c>
      <c r="G3355" s="9" t="str">
        <f t="shared" ca="1" si="1160"/>
        <v>Enter a value for 'Number of Floors in the Tallest Building' in cell B58.
TRUE</v>
      </c>
    </row>
    <row r="3356" spans="1:7" ht="15" customHeight="1">
      <c r="A3356" t="str">
        <f t="shared" si="1162"/>
        <v/>
      </c>
      <c r="B3356">
        <f>Calculations!A745</f>
        <v>92</v>
      </c>
      <c r="E3356" s="137">
        <f>Calculations!I745</f>
        <v>0</v>
      </c>
      <c r="F3356" t="str">
        <f t="shared" si="1163"/>
        <v xml:space="preserve">Square Footage Applicable Fraction canot exceed 100% ensure that total sq. feet minus employee sq. feet is less than LI sq. feet for  building 92.
</v>
      </c>
      <c r="G3356" s="9" t="str">
        <f t="shared" ca="1" si="1160"/>
        <v>Enter a value for 'Number of Floors in the Tallest Building' in cell B58.
TRUE</v>
      </c>
    </row>
    <row r="3357" spans="1:7" ht="15" customHeight="1">
      <c r="A3357" t="str">
        <f t="shared" si="1162"/>
        <v/>
      </c>
      <c r="B3357">
        <f>Calculations!A746</f>
        <v>93</v>
      </c>
      <c r="E3357" s="137">
        <f>Calculations!I746</f>
        <v>0</v>
      </c>
      <c r="F3357" t="str">
        <f t="shared" si="1163"/>
        <v xml:space="preserve">Square Footage Applicable Fraction canot exceed 100% ensure that total sq. feet minus employee sq. feet is less than LI sq. feet for  building 93.
</v>
      </c>
      <c r="G3357" s="9" t="str">
        <f t="shared" ca="1" si="1160"/>
        <v>Enter a value for 'Number of Floors in the Tallest Building' in cell B58.
TRUE</v>
      </c>
    </row>
    <row r="3358" spans="1:7" ht="15" customHeight="1">
      <c r="A3358" t="str">
        <f t="shared" ref="A3358:A3363" si="1164">IF(E3358&gt;1, F3358, "")</f>
        <v/>
      </c>
      <c r="B3358">
        <f>Calculations!A747</f>
        <v>94</v>
      </c>
      <c r="E3358" s="137">
        <f>Calculations!I747</f>
        <v>0</v>
      </c>
      <c r="F3358" t="str">
        <f t="shared" si="1163"/>
        <v xml:space="preserve">Square Footage Applicable Fraction canot exceed 100% ensure that total sq. feet minus employee sq. feet is less than LI sq. feet for  building 94.
</v>
      </c>
      <c r="G3358" s="9" t="str">
        <f t="shared" ca="1" si="1160"/>
        <v>Enter a value for 'Number of Floors in the Tallest Building' in cell B58.
TRUE</v>
      </c>
    </row>
    <row r="3359" spans="1:7" ht="15" customHeight="1">
      <c r="A3359" t="str">
        <f t="shared" si="1164"/>
        <v/>
      </c>
      <c r="B3359">
        <f>Calculations!A748</f>
        <v>95</v>
      </c>
      <c r="E3359" s="137">
        <f>Calculations!I748</f>
        <v>0</v>
      </c>
      <c r="F3359" t="str">
        <f t="shared" si="1163"/>
        <v xml:space="preserve">Square Footage Applicable Fraction canot exceed 100% ensure that total sq. feet minus employee sq. feet is less than LI sq. feet for  building 95.
</v>
      </c>
      <c r="G3359" s="9" t="str">
        <f t="shared" ref="G3359:G3368" ca="1" si="1165">OFFSET(G3359, -1, 0) &amp; A3359</f>
        <v>Enter a value for 'Number of Floors in the Tallest Building' in cell B58.
TRUE</v>
      </c>
    </row>
    <row r="3360" spans="1:7" ht="15" customHeight="1">
      <c r="A3360" t="str">
        <f t="shared" si="1164"/>
        <v/>
      </c>
      <c r="B3360">
        <f>Calculations!A749</f>
        <v>96</v>
      </c>
      <c r="E3360" s="137">
        <f>Calculations!I749</f>
        <v>0</v>
      </c>
      <c r="F3360" t="str">
        <f t="shared" si="1163"/>
        <v xml:space="preserve">Square Footage Applicable Fraction canot exceed 100% ensure that total sq. feet minus employee sq. feet is less than LI sq. feet for  building 96.
</v>
      </c>
      <c r="G3360" s="9" t="str">
        <f t="shared" ca="1" si="1165"/>
        <v>Enter a value for 'Number of Floors in the Tallest Building' in cell B58.
TRUE</v>
      </c>
    </row>
    <row r="3361" spans="1:7" ht="15" customHeight="1">
      <c r="A3361" t="str">
        <f t="shared" si="1164"/>
        <v/>
      </c>
      <c r="B3361">
        <f>Calculations!A750</f>
        <v>97</v>
      </c>
      <c r="E3361" s="137">
        <f>Calculations!I750</f>
        <v>0</v>
      </c>
      <c r="F3361" t="str">
        <f t="shared" si="1163"/>
        <v xml:space="preserve">Square Footage Applicable Fraction canot exceed 100% ensure that total sq. feet minus employee sq. feet is less than LI sq. feet for  building 97.
</v>
      </c>
      <c r="G3361" s="9" t="str">
        <f t="shared" ca="1" si="1165"/>
        <v>Enter a value for 'Number of Floors in the Tallest Building' in cell B58.
TRUE</v>
      </c>
    </row>
    <row r="3362" spans="1:7" ht="15" customHeight="1">
      <c r="A3362" t="str">
        <f t="shared" si="1164"/>
        <v/>
      </c>
      <c r="B3362">
        <f>Calculations!A751</f>
        <v>98</v>
      </c>
      <c r="E3362" s="137">
        <f>Calculations!I751</f>
        <v>0</v>
      </c>
      <c r="F3362" t="str">
        <f t="shared" si="1163"/>
        <v xml:space="preserve">Square Footage Applicable Fraction canot exceed 100% ensure that total sq. feet minus employee sq. feet is less than LI sq. feet for  building 98.
</v>
      </c>
      <c r="G3362" s="9" t="str">
        <f t="shared" ca="1" si="1165"/>
        <v>Enter a value for 'Number of Floors in the Tallest Building' in cell B58.
TRUE</v>
      </c>
    </row>
    <row r="3363" spans="1:7" ht="15" customHeight="1">
      <c r="A3363" t="str">
        <f t="shared" si="1164"/>
        <v/>
      </c>
      <c r="B3363">
        <f>Calculations!A752</f>
        <v>99</v>
      </c>
      <c r="E3363" s="137">
        <f>Calculations!I752</f>
        <v>0</v>
      </c>
      <c r="F3363" t="str">
        <f t="shared" si="1163"/>
        <v xml:space="preserve">Square Footage Applicable Fraction canot exceed 100% ensure that total sq. feet minus employee sq. feet is less than LI sq. feet for  building 99.
</v>
      </c>
      <c r="G3363" s="9" t="str">
        <f t="shared" ca="1" si="1165"/>
        <v>Enter a value for 'Number of Floors in the Tallest Building' in cell B58.
TRUE</v>
      </c>
    </row>
    <row r="3364" spans="1:7" ht="15" customHeight="1">
      <c r="E3364" s="137"/>
      <c r="G3364" s="9" t="str">
        <f t="shared" ca="1" si="1165"/>
        <v>Enter a value for 'Number of Floors in the Tallest Building' in cell B58.
TRUE</v>
      </c>
    </row>
    <row r="3365" spans="1:7" ht="15" customHeight="1">
      <c r="G3365" s="9" t="str">
        <f t="shared" ca="1" si="1165"/>
        <v>Enter a value for 'Number of Floors in the Tallest Building' in cell B58.
TRUE</v>
      </c>
    </row>
    <row r="3366" spans="1:7" ht="15" customHeight="1">
      <c r="G3366" s="9" t="str">
        <f t="shared" ca="1" si="1165"/>
        <v>Enter a value for 'Number of Floors in the Tallest Building' in cell B58.
TRUE</v>
      </c>
    </row>
    <row r="3367" spans="1:7" ht="15" customHeight="1">
      <c r="G3367" s="9" t="str">
        <f t="shared" ca="1" si="1165"/>
        <v>Enter a value for 'Number of Floors in the Tallest Building' in cell B58.
TRUE</v>
      </c>
    </row>
    <row r="3368" spans="1:7" ht="15" customHeight="1">
      <c r="G3368" s="9" t="str">
        <f t="shared" ca="1" si="1165"/>
        <v>Enter a value for 'Number of Floors in the Tallest Building' in cell B58.
TRUE</v>
      </c>
    </row>
    <row r="3369" spans="1:7" ht="15" customHeight="1">
      <c r="A3369" s="55" t="s">
        <v>3893</v>
      </c>
      <c r="B3369" s="53"/>
      <c r="C3369" s="53"/>
      <c r="D3369" s="53"/>
      <c r="E3369" s="53"/>
      <c r="F3369" s="53"/>
      <c r="G3369" s="56" t="str">
        <f ca="1">OFFSET(G3369, -1, 0)</f>
        <v>Enter a value for 'Number of Floors in the Tallest Building' in cell B58.
TRUE</v>
      </c>
    </row>
    <row r="3370" spans="1:7" ht="15" customHeight="1">
      <c r="A3370" t="s">
        <v>585</v>
      </c>
    </row>
    <row r="3371" spans="1:7" ht="15" customHeight="1"/>
    <row r="3372" spans="1:7" ht="15" customHeight="1">
      <c r="A3372" s="22" t="s">
        <v>108</v>
      </c>
      <c r="F3372" s="49" t="s">
        <v>3894</v>
      </c>
    </row>
    <row r="3373" spans="1:7" ht="15" customHeight="1">
      <c r="A3373" s="53" t="s">
        <v>3831</v>
      </c>
      <c r="B3373" s="53" t="s">
        <v>3832</v>
      </c>
      <c r="C3373" s="53" t="s">
        <v>3833</v>
      </c>
      <c r="D3373" s="53" t="s">
        <v>3834</v>
      </c>
      <c r="E3373" s="53" t="s">
        <v>3835</v>
      </c>
      <c r="F3373" s="53" t="s">
        <v>3836</v>
      </c>
      <c r="G3373" s="54" t="s">
        <v>3837</v>
      </c>
    </row>
    <row r="3374" spans="1:7" ht="15" customHeight="1">
      <c r="A3374" t="str">
        <f t="shared" ref="A3374:A3404" ca="1" si="1166">IF(E3374="",F3374, "")</f>
        <v xml:space="preserve">Enter a value for 'Window Coverings/Blinds' in cell B4.
</v>
      </c>
      <c r="B3374">
        <f>ROW(Amenities!A4)</f>
        <v>4</v>
      </c>
      <c r="C3374" t="str">
        <f t="shared" ref="C3374:C3404" ca="1" si="1167">INDIRECT($F$3372 &amp; ADDRESS(B3374, 1,4  ))</f>
        <v>Window Coverings/Blinds</v>
      </c>
      <c r="D3374" t="str">
        <f t="shared" ref="D3374:D3404" si="1168">ADDRESS(B3374, 2,4  )</f>
        <v>B4</v>
      </c>
      <c r="E3374" t="str">
        <f t="shared" ref="E3374:E3404" ca="1" si="1169">IF(ISBLANK( INDIRECT($F$3372 &amp; D3374)),"", INDIRECT($F$3372 &amp; D3374))</f>
        <v/>
      </c>
      <c r="F3374" t="str">
        <f t="shared" ref="F3374:F3404" ca="1" si="1170">CONCATENATE("Enter a value for '", C3374, "' in cell ", D3374, ".", CHAR(10))</f>
        <v xml:space="preserve">Enter a value for 'Window Coverings/Blinds' in cell B4.
</v>
      </c>
      <c r="G3374" s="9" t="str">
        <f ca="1">A3374</f>
        <v xml:space="preserve">Enter a value for 'Window Coverings/Blinds' in cell B4.
</v>
      </c>
    </row>
    <row r="3375" spans="1:7" ht="15" customHeight="1">
      <c r="A3375" t="str">
        <f t="shared" ca="1" si="1166"/>
        <v xml:space="preserve">Enter a value for 'Ceiling Fan E-star' in cell B5.
</v>
      </c>
      <c r="B3375">
        <f>ROW(Amenities!A5)</f>
        <v>5</v>
      </c>
      <c r="C3375" t="str">
        <f t="shared" ca="1" si="1167"/>
        <v>Ceiling Fan E-star</v>
      </c>
      <c r="D3375" t="str">
        <f t="shared" si="1168"/>
        <v>B5</v>
      </c>
      <c r="E3375" t="str">
        <f t="shared" ca="1" si="1169"/>
        <v/>
      </c>
      <c r="F3375" t="str">
        <f t="shared" ca="1" si="1170"/>
        <v xml:space="preserve">Enter a value for 'Ceiling Fan E-star' in cell B5.
</v>
      </c>
      <c r="G3375" s="9" t="str">
        <f t="shared" ref="G3375:G3405" ca="1" si="1171">OFFSET(G3375, -1, 0) &amp; A3375</f>
        <v xml:space="preserve">Enter a value for 'Window Coverings/Blinds' in cell B4.
Enter a value for 'Ceiling Fan E-star' in cell B5.
</v>
      </c>
    </row>
    <row r="3376" spans="1:7" ht="15" customHeight="1">
      <c r="A3376" t="str">
        <f t="shared" ca="1" si="1166"/>
        <v xml:space="preserve">Enter a value for 'Storage Closet/Shed' in cell B6.
</v>
      </c>
      <c r="B3376">
        <f>ROW(Amenities!A6)</f>
        <v>6</v>
      </c>
      <c r="C3376" t="str">
        <f t="shared" ca="1" si="1167"/>
        <v>Storage Closet/Shed</v>
      </c>
      <c r="D3376" t="str">
        <f t="shared" si="1168"/>
        <v>B6</v>
      </c>
      <c r="E3376" t="str">
        <f t="shared" ca="1" si="1169"/>
        <v/>
      </c>
      <c r="F3376" t="str">
        <f t="shared" ca="1" si="1170"/>
        <v xml:space="preserve">Enter a value for 'Storage Closet/Shed' in cell B6.
</v>
      </c>
      <c r="G3376" s="9" t="str">
        <f t="shared" ca="1" si="1171"/>
        <v xml:space="preserve">Enter a value for 'Window Coverings/Blinds' in cell B4.
Enter a value for 'Ceiling Fan E-star' in cell B5.
Enter a value for 'Storage Closet/Shed' in cell B6.
</v>
      </c>
    </row>
    <row r="3377" spans="1:7" ht="15" customHeight="1">
      <c r="A3377" t="str">
        <f t="shared" ca="1" si="1166"/>
        <v xml:space="preserve">Enter a value for 'Coat Closet' in cell B7.
</v>
      </c>
      <c r="B3377">
        <f>ROW(Amenities!A7)</f>
        <v>7</v>
      </c>
      <c r="C3377" t="str">
        <f t="shared" ca="1" si="1167"/>
        <v>Coat Closet</v>
      </c>
      <c r="D3377" t="str">
        <f t="shared" si="1168"/>
        <v>B7</v>
      </c>
      <c r="E3377" t="str">
        <f t="shared" ca="1" si="1169"/>
        <v/>
      </c>
      <c r="F3377" t="str">
        <f t="shared" ca="1" si="1170"/>
        <v xml:space="preserve">Enter a value for 'Coat Closet' in cell B7.
</v>
      </c>
      <c r="G3377" s="9" t="str">
        <f t="shared" ca="1" si="1171"/>
        <v xml:space="preserve">Enter a value for 'Window Coverings/Blinds' in cell B4.
Enter a value for 'Ceiling Fan E-star' in cell B5.
Enter a value for 'Storage Closet/Shed' in cell B6.
Enter a value for 'Coat Closet' in cell B7.
</v>
      </c>
    </row>
    <row r="3378" spans="1:7" ht="15" customHeight="1">
      <c r="A3378" t="str">
        <f t="shared" ca="1" si="1166"/>
        <v xml:space="preserve">Enter a value for 'Walk-in Closet' in cell B8.
</v>
      </c>
      <c r="B3378">
        <f>ROW(Amenities!A8)</f>
        <v>8</v>
      </c>
      <c r="C3378" t="str">
        <f t="shared" ca="1" si="1167"/>
        <v>Walk-in Closet</v>
      </c>
      <c r="D3378" t="str">
        <f t="shared" si="1168"/>
        <v>B8</v>
      </c>
      <c r="E3378" t="str">
        <f t="shared" ca="1" si="1169"/>
        <v/>
      </c>
      <c r="F3378" t="str">
        <f t="shared" ca="1" si="1170"/>
        <v xml:space="preserve">Enter a value for 'Walk-in Closet' in cell B8.
</v>
      </c>
      <c r="G3378" s="9" t="str">
        <f t="shared" ca="1" si="1171"/>
        <v xml:space="preserve">Enter a value for 'Window Coverings/Blinds' in cell B4.
Enter a value for 'Ceiling Fan E-star' in cell B5.
Enter a value for 'Storage Closet/Shed' in cell B6.
Enter a value for 'Coat Closet' in cell B7.
Enter a value for 'Walk-in Closet' in cell B8.
</v>
      </c>
    </row>
    <row r="3379" spans="1:7" ht="15" customHeight="1">
      <c r="A3379" t="str">
        <f t="shared" ca="1" si="1166"/>
        <v xml:space="preserve">Enter a value for 'Fireplace' in cell B9.
</v>
      </c>
      <c r="B3379">
        <f>ROW(Amenities!A9)</f>
        <v>9</v>
      </c>
      <c r="C3379" t="str">
        <f t="shared" ca="1" si="1167"/>
        <v>Fireplace</v>
      </c>
      <c r="D3379" t="str">
        <f t="shared" si="1168"/>
        <v>B9</v>
      </c>
      <c r="E3379" t="str">
        <f t="shared" ca="1" si="1169"/>
        <v/>
      </c>
      <c r="F3379" t="str">
        <f t="shared" ca="1" si="1170"/>
        <v xml:space="preserve">Enter a value for 'Fireplace' in cell B9.
</v>
      </c>
      <c r="G3379"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80" spans="1:7" ht="15" customHeight="1">
      <c r="A3380" t="str">
        <f t="shared" ca="1" si="1166"/>
        <v xml:space="preserve">Enter a value for 'Bathroom Fan E-star' in cell B10.
</v>
      </c>
      <c r="B3380">
        <f>ROW(Amenities!A10)</f>
        <v>10</v>
      </c>
      <c r="C3380" t="str">
        <f t="shared" ca="1" si="1167"/>
        <v>Bathroom Fan E-star</v>
      </c>
      <c r="D3380" t="str">
        <f t="shared" si="1168"/>
        <v>B10</v>
      </c>
      <c r="E3380" t="str">
        <f t="shared" ca="1" si="1169"/>
        <v/>
      </c>
      <c r="F3380" t="str">
        <f t="shared" ca="1" si="1170"/>
        <v xml:space="preserve">Enter a value for 'Bathroom Fan E-star' in cell B10.
</v>
      </c>
      <c r="G3380"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81" spans="1:7" ht="15" customHeight="1">
      <c r="A3381" t="str">
        <f t="shared" ca="1" si="1166"/>
        <v xml:space="preserve">Enter a value for 'Patio/Porch/Balcony' in cell B11.
</v>
      </c>
      <c r="B3381">
        <f>ROW(Amenities!A11)</f>
        <v>11</v>
      </c>
      <c r="C3381" t="str">
        <f t="shared" ca="1" si="1167"/>
        <v>Patio/Porch/Balcony</v>
      </c>
      <c r="D3381" t="str">
        <f t="shared" si="1168"/>
        <v>B11</v>
      </c>
      <c r="E3381" t="str">
        <f t="shared" ca="1" si="1169"/>
        <v/>
      </c>
      <c r="F3381" t="str">
        <f t="shared" ca="1" si="1170"/>
        <v xml:space="preserve">Enter a value for 'Patio/Porch/Balcony' in cell B11.
</v>
      </c>
      <c r="G3381"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82" spans="1:7" ht="15" customHeight="1">
      <c r="A3382" t="str">
        <f t="shared" ref="A3382:A3384" ca="1" si="1172">IF(E3382="",F3382, "")</f>
        <v xml:space="preserve">Enter a value for 'Cable Connection' in cell B12.
</v>
      </c>
      <c r="B3382">
        <f>ROW(Amenities!A12)</f>
        <v>12</v>
      </c>
      <c r="C3382" t="str">
        <f t="shared" ref="C3382:C3384" ca="1" si="1173">INDIRECT($F$3372 &amp; ADDRESS(B3382, 1,4  ))</f>
        <v>Cable Connection</v>
      </c>
      <c r="D3382" t="str">
        <f t="shared" ref="D3382:D3384" si="1174">ADDRESS(B3382, 2,4  )</f>
        <v>B12</v>
      </c>
      <c r="E3382" t="str">
        <f t="shared" ref="E3382:E3384" ca="1" si="1175">IF(ISBLANK( INDIRECT($F$3372 &amp; D3382)),"", INDIRECT($F$3372 &amp; D3382))</f>
        <v/>
      </c>
      <c r="F3382" t="str">
        <f t="shared" ref="F3382:F3384" ca="1" si="1176">CONCATENATE("Enter a value for '", C3382, "' in cell ", D3382, ".", CHAR(10))</f>
        <v xml:space="preserve">Enter a value for 'Cable Connection' in cell B12.
</v>
      </c>
      <c r="G3382" s="9" t="str">
        <f t="shared" ref="G3382:G3384" ca="1" si="1177">OFFSET(G3382, -1, 0) &amp; A3382</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83" spans="1:7" ht="15" customHeight="1">
      <c r="A3383" t="str">
        <f t="shared" ca="1" si="1172"/>
        <v xml:space="preserve">Enter a value for 'Internet Connection' in cell B13.
</v>
      </c>
      <c r="B3383">
        <f>ROW(Amenities!A13)</f>
        <v>13</v>
      </c>
      <c r="C3383" t="str">
        <f t="shared" ca="1" si="1173"/>
        <v>Internet Connection</v>
      </c>
      <c r="D3383" t="str">
        <f t="shared" si="1174"/>
        <v>B13</v>
      </c>
      <c r="E3383" t="str">
        <f t="shared" ca="1" si="1175"/>
        <v/>
      </c>
      <c r="F3383" t="str">
        <f t="shared" ca="1" si="1176"/>
        <v xml:space="preserve">Enter a value for 'Internet Connection' in cell B13.
</v>
      </c>
      <c r="G3383" s="9" t="str">
        <f t="shared" ca="1" si="117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84" spans="1:7" ht="15" customHeight="1">
      <c r="A3384" t="str">
        <f t="shared" ca="1" si="1172"/>
        <v xml:space="preserve">Enter a value for 'Units individually metered' in cell B14.
</v>
      </c>
      <c r="B3384">
        <f>ROW(Amenities!A14)</f>
        <v>14</v>
      </c>
      <c r="C3384" t="str">
        <f t="shared" ca="1" si="1173"/>
        <v>Units individually metered</v>
      </c>
      <c r="D3384" t="str">
        <f t="shared" si="1174"/>
        <v>B14</v>
      </c>
      <c r="E3384" t="str">
        <f t="shared" ca="1" si="1175"/>
        <v/>
      </c>
      <c r="F3384" t="str">
        <f t="shared" ca="1" si="1176"/>
        <v xml:space="preserve">Enter a value for 'Units individually metered' in cell B14.
</v>
      </c>
      <c r="G3384" s="9" t="str">
        <f t="shared" ca="1" si="117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85" spans="1:7" ht="15" customHeight="1">
      <c r="A3385" t="str">
        <f t="shared" ca="1" si="1166"/>
        <v xml:space="preserve">Enter a value for 'Refrigerator E-star*' in cell B17.
</v>
      </c>
      <c r="B3385">
        <f>ROW(Amenities!A17)</f>
        <v>17</v>
      </c>
      <c r="C3385" t="str">
        <f t="shared" ca="1" si="1167"/>
        <v>Refrigerator E-star*</v>
      </c>
      <c r="D3385" t="str">
        <f t="shared" si="1168"/>
        <v>B17</v>
      </c>
      <c r="E3385" t="str">
        <f t="shared" ca="1" si="1169"/>
        <v/>
      </c>
      <c r="F3385" t="str">
        <f t="shared" ca="1" si="1170"/>
        <v xml:space="preserve">Enter a value for 'Refrigerator E-star*' in cell B17.
</v>
      </c>
      <c r="G3385"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86" spans="1:7" ht="15" customHeight="1">
      <c r="A3386" t="str">
        <f t="shared" ca="1" si="1166"/>
        <v xml:space="preserve">Enter a value for 'Stove/Oven*' in cell B18.
</v>
      </c>
      <c r="B3386">
        <f>ROW(Amenities!A18)</f>
        <v>18</v>
      </c>
      <c r="C3386" t="str">
        <f t="shared" ca="1" si="1167"/>
        <v>Stove/Oven*</v>
      </c>
      <c r="D3386" t="str">
        <f t="shared" si="1168"/>
        <v>B18</v>
      </c>
      <c r="E3386" t="str">
        <f t="shared" ca="1" si="1169"/>
        <v/>
      </c>
      <c r="F3386" t="str">
        <f t="shared" ca="1" si="1170"/>
        <v xml:space="preserve">Enter a value for 'Stove/Oven*' in cell B18.
</v>
      </c>
      <c r="G3386"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7" spans="1:7" ht="15" customHeight="1">
      <c r="A3387" t="str">
        <f t="shared" ca="1" si="1166"/>
        <v xml:space="preserve">Enter a value for 'Dishwasher E-star*' in cell B19.
</v>
      </c>
      <c r="B3387">
        <f>ROW(Amenities!A19)</f>
        <v>19</v>
      </c>
      <c r="C3387" t="str">
        <f t="shared" ca="1" si="1167"/>
        <v>Dishwasher E-star*</v>
      </c>
      <c r="D3387" t="str">
        <f t="shared" si="1168"/>
        <v>B19</v>
      </c>
      <c r="E3387" t="str">
        <f t="shared" ca="1" si="1169"/>
        <v/>
      </c>
      <c r="F3387" t="str">
        <f t="shared" ca="1" si="1170"/>
        <v xml:space="preserve">Enter a value for 'Dishwasher E-star*' in cell B19.
</v>
      </c>
      <c r="G3387"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8" spans="1:7" ht="15" customHeight="1">
      <c r="A3388" t="str">
        <f t="shared" ca="1" si="1166"/>
        <v xml:space="preserve">Enter a value for 'Garbage Disposal*' in cell B20.
</v>
      </c>
      <c r="B3388">
        <f>ROW(Amenities!A20)</f>
        <v>20</v>
      </c>
      <c r="C3388" t="str">
        <f t="shared" ca="1" si="1167"/>
        <v>Garbage Disposal*</v>
      </c>
      <c r="D3388" t="str">
        <f t="shared" si="1168"/>
        <v>B20</v>
      </c>
      <c r="E3388" t="str">
        <f t="shared" ca="1" si="1169"/>
        <v/>
      </c>
      <c r="F3388" t="str">
        <f t="shared" ca="1" si="1170"/>
        <v xml:space="preserve">Enter a value for 'Garbage Disposal*' in cell B20.
</v>
      </c>
      <c r="G3388"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89" spans="1:7" ht="15" customHeight="1">
      <c r="A3389" t="str">
        <f t="shared" ca="1" si="1166"/>
        <v xml:space="preserve">Enter a value for 'Built-in Microwave' in cell B21.
</v>
      </c>
      <c r="B3389">
        <f>ROW(Amenities!A21)</f>
        <v>21</v>
      </c>
      <c r="C3389" t="str">
        <f t="shared" ca="1" si="1167"/>
        <v>Built-in Microwave</v>
      </c>
      <c r="D3389" t="str">
        <f t="shared" si="1168"/>
        <v>B21</v>
      </c>
      <c r="E3389" t="str">
        <f t="shared" ca="1" si="1169"/>
        <v/>
      </c>
      <c r="F3389" t="str">
        <f t="shared" ca="1" si="1170"/>
        <v xml:space="preserve">Enter a value for 'Built-in Microwave' in cell B21.
</v>
      </c>
      <c r="G3389"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90" spans="1:7" ht="15" customHeight="1">
      <c r="A3390" t="str">
        <f t="shared" ca="1" si="1166"/>
        <v xml:space="preserve">Enter a value for 'In-unit washer/dryer (included in rent)' in cell B22.
</v>
      </c>
      <c r="B3390">
        <f>ROW(Amenities!A22)</f>
        <v>22</v>
      </c>
      <c r="C3390" t="str">
        <f t="shared" ca="1" si="1167"/>
        <v>In-unit washer/dryer (included in rent)</v>
      </c>
      <c r="D3390" t="str">
        <f t="shared" si="1168"/>
        <v>B22</v>
      </c>
      <c r="E3390" t="str">
        <f t="shared" ca="1" si="1169"/>
        <v/>
      </c>
      <c r="F3390" t="str">
        <f t="shared" ca="1" si="1170"/>
        <v xml:space="preserve">Enter a value for 'In-unit washer/dryer (included in rent)' in cell B22.
</v>
      </c>
      <c r="G3390"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91" spans="1:7" ht="15" customHeight="1">
      <c r="A3391" t="str">
        <f t="shared" ca="1" si="1166"/>
        <v xml:space="preserve">Enter a value for 'In-unit washer/dryer (not included in rent)' in cell B23.
</v>
      </c>
      <c r="B3391">
        <f>ROW(Amenities!A23)</f>
        <v>23</v>
      </c>
      <c r="C3391" t="str">
        <f t="shared" ca="1" si="1167"/>
        <v>In-unit washer/dryer (not included in rent)</v>
      </c>
      <c r="D3391" t="str">
        <f t="shared" si="1168"/>
        <v>B23</v>
      </c>
      <c r="E3391" t="str">
        <f t="shared" ca="1" si="1169"/>
        <v/>
      </c>
      <c r="F3391" t="str">
        <f t="shared" ca="1" si="1170"/>
        <v xml:space="preserve">Enter a value for 'In-unit washer/dryer (not included in rent)' in cell B23.
</v>
      </c>
      <c r="G3391"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92" spans="1:7" ht="15" customHeight="1">
      <c r="A3392" t="str">
        <f t="shared" ca="1" si="1166"/>
        <v xml:space="preserve">Enter a value for 'Washer/Dryer Hookups' in cell B24.
</v>
      </c>
      <c r="B3392">
        <f>ROW(Amenities!A24)</f>
        <v>24</v>
      </c>
      <c r="C3392" t="str">
        <f t="shared" ca="1" si="1167"/>
        <v>Washer/Dryer Hookups</v>
      </c>
      <c r="D3392" t="str">
        <f t="shared" si="1168"/>
        <v>B24</v>
      </c>
      <c r="E3392" t="str">
        <f t="shared" ca="1" si="1169"/>
        <v/>
      </c>
      <c r="F3392" t="str">
        <f t="shared" ca="1" si="1170"/>
        <v xml:space="preserve">Enter a value for 'Washer/Dryer Hookups' in cell B24.
</v>
      </c>
      <c r="G3392"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93" spans="1:7" ht="15" customHeight="1">
      <c r="A3393" t="str">
        <f t="shared" ca="1" si="1166"/>
        <v xml:space="preserve">Enter a value for 'Clubhouse/Community Room' in cell B27.
</v>
      </c>
      <c r="B3393">
        <f>ROW(Amenities!A27)</f>
        <v>27</v>
      </c>
      <c r="C3393" t="str">
        <f t="shared" ca="1" si="1167"/>
        <v>Clubhouse/Community Room</v>
      </c>
      <c r="D3393" t="str">
        <f t="shared" si="1168"/>
        <v>B27</v>
      </c>
      <c r="E3393" t="str">
        <f t="shared" ca="1" si="1169"/>
        <v/>
      </c>
      <c r="F3393" t="str">
        <f t="shared" ca="1" si="1170"/>
        <v xml:space="preserve">Enter a value for 'Clubhouse/Community Room' in cell B27.
</v>
      </c>
      <c r="G3393"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94" spans="1:7" ht="15" customHeight="1">
      <c r="A3394" t="str">
        <f t="shared" ca="1" si="1166"/>
        <v xml:space="preserve">Enter a value for 'Fitness/Exercise Room' in cell B28.
</v>
      </c>
      <c r="B3394">
        <f>ROW(Amenities!A28)</f>
        <v>28</v>
      </c>
      <c r="C3394" t="str">
        <f t="shared" ca="1" si="1167"/>
        <v>Fitness/Exercise Room</v>
      </c>
      <c r="D3394" t="str">
        <f t="shared" si="1168"/>
        <v>B28</v>
      </c>
      <c r="E3394" t="str">
        <f t="shared" ca="1" si="1169"/>
        <v/>
      </c>
      <c r="F3394" t="str">
        <f t="shared" ca="1" si="1170"/>
        <v xml:space="preserve">Enter a value for 'Fitness/Exercise Room' in cell B28.
</v>
      </c>
      <c r="G3394"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95" spans="1:7" ht="15" customHeight="1">
      <c r="A3395" t="str">
        <f t="shared" ca="1" si="1166"/>
        <v xml:space="preserve">Enter a value for 'Library' in cell B29.
</v>
      </c>
      <c r="B3395">
        <f>ROW(Amenities!A29)</f>
        <v>29</v>
      </c>
      <c r="C3395" t="str">
        <f t="shared" ca="1" si="1167"/>
        <v>Library</v>
      </c>
      <c r="D3395" t="str">
        <f t="shared" si="1168"/>
        <v>B29</v>
      </c>
      <c r="E3395" t="str">
        <f t="shared" ca="1" si="1169"/>
        <v/>
      </c>
      <c r="F3395" t="str">
        <f t="shared" ca="1" si="1170"/>
        <v xml:space="preserve">Enter a value for 'Library' in cell B29.
</v>
      </c>
      <c r="G3395"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96" spans="1:7" ht="15" customHeight="1">
      <c r="A3396" t="str">
        <f t="shared" ca="1" si="1166"/>
        <v xml:space="preserve">Enter a value for 'Computer Lab' in cell B30.
</v>
      </c>
      <c r="B3396">
        <f>ROW(Amenities!A30)</f>
        <v>30</v>
      </c>
      <c r="C3396" t="str">
        <f t="shared" ca="1" si="1167"/>
        <v>Computer Lab</v>
      </c>
      <c r="D3396" t="str">
        <f t="shared" si="1168"/>
        <v>B30</v>
      </c>
      <c r="E3396" t="str">
        <f t="shared" ca="1" si="1169"/>
        <v/>
      </c>
      <c r="F3396" t="str">
        <f t="shared" ca="1" si="1170"/>
        <v xml:space="preserve">Enter a value for 'Computer Lab' in cell B30.
</v>
      </c>
      <c r="G3396"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7" spans="1:7" ht="15" customHeight="1">
      <c r="A3397" t="str">
        <f t="shared" ca="1" si="1166"/>
        <v xml:space="preserve">Enter a value for 'Business Center' in cell B31.
</v>
      </c>
      <c r="B3397">
        <f>ROW(Amenities!A31)</f>
        <v>31</v>
      </c>
      <c r="C3397" t="str">
        <f t="shared" ca="1" si="1167"/>
        <v>Business Center</v>
      </c>
      <c r="D3397" t="str">
        <f t="shared" si="1168"/>
        <v>B31</v>
      </c>
      <c r="E3397" t="str">
        <f t="shared" ca="1" si="1169"/>
        <v/>
      </c>
      <c r="F3397" t="str">
        <f t="shared" ca="1" si="1170"/>
        <v xml:space="preserve">Enter a value for 'Business Center' in cell B31.
</v>
      </c>
      <c r="G3397"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8" spans="1:7" ht="15" customHeight="1">
      <c r="A3398" t="str">
        <f t="shared" ca="1" si="1166"/>
        <v xml:space="preserve">Enter a value for 'Laundry Room' in cell B32.
</v>
      </c>
      <c r="B3398">
        <f>ROW(Amenities!A32)</f>
        <v>32</v>
      </c>
      <c r="C3398" t="str">
        <f t="shared" ca="1" si="1167"/>
        <v>Laundry Room</v>
      </c>
      <c r="D3398" t="str">
        <f t="shared" si="1168"/>
        <v>B32</v>
      </c>
      <c r="E3398" t="str">
        <f t="shared" ca="1" si="1169"/>
        <v/>
      </c>
      <c r="F3398" t="str">
        <f t="shared" ca="1" si="1170"/>
        <v xml:space="preserve">Enter a value for 'Laundry Room' in cell B32.
</v>
      </c>
      <c r="G3398"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399" spans="1:7" ht="15" customHeight="1">
      <c r="A3399" t="str">
        <f t="shared" ca="1" si="1166"/>
        <v xml:space="preserve">Enter a value for 'Dining Room' in cell B36.
</v>
      </c>
      <c r="B3399">
        <f>ROW(Amenities!A36)</f>
        <v>36</v>
      </c>
      <c r="C3399" t="str">
        <f t="shared" ca="1" si="1167"/>
        <v>Dining Room</v>
      </c>
      <c r="D3399" t="str">
        <f t="shared" si="1168"/>
        <v>B36</v>
      </c>
      <c r="E3399" t="str">
        <f t="shared" ca="1" si="1169"/>
        <v/>
      </c>
      <c r="F3399" t="str">
        <f t="shared" ca="1" si="1170"/>
        <v xml:space="preserve">Enter a value for 'Dining Room' in cell B36.
</v>
      </c>
      <c r="G3399"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400" spans="1:7" ht="15" customHeight="1">
      <c r="A3400" t="str">
        <f t="shared" ca="1" si="1166"/>
        <v xml:space="preserve">Enter a value for 'Kitchen' in cell B37.
</v>
      </c>
      <c r="B3400">
        <f>ROW(Amenities!A37)</f>
        <v>37</v>
      </c>
      <c r="C3400" t="str">
        <f t="shared" ca="1" si="1167"/>
        <v>Kitchen</v>
      </c>
      <c r="D3400" t="str">
        <f t="shared" si="1168"/>
        <v>B37</v>
      </c>
      <c r="E3400" t="str">
        <f t="shared" ca="1" si="1169"/>
        <v/>
      </c>
      <c r="F3400" t="str">
        <f t="shared" ca="1" si="1170"/>
        <v xml:space="preserve">Enter a value for 'Kitchen' in cell B37.
</v>
      </c>
      <c r="G3400"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401" spans="1:7" ht="15" customHeight="1">
      <c r="A3401" t="str">
        <f t="shared" ca="1" si="1166"/>
        <v xml:space="preserve">Enter a value for 'Living/Activity/Game Room' in cell B38.
</v>
      </c>
      <c r="B3401">
        <f>ROW(Amenities!A38)</f>
        <v>38</v>
      </c>
      <c r="C3401" t="str">
        <f t="shared" ca="1" si="1167"/>
        <v>Living/Activity/Game Room</v>
      </c>
      <c r="D3401" t="str">
        <f t="shared" si="1168"/>
        <v>B38</v>
      </c>
      <c r="E3401" t="str">
        <f t="shared" ca="1" si="1169"/>
        <v/>
      </c>
      <c r="F3401" t="str">
        <f t="shared" ca="1" si="1170"/>
        <v xml:space="preserve">Enter a value for 'Living/Activity/Game Room' in cell B38.
</v>
      </c>
      <c r="G3401"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402" spans="1:7" ht="15" customHeight="1">
      <c r="A3402" t="str">
        <f t="shared" ca="1" si="1166"/>
        <v xml:space="preserve">Enter a value for 'Elevator (quantity)' in cell B40.
</v>
      </c>
      <c r="B3402">
        <f>ROW(Amenities!A40)</f>
        <v>40</v>
      </c>
      <c r="C3402" t="str">
        <f t="shared" ca="1" si="1167"/>
        <v>Elevator (quantity)</v>
      </c>
      <c r="D3402" t="str">
        <f t="shared" si="1168"/>
        <v>B40</v>
      </c>
      <c r="E3402" t="str">
        <f t="shared" ca="1" si="1169"/>
        <v/>
      </c>
      <c r="F3402" t="str">
        <f t="shared" ca="1" si="1170"/>
        <v xml:space="preserve">Enter a value for 'Elevator (quantity)' in cell B40.
</v>
      </c>
      <c r="G3402"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403" spans="1:7" ht="15" customHeight="1">
      <c r="A3403" t="str">
        <f t="shared" ca="1" si="1166"/>
        <v xml:space="preserve">Enter a value for 'Picnic/BBQ area' in cell B41.
</v>
      </c>
      <c r="B3403">
        <f>ROW(Amenities!A41)</f>
        <v>41</v>
      </c>
      <c r="C3403" t="str">
        <f t="shared" ca="1" si="1167"/>
        <v>Picnic/BBQ area</v>
      </c>
      <c r="D3403" t="str">
        <f t="shared" si="1168"/>
        <v>B41</v>
      </c>
      <c r="E3403" t="str">
        <f t="shared" ca="1" si="1169"/>
        <v/>
      </c>
      <c r="F3403" t="str">
        <f t="shared" ca="1" si="1170"/>
        <v xml:space="preserve">Enter a value for 'Picnic/BBQ area' in cell B41.
</v>
      </c>
      <c r="G3403"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404" spans="1:7" ht="15" customHeight="1">
      <c r="A3404" t="str">
        <f t="shared" ca="1" si="1166"/>
        <v xml:space="preserve">Enter a value for 'Tot Lot/Playground' in cell B42.
</v>
      </c>
      <c r="B3404">
        <f>ROW(Amenities!A42)</f>
        <v>42</v>
      </c>
      <c r="C3404" t="str">
        <f t="shared" ca="1" si="1167"/>
        <v>Tot Lot/Playground</v>
      </c>
      <c r="D3404" t="str">
        <f t="shared" si="1168"/>
        <v>B42</v>
      </c>
      <c r="E3404" t="str">
        <f t="shared" ca="1" si="1169"/>
        <v/>
      </c>
      <c r="F3404" t="str">
        <f t="shared" ca="1" si="1170"/>
        <v xml:space="preserve">Enter a value for 'Tot Lot/Playground' in cell B42.
</v>
      </c>
      <c r="G3404"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405" spans="1:7" ht="15" customHeight="1">
      <c r="A3405" t="str">
        <f t="shared" ref="A3405:A3435" ca="1" si="1178">IF(E3405="",F3405, "")</f>
        <v xml:space="preserve">Enter a value for 'Athletic courts' in cell B43.
</v>
      </c>
      <c r="B3405">
        <f>ROW(Amenities!A43)</f>
        <v>43</v>
      </c>
      <c r="C3405" t="str">
        <f t="shared" ref="C3405:C3436" ca="1" si="1179">INDIRECT($F$3372 &amp; ADDRESS(B3405, 1,4  ))</f>
        <v>Athletic courts</v>
      </c>
      <c r="D3405" t="str">
        <f t="shared" ref="D3405:D3436" si="1180">ADDRESS(B3405, 2,4  )</f>
        <v>B43</v>
      </c>
      <c r="E3405" t="str">
        <f t="shared" ref="E3405:E3436" ca="1" si="1181">IF(ISBLANK( INDIRECT($F$3372 &amp; D3405)),"", INDIRECT($F$3372 &amp; D3405))</f>
        <v/>
      </c>
      <c r="F3405" t="str">
        <f t="shared" ref="F3405:F3436" ca="1" si="1182">CONCATENATE("Enter a value for '", C3405, "' in cell ", D3405, ".", CHAR(10))</f>
        <v xml:space="preserve">Enter a value for 'Athletic courts' in cell B43.
</v>
      </c>
      <c r="G3405" s="9" t="str">
        <f t="shared" ca="1" si="117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406" spans="1:7" ht="15" customHeight="1">
      <c r="A3406" t="str">
        <f t="shared" ca="1" si="1178"/>
        <v xml:space="preserve">Enter a value for 'Swimming Pool' in cell B45.
</v>
      </c>
      <c r="B3406">
        <f>ROW(Amenities!A45)</f>
        <v>45</v>
      </c>
      <c r="C3406" t="str">
        <f t="shared" ca="1" si="1179"/>
        <v>Swimming Pool</v>
      </c>
      <c r="D3406" t="str">
        <f t="shared" si="1180"/>
        <v>B45</v>
      </c>
      <c r="E3406" t="str">
        <f t="shared" ca="1" si="1181"/>
        <v/>
      </c>
      <c r="F3406" t="str">
        <f t="shared" ca="1" si="1182"/>
        <v xml:space="preserve">Enter a value for 'Swimming Pool' in cell B45.
</v>
      </c>
      <c r="G3406" s="9" t="str">
        <f t="shared" ref="G3406:G3440" ca="1" si="1183">OFFSET(G3406, -1, 0) &amp; A3406</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7" spans="1:7" ht="15" customHeight="1">
      <c r="A3407" t="str">
        <f t="shared" ca="1" si="1178"/>
        <v xml:space="preserve">Enter a value for 'Spa/Jacuzzi' in cell B46.
</v>
      </c>
      <c r="B3407">
        <f>ROW(Amenities!A46)</f>
        <v>46</v>
      </c>
      <c r="C3407" t="str">
        <f t="shared" ca="1" si="1179"/>
        <v>Spa/Jacuzzi</v>
      </c>
      <c r="D3407" t="str">
        <f t="shared" si="1180"/>
        <v>B46</v>
      </c>
      <c r="E3407" t="str">
        <f t="shared" ca="1" si="1181"/>
        <v/>
      </c>
      <c r="F3407" t="str">
        <f t="shared" ca="1" si="1182"/>
        <v xml:space="preserve">Enter a value for 'Spa/Jacuzzi' in cell B46.
</v>
      </c>
      <c r="G3407"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8" spans="1:7" ht="15" customHeight="1">
      <c r="A3408" t="str">
        <f t="shared" ca="1" si="1178"/>
        <v xml:space="preserve">Enter a value for 'Onsite Manager' in cell B52.
</v>
      </c>
      <c r="B3408">
        <f>ROW(Amenities!A52)</f>
        <v>52</v>
      </c>
      <c r="C3408" t="str">
        <f t="shared" ca="1" si="1179"/>
        <v>Onsite Manager</v>
      </c>
      <c r="D3408" t="str">
        <f t="shared" si="1180"/>
        <v>B52</v>
      </c>
      <c r="E3408" t="str">
        <f t="shared" ca="1" si="1181"/>
        <v/>
      </c>
      <c r="F3408" t="str">
        <f t="shared" ca="1" si="1182"/>
        <v xml:space="preserve">Enter a value for 'Onsite Manager' in cell B52.
</v>
      </c>
      <c r="G3408"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v>
      </c>
    </row>
    <row r="3409" spans="1:7" ht="15" customHeight="1">
      <c r="A3409" t="str">
        <f t="shared" ca="1" si="1178"/>
        <v xml:space="preserve">Enter a value for 'Privacy Fencing' in cell B56.
</v>
      </c>
      <c r="B3409">
        <f>ROW(Amenities!A56)</f>
        <v>56</v>
      </c>
      <c r="C3409" t="str">
        <f t="shared" ca="1" si="1179"/>
        <v>Privacy Fencing</v>
      </c>
      <c r="D3409" t="str">
        <f t="shared" si="1180"/>
        <v>B56</v>
      </c>
      <c r="E3409" t="str">
        <f t="shared" ca="1" si="1181"/>
        <v/>
      </c>
      <c r="F3409" t="str">
        <f t="shared" ca="1" si="1182"/>
        <v xml:space="preserve">Enter a value for 'Privacy Fencing' in cell B56.
</v>
      </c>
      <c r="G3409"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v>
      </c>
    </row>
    <row r="3410" spans="1:7" ht="15" customHeight="1">
      <c r="A3410" t="str">
        <f t="shared" ca="1" si="1178"/>
        <v xml:space="preserve">Enter a value for 'Reception Desk' in cell B57.
</v>
      </c>
      <c r="B3410">
        <f>ROW(Amenities!A57)</f>
        <v>57</v>
      </c>
      <c r="C3410" t="str">
        <f t="shared" ca="1" si="1179"/>
        <v>Reception Desk</v>
      </c>
      <c r="D3410" t="str">
        <f t="shared" si="1180"/>
        <v>B57</v>
      </c>
      <c r="E3410" t="str">
        <f t="shared" ca="1" si="1181"/>
        <v/>
      </c>
      <c r="F3410" t="str">
        <f t="shared" ca="1" si="1182"/>
        <v xml:space="preserve">Enter a value for 'Reception Desk' in cell B57.
</v>
      </c>
      <c r="G3410"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v>
      </c>
    </row>
    <row r="3411" spans="1:7" ht="15" customHeight="1">
      <c r="A3411" t="str">
        <f t="shared" ca="1" si="1178"/>
        <v xml:space="preserve">Enter a value for 'Surveillance Cameras' in cell B58.
</v>
      </c>
      <c r="B3411">
        <f>ROW(Amenities!A58)</f>
        <v>58</v>
      </c>
      <c r="C3411" t="str">
        <f t="shared" ca="1" si="1179"/>
        <v>Surveillance Cameras</v>
      </c>
      <c r="D3411" t="str">
        <f t="shared" si="1180"/>
        <v>B58</v>
      </c>
      <c r="E3411" t="str">
        <f t="shared" ca="1" si="1181"/>
        <v/>
      </c>
      <c r="F3411" t="str">
        <f t="shared" ca="1" si="1182"/>
        <v xml:space="preserve">Enter a value for 'Surveillance Cameras' in cell B58.
</v>
      </c>
      <c r="G3411"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v>
      </c>
    </row>
    <row r="3412" spans="1:7" ht="15" customHeight="1">
      <c r="A3412" t="str">
        <f t="shared" ca="1" si="1178"/>
        <v xml:space="preserve">Enter a value for 'Control Access Entry' in cell B59.
</v>
      </c>
      <c r="B3412">
        <f>ROW(Amenities!A59)</f>
        <v>59</v>
      </c>
      <c r="C3412" t="str">
        <f t="shared" ca="1" si="1179"/>
        <v>Control Access Entry</v>
      </c>
      <c r="D3412" t="str">
        <f t="shared" si="1180"/>
        <v>B59</v>
      </c>
      <c r="E3412" t="str">
        <f t="shared" ca="1" si="1181"/>
        <v/>
      </c>
      <c r="F3412" t="str">
        <f t="shared" ca="1" si="1182"/>
        <v xml:space="preserve">Enter a value for 'Control Access Entry' in cell B59.
</v>
      </c>
      <c r="G3412"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v>
      </c>
    </row>
    <row r="3413" spans="1:7" ht="15" customHeight="1">
      <c r="A3413" t="str">
        <f t="shared" ca="1" si="1178"/>
        <v xml:space="preserve">Enter a value for 'Emergency Pull Cords' in cell B60.
</v>
      </c>
      <c r="B3413">
        <f>ROW(Amenities!A60)</f>
        <v>60</v>
      </c>
      <c r="C3413" t="str">
        <f t="shared" ca="1" si="1179"/>
        <v>Emergency Pull Cords</v>
      </c>
      <c r="D3413" t="str">
        <f t="shared" si="1180"/>
        <v>B60</v>
      </c>
      <c r="E3413" t="str">
        <f t="shared" ca="1" si="1181"/>
        <v/>
      </c>
      <c r="F3413" t="str">
        <f t="shared" ca="1" si="1182"/>
        <v xml:space="preserve">Enter a value for 'Emergency Pull Cords' in cell B60.
</v>
      </c>
      <c r="G3413"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4" spans="1:7" ht="15" customHeight="1">
      <c r="A3414" t="str">
        <f t="shared" ca="1" si="1178"/>
        <v/>
      </c>
      <c r="B3414">
        <f>ROW(Amenities!A62)</f>
        <v>62</v>
      </c>
      <c r="C3414" t="str">
        <f t="shared" ca="1" si="1179"/>
        <v>Surface Parking - # of spaces</v>
      </c>
      <c r="D3414" t="str">
        <f t="shared" si="1180"/>
        <v>B62</v>
      </c>
      <c r="E3414">
        <f t="shared" ca="1" si="1181"/>
        <v>0</v>
      </c>
      <c r="F3414" t="str">
        <f t="shared" ca="1" si="1182"/>
        <v xml:space="preserve">Enter a value for 'Surface Parking - # of spaces' in cell B62.
</v>
      </c>
      <c r="G3414"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5" spans="1:7" s="321" customFormat="1" ht="15" customHeight="1">
      <c r="A3415" s="321" t="str">
        <f t="shared" ca="1" si="1178"/>
        <v/>
      </c>
      <c r="B3415" s="321">
        <f>ROW(Amenities!A63)</f>
        <v>63</v>
      </c>
      <c r="C3415" s="321" t="str">
        <f t="shared" ca="1" si="1179"/>
        <v>Carport - # of carports</v>
      </c>
      <c r="D3415" t="str">
        <f t="shared" si="1180"/>
        <v>B63</v>
      </c>
      <c r="E3415">
        <f t="shared" ca="1" si="1181"/>
        <v>0</v>
      </c>
      <c r="F3415" s="321" t="str">
        <f t="shared" ca="1" si="1182"/>
        <v xml:space="preserve">Enter a value for 'Carport - # of carports' in cell B63.
</v>
      </c>
      <c r="G3415" s="433"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6" spans="1:7" ht="15" customHeight="1">
      <c r="A3416" t="str">
        <f t="shared" ca="1" si="1178"/>
        <v/>
      </c>
      <c r="B3416">
        <f>ROW(Amenities!A64)</f>
        <v>64</v>
      </c>
      <c r="C3416" t="str">
        <f t="shared" ca="1" si="1179"/>
        <v>Underground Parking - # of spaces</v>
      </c>
      <c r="D3416" t="str">
        <f t="shared" si="1180"/>
        <v>B64</v>
      </c>
      <c r="E3416">
        <f t="shared" ca="1" si="1181"/>
        <v>0</v>
      </c>
      <c r="F3416" t="str">
        <f t="shared" ca="1" si="1182"/>
        <v xml:space="preserve">Enter a value for 'Underground Parking - # of spaces' in cell B64.
</v>
      </c>
      <c r="G3416"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7" spans="1:7" ht="15" customHeight="1">
      <c r="A3417" t="str">
        <f t="shared" ca="1" si="1178"/>
        <v/>
      </c>
      <c r="B3417">
        <f>ROW(Amenities!A65)</f>
        <v>65</v>
      </c>
      <c r="C3417" t="str">
        <f t="shared" ca="1" si="1179"/>
        <v>Detached Garage - # of garages</v>
      </c>
      <c r="D3417" t="str">
        <f t="shared" si="1180"/>
        <v>B65</v>
      </c>
      <c r="E3417">
        <f t="shared" ca="1" si="1181"/>
        <v>0</v>
      </c>
      <c r="F3417" t="str">
        <f t="shared" ca="1" si="1182"/>
        <v xml:space="preserve">Enter a value for 'Detached Garage - # of garages' in cell B65.
</v>
      </c>
      <c r="G3417"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8" spans="1:7" ht="15" customHeight="1">
      <c r="A3418" t="str">
        <f t="shared" ca="1" si="1178"/>
        <v/>
      </c>
      <c r="B3418">
        <f>ROW(Amenities!A66)</f>
        <v>66</v>
      </c>
      <c r="C3418" t="str">
        <f t="shared" ca="1" si="1179"/>
        <v>Attached Garage - # of garages</v>
      </c>
      <c r="D3418" t="str">
        <f t="shared" si="1180"/>
        <v>B66</v>
      </c>
      <c r="E3418">
        <f t="shared" ca="1" si="1181"/>
        <v>0</v>
      </c>
      <c r="F3418" t="str">
        <f t="shared" ca="1" si="1182"/>
        <v xml:space="preserve">Enter a value for 'Attached Garage - # of garages' in cell B66.
</v>
      </c>
      <c r="G3418"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9" spans="1:7" ht="15" customHeight="1">
      <c r="A3419" t="str">
        <f t="shared" ca="1" si="1178"/>
        <v/>
      </c>
      <c r="B3419">
        <f>ROW(Amenities!A67)</f>
        <v>67</v>
      </c>
      <c r="C3419" t="str">
        <f t="shared" ca="1" si="1179"/>
        <v>Tuck-under / Podium Parking - # of spaces</v>
      </c>
      <c r="D3419" t="str">
        <f t="shared" si="1180"/>
        <v>B67</v>
      </c>
      <c r="E3419">
        <f t="shared" ca="1" si="1181"/>
        <v>0</v>
      </c>
      <c r="F3419" t="str">
        <f t="shared" ca="1" si="1182"/>
        <v xml:space="preserve">Enter a value for 'Tuck-under / Podium Parking - # of spaces' in cell B67.
</v>
      </c>
      <c r="G3419"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0" spans="1:7" ht="15" customHeight="1">
      <c r="A3420" t="str">
        <f t="shared" ref="A3420:A3426" ca="1" si="1184">IF(E3420="",F3420, "")</f>
        <v xml:space="preserve">Enter a value for 'Is Parking in Eligible Basis' in cell B69.
</v>
      </c>
      <c r="B3420">
        <f>ROW(Amenities!A69)</f>
        <v>69</v>
      </c>
      <c r="C3420" t="str">
        <f t="shared" ref="C3420:C3426" ca="1" si="1185">INDIRECT($F$3372 &amp; ADDRESS(B3420, 1,4  ))</f>
        <v>Is Parking in Eligible Basis</v>
      </c>
      <c r="D3420" t="str">
        <f t="shared" ref="D3420:D3426" si="1186">ADDRESS(B3420, 2,4  )</f>
        <v>B69</v>
      </c>
      <c r="E3420" t="str">
        <f t="shared" ref="E3420:E3426" ca="1" si="1187">IF(ISBLANK( INDIRECT($F$3372 &amp; D3420)),"", INDIRECT($F$3372 &amp; D3420))</f>
        <v/>
      </c>
      <c r="F3420" t="str">
        <f t="shared" ref="F3420:F3426" ca="1" si="1188">CONCATENATE("Enter a value for '", C3420, "' in cell ", D3420, ".", CHAR(10))</f>
        <v xml:space="preserve">Enter a value for 'Is Parking in Eligible Basis' in cell B69.
</v>
      </c>
      <c r="G3420" s="9" t="str">
        <f t="shared" ref="G3420:G3426" ca="1" si="1189">OFFSET(G3420, -1, 0) &amp; A3420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21" spans="1:7" ht="15" customHeight="1">
      <c r="A3421" t="str">
        <f t="shared" ca="1" si="1184"/>
        <v xml:space="preserve">Enter a value for 'Is there a Fee for Parking' in cell B70.
</v>
      </c>
      <c r="B3421">
        <f>ROW(Amenities!A70)</f>
        <v>70</v>
      </c>
      <c r="C3421" t="str">
        <f t="shared" ca="1" si="1185"/>
        <v>Is there a Fee for Parking</v>
      </c>
      <c r="D3421" t="str">
        <f t="shared" si="1186"/>
        <v>B70</v>
      </c>
      <c r="E3421" t="str">
        <f t="shared" ca="1" si="1187"/>
        <v/>
      </c>
      <c r="F3421" t="str">
        <f t="shared" ca="1" si="1188"/>
        <v xml:space="preserve">Enter a value for 'Is there a Fee for Parking' in cell B70.
</v>
      </c>
      <c r="G3421"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2" spans="1:7" ht="15" customHeight="1">
      <c r="A3422" t="str">
        <f t="shared" ca="1" si="1184"/>
        <v/>
      </c>
      <c r="B3422">
        <f>ROW(Amenities!A71)</f>
        <v>71</v>
      </c>
      <c r="C3422" t="str">
        <f t="shared" ca="1" si="1185"/>
        <v>Fee Amount/Month ($)</v>
      </c>
      <c r="D3422" t="str">
        <f t="shared" si="1186"/>
        <v>B71</v>
      </c>
      <c r="E3422">
        <f t="shared" ca="1" si="1187"/>
        <v>0</v>
      </c>
      <c r="F3422" t="str">
        <f t="shared" ca="1" si="1188"/>
        <v xml:space="preserve">Enter a value for 'Fee Amount/Month ($)' in cell B71.
</v>
      </c>
      <c r="G3422"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3" spans="1:7" ht="15" customHeight="1">
      <c r="A3423" t="str">
        <f t="shared" ca="1" si="1184"/>
        <v xml:space="preserve">Enter a value for 'Storage Units or Lockers' in cell B73.
</v>
      </c>
      <c r="B3423">
        <f>ROW(Amenities!A73)</f>
        <v>73</v>
      </c>
      <c r="C3423" t="str">
        <f t="shared" ca="1" si="1185"/>
        <v>Storage Units or Lockers</v>
      </c>
      <c r="D3423" t="str">
        <f t="shared" si="1186"/>
        <v>B73</v>
      </c>
      <c r="E3423" t="str">
        <f t="shared" ca="1" si="1187"/>
        <v/>
      </c>
      <c r="F3423" t="str">
        <f t="shared" ca="1" si="1188"/>
        <v xml:space="preserve">Enter a value for 'Storage Units or Lockers' in cell B73.
</v>
      </c>
      <c r="G3423"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24" spans="1:7" ht="15" customHeight="1">
      <c r="A3424" t="str">
        <f t="shared" ca="1" si="1184"/>
        <v xml:space="preserve">Enter a value for 'Part of Eligible Basis' in cell B74.
</v>
      </c>
      <c r="B3424">
        <f>ROW(Amenities!A74)</f>
        <v>74</v>
      </c>
      <c r="C3424" t="str">
        <f t="shared" ca="1" si="1185"/>
        <v>Part of Eligible Basis</v>
      </c>
      <c r="D3424" t="str">
        <f t="shared" si="1186"/>
        <v>B74</v>
      </c>
      <c r="E3424" t="str">
        <f t="shared" ca="1" si="1187"/>
        <v/>
      </c>
      <c r="F3424" t="str">
        <f t="shared" ca="1" si="1188"/>
        <v xml:space="preserve">Enter a value for 'Part of Eligible Basis' in cell B74.
</v>
      </c>
      <c r="G3424"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5" spans="1:11" ht="15" customHeight="1">
      <c r="A3425" t="str">
        <f t="shared" ca="1" si="1184"/>
        <v/>
      </c>
      <c r="B3425">
        <f>ROW(Amenities!A75)</f>
        <v>75</v>
      </c>
      <c r="C3425" t="str">
        <f t="shared" ca="1" si="1185"/>
        <v>Fee Amount/Month ($)</v>
      </c>
      <c r="D3425" t="str">
        <f t="shared" si="1186"/>
        <v>B75</v>
      </c>
      <c r="E3425">
        <f t="shared" ca="1" si="1187"/>
        <v>0</v>
      </c>
      <c r="F3425" t="str">
        <f t="shared" ca="1" si="1188"/>
        <v xml:space="preserve">Enter a value for 'Fee Amount/Month ($)' in cell B75.
</v>
      </c>
      <c r="G3425"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6" spans="1:11" ht="15" customHeight="1">
      <c r="A3426" t="str">
        <f t="shared" ca="1" si="1184"/>
        <v xml:space="preserve">Enter a value for 'Electric Vehicle (EV) Ready ' in cell B76.
</v>
      </c>
      <c r="B3426">
        <f>ROW(Amenities!A76)</f>
        <v>76</v>
      </c>
      <c r="C3426" t="str">
        <f t="shared" ca="1" si="1185"/>
        <v xml:space="preserve">Electric Vehicle (EV) Ready </v>
      </c>
      <c r="D3426" t="str">
        <f t="shared" si="1186"/>
        <v>B76</v>
      </c>
      <c r="E3426" t="str">
        <f t="shared" ca="1" si="1187"/>
        <v/>
      </c>
      <c r="F3426" t="str">
        <f t="shared" ca="1" si="1188"/>
        <v xml:space="preserve">Enter a value for 'Electric Vehicle (EV) Ready ' in cell B76.
</v>
      </c>
      <c r="G3426" s="9" t="str">
        <f t="shared" ca="1" si="1189"/>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7" spans="1:11" ht="15" customHeight="1">
      <c r="A3427" t="str">
        <f t="shared" ref="A3427" ca="1" si="1190">IF(E3427="",F3427, "")</f>
        <v xml:space="preserve">Enter a value for '# of EV Charging Stations' in cell B77.
</v>
      </c>
      <c r="B3427">
        <f>ROW(Amenities!A77)</f>
        <v>77</v>
      </c>
      <c r="C3427" t="str">
        <f t="shared" ref="C3427" ca="1" si="1191">INDIRECT($F$3372 &amp; ADDRESS(B3427, 1,4  ))</f>
        <v># of EV Charging Stations</v>
      </c>
      <c r="D3427" t="str">
        <f t="shared" ref="D3427" si="1192">ADDRESS(B3427, 2,4  )</f>
        <v>B77</v>
      </c>
      <c r="E3427" t="str">
        <f t="shared" ref="E3427" ca="1" si="1193">IF(ISBLANK( INDIRECT($F$3372 &amp; D3427)),"", INDIRECT($F$3372 &amp; D3427))</f>
        <v/>
      </c>
      <c r="F3427" t="str">
        <f t="shared" ref="F3427" ca="1" si="1194">CONCATENATE("Enter a value for '", C3427, "' in cell ", D3427, ".", CHAR(10))</f>
        <v xml:space="preserve">Enter a value for '# of EV Charging Stations' in cell B77.
</v>
      </c>
      <c r="G3427" s="9" t="str">
        <f t="shared" ref="G3427" ca="1" si="1195">OFFSET(G3427, -1, 0) &amp; A3427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v>
      </c>
    </row>
    <row r="3428" spans="1:11" ht="15" customHeight="1">
      <c r="A3428" t="str">
        <f t="shared" ca="1" si="1178"/>
        <v xml:space="preserve">Enter a value for 'Age 62+/all occupants' in cell B86.
</v>
      </c>
      <c r="B3428">
        <f>ROW(Amenities!A86)</f>
        <v>86</v>
      </c>
      <c r="C3428" t="str">
        <f t="shared" ca="1" si="1179"/>
        <v>Age 62+/all occupants</v>
      </c>
      <c r="D3428" t="str">
        <f t="shared" si="1180"/>
        <v>B86</v>
      </c>
      <c r="E3428" t="str">
        <f t="shared" ca="1" si="1181"/>
        <v/>
      </c>
      <c r="F3428" t="str">
        <f t="shared" ca="1" si="1182"/>
        <v xml:space="preserve">Enter a value for 'Age 62+/all occupants' in cell B86.
</v>
      </c>
      <c r="G3428"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v>
      </c>
    </row>
    <row r="3429" spans="1:11" ht="15" customHeight="1">
      <c r="A3429" t="str">
        <f t="shared" ca="1" si="1178"/>
        <v xml:space="preserve">Enter a value for 'Age 55+/at least one occupant' in cell B87.
</v>
      </c>
      <c r="B3429">
        <f>ROW(Amenities!A87)</f>
        <v>87</v>
      </c>
      <c r="C3429" t="str">
        <f t="shared" ca="1" si="1179"/>
        <v>Age 55+/at least one occupant</v>
      </c>
      <c r="D3429" t="str">
        <f t="shared" si="1180"/>
        <v>B87</v>
      </c>
      <c r="E3429" t="str">
        <f t="shared" ca="1" si="1181"/>
        <v/>
      </c>
      <c r="F3429" t="str">
        <f t="shared" ca="1" si="1182"/>
        <v xml:space="preserve">Enter a value for 'Age 55+/at least one occupant' in cell B87.
</v>
      </c>
      <c r="G3429"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v>
      </c>
    </row>
    <row r="3430" spans="1:11" ht="15" customHeight="1">
      <c r="A3430" t="str">
        <f t="shared" ca="1" si="1178"/>
        <v xml:space="preserve">Enter a value for 'Service Coordinator' in cell B88.
</v>
      </c>
      <c r="B3430">
        <f>ROW(Amenities!A88)</f>
        <v>88</v>
      </c>
      <c r="C3430" t="str">
        <f t="shared" ca="1" si="1179"/>
        <v>Service Coordinator</v>
      </c>
      <c r="D3430" t="str">
        <f t="shared" si="1180"/>
        <v>B88</v>
      </c>
      <c r="E3430" t="str">
        <f t="shared" ca="1" si="1181"/>
        <v/>
      </c>
      <c r="F3430" t="str">
        <f t="shared" ca="1" si="1182"/>
        <v xml:space="preserve">Enter a value for 'Service Coordinator' in cell B88.
</v>
      </c>
      <c r="G3430"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v>
      </c>
    </row>
    <row r="3431" spans="1:11" ht="15" customHeight="1">
      <c r="A3431" t="str">
        <f t="shared" ca="1" si="1178"/>
        <v xml:space="preserve">Enter a value for 'Additional fees for services' in cell B89.
</v>
      </c>
      <c r="B3431">
        <f>ROW(Amenities!A89)</f>
        <v>89</v>
      </c>
      <c r="C3431" t="str">
        <f t="shared" ca="1" si="1179"/>
        <v>Additional fees for services</v>
      </c>
      <c r="D3431" t="str">
        <f t="shared" si="1180"/>
        <v>B89</v>
      </c>
      <c r="E3431" t="str">
        <f t="shared" ca="1" si="1181"/>
        <v/>
      </c>
      <c r="F3431" t="str">
        <f t="shared" ca="1" si="1182"/>
        <v xml:space="preserve">Enter a value for 'Additional fees for services' in cell B89.
</v>
      </c>
      <c r="G3431"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v>
      </c>
    </row>
    <row r="3432" spans="1:11" ht="15" customHeight="1">
      <c r="A3432" t="str">
        <f t="shared" ca="1" si="1178"/>
        <v xml:space="preserve">Enter a value for 'No more than 1 occupant per unit unless related' in cell B94.
</v>
      </c>
      <c r="B3432">
        <f>ROW(Amenities!A94)</f>
        <v>94</v>
      </c>
      <c r="C3432" t="str">
        <f t="shared" ca="1" si="1179"/>
        <v>No more than 1 occupant per unit unless related</v>
      </c>
      <c r="D3432" t="str">
        <f t="shared" si="1180"/>
        <v>B94</v>
      </c>
      <c r="E3432" t="str">
        <f t="shared" ca="1" si="1181"/>
        <v/>
      </c>
      <c r="F3432" t="str">
        <f t="shared" ca="1" si="1182"/>
        <v xml:space="preserve">Enter a value for 'No more than 1 occupant per unit unless related' in cell B94.
</v>
      </c>
      <c r="G3432"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v>
      </c>
    </row>
    <row r="3433" spans="1:11" ht="15" customHeight="1">
      <c r="A3433" t="str">
        <f t="shared" ca="1" si="1178"/>
        <v/>
      </c>
      <c r="B3433">
        <f>ROW(Amenities!A95)</f>
        <v>95</v>
      </c>
      <c r="C3433" t="str">
        <f t="shared" ca="1" si="1179"/>
        <v>Rent charged per household composition</v>
      </c>
      <c r="D3433" t="str">
        <f t="shared" si="1180"/>
        <v>B95</v>
      </c>
      <c r="E3433">
        <f t="shared" ca="1" si="1181"/>
        <v>0</v>
      </c>
      <c r="F3433" t="str">
        <f t="shared" ca="1" si="1182"/>
        <v xml:space="preserve">Enter a value for 'Rent charged per household composition' in cell B95.
</v>
      </c>
      <c r="G3433"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v>
      </c>
    </row>
    <row r="3434" spans="1:11" ht="15" customHeight="1">
      <c r="A3434" t="str">
        <f t="shared" ca="1" si="1178"/>
        <v/>
      </c>
      <c r="B3434">
        <f>ROW(Amenities!A96)</f>
        <v>96</v>
      </c>
      <c r="C3434" t="str">
        <f t="shared" ca="1" si="1179"/>
        <v>Rent charged per bed</v>
      </c>
      <c r="D3434" t="str">
        <f t="shared" si="1180"/>
        <v>B96</v>
      </c>
      <c r="E3434">
        <f t="shared" ca="1" si="1181"/>
        <v>0</v>
      </c>
      <c r="F3434" t="str">
        <f t="shared" ca="1" si="1182"/>
        <v xml:space="preserve">Enter a value for 'Rent charged per bed' in cell B96.
</v>
      </c>
      <c r="G3434"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v>
      </c>
    </row>
    <row r="3435" spans="1:11" ht="15" customHeight="1">
      <c r="A3435" t="str">
        <f t="shared" ca="1" si="1178"/>
        <v xml:space="preserve">Enter a value for 'Additional fees for services charged to tenant in addition to monthly rent' in cell B97.
</v>
      </c>
      <c r="B3435">
        <f>ROW(Amenities!A97)</f>
        <v>97</v>
      </c>
      <c r="C3435" t="str">
        <f t="shared" ca="1" si="1179"/>
        <v>Additional fees for services charged to tenant in addition to monthly rent</v>
      </c>
      <c r="D3435" t="str">
        <f t="shared" si="1180"/>
        <v>B97</v>
      </c>
      <c r="E3435" t="str">
        <f t="shared" ca="1" si="1181"/>
        <v/>
      </c>
      <c r="F3435" t="str">
        <f t="shared" ca="1" si="1182"/>
        <v xml:space="preserve">Enter a value for 'Additional fees for services charged to tenant in addition to monthly rent' in cell B97.
</v>
      </c>
      <c r="G3435"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36" spans="1:11" ht="15" customHeight="1">
      <c r="A3436" s="52" t="str">
        <f ca="1">IF(AND(E3435="Yes", E3436=""),F3436, "")</f>
        <v/>
      </c>
      <c r="B3436">
        <f>ROW(Amenities!A98)</f>
        <v>98</v>
      </c>
      <c r="C3436" t="str">
        <f t="shared" ca="1" si="1179"/>
        <v>If yes, list fees</v>
      </c>
      <c r="D3436" t="str">
        <f t="shared" si="1180"/>
        <v>B98</v>
      </c>
      <c r="E3436">
        <f t="shared" ca="1" si="1181"/>
        <v>0</v>
      </c>
      <c r="F3436" t="str">
        <f t="shared" ca="1" si="1182"/>
        <v xml:space="preserve">Enter a value for 'If yes, list fees' in cell B98.
</v>
      </c>
      <c r="G3436"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37" spans="1:11" ht="15" customHeight="1">
      <c r="G3437"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38" spans="1:11" ht="15" customHeight="1">
      <c r="A3438" t="str">
        <f t="shared" ref="A3438:A3453" ca="1" si="1196">IF(AND($J$3438, E3438=""),F3438, "")</f>
        <v/>
      </c>
      <c r="B3438">
        <f>ROW(Amenities!A103)</f>
        <v>103</v>
      </c>
      <c r="C3438" t="str">
        <f t="shared" ref="C3438:C3453" ca="1" si="1197">INDIRECT($F$3372 &amp; ADDRESS(B3438, 1,4  ))</f>
        <v>Utility Model</v>
      </c>
      <c r="D3438" t="str">
        <f t="shared" ref="D3438:D3453" si="1198">ADDRESS(B3438, 2,4  )</f>
        <v>B103</v>
      </c>
      <c r="E3438" t="str">
        <f t="shared" ref="E3438:E3453" ca="1" si="1199">IF(ISBLANK( INDIRECT($F$3372 &amp; D3438)),"", INDIRECT($F$3372 &amp; D3438))</f>
        <v/>
      </c>
      <c r="F3438" t="str">
        <f t="shared" ref="F3438:F3453" ca="1" si="1200">CONCATENATE("Enter a value for '", C3438, "' in cell ", D3438, ".", CHAR(10))</f>
        <v xml:space="preserve">Enter a value for 'Utility Model' in cell B103.
</v>
      </c>
      <c r="G3438"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c r="H3438" t="s">
        <v>3895</v>
      </c>
      <c r="J3438" s="16" t="b">
        <f>OR(Calculations!$B$3,AND(Calculations!$B$4,Calculations!$B$5,NOT(Calculations!$B$6)))</f>
        <v>0</v>
      </c>
      <c r="K3438" s="16" t="s">
        <v>3896</v>
      </c>
    </row>
    <row r="3439" spans="1:11" ht="15" customHeight="1">
      <c r="A3439" t="str">
        <f t="shared" ca="1" si="1196"/>
        <v/>
      </c>
      <c r="B3439">
        <f>ROW(Amenities!A105)</f>
        <v>105</v>
      </c>
      <c r="C3439" t="str">
        <f t="shared" ca="1" si="1197"/>
        <v>Gas</v>
      </c>
      <c r="D3439" t="str">
        <f t="shared" si="1198"/>
        <v>B105</v>
      </c>
      <c r="E3439" t="str">
        <f t="shared" ca="1" si="1199"/>
        <v/>
      </c>
      <c r="F3439" t="str">
        <f t="shared" ca="1" si="1200"/>
        <v xml:space="preserve">Enter a value for 'Gas' in cell B105.
</v>
      </c>
      <c r="G3439"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0" spans="1:11" ht="15" customHeight="1">
      <c r="A3440" t="str">
        <f t="shared" ca="1" si="1196"/>
        <v/>
      </c>
      <c r="B3440">
        <f>ROW(Amenities!A106)</f>
        <v>106</v>
      </c>
      <c r="C3440" t="str">
        <f t="shared" ca="1" si="1197"/>
        <v>Electricity</v>
      </c>
      <c r="D3440" t="str">
        <f t="shared" si="1198"/>
        <v>B106</v>
      </c>
      <c r="E3440" t="str">
        <f t="shared" ca="1" si="1199"/>
        <v/>
      </c>
      <c r="F3440" t="str">
        <f t="shared" ca="1" si="1200"/>
        <v xml:space="preserve">Enter a value for 'Electricity' in cell B106.
</v>
      </c>
      <c r="G3440" s="9" t="str">
        <f t="shared" ca="1" si="1183"/>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1" spans="1:7" ht="15" customHeight="1">
      <c r="A3441" t="str">
        <f t="shared" ca="1" si="1196"/>
        <v/>
      </c>
      <c r="B3441">
        <f>ROW(Amenities!A107)</f>
        <v>107</v>
      </c>
      <c r="C3441" t="str">
        <f t="shared" ca="1" si="1197"/>
        <v>Water</v>
      </c>
      <c r="D3441" t="str">
        <f t="shared" si="1198"/>
        <v>B107</v>
      </c>
      <c r="E3441" t="str">
        <f t="shared" ca="1" si="1199"/>
        <v/>
      </c>
      <c r="F3441" t="str">
        <f t="shared" ca="1" si="1200"/>
        <v xml:space="preserve">Enter a value for 'Water' in cell B107.
</v>
      </c>
      <c r="G3441" s="9" t="str">
        <f t="shared" ref="G3441:G3453" ca="1" si="1201">OFFSET(G3441, -1, 0) &amp; A3441</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2" spans="1:7" ht="15" customHeight="1">
      <c r="A3442" t="str">
        <f t="shared" ca="1" si="1196"/>
        <v/>
      </c>
      <c r="B3442">
        <f>ROW(Amenities!A108)</f>
        <v>108</v>
      </c>
      <c r="C3442" t="str">
        <f t="shared" ca="1" si="1197"/>
        <v>Sewer</v>
      </c>
      <c r="D3442" t="str">
        <f t="shared" si="1198"/>
        <v>B108</v>
      </c>
      <c r="E3442" t="str">
        <f t="shared" ca="1" si="1199"/>
        <v/>
      </c>
      <c r="F3442" t="str">
        <f t="shared" ca="1" si="1200"/>
        <v xml:space="preserve">Enter a value for 'Sewer' in cell B108.
</v>
      </c>
      <c r="G3442"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3" spans="1:7" ht="15" customHeight="1">
      <c r="A3443" t="str">
        <f t="shared" ca="1" si="1196"/>
        <v/>
      </c>
      <c r="B3443">
        <f>ROW(Amenities!A109)</f>
        <v>109</v>
      </c>
      <c r="C3443" t="str">
        <f t="shared" ca="1" si="1197"/>
        <v>Trash</v>
      </c>
      <c r="D3443" t="str">
        <f t="shared" si="1198"/>
        <v>B109</v>
      </c>
      <c r="E3443" t="str">
        <f t="shared" ca="1" si="1199"/>
        <v/>
      </c>
      <c r="F3443" t="str">
        <f t="shared" ca="1" si="1200"/>
        <v xml:space="preserve">Enter a value for 'Trash' in cell B109.
</v>
      </c>
      <c r="G3443"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4" spans="1:7" ht="15" customHeight="1">
      <c r="A3444" t="str">
        <f t="shared" ca="1" si="1196"/>
        <v/>
      </c>
      <c r="B3444">
        <f>ROW(Amenities!A110)</f>
        <v>110</v>
      </c>
      <c r="C3444" t="str">
        <f t="shared" ca="1" si="1197"/>
        <v>Cable  - If  contracted with cable provider</v>
      </c>
      <c r="D3444" t="str">
        <f t="shared" si="1198"/>
        <v>B110</v>
      </c>
      <c r="E3444" t="str">
        <f t="shared" ca="1" si="1199"/>
        <v/>
      </c>
      <c r="F3444" t="str">
        <f t="shared" ca="1" si="1200"/>
        <v xml:space="preserve">Enter a value for 'Cable  - If  contracted with cable provider' in cell B110.
</v>
      </c>
      <c r="G3444"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5" spans="1:7" ht="15" customHeight="1">
      <c r="A3445" t="str">
        <f t="shared" ca="1" si="1196"/>
        <v/>
      </c>
      <c r="B3445">
        <f>ROW(Amenities!A113)</f>
        <v>113</v>
      </c>
      <c r="C3445" t="str">
        <f t="shared" ca="1" si="1197"/>
        <v>Gas</v>
      </c>
      <c r="D3445" t="str">
        <f t="shared" si="1198"/>
        <v>B113</v>
      </c>
      <c r="E3445" t="str">
        <f t="shared" ca="1" si="1199"/>
        <v/>
      </c>
      <c r="F3445" t="str">
        <f t="shared" ca="1" si="1200"/>
        <v xml:space="preserve">Enter a value for 'Gas' in cell B113.
</v>
      </c>
      <c r="G3445"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6" spans="1:7" ht="15" customHeight="1">
      <c r="A3446" t="str">
        <f t="shared" ca="1" si="1196"/>
        <v/>
      </c>
      <c r="B3446">
        <f>ROW(Amenities!A114)</f>
        <v>114</v>
      </c>
      <c r="C3446" t="str">
        <f t="shared" ca="1" si="1197"/>
        <v>Electricity</v>
      </c>
      <c r="D3446" t="str">
        <f t="shared" si="1198"/>
        <v>B114</v>
      </c>
      <c r="E3446" t="str">
        <f t="shared" ca="1" si="1199"/>
        <v/>
      </c>
      <c r="F3446" t="str">
        <f t="shared" ca="1" si="1200"/>
        <v xml:space="preserve">Enter a value for 'Electricity' in cell B114.
</v>
      </c>
      <c r="G3446"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7" spans="1:7" ht="15" customHeight="1">
      <c r="A3447" t="str">
        <f t="shared" ca="1" si="1196"/>
        <v/>
      </c>
      <c r="B3447">
        <f>ROW(Amenities!A115)</f>
        <v>115</v>
      </c>
      <c r="C3447" t="str">
        <f t="shared" ca="1" si="1197"/>
        <v>Water</v>
      </c>
      <c r="D3447" t="str">
        <f t="shared" si="1198"/>
        <v>B115</v>
      </c>
      <c r="E3447" t="str">
        <f t="shared" ca="1" si="1199"/>
        <v/>
      </c>
      <c r="F3447" t="str">
        <f t="shared" ca="1" si="1200"/>
        <v xml:space="preserve">Enter a value for 'Water' in cell B115.
</v>
      </c>
      <c r="G3447"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8" spans="1:7" ht="15" customHeight="1">
      <c r="A3448" t="str">
        <f t="shared" ca="1" si="1196"/>
        <v/>
      </c>
      <c r="B3448">
        <f>ROW(Amenities!A116)</f>
        <v>116</v>
      </c>
      <c r="C3448" t="str">
        <f t="shared" ca="1" si="1197"/>
        <v>Sewer</v>
      </c>
      <c r="D3448" t="str">
        <f t="shared" si="1198"/>
        <v>B116</v>
      </c>
      <c r="E3448" t="str">
        <f t="shared" ca="1" si="1199"/>
        <v/>
      </c>
      <c r="F3448" t="str">
        <f t="shared" ca="1" si="1200"/>
        <v xml:space="preserve">Enter a value for 'Sewer' in cell B116.
</v>
      </c>
      <c r="G3448"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49" spans="1:7" ht="15" customHeight="1">
      <c r="A3449" t="str">
        <f t="shared" ca="1" si="1196"/>
        <v/>
      </c>
      <c r="B3449">
        <f>ROW(Amenities!A117)</f>
        <v>117</v>
      </c>
      <c r="C3449" t="str">
        <f t="shared" ca="1" si="1197"/>
        <v>Trash</v>
      </c>
      <c r="D3449" t="str">
        <f t="shared" si="1198"/>
        <v>B117</v>
      </c>
      <c r="E3449" t="str">
        <f t="shared" ca="1" si="1199"/>
        <v/>
      </c>
      <c r="F3449" t="str">
        <f t="shared" ca="1" si="1200"/>
        <v xml:space="preserve">Enter a value for 'Trash' in cell B117.
</v>
      </c>
      <c r="G3449"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0" spans="1:7" ht="15" customHeight="1">
      <c r="A3450" t="str">
        <f t="shared" ca="1" si="1196"/>
        <v/>
      </c>
      <c r="B3450">
        <f>ROW(Amenities!A118)</f>
        <v>118</v>
      </c>
      <c r="C3450" t="str">
        <f t="shared" ca="1" si="1197"/>
        <v>Cable</v>
      </c>
      <c r="D3450" t="str">
        <f t="shared" si="1198"/>
        <v>B118</v>
      </c>
      <c r="E3450" t="str">
        <f t="shared" ca="1" si="1199"/>
        <v/>
      </c>
      <c r="F3450" t="str">
        <f t="shared" ca="1" si="1200"/>
        <v xml:space="preserve">Enter a value for 'Cable' in cell B118.
</v>
      </c>
      <c r="G3450"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1" spans="1:7" ht="15" customHeight="1">
      <c r="A3451" t="str">
        <f t="shared" ca="1" si="1196"/>
        <v/>
      </c>
      <c r="B3451">
        <f>ROW(Amenities!A121)</f>
        <v>121</v>
      </c>
      <c r="C3451" t="str">
        <f t="shared" ca="1" si="1197"/>
        <v>Renter's insurance required</v>
      </c>
      <c r="D3451" t="str">
        <f t="shared" si="1198"/>
        <v>B121</v>
      </c>
      <c r="E3451" t="str">
        <f t="shared" ca="1" si="1199"/>
        <v/>
      </c>
      <c r="F3451" t="str">
        <f t="shared" ca="1" si="1200"/>
        <v xml:space="preserve">Enter a value for 'Renter's insurance required' in cell B121.
</v>
      </c>
      <c r="G3451"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2" spans="1:7" ht="15" customHeight="1">
      <c r="A3452" t="str">
        <f t="shared" ca="1" si="1196"/>
        <v/>
      </c>
      <c r="B3452">
        <f>ROW(Amenities!A122)</f>
        <v>122</v>
      </c>
      <c r="C3452" t="str">
        <f t="shared" ca="1" si="1197"/>
        <v>List any changes from Preliminary &amp; Carryover</v>
      </c>
      <c r="D3452" t="str">
        <f t="shared" si="1198"/>
        <v>B122</v>
      </c>
      <c r="E3452" t="str">
        <f t="shared" ca="1" si="1199"/>
        <v/>
      </c>
      <c r="F3452" t="str">
        <f t="shared" ca="1" si="1200"/>
        <v xml:space="preserve">Enter a value for 'List any changes from Preliminary &amp; Carryover' in cell B122.
</v>
      </c>
      <c r="G3452"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3" spans="1:7" ht="15" customHeight="1">
      <c r="A3453" t="str">
        <f t="shared" ca="1" si="1196"/>
        <v/>
      </c>
      <c r="B3453">
        <f>ROW(Amenities!A123)</f>
        <v>123</v>
      </c>
      <c r="C3453" t="str">
        <f t="shared" ca="1" si="1197"/>
        <v>Were changes pre-approved</v>
      </c>
      <c r="D3453" t="str">
        <f t="shared" si="1198"/>
        <v>B123</v>
      </c>
      <c r="E3453" t="str">
        <f t="shared" ca="1" si="1199"/>
        <v/>
      </c>
      <c r="F3453" t="str">
        <f t="shared" ca="1" si="1200"/>
        <v xml:space="preserve">Enter a value for 'Were changes pre-approved' in cell B123.
</v>
      </c>
      <c r="G3453" s="9" t="str">
        <f t="shared" ca="1" si="1201"/>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4" spans="1:7" ht="15" customHeight="1">
      <c r="G3454" s="9" t="str">
        <f t="shared" ref="G3454:G3455" ca="1" si="1202">OFFSET(G3454, -1, 0) &amp; A3454</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5" spans="1:7" ht="15" customHeight="1">
      <c r="G3455" s="9" t="str">
        <f t="shared" ca="1" si="120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6" spans="1:7" ht="15" customHeight="1">
      <c r="A3456" s="55" t="s">
        <v>3897</v>
      </c>
      <c r="B3456" s="53"/>
      <c r="C3456" s="53"/>
      <c r="D3456" s="53"/>
      <c r="E3456" s="53"/>
      <c r="F3456" s="53"/>
      <c r="G3456" s="56" t="str">
        <f ca="1">OFFSET(G3456,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 of EV Charging Stations' in cell B77.
Enter a value for 'Age 62+/all occupants' in cell B86.
Enter a value for 'Age 55+/at least one occupant' in cell B87.
Enter a value for 'Service Coordinator' in cell B88.
Enter a value for 'Additional fees for services' in cell B89.
Enter a value for 'No more than 1 occupant per unit unless related' in cell B94.
Enter a value for 'Additional fees for services charged to tenant in addition to monthly rent' in cell B97.
</v>
      </c>
    </row>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s="321" customFormat="1" ht="15" customHeight="1"/>
    <row r="3490" s="321" customFormat="1" ht="15" customHeight="1"/>
    <row r="3491" ht="15" customHeight="1"/>
    <row r="3492" ht="15" customHeight="1"/>
    <row r="3493" ht="15" customHeight="1"/>
    <row r="3494" ht="15" customHeight="1"/>
    <row r="3495" ht="15" customHeight="1"/>
    <row r="3521" s="321" customFormat="1"/>
    <row r="3551" s="321" customForma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60"/>
  <sheetViews>
    <sheetView zoomScale="85" zoomScaleNormal="85" workbookViewId="0">
      <selection activeCell="I34" sqref="I34"/>
    </sheetView>
  </sheetViews>
  <sheetFormatPr defaultRowHeight="15"/>
  <cols>
    <col min="1" max="1" width="33" customWidth="1"/>
    <col min="2" max="2" width="30.5703125" customWidth="1"/>
    <col min="3" max="3" width="44" customWidth="1"/>
    <col min="4" max="4" width="32.140625" customWidth="1"/>
    <col min="5" max="5" width="42.5703125" customWidth="1"/>
    <col min="6" max="6" width="30.5703125" customWidth="1"/>
    <col min="7" max="7" width="36" customWidth="1"/>
    <col min="8" max="8" width="22.5703125" customWidth="1"/>
    <col min="9" max="9" width="26.140625" customWidth="1"/>
    <col min="10" max="13" width="21.5703125" customWidth="1"/>
  </cols>
  <sheetData>
    <row r="1" spans="1:7">
      <c r="A1" s="1" t="s">
        <v>3898</v>
      </c>
    </row>
    <row r="3" spans="1:7">
      <c r="A3" s="1" t="s">
        <v>3899</v>
      </c>
      <c r="C3" s="1" t="s">
        <v>3900</v>
      </c>
    </row>
    <row r="4" spans="1:7">
      <c r="A4" t="s">
        <v>850</v>
      </c>
      <c r="C4" t="s">
        <v>850</v>
      </c>
    </row>
    <row r="5" spans="1:7">
      <c r="A5" t="s">
        <v>628</v>
      </c>
      <c r="C5" t="s">
        <v>628</v>
      </c>
    </row>
    <row r="6" spans="1:7">
      <c r="C6" t="s">
        <v>916</v>
      </c>
    </row>
    <row r="7" spans="1:7">
      <c r="A7" s="1"/>
    </row>
    <row r="8" spans="1:7">
      <c r="A8" s="3" t="s">
        <v>17</v>
      </c>
      <c r="B8" s="3"/>
      <c r="C8" s="3"/>
      <c r="D8" s="3"/>
      <c r="E8" s="3"/>
      <c r="F8" s="3"/>
      <c r="G8" s="3"/>
    </row>
    <row r="10" spans="1:7">
      <c r="A10" s="1" t="s">
        <v>3901</v>
      </c>
      <c r="B10" s="1" t="s">
        <v>2716</v>
      </c>
      <c r="C10" s="1" t="s">
        <v>2717</v>
      </c>
      <c r="D10" s="1" t="s">
        <v>2718</v>
      </c>
      <c r="E10" s="1" t="s">
        <v>3902</v>
      </c>
    </row>
    <row r="11" spans="1:7">
      <c r="A11" t="s">
        <v>331</v>
      </c>
      <c r="B11" t="b">
        <v>0</v>
      </c>
      <c r="C11" t="b">
        <v>1</v>
      </c>
      <c r="D11" t="b">
        <v>0</v>
      </c>
      <c r="E11" t="s">
        <v>3903</v>
      </c>
    </row>
    <row r="12" spans="1:7">
      <c r="A12" t="s">
        <v>3904</v>
      </c>
      <c r="B12" t="b">
        <v>1</v>
      </c>
      <c r="C12" t="b">
        <v>1</v>
      </c>
      <c r="D12" t="b">
        <v>1</v>
      </c>
      <c r="E12" t="s">
        <v>3905</v>
      </c>
    </row>
    <row r="13" spans="1:7">
      <c r="A13" t="s">
        <v>3906</v>
      </c>
      <c r="B13" t="b">
        <v>0</v>
      </c>
      <c r="C13" t="b">
        <v>1</v>
      </c>
      <c r="D13" t="b">
        <v>1</v>
      </c>
      <c r="E13" t="s">
        <v>3907</v>
      </c>
    </row>
    <row r="14" spans="1:7">
      <c r="A14" t="s">
        <v>3908</v>
      </c>
      <c r="B14" t="b">
        <v>1</v>
      </c>
      <c r="C14" t="b">
        <v>0</v>
      </c>
      <c r="D14" t="b">
        <v>1</v>
      </c>
    </row>
    <row r="15" spans="1:7">
      <c r="A15" t="s">
        <v>3909</v>
      </c>
      <c r="B15" t="b">
        <v>0</v>
      </c>
      <c r="C15" t="b">
        <v>0</v>
      </c>
      <c r="D15" t="b">
        <v>1</v>
      </c>
    </row>
    <row r="19" spans="1:9">
      <c r="A19" s="1" t="s">
        <v>222</v>
      </c>
      <c r="B19" s="1" t="s">
        <v>2714</v>
      </c>
      <c r="C19" s="1" t="s">
        <v>2715</v>
      </c>
      <c r="D19" s="1" t="s">
        <v>3910</v>
      </c>
      <c r="E19" s="1" t="s">
        <v>3911</v>
      </c>
      <c r="F19" s="1" t="s">
        <v>3912</v>
      </c>
      <c r="G19" s="893" t="s">
        <v>3913</v>
      </c>
    </row>
    <row r="20" spans="1:9">
      <c r="A20" t="s">
        <v>3914</v>
      </c>
      <c r="B20" t="b">
        <v>1</v>
      </c>
      <c r="C20" t="b">
        <v>0</v>
      </c>
      <c r="D20" t="b">
        <v>0</v>
      </c>
      <c r="E20">
        <v>10000</v>
      </c>
      <c r="G20" t="b">
        <v>0</v>
      </c>
    </row>
    <row r="21" spans="1:9">
      <c r="A21" t="s">
        <v>3915</v>
      </c>
      <c r="B21" t="b">
        <v>0</v>
      </c>
      <c r="C21" t="b">
        <v>1</v>
      </c>
      <c r="D21" t="b">
        <v>0</v>
      </c>
      <c r="E21">
        <v>10000</v>
      </c>
      <c r="G21" t="b">
        <v>0</v>
      </c>
    </row>
    <row r="22" spans="1:9">
      <c r="A22" t="s">
        <v>3916</v>
      </c>
      <c r="B22" t="b">
        <v>1</v>
      </c>
      <c r="C22" t="b">
        <v>1</v>
      </c>
      <c r="D22" t="b">
        <v>0</v>
      </c>
      <c r="E22">
        <v>10000</v>
      </c>
      <c r="F22" t="s">
        <v>3917</v>
      </c>
      <c r="G22" t="b">
        <v>0</v>
      </c>
    </row>
    <row r="23" spans="1:9">
      <c r="A23" t="s">
        <v>3918</v>
      </c>
      <c r="B23" t="b">
        <v>1</v>
      </c>
      <c r="C23" t="b">
        <v>0</v>
      </c>
      <c r="D23" t="b">
        <v>1</v>
      </c>
      <c r="E23">
        <v>11000</v>
      </c>
      <c r="F23" t="s">
        <v>3917</v>
      </c>
      <c r="G23" t="b">
        <v>0</v>
      </c>
    </row>
    <row r="24" spans="1:9">
      <c r="A24" t="s">
        <v>3919</v>
      </c>
      <c r="B24" t="b">
        <v>0</v>
      </c>
      <c r="C24" t="b">
        <v>1</v>
      </c>
      <c r="D24" t="b">
        <v>1</v>
      </c>
      <c r="E24">
        <v>1</v>
      </c>
      <c r="F24" t="s">
        <v>3920</v>
      </c>
      <c r="G24" t="b">
        <v>0</v>
      </c>
    </row>
    <row r="25" spans="1:9">
      <c r="A25" t="s">
        <v>3921</v>
      </c>
      <c r="B25" t="b">
        <v>1</v>
      </c>
      <c r="C25" t="b">
        <v>0</v>
      </c>
      <c r="D25" t="b">
        <v>1</v>
      </c>
      <c r="E25">
        <v>1</v>
      </c>
      <c r="F25" t="s">
        <v>3917</v>
      </c>
      <c r="G25" t="b">
        <v>1</v>
      </c>
    </row>
    <row r="26" spans="1:9">
      <c r="A26" t="s">
        <v>3922</v>
      </c>
      <c r="B26" t="b">
        <v>1</v>
      </c>
      <c r="C26" t="b">
        <v>1</v>
      </c>
      <c r="D26" t="b">
        <v>1</v>
      </c>
      <c r="E26">
        <v>1</v>
      </c>
      <c r="F26" t="s">
        <v>3917</v>
      </c>
      <c r="G26" t="b">
        <v>0</v>
      </c>
    </row>
    <row r="28" spans="1:9">
      <c r="I28" s="16"/>
    </row>
    <row r="30" spans="1:9">
      <c r="A30" s="1" t="s">
        <v>216</v>
      </c>
      <c r="B30" s="1" t="s">
        <v>3923</v>
      </c>
      <c r="C30" s="1" t="s">
        <v>3924</v>
      </c>
      <c r="D30" s="1" t="s">
        <v>3925</v>
      </c>
      <c r="E30" s="1" t="s">
        <v>3926</v>
      </c>
    </row>
    <row r="31" spans="1:9">
      <c r="A31" t="s">
        <v>3927</v>
      </c>
      <c r="B31" t="b">
        <v>1</v>
      </c>
      <c r="C31" t="b">
        <v>0</v>
      </c>
      <c r="D31" t="b">
        <v>0</v>
      </c>
      <c r="E31" t="b">
        <v>0</v>
      </c>
    </row>
    <row r="32" spans="1:9">
      <c r="A32" t="s">
        <v>3928</v>
      </c>
      <c r="B32" t="b">
        <v>0</v>
      </c>
      <c r="C32" t="b">
        <v>1</v>
      </c>
      <c r="D32" t="b">
        <v>0</v>
      </c>
      <c r="E32" t="b">
        <v>0</v>
      </c>
    </row>
    <row r="33" spans="1:9">
      <c r="A33" t="s">
        <v>3929</v>
      </c>
      <c r="B33" t="b">
        <v>0</v>
      </c>
      <c r="C33" t="b">
        <v>0</v>
      </c>
      <c r="D33" t="b">
        <v>0</v>
      </c>
      <c r="E33" t="b">
        <v>1</v>
      </c>
    </row>
    <row r="34" spans="1:9">
      <c r="A34" t="s">
        <v>3930</v>
      </c>
      <c r="B34" t="b">
        <v>0</v>
      </c>
      <c r="C34" t="b">
        <v>0</v>
      </c>
      <c r="D34" t="b">
        <v>1</v>
      </c>
      <c r="E34" t="b">
        <v>0</v>
      </c>
    </row>
    <row r="36" spans="1:9">
      <c r="A36" s="1" t="s">
        <v>274</v>
      </c>
      <c r="C36" s="1" t="s">
        <v>270</v>
      </c>
      <c r="D36" s="1" t="s">
        <v>3931</v>
      </c>
      <c r="F36" s="1" t="s">
        <v>269</v>
      </c>
      <c r="G36" s="1" t="s">
        <v>3021</v>
      </c>
      <c r="H36" s="1" t="s">
        <v>3022</v>
      </c>
    </row>
    <row r="37" spans="1:9">
      <c r="A37" t="s">
        <v>3932</v>
      </c>
      <c r="C37" t="s">
        <v>611</v>
      </c>
      <c r="D37">
        <v>1</v>
      </c>
      <c r="F37" t="s">
        <v>3021</v>
      </c>
      <c r="G37" t="b">
        <v>1</v>
      </c>
      <c r="H37" t="b">
        <v>0</v>
      </c>
    </row>
    <row r="38" spans="1:9">
      <c r="A38" t="s">
        <v>3933</v>
      </c>
      <c r="C38" t="s">
        <v>3934</v>
      </c>
      <c r="D38">
        <v>2</v>
      </c>
      <c r="F38" t="s">
        <v>3022</v>
      </c>
      <c r="G38" t="b">
        <v>0</v>
      </c>
      <c r="H38" t="b">
        <v>1</v>
      </c>
    </row>
    <row r="39" spans="1:9">
      <c r="A39" t="s">
        <v>3935</v>
      </c>
      <c r="F39" t="s">
        <v>3936</v>
      </c>
      <c r="G39" t="b">
        <v>0</v>
      </c>
      <c r="H39" t="b">
        <v>0</v>
      </c>
    </row>
    <row r="40" spans="1:9">
      <c r="A40" t="s">
        <v>3937</v>
      </c>
    </row>
    <row r="44" spans="1:9">
      <c r="G44" s="363" t="s">
        <v>3938</v>
      </c>
      <c r="H44" s="363" t="s">
        <v>3939</v>
      </c>
      <c r="I44" s="363" t="s">
        <v>259</v>
      </c>
    </row>
    <row r="45" spans="1:9">
      <c r="A45" s="1" t="s">
        <v>244</v>
      </c>
      <c r="C45" s="1" t="s">
        <v>3940</v>
      </c>
      <c r="E45" s="363" t="s">
        <v>3941</v>
      </c>
      <c r="F45" s="88"/>
      <c r="G45" s="364" t="s">
        <v>3942</v>
      </c>
      <c r="H45" s="364" t="s">
        <v>606</v>
      </c>
      <c r="I45" s="364" t="s">
        <v>3943</v>
      </c>
    </row>
    <row r="46" spans="1:9">
      <c r="A46" t="s">
        <v>3944</v>
      </c>
      <c r="C46" t="s">
        <v>122</v>
      </c>
      <c r="E46" s="364" t="s">
        <v>3945</v>
      </c>
      <c r="G46" s="364" t="s">
        <v>3946</v>
      </c>
      <c r="H46" s="365" t="s">
        <v>3947</v>
      </c>
      <c r="I46" s="365" t="s">
        <v>3948</v>
      </c>
    </row>
    <row r="47" spans="1:9">
      <c r="A47" t="s">
        <v>3949</v>
      </c>
      <c r="C47" t="s">
        <v>888</v>
      </c>
      <c r="E47" s="365" t="s">
        <v>3950</v>
      </c>
      <c r="G47" s="365" t="s">
        <v>3951</v>
      </c>
      <c r="H47" s="364" t="s">
        <v>3952</v>
      </c>
      <c r="I47" s="364" t="s">
        <v>3953</v>
      </c>
    </row>
    <row r="48" spans="1:9">
      <c r="A48" t="s">
        <v>3954</v>
      </c>
      <c r="C48" t="s">
        <v>3907</v>
      </c>
      <c r="E48" s="364" t="s">
        <v>3955</v>
      </c>
      <c r="G48" s="365" t="s">
        <v>3956</v>
      </c>
      <c r="H48" s="365"/>
      <c r="I48" s="365" t="s">
        <v>3957</v>
      </c>
    </row>
    <row r="49" spans="1:9">
      <c r="A49" s="1"/>
      <c r="G49" s="364" t="s">
        <v>3958</v>
      </c>
      <c r="H49" s="364"/>
      <c r="I49" s="364" t="s">
        <v>3959</v>
      </c>
    </row>
    <row r="50" spans="1:9">
      <c r="A50" s="1"/>
      <c r="G50" s="365" t="s">
        <v>3960</v>
      </c>
      <c r="H50" s="495"/>
    </row>
    <row r="51" spans="1:9">
      <c r="A51" s="1" t="s">
        <v>1698</v>
      </c>
      <c r="B51" s="1" t="s">
        <v>1699</v>
      </c>
      <c r="C51" t="s">
        <v>1700</v>
      </c>
      <c r="D51" t="s">
        <v>1701</v>
      </c>
      <c r="E51" s="363" t="s">
        <v>262</v>
      </c>
      <c r="F51" s="875" t="s">
        <v>257</v>
      </c>
      <c r="G51" s="364" t="s">
        <v>3961</v>
      </c>
      <c r="H51" s="495"/>
    </row>
    <row r="52" spans="1:9">
      <c r="A52" t="s">
        <v>3947</v>
      </c>
      <c r="B52" t="s">
        <v>3947</v>
      </c>
      <c r="C52" s="318" t="s">
        <v>3962</v>
      </c>
      <c r="D52" s="318" t="s">
        <v>3962</v>
      </c>
      <c r="E52" s="364" t="s">
        <v>1814</v>
      </c>
      <c r="F52" s="874" t="s">
        <v>3963</v>
      </c>
      <c r="G52" s="365" t="s">
        <v>3964</v>
      </c>
    </row>
    <row r="53" spans="1:9">
      <c r="A53" t="s">
        <v>3965</v>
      </c>
      <c r="B53" t="s">
        <v>3965</v>
      </c>
      <c r="C53" s="318" t="s">
        <v>3966</v>
      </c>
      <c r="D53" s="318" t="s">
        <v>3966</v>
      </c>
      <c r="E53" s="365" t="s">
        <v>3967</v>
      </c>
      <c r="F53" s="488" t="s">
        <v>3968</v>
      </c>
      <c r="G53" s="364" t="s">
        <v>3969</v>
      </c>
    </row>
    <row r="54" spans="1:9">
      <c r="A54" t="s">
        <v>3970</v>
      </c>
      <c r="B54" t="s">
        <v>3970</v>
      </c>
      <c r="C54" s="318" t="s">
        <v>3971</v>
      </c>
      <c r="D54" s="318" t="s">
        <v>3971</v>
      </c>
      <c r="E54" s="364" t="s">
        <v>3907</v>
      </c>
      <c r="F54" s="874" t="s">
        <v>3972</v>
      </c>
      <c r="G54" s="365" t="s">
        <v>3973</v>
      </c>
    </row>
    <row r="55" spans="1:9">
      <c r="A55" t="s">
        <v>3974</v>
      </c>
      <c r="B55" t="s">
        <v>3974</v>
      </c>
      <c r="C55" s="318"/>
      <c r="D55" s="318"/>
      <c r="E55" s="365" t="s">
        <v>2808</v>
      </c>
      <c r="F55" s="488" t="s">
        <v>2808</v>
      </c>
      <c r="G55" s="364" t="s">
        <v>3975</v>
      </c>
    </row>
    <row r="56" spans="1:9">
      <c r="A56" t="s">
        <v>3976</v>
      </c>
      <c r="B56" t="s">
        <v>3976</v>
      </c>
      <c r="C56" s="318"/>
      <c r="D56" s="318"/>
      <c r="E56" s="364" t="s">
        <v>3977</v>
      </c>
      <c r="F56" s="874" t="s">
        <v>3978</v>
      </c>
      <c r="G56" s="365" t="s">
        <v>3979</v>
      </c>
    </row>
    <row r="57" spans="1:9">
      <c r="A57" t="s">
        <v>3980</v>
      </c>
      <c r="B57" t="s">
        <v>3980</v>
      </c>
      <c r="C57" s="318"/>
      <c r="D57" s="318"/>
      <c r="E57" s="365" t="s">
        <v>3981</v>
      </c>
      <c r="F57" s="873" t="s">
        <v>3982</v>
      </c>
      <c r="G57" s="364" t="s">
        <v>3983</v>
      </c>
    </row>
    <row r="58" spans="1:9">
      <c r="A58" t="s">
        <v>3984</v>
      </c>
      <c r="B58" t="s">
        <v>3984</v>
      </c>
      <c r="C58" s="318"/>
      <c r="D58" s="318"/>
      <c r="E58" s="364"/>
      <c r="G58" s="365" t="s">
        <v>3985</v>
      </c>
    </row>
    <row r="59" spans="1:9">
      <c r="C59" s="318"/>
      <c r="D59" s="318"/>
      <c r="G59" s="882" t="s">
        <v>2808</v>
      </c>
    </row>
    <row r="60" spans="1:9">
      <c r="A60" s="3" t="s">
        <v>19</v>
      </c>
      <c r="B60" s="3"/>
      <c r="C60" s="3"/>
      <c r="D60" s="3"/>
      <c r="E60" s="3"/>
      <c r="F60" s="3"/>
      <c r="G60" s="3"/>
    </row>
    <row r="62" spans="1:9">
      <c r="A62" s="1" t="s">
        <v>373</v>
      </c>
      <c r="B62" s="1" t="s">
        <v>3986</v>
      </c>
      <c r="E62" s="1" t="s">
        <v>3987</v>
      </c>
      <c r="F62" s="1" t="s">
        <v>3087</v>
      </c>
      <c r="G62" s="1" t="s">
        <v>3988</v>
      </c>
    </row>
    <row r="63" spans="1:9">
      <c r="A63" s="471">
        <v>0.2</v>
      </c>
      <c r="B63" s="472">
        <v>0</v>
      </c>
      <c r="E63" t="s">
        <v>3989</v>
      </c>
      <c r="F63" t="s">
        <v>1252</v>
      </c>
      <c r="G63" t="b">
        <v>1</v>
      </c>
    </row>
    <row r="64" spans="1:9">
      <c r="A64" s="8">
        <v>0.3</v>
      </c>
      <c r="B64" s="94">
        <v>0</v>
      </c>
      <c r="E64" t="s">
        <v>2549</v>
      </c>
      <c r="F64" t="s">
        <v>1252</v>
      </c>
      <c r="G64" t="b">
        <v>0</v>
      </c>
    </row>
    <row r="65" spans="1:7">
      <c r="A65" s="8">
        <v>0.4</v>
      </c>
      <c r="B65" s="94">
        <v>92.5</v>
      </c>
      <c r="E65" t="s">
        <v>3990</v>
      </c>
      <c r="F65" t="s">
        <v>1252</v>
      </c>
      <c r="G65" t="b">
        <v>0</v>
      </c>
    </row>
    <row r="66" spans="1:7">
      <c r="A66" s="8">
        <v>0.5</v>
      </c>
      <c r="B66" s="94">
        <v>72.5</v>
      </c>
      <c r="E66" t="s">
        <v>3991</v>
      </c>
      <c r="F66" t="s">
        <v>1253</v>
      </c>
      <c r="G66" t="b">
        <v>1</v>
      </c>
    </row>
    <row r="67" spans="1:7">
      <c r="A67" s="8">
        <v>0.6</v>
      </c>
      <c r="B67" s="94">
        <v>50</v>
      </c>
      <c r="E67" t="s">
        <v>3992</v>
      </c>
      <c r="F67" t="s">
        <v>1253</v>
      </c>
      <c r="G67" t="b">
        <v>0</v>
      </c>
    </row>
    <row r="68" spans="1:7">
      <c r="A68" s="471">
        <v>0.7</v>
      </c>
      <c r="B68" s="472">
        <v>0</v>
      </c>
      <c r="E68" t="s">
        <v>3993</v>
      </c>
      <c r="F68" t="s">
        <v>1253</v>
      </c>
      <c r="G68" t="b">
        <v>0</v>
      </c>
    </row>
    <row r="69" spans="1:7">
      <c r="A69" s="471">
        <v>0.8</v>
      </c>
      <c r="B69" s="472">
        <v>0</v>
      </c>
      <c r="E69" t="s">
        <v>3994</v>
      </c>
      <c r="F69" t="s">
        <v>1254</v>
      </c>
      <c r="G69" t="b">
        <v>1</v>
      </c>
    </row>
    <row r="70" spans="1:7">
      <c r="A70" s="70">
        <v>1</v>
      </c>
      <c r="B70" s="94">
        <v>0</v>
      </c>
      <c r="E70" t="s">
        <v>3995</v>
      </c>
      <c r="F70" t="s">
        <v>1254</v>
      </c>
      <c r="G70" t="b">
        <v>0</v>
      </c>
    </row>
    <row r="71" spans="1:7">
      <c r="A71" t="s">
        <v>2735</v>
      </c>
      <c r="B71" s="94">
        <v>0</v>
      </c>
      <c r="E71" t="s">
        <v>3996</v>
      </c>
      <c r="F71" t="s">
        <v>1254</v>
      </c>
      <c r="G71" t="b">
        <v>0</v>
      </c>
    </row>
    <row r="72" spans="1:7">
      <c r="E72" t="s">
        <v>3997</v>
      </c>
      <c r="F72" t="s">
        <v>1254</v>
      </c>
      <c r="G72" t="b">
        <v>1</v>
      </c>
    </row>
    <row r="73" spans="1:7">
      <c r="E73" t="s">
        <v>3998</v>
      </c>
      <c r="F73" t="s">
        <v>1254</v>
      </c>
      <c r="G73" t="b">
        <v>0</v>
      </c>
    </row>
    <row r="74" spans="1:7">
      <c r="E74" t="s">
        <v>3999</v>
      </c>
      <c r="F74" t="s">
        <v>1254</v>
      </c>
      <c r="G74" t="b">
        <v>0</v>
      </c>
    </row>
    <row r="75" spans="1:7">
      <c r="E75" t="s">
        <v>4000</v>
      </c>
      <c r="F75" t="s">
        <v>1255</v>
      </c>
      <c r="G75" t="b">
        <v>1</v>
      </c>
    </row>
    <row r="76" spans="1:7">
      <c r="E76" t="s">
        <v>4001</v>
      </c>
      <c r="F76" t="s">
        <v>1255</v>
      </c>
      <c r="G76" t="b">
        <v>0</v>
      </c>
    </row>
    <row r="77" spans="1:7">
      <c r="E77" t="s">
        <v>4002</v>
      </c>
      <c r="F77" t="s">
        <v>1255</v>
      </c>
      <c r="G77" t="b">
        <v>0</v>
      </c>
    </row>
    <row r="78" spans="1:7">
      <c r="E78" t="s">
        <v>4003</v>
      </c>
      <c r="F78" t="s">
        <v>1255</v>
      </c>
      <c r="G78" t="b">
        <v>1</v>
      </c>
    </row>
    <row r="79" spans="1:7">
      <c r="E79" t="s">
        <v>4004</v>
      </c>
      <c r="F79" t="s">
        <v>1255</v>
      </c>
      <c r="G79" t="b">
        <v>0</v>
      </c>
    </row>
    <row r="80" spans="1:7">
      <c r="E80" t="s">
        <v>4005</v>
      </c>
      <c r="F80" t="s">
        <v>1255</v>
      </c>
      <c r="G80" t="b">
        <v>0</v>
      </c>
    </row>
    <row r="81" spans="1:7">
      <c r="E81" t="s">
        <v>4006</v>
      </c>
      <c r="F81" t="s">
        <v>1256</v>
      </c>
      <c r="G81" t="b">
        <v>1</v>
      </c>
    </row>
    <row r="82" spans="1:7">
      <c r="E82" t="s">
        <v>4007</v>
      </c>
      <c r="F82" t="s">
        <v>1256</v>
      </c>
      <c r="G82" t="b">
        <v>0</v>
      </c>
    </row>
    <row r="83" spans="1:7">
      <c r="E83" t="s">
        <v>4008</v>
      </c>
      <c r="F83" t="s">
        <v>1256</v>
      </c>
      <c r="G83" t="b">
        <v>0</v>
      </c>
    </row>
    <row r="84" spans="1:7">
      <c r="E84" t="s">
        <v>4009</v>
      </c>
      <c r="F84" t="s">
        <v>2755</v>
      </c>
      <c r="G84" t="b">
        <v>1</v>
      </c>
    </row>
    <row r="85" spans="1:7">
      <c r="E85" t="s">
        <v>4010</v>
      </c>
      <c r="F85" t="s">
        <v>2755</v>
      </c>
      <c r="G85" t="b">
        <v>0</v>
      </c>
    </row>
    <row r="86" spans="1:7">
      <c r="E86" t="s">
        <v>4011</v>
      </c>
      <c r="F86" t="s">
        <v>2755</v>
      </c>
      <c r="G86" t="b">
        <v>0</v>
      </c>
    </row>
    <row r="88" spans="1:7">
      <c r="A88" s="3" t="s">
        <v>66</v>
      </c>
      <c r="B88" s="3"/>
      <c r="C88" s="3"/>
      <c r="D88" s="3"/>
      <c r="E88" s="3"/>
      <c r="F88" s="3"/>
      <c r="G88" s="3"/>
    </row>
    <row r="89" spans="1:7">
      <c r="A89" s="1"/>
    </row>
    <row r="90" spans="1:7">
      <c r="A90" s="1" t="s">
        <v>4012</v>
      </c>
      <c r="B90" s="1" t="s">
        <v>4013</v>
      </c>
    </row>
    <row r="91" spans="1:7">
      <c r="A91" t="s">
        <v>4014</v>
      </c>
      <c r="B91" t="b">
        <v>0</v>
      </c>
    </row>
    <row r="92" spans="1:7">
      <c r="A92" t="s">
        <v>4015</v>
      </c>
      <c r="B92" t="b">
        <v>1</v>
      </c>
    </row>
    <row r="93" spans="1:7">
      <c r="A93" t="s">
        <v>2733</v>
      </c>
      <c r="B93" t="b">
        <v>1</v>
      </c>
    </row>
    <row r="96" spans="1:7">
      <c r="A96" s="1" t="s">
        <v>529</v>
      </c>
      <c r="B96" s="1" t="s">
        <v>3119</v>
      </c>
    </row>
    <row r="97" spans="1:3">
      <c r="A97" t="s">
        <v>3907</v>
      </c>
      <c r="B97">
        <v>0</v>
      </c>
    </row>
    <row r="98" spans="1:3">
      <c r="A98" t="s">
        <v>4016</v>
      </c>
      <c r="B98">
        <v>5</v>
      </c>
    </row>
    <row r="99" spans="1:3">
      <c r="A99" t="s">
        <v>4017</v>
      </c>
      <c r="B99">
        <v>10</v>
      </c>
    </row>
    <row r="100" spans="1:3">
      <c r="A100" t="s">
        <v>4018</v>
      </c>
      <c r="B100">
        <v>15</v>
      </c>
    </row>
    <row r="104" spans="1:3">
      <c r="A104" s="1" t="s">
        <v>531</v>
      </c>
      <c r="B104" s="1" t="s">
        <v>4019</v>
      </c>
      <c r="C104" s="1" t="s">
        <v>3119</v>
      </c>
    </row>
    <row r="105" spans="1:3">
      <c r="A105" t="s">
        <v>2147</v>
      </c>
      <c r="B105">
        <v>30</v>
      </c>
      <c r="C105">
        <v>30</v>
      </c>
    </row>
    <row r="106" spans="1:3">
      <c r="A106" t="s">
        <v>2150</v>
      </c>
      <c r="B106">
        <v>40</v>
      </c>
      <c r="C106">
        <v>38</v>
      </c>
    </row>
    <row r="110" spans="1:3">
      <c r="A110" s="1" t="s">
        <v>4020</v>
      </c>
      <c r="B110" s="1" t="s">
        <v>3119</v>
      </c>
      <c r="C110" s="1" t="s">
        <v>927</v>
      </c>
    </row>
    <row r="111" spans="1:3">
      <c r="A111" t="s">
        <v>916</v>
      </c>
      <c r="B111">
        <v>0</v>
      </c>
    </row>
    <row r="112" spans="1:3">
      <c r="A112" t="s">
        <v>4021</v>
      </c>
      <c r="B112">
        <v>5</v>
      </c>
      <c r="C112" t="s">
        <v>4022</v>
      </c>
    </row>
    <row r="113" spans="1:7">
      <c r="A113" t="s">
        <v>4023</v>
      </c>
      <c r="B113">
        <v>5</v>
      </c>
      <c r="C113" t="s">
        <v>4024</v>
      </c>
    </row>
    <row r="117" spans="1:7">
      <c r="A117" s="1" t="s">
        <v>2802</v>
      </c>
      <c r="B117" s="1" t="s">
        <v>3119</v>
      </c>
      <c r="C117" s="1" t="s">
        <v>4025</v>
      </c>
    </row>
    <row r="118" spans="1:7">
      <c r="A118" t="s">
        <v>916</v>
      </c>
      <c r="B118">
        <v>0</v>
      </c>
      <c r="C118" t="b">
        <v>0</v>
      </c>
    </row>
    <row r="119" spans="1:7">
      <c r="A119" t="s">
        <v>2159</v>
      </c>
      <c r="B119">
        <v>8</v>
      </c>
      <c r="C119" t="b">
        <v>1</v>
      </c>
    </row>
    <row r="120" spans="1:7">
      <c r="A120" t="s">
        <v>2162</v>
      </c>
      <c r="B120">
        <v>8</v>
      </c>
      <c r="C120" t="b">
        <v>0</v>
      </c>
    </row>
    <row r="123" spans="1:7">
      <c r="A123" s="3" t="s">
        <v>27</v>
      </c>
      <c r="B123" s="3"/>
      <c r="C123" s="3"/>
      <c r="D123" s="3"/>
      <c r="E123" s="3"/>
      <c r="F123" s="3"/>
      <c r="G123" s="3"/>
    </row>
    <row r="125" spans="1:7">
      <c r="A125" s="1" t="s">
        <v>4026</v>
      </c>
      <c r="C125" t="s">
        <v>389</v>
      </c>
    </row>
    <row r="126" spans="1:7">
      <c r="A126" t="s">
        <v>4027</v>
      </c>
      <c r="C126" t="s">
        <v>4028</v>
      </c>
    </row>
    <row r="127" spans="1:7">
      <c r="A127" t="s">
        <v>4029</v>
      </c>
      <c r="C127" t="s">
        <v>4030</v>
      </c>
    </row>
    <row r="130" spans="1:7">
      <c r="A130" s="3" t="s">
        <v>12</v>
      </c>
      <c r="B130" s="3"/>
      <c r="C130" s="3"/>
      <c r="D130" s="3"/>
      <c r="E130" s="3"/>
      <c r="F130" s="3"/>
      <c r="G130" s="3"/>
    </row>
    <row r="131" spans="1:7">
      <c r="A131" s="1"/>
    </row>
    <row r="132" spans="1:7">
      <c r="A132" s="1" t="s">
        <v>4031</v>
      </c>
      <c r="B132" s="1" t="s">
        <v>4032</v>
      </c>
      <c r="C132" s="1" t="s">
        <v>4033</v>
      </c>
      <c r="D132" s="1" t="s">
        <v>4034</v>
      </c>
    </row>
    <row r="133" spans="1:7">
      <c r="A133" t="s">
        <v>4035</v>
      </c>
      <c r="B133" s="8">
        <v>0.12</v>
      </c>
      <c r="C133" s="8">
        <v>0.1</v>
      </c>
      <c r="D133" s="8">
        <v>0.08</v>
      </c>
    </row>
    <row r="134" spans="1:7">
      <c r="A134" t="s">
        <v>221</v>
      </c>
      <c r="B134" s="8">
        <v>0.1</v>
      </c>
      <c r="C134" s="8">
        <v>0.08</v>
      </c>
      <c r="D134" s="8">
        <v>0.06</v>
      </c>
    </row>
    <row r="135" spans="1:7">
      <c r="A135" s="1"/>
    </row>
    <row r="138" spans="1:7">
      <c r="A138" s="1" t="s">
        <v>152</v>
      </c>
      <c r="B138" s="313" t="s">
        <v>4036</v>
      </c>
      <c r="C138" s="1" t="s">
        <v>4037</v>
      </c>
      <c r="D138" s="1" t="s">
        <v>128</v>
      </c>
      <c r="E138" t="s">
        <v>4038</v>
      </c>
      <c r="F138" s="1" t="s">
        <v>4039</v>
      </c>
      <c r="G138" s="1" t="s">
        <v>4040</v>
      </c>
    </row>
    <row r="139" spans="1:7">
      <c r="A139" t="s">
        <v>4041</v>
      </c>
      <c r="B139" s="8" t="b">
        <v>1</v>
      </c>
      <c r="C139" t="s">
        <v>2254</v>
      </c>
      <c r="D139" t="s">
        <v>4042</v>
      </c>
      <c r="E139" t="s">
        <v>4043</v>
      </c>
      <c r="F139" t="s">
        <v>4044</v>
      </c>
      <c r="G139" t="b">
        <v>0</v>
      </c>
    </row>
    <row r="140" spans="1:7">
      <c r="A140" t="s">
        <v>4045</v>
      </c>
      <c r="B140" s="8" t="b">
        <v>1</v>
      </c>
      <c r="C140" t="s">
        <v>150</v>
      </c>
      <c r="D140" t="s">
        <v>4046</v>
      </c>
      <c r="E140" t="s">
        <v>4047</v>
      </c>
      <c r="F140" t="s">
        <v>4048</v>
      </c>
      <c r="G140" t="b">
        <v>1</v>
      </c>
    </row>
    <row r="141" spans="1:7">
      <c r="A141" t="s">
        <v>4049</v>
      </c>
      <c r="B141" s="8" t="b">
        <v>0</v>
      </c>
      <c r="C141" t="s">
        <v>2286</v>
      </c>
      <c r="D141" t="s">
        <v>4050</v>
      </c>
      <c r="E141" t="s">
        <v>4051</v>
      </c>
    </row>
    <row r="142" spans="1:7">
      <c r="A142" t="s">
        <v>4052</v>
      </c>
      <c r="B142" s="8" t="b">
        <v>0</v>
      </c>
      <c r="C142" t="s">
        <v>177</v>
      </c>
    </row>
    <row r="143" spans="1:7">
      <c r="A143" t="s">
        <v>4053</v>
      </c>
      <c r="B143" s="8" t="b">
        <v>0</v>
      </c>
      <c r="C143" t="s">
        <v>2289</v>
      </c>
      <c r="D143" s="8"/>
    </row>
    <row r="144" spans="1:7">
      <c r="A144" t="s">
        <v>4054</v>
      </c>
      <c r="B144" s="471" t="b">
        <v>0</v>
      </c>
      <c r="C144" t="s">
        <v>4055</v>
      </c>
      <c r="D144" s="489" t="s">
        <v>4056</v>
      </c>
      <c r="E144" s="489" t="s">
        <v>4057</v>
      </c>
    </row>
    <row r="145" spans="1:7">
      <c r="A145" t="s">
        <v>4058</v>
      </c>
      <c r="B145" s="471" t="b">
        <v>0</v>
      </c>
      <c r="C145" t="s">
        <v>2292</v>
      </c>
      <c r="D145" s="486" t="s">
        <v>4059</v>
      </c>
      <c r="E145" s="486" t="s">
        <v>4060</v>
      </c>
    </row>
    <row r="146" spans="1:7">
      <c r="A146" t="s">
        <v>4061</v>
      </c>
      <c r="B146" s="471" t="b">
        <v>0</v>
      </c>
      <c r="C146" t="s">
        <v>2294</v>
      </c>
      <c r="D146" s="487" t="s">
        <v>4062</v>
      </c>
      <c r="E146" s="487" t="s">
        <v>4063</v>
      </c>
    </row>
    <row r="147" spans="1:7">
      <c r="A147" t="s">
        <v>4064</v>
      </c>
      <c r="B147" s="471" t="b">
        <v>0</v>
      </c>
      <c r="C147" t="s">
        <v>2296</v>
      </c>
      <c r="D147" s="486" t="s">
        <v>4065</v>
      </c>
      <c r="E147" s="486" t="s">
        <v>4051</v>
      </c>
    </row>
    <row r="148" spans="1:7">
      <c r="A148" t="s">
        <v>4066</v>
      </c>
      <c r="B148" s="471" t="b">
        <v>0</v>
      </c>
      <c r="C148" t="s">
        <v>185</v>
      </c>
      <c r="D148" s="487" t="s">
        <v>4067</v>
      </c>
    </row>
    <row r="149" spans="1:7">
      <c r="A149" t="s">
        <v>4068</v>
      </c>
      <c r="B149" s="471" t="b">
        <v>0</v>
      </c>
      <c r="C149" t="s">
        <v>187</v>
      </c>
      <c r="D149" s="486" t="s">
        <v>4069</v>
      </c>
    </row>
    <row r="150" spans="1:7">
      <c r="B150" s="471"/>
      <c r="C150" t="s">
        <v>2299</v>
      </c>
      <c r="D150" s="487" t="s">
        <v>4051</v>
      </c>
    </row>
    <row r="151" spans="1:7">
      <c r="B151" s="471"/>
      <c r="C151" t="s">
        <v>2254</v>
      </c>
    </row>
    <row r="152" spans="1:7">
      <c r="B152" s="471"/>
      <c r="C152" t="s">
        <v>190</v>
      </c>
    </row>
    <row r="153" spans="1:7">
      <c r="A153" t="s">
        <v>4070</v>
      </c>
    </row>
    <row r="154" spans="1:7">
      <c r="A154" t="s">
        <v>2312</v>
      </c>
    </row>
    <row r="155" spans="1:7">
      <c r="A155" t="s">
        <v>4071</v>
      </c>
    </row>
    <row r="159" spans="1:7">
      <c r="A159" s="3" t="s">
        <v>70</v>
      </c>
      <c r="B159" s="3"/>
      <c r="C159" s="3"/>
      <c r="D159" s="3"/>
      <c r="E159" s="3"/>
      <c r="F159" s="3"/>
      <c r="G159" s="3"/>
    </row>
    <row r="161" spans="1:7">
      <c r="A161" s="1" t="s">
        <v>4072</v>
      </c>
      <c r="C161" t="s">
        <v>4073</v>
      </c>
      <c r="E161" t="s">
        <v>609</v>
      </c>
    </row>
    <row r="162" spans="1:7">
      <c r="A162" t="s">
        <v>4074</v>
      </c>
      <c r="C162" t="s">
        <v>4075</v>
      </c>
      <c r="E162" t="s">
        <v>4076</v>
      </c>
    </row>
    <row r="163" spans="1:7">
      <c r="A163" t="s">
        <v>4077</v>
      </c>
      <c r="C163" t="s">
        <v>4078</v>
      </c>
      <c r="E163" t="s">
        <v>4079</v>
      </c>
    </row>
    <row r="164" spans="1:7">
      <c r="C164" t="s">
        <v>4080</v>
      </c>
      <c r="E164" t="s">
        <v>3907</v>
      </c>
    </row>
    <row r="165" spans="1:7">
      <c r="C165" t="s">
        <v>4081</v>
      </c>
    </row>
    <row r="166" spans="1:7">
      <c r="A166" s="1"/>
    </row>
    <row r="167" spans="1:7">
      <c r="A167" s="3" t="s">
        <v>4082</v>
      </c>
      <c r="B167" s="3"/>
      <c r="C167" s="3"/>
      <c r="D167" s="3"/>
      <c r="E167" s="3"/>
      <c r="F167" s="3"/>
      <c r="G167" s="3"/>
    </row>
    <row r="168" spans="1:7">
      <c r="A168" s="1"/>
    </row>
    <row r="169" spans="1:7">
      <c r="A169" t="s">
        <v>4083</v>
      </c>
      <c r="B169" t="s">
        <v>3002</v>
      </c>
      <c r="D169" t="s">
        <v>451</v>
      </c>
      <c r="E169" t="s">
        <v>3002</v>
      </c>
    </row>
    <row r="170" spans="1:7">
      <c r="A170" t="b">
        <v>1</v>
      </c>
      <c r="B170" t="s">
        <v>4084</v>
      </c>
      <c r="D170" t="b">
        <v>1</v>
      </c>
      <c r="E170" t="s">
        <v>4085</v>
      </c>
    </row>
    <row r="171" spans="1:7">
      <c r="A171" t="b">
        <v>0</v>
      </c>
      <c r="B171" t="s">
        <v>4086</v>
      </c>
      <c r="D171" t="b">
        <v>0</v>
      </c>
      <c r="E171" t="s">
        <v>4087</v>
      </c>
    </row>
    <row r="174" spans="1:7">
      <c r="A174" s="1" t="s">
        <v>4088</v>
      </c>
      <c r="B174" t="s">
        <v>3002</v>
      </c>
      <c r="D174" t="s">
        <v>4089</v>
      </c>
      <c r="E174" t="s">
        <v>3002</v>
      </c>
    </row>
    <row r="175" spans="1:7">
      <c r="A175" t="b">
        <v>1</v>
      </c>
      <c r="B175" t="s">
        <v>4090</v>
      </c>
      <c r="D175" t="b">
        <v>1</v>
      </c>
      <c r="E175" s="123" t="s">
        <v>4091</v>
      </c>
    </row>
    <row r="176" spans="1:7">
      <c r="A176" s="1" t="b">
        <v>0</v>
      </c>
      <c r="B176" t="s">
        <v>4092</v>
      </c>
      <c r="D176" t="b">
        <v>0</v>
      </c>
      <c r="E176" s="123" t="s">
        <v>4093</v>
      </c>
    </row>
    <row r="179" spans="1:5">
      <c r="A179" t="s">
        <v>4094</v>
      </c>
      <c r="B179" t="s">
        <v>3002</v>
      </c>
      <c r="D179" t="s">
        <v>952</v>
      </c>
      <c r="E179" t="s">
        <v>3002</v>
      </c>
    </row>
    <row r="180" spans="1:5">
      <c r="A180" t="b">
        <v>1</v>
      </c>
      <c r="B180" t="s">
        <v>4095</v>
      </c>
      <c r="D180" t="b">
        <v>1</v>
      </c>
      <c r="E180" t="s">
        <v>4096</v>
      </c>
    </row>
    <row r="181" spans="1:5">
      <c r="A181" t="b">
        <v>0</v>
      </c>
      <c r="B181" t="s">
        <v>4097</v>
      </c>
      <c r="D181" t="b">
        <v>0</v>
      </c>
      <c r="E181" t="s">
        <v>4098</v>
      </c>
    </row>
    <row r="184" spans="1:5">
      <c r="A184" t="s">
        <v>4099</v>
      </c>
      <c r="B184" t="s">
        <v>3002</v>
      </c>
      <c r="D184" t="s">
        <v>4100</v>
      </c>
      <c r="E184" t="s">
        <v>3002</v>
      </c>
    </row>
    <row r="185" spans="1:5">
      <c r="A185" t="b">
        <v>1</v>
      </c>
      <c r="B185" t="s">
        <v>4101</v>
      </c>
      <c r="D185" t="b">
        <v>1</v>
      </c>
      <c r="E185" t="s">
        <v>4102</v>
      </c>
    </row>
    <row r="186" spans="1:5">
      <c r="A186" t="b">
        <v>0</v>
      </c>
      <c r="B186" t="s">
        <v>4103</v>
      </c>
      <c r="D186" t="b">
        <v>0</v>
      </c>
      <c r="E186" t="s">
        <v>4104</v>
      </c>
    </row>
    <row r="189" spans="1:5">
      <c r="A189" t="s">
        <v>4105</v>
      </c>
      <c r="B189" t="s">
        <v>3002</v>
      </c>
      <c r="D189" t="s">
        <v>4106</v>
      </c>
      <c r="E189" t="s">
        <v>3002</v>
      </c>
    </row>
    <row r="190" spans="1:5">
      <c r="A190" t="b">
        <v>1</v>
      </c>
      <c r="B190" t="s">
        <v>1504</v>
      </c>
      <c r="D190" t="b">
        <v>1</v>
      </c>
      <c r="E190" s="281" t="s">
        <v>1505</v>
      </c>
    </row>
    <row r="191" spans="1:5">
      <c r="A191" t="b">
        <v>0</v>
      </c>
      <c r="B191" t="s">
        <v>4107</v>
      </c>
      <c r="D191" t="b">
        <v>0</v>
      </c>
      <c r="E191" s="282" t="s">
        <v>4108</v>
      </c>
    </row>
    <row r="194" spans="1:7">
      <c r="A194" t="s">
        <v>4109</v>
      </c>
      <c r="B194" t="s">
        <v>3002</v>
      </c>
      <c r="D194" s="871" t="s">
        <v>2733</v>
      </c>
      <c r="E194" s="872" t="s">
        <v>3002</v>
      </c>
    </row>
    <row r="195" spans="1:7">
      <c r="A195" t="b">
        <v>1</v>
      </c>
      <c r="B195" s="281" t="s">
        <v>4110</v>
      </c>
      <c r="D195" s="486" t="b">
        <v>1</v>
      </c>
      <c r="E195" s="281" t="s">
        <v>4111</v>
      </c>
    </row>
    <row r="196" spans="1:7">
      <c r="A196" t="b">
        <v>0</v>
      </c>
      <c r="B196" s="282" t="s">
        <v>4112</v>
      </c>
      <c r="D196" t="b">
        <v>0</v>
      </c>
      <c r="E196" t="s">
        <v>1169</v>
      </c>
    </row>
    <row r="198" spans="1:7">
      <c r="A198" s="3" t="s">
        <v>4113</v>
      </c>
      <c r="B198" s="3"/>
      <c r="C198" s="3"/>
      <c r="D198" s="3"/>
      <c r="E198" s="3"/>
      <c r="F198" s="3"/>
      <c r="G198" s="3"/>
    </row>
    <row r="200" spans="1:7">
      <c r="A200" s="489" t="s">
        <v>4114</v>
      </c>
      <c r="B200" s="489" t="s">
        <v>4115</v>
      </c>
      <c r="C200" s="18"/>
    </row>
    <row r="201" spans="1:7">
      <c r="A201" s="486" t="s">
        <v>4116</v>
      </c>
      <c r="B201" s="486" t="s">
        <v>4117</v>
      </c>
      <c r="C201" s="18"/>
    </row>
    <row r="202" spans="1:7">
      <c r="A202" s="487" t="s">
        <v>4118</v>
      </c>
      <c r="B202" s="487" t="s">
        <v>4119</v>
      </c>
    </row>
    <row r="203" spans="1:7">
      <c r="A203" s="486" t="s">
        <v>4120</v>
      </c>
      <c r="B203" s="486"/>
    </row>
    <row r="204" spans="1:7">
      <c r="A204" s="487" t="s">
        <v>4121</v>
      </c>
    </row>
    <row r="205" spans="1:7">
      <c r="A205" s="486" t="s">
        <v>4122</v>
      </c>
    </row>
    <row r="206" spans="1:7">
      <c r="A206" s="487" t="s">
        <v>4123</v>
      </c>
    </row>
    <row r="207" spans="1:7">
      <c r="A207" s="486" t="s">
        <v>4124</v>
      </c>
    </row>
    <row r="208" spans="1:7">
      <c r="A208" s="487" t="s">
        <v>4125</v>
      </c>
    </row>
    <row r="209" spans="1:1">
      <c r="A209" s="488"/>
    </row>
    <row r="210" spans="1:1">
      <c r="A210" s="421" t="s">
        <v>122</v>
      </c>
    </row>
    <row r="211" spans="1:1" ht="16.5">
      <c r="A211" s="423" t="s">
        <v>4126</v>
      </c>
    </row>
    <row r="212" spans="1:1" ht="16.5">
      <c r="A212" s="423" t="s">
        <v>4127</v>
      </c>
    </row>
    <row r="213" spans="1:1" ht="16.5">
      <c r="A213" s="423" t="s">
        <v>4128</v>
      </c>
    </row>
    <row r="214" spans="1:1" ht="16.5">
      <c r="A214" s="423" t="s">
        <v>4129</v>
      </c>
    </row>
    <row r="215" spans="1:1" ht="16.5">
      <c r="A215" s="423" t="s">
        <v>4130</v>
      </c>
    </row>
    <row r="216" spans="1:1" ht="16.5">
      <c r="A216" s="423" t="s">
        <v>1668</v>
      </c>
    </row>
    <row r="217" spans="1:1" ht="16.5">
      <c r="A217" s="423" t="s">
        <v>4131</v>
      </c>
    </row>
    <row r="218" spans="1:1" ht="16.5">
      <c r="A218" s="423" t="s">
        <v>4132</v>
      </c>
    </row>
    <row r="219" spans="1:1" ht="16.5">
      <c r="A219" s="423" t="s">
        <v>4133</v>
      </c>
    </row>
    <row r="220" spans="1:1" ht="16.5">
      <c r="A220" s="423" t="s">
        <v>4134</v>
      </c>
    </row>
    <row r="221" spans="1:1" ht="16.5">
      <c r="A221" s="423" t="s">
        <v>4135</v>
      </c>
    </row>
    <row r="222" spans="1:1" ht="16.5">
      <c r="A222" s="423" t="s">
        <v>4136</v>
      </c>
    </row>
    <row r="223" spans="1:1" ht="16.5">
      <c r="A223" s="423" t="s">
        <v>4137</v>
      </c>
    </row>
    <row r="224" spans="1:1" ht="16.5">
      <c r="A224" s="423" t="s">
        <v>4138</v>
      </c>
    </row>
    <row r="225" spans="1:1" ht="16.5">
      <c r="A225" s="423" t="s">
        <v>4139</v>
      </c>
    </row>
    <row r="226" spans="1:1" ht="16.5">
      <c r="A226" s="423" t="s">
        <v>4140</v>
      </c>
    </row>
    <row r="227" spans="1:1" ht="16.5">
      <c r="A227" s="423" t="s">
        <v>4141</v>
      </c>
    </row>
    <row r="228" spans="1:1" ht="16.5">
      <c r="A228" s="423" t="s">
        <v>4142</v>
      </c>
    </row>
    <row r="229" spans="1:1" ht="16.5">
      <c r="A229" s="423" t="s">
        <v>4143</v>
      </c>
    </row>
    <row r="230" spans="1:1" ht="16.5">
      <c r="A230" s="423" t="s">
        <v>4144</v>
      </c>
    </row>
    <row r="231" spans="1:1" ht="16.5">
      <c r="A231" s="423" t="s">
        <v>4145</v>
      </c>
    </row>
    <row r="232" spans="1:1" ht="16.5">
      <c r="A232" s="423" t="s">
        <v>4146</v>
      </c>
    </row>
    <row r="233" spans="1:1" ht="16.5">
      <c r="A233" s="423" t="s">
        <v>4147</v>
      </c>
    </row>
    <row r="234" spans="1:1" ht="16.5">
      <c r="A234" s="423" t="s">
        <v>4148</v>
      </c>
    </row>
    <row r="235" spans="1:1" ht="16.5">
      <c r="A235" s="423" t="s">
        <v>4149</v>
      </c>
    </row>
    <row r="236" spans="1:1" ht="16.5">
      <c r="A236" s="423" t="s">
        <v>4150</v>
      </c>
    </row>
    <row r="237" spans="1:1" ht="16.5">
      <c r="A237" s="423" t="s">
        <v>4151</v>
      </c>
    </row>
    <row r="238" spans="1:1" ht="16.5">
      <c r="A238" s="423" t="s">
        <v>4152</v>
      </c>
    </row>
    <row r="239" spans="1:1" ht="16.5">
      <c r="A239" s="423" t="s">
        <v>4153</v>
      </c>
    </row>
    <row r="240" spans="1:1" ht="16.5">
      <c r="A240" s="423" t="s">
        <v>4154</v>
      </c>
    </row>
    <row r="241" spans="1:1" ht="16.5">
      <c r="A241" s="423" t="s">
        <v>4155</v>
      </c>
    </row>
    <row r="242" spans="1:1" ht="16.5">
      <c r="A242" s="423" t="s">
        <v>4156</v>
      </c>
    </row>
    <row r="243" spans="1:1" ht="16.5">
      <c r="A243" s="423" t="s">
        <v>4157</v>
      </c>
    </row>
    <row r="244" spans="1:1" ht="16.5">
      <c r="A244" s="423" t="s">
        <v>4158</v>
      </c>
    </row>
    <row r="245" spans="1:1" ht="16.5">
      <c r="A245" s="423" t="s">
        <v>4159</v>
      </c>
    </row>
    <row r="246" spans="1:1" ht="16.5">
      <c r="A246" s="423" t="s">
        <v>4160</v>
      </c>
    </row>
    <row r="247" spans="1:1" ht="16.5">
      <c r="A247" s="423" t="s">
        <v>4161</v>
      </c>
    </row>
    <row r="248" spans="1:1" ht="16.5">
      <c r="A248" s="423" t="s">
        <v>4162</v>
      </c>
    </row>
    <row r="249" spans="1:1" ht="16.5">
      <c r="A249" s="423" t="s">
        <v>4163</v>
      </c>
    </row>
    <row r="250" spans="1:1" ht="16.5">
      <c r="A250" s="423" t="s">
        <v>4164</v>
      </c>
    </row>
    <row r="251" spans="1:1" ht="16.5">
      <c r="A251" s="423" t="s">
        <v>4165</v>
      </c>
    </row>
    <row r="252" spans="1:1" ht="16.5">
      <c r="A252" s="423" t="s">
        <v>4166</v>
      </c>
    </row>
    <row r="253" spans="1:1" ht="16.5">
      <c r="A253" s="423" t="s">
        <v>4167</v>
      </c>
    </row>
    <row r="254" spans="1:1" ht="16.5">
      <c r="A254" s="423" t="s">
        <v>4168</v>
      </c>
    </row>
    <row r="255" spans="1:1" ht="16.5">
      <c r="A255" s="423" t="s">
        <v>4169</v>
      </c>
    </row>
    <row r="256" spans="1:1" ht="16.5">
      <c r="A256" s="423" t="s">
        <v>4170</v>
      </c>
    </row>
    <row r="257" spans="1:1" ht="16.5">
      <c r="A257" s="423" t="s">
        <v>4171</v>
      </c>
    </row>
    <row r="258" spans="1:1" ht="16.5">
      <c r="A258" s="423" t="s">
        <v>4172</v>
      </c>
    </row>
    <row r="259" spans="1:1" ht="16.5">
      <c r="A259" s="423" t="s">
        <v>4173</v>
      </c>
    </row>
    <row r="260" spans="1:1" ht="16.5">
      <c r="A260" s="423" t="s">
        <v>4174</v>
      </c>
    </row>
  </sheetData>
  <sortState xmlns:xlrd2="http://schemas.microsoft.com/office/spreadsheetml/2017/richdata2" ref="G46:G58">
    <sortCondition ref="G58"/>
  </sortState>
  <dataValidations count="2">
    <dataValidation type="list" allowBlank="1" showInputMessage="1" showErrorMessage="1" sqref="D144" xr:uid="{31C6A3A7-F976-4186-BD1C-3AA25BCDA000}">
      <formula1>$D$145:$D$150</formula1>
    </dataValidation>
    <dataValidation type="list" allowBlank="1" showInputMessage="1" showErrorMessage="1" sqref="E144" xr:uid="{2F484827-5D69-45F2-9DB2-3C1167C62CE7}">
      <formula1>$E$145:$E$147</formula1>
    </dataValidation>
  </dataValidations>
  <pageMargins left="0.7" right="0.7" top="0.75" bottom="0.75" header="0.3" footer="0.3"/>
  <pageSetup orientation="portrait" r:id="rId1"/>
  <tableParts count="4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BB65"/>
  <sheetViews>
    <sheetView workbookViewId="0"/>
  </sheetViews>
  <sheetFormatPr defaultRowHeight="15"/>
  <sheetData>
    <row r="2" spans="3:54">
      <c r="C2" s="14" t="s">
        <v>4175</v>
      </c>
      <c r="D2">
        <v>21</v>
      </c>
      <c r="E2" s="14" t="s">
        <v>4127</v>
      </c>
      <c r="F2">
        <v>1</v>
      </c>
      <c r="G2" s="14" t="s">
        <v>1265</v>
      </c>
      <c r="H2">
        <v>261</v>
      </c>
      <c r="I2" s="14" t="s">
        <v>3927</v>
      </c>
      <c r="J2">
        <v>5</v>
      </c>
      <c r="K2" s="14" t="s">
        <v>325</v>
      </c>
      <c r="L2">
        <v>5</v>
      </c>
      <c r="M2" s="14" t="s">
        <v>4176</v>
      </c>
      <c r="N2">
        <v>6</v>
      </c>
      <c r="O2" s="14" t="s">
        <v>3944</v>
      </c>
      <c r="P2">
        <v>5</v>
      </c>
      <c r="Q2" s="14" t="s">
        <v>3904</v>
      </c>
      <c r="R2">
        <v>19</v>
      </c>
      <c r="S2" s="14" t="s">
        <v>323</v>
      </c>
      <c r="T2">
        <v>21</v>
      </c>
      <c r="U2" s="14" t="s">
        <v>3917</v>
      </c>
      <c r="V2">
        <v>168</v>
      </c>
      <c r="W2" s="14" t="s">
        <v>3903</v>
      </c>
      <c r="X2">
        <v>52</v>
      </c>
      <c r="Y2" s="14" t="s">
        <v>3947</v>
      </c>
      <c r="Z2">
        <v>55</v>
      </c>
      <c r="AA2" s="14" t="s">
        <v>3962</v>
      </c>
      <c r="AB2">
        <v>61</v>
      </c>
      <c r="AC2" s="14" t="s">
        <v>1814</v>
      </c>
      <c r="AD2">
        <v>64</v>
      </c>
      <c r="AE2" s="14" t="s">
        <v>3942</v>
      </c>
      <c r="AF2">
        <v>82</v>
      </c>
      <c r="AG2" s="14" t="s">
        <v>3947</v>
      </c>
      <c r="AH2">
        <v>100</v>
      </c>
      <c r="AI2" s="14" t="s">
        <v>3962</v>
      </c>
      <c r="AJ2">
        <v>117</v>
      </c>
      <c r="AK2" s="14" t="s">
        <v>606</v>
      </c>
      <c r="AL2">
        <v>126</v>
      </c>
      <c r="AM2" s="14" t="s">
        <v>3943</v>
      </c>
      <c r="AN2">
        <v>129</v>
      </c>
      <c r="AO2" s="14" t="s">
        <v>3968</v>
      </c>
      <c r="AP2">
        <v>134</v>
      </c>
      <c r="AQ2" s="14" t="s">
        <v>4027</v>
      </c>
      <c r="AR2">
        <v>1</v>
      </c>
      <c r="AS2" s="14" t="s">
        <v>888</v>
      </c>
      <c r="AT2">
        <v>-1</v>
      </c>
      <c r="AU2" s="14" t="s">
        <v>4177</v>
      </c>
      <c r="AV2">
        <v>11</v>
      </c>
      <c r="AW2" s="14" t="s">
        <v>3989</v>
      </c>
      <c r="AX2">
        <v>6</v>
      </c>
      <c r="AY2" s="14" t="s">
        <v>2283</v>
      </c>
      <c r="AZ2">
        <v>1</v>
      </c>
      <c r="BA2" s="14" t="s">
        <v>2286</v>
      </c>
      <c r="BB2">
        <v>29</v>
      </c>
    </row>
    <row r="3" spans="3:54">
      <c r="C3" s="14" t="s">
        <v>4178</v>
      </c>
      <c r="D3">
        <v>20</v>
      </c>
      <c r="E3" s="14" t="s">
        <v>4126</v>
      </c>
      <c r="F3">
        <v>2</v>
      </c>
      <c r="G3" s="14" t="s">
        <v>1266</v>
      </c>
      <c r="H3">
        <v>198</v>
      </c>
      <c r="I3" s="14" t="s">
        <v>3928</v>
      </c>
      <c r="J3">
        <v>3</v>
      </c>
      <c r="K3" s="14" t="s">
        <v>4179</v>
      </c>
      <c r="L3">
        <v>6</v>
      </c>
      <c r="M3" s="14" t="s">
        <v>4180</v>
      </c>
      <c r="N3">
        <v>7</v>
      </c>
      <c r="O3" s="14" t="s">
        <v>3954</v>
      </c>
      <c r="P3">
        <v>6</v>
      </c>
      <c r="Q3" s="14" t="s">
        <v>4181</v>
      </c>
      <c r="R3">
        <v>11</v>
      </c>
      <c r="S3" s="14" t="s">
        <v>4182</v>
      </c>
      <c r="T3">
        <v>22</v>
      </c>
      <c r="U3" s="14" t="s">
        <v>3920</v>
      </c>
      <c r="V3">
        <v>169</v>
      </c>
      <c r="W3" s="14" t="s">
        <v>3905</v>
      </c>
      <c r="X3">
        <v>53</v>
      </c>
      <c r="Y3" s="14" t="s">
        <v>3965</v>
      </c>
      <c r="Z3">
        <v>57</v>
      </c>
      <c r="AA3" s="14" t="s">
        <v>3966</v>
      </c>
      <c r="AB3">
        <v>62</v>
      </c>
      <c r="AC3" s="14" t="s">
        <v>3967</v>
      </c>
      <c r="AD3">
        <v>65</v>
      </c>
      <c r="AE3" s="14" t="s">
        <v>3956</v>
      </c>
      <c r="AF3">
        <v>83</v>
      </c>
      <c r="AG3" s="14" t="s">
        <v>3965</v>
      </c>
      <c r="AH3">
        <v>101</v>
      </c>
      <c r="AI3" s="14" t="s">
        <v>3966</v>
      </c>
      <c r="AJ3">
        <v>118</v>
      </c>
      <c r="AK3" s="14" t="s">
        <v>3947</v>
      </c>
      <c r="AL3">
        <v>127</v>
      </c>
      <c r="AM3" s="14" t="s">
        <v>3948</v>
      </c>
      <c r="AN3">
        <v>130</v>
      </c>
      <c r="AO3" s="14" t="s">
        <v>3972</v>
      </c>
      <c r="AP3">
        <v>135</v>
      </c>
      <c r="AQ3" s="14" t="s">
        <v>4183</v>
      </c>
      <c r="AR3">
        <v>2</v>
      </c>
      <c r="AS3" s="14" t="s">
        <v>122</v>
      </c>
      <c r="AT3">
        <v>-2</v>
      </c>
      <c r="AU3" s="14" t="s">
        <v>4184</v>
      </c>
      <c r="AV3">
        <v>5</v>
      </c>
      <c r="AW3" s="14" t="s">
        <v>2549</v>
      </c>
      <c r="AX3">
        <v>50</v>
      </c>
      <c r="AY3" s="14" t="s">
        <v>4185</v>
      </c>
      <c r="AZ3">
        <v>2</v>
      </c>
      <c r="BA3" s="14" t="s">
        <v>4186</v>
      </c>
      <c r="BB3">
        <v>33</v>
      </c>
    </row>
    <row r="4" spans="3:54">
      <c r="C4" s="14" t="s">
        <v>4187</v>
      </c>
      <c r="D4">
        <v>22</v>
      </c>
      <c r="E4" s="14" t="s">
        <v>4129</v>
      </c>
      <c r="F4">
        <v>3</v>
      </c>
      <c r="G4" s="14" t="s">
        <v>1267</v>
      </c>
      <c r="H4">
        <v>199</v>
      </c>
      <c r="I4" s="14" t="s">
        <v>3930</v>
      </c>
      <c r="J4">
        <v>4</v>
      </c>
      <c r="K4" s="14" t="s">
        <v>4188</v>
      </c>
      <c r="L4">
        <v>7</v>
      </c>
      <c r="M4" s="14" t="s">
        <v>4189</v>
      </c>
      <c r="N4">
        <v>8</v>
      </c>
      <c r="O4" s="14" t="s">
        <v>3949</v>
      </c>
      <c r="P4">
        <v>7</v>
      </c>
      <c r="Q4" s="14" t="s">
        <v>3906</v>
      </c>
      <c r="R4">
        <v>20</v>
      </c>
      <c r="S4" s="14" t="s">
        <v>4190</v>
      </c>
      <c r="T4">
        <v>23</v>
      </c>
      <c r="W4" s="14" t="s">
        <v>3907</v>
      </c>
      <c r="X4">
        <v>94</v>
      </c>
      <c r="Y4" s="14" t="s">
        <v>3970</v>
      </c>
      <c r="Z4">
        <v>98</v>
      </c>
      <c r="AA4" s="14" t="s">
        <v>3971</v>
      </c>
      <c r="AB4">
        <v>125</v>
      </c>
      <c r="AC4" s="14" t="s">
        <v>3907</v>
      </c>
      <c r="AD4">
        <v>66</v>
      </c>
      <c r="AE4" s="14" t="s">
        <v>3958</v>
      </c>
      <c r="AF4">
        <v>84</v>
      </c>
      <c r="AG4" s="14" t="s">
        <v>3970</v>
      </c>
      <c r="AH4">
        <v>102</v>
      </c>
      <c r="AI4" s="14" t="s">
        <v>3971</v>
      </c>
      <c r="AJ4">
        <v>122</v>
      </c>
      <c r="AK4" s="14" t="s">
        <v>3952</v>
      </c>
      <c r="AL4">
        <v>128</v>
      </c>
      <c r="AM4" s="14" t="s">
        <v>3953</v>
      </c>
      <c r="AN4">
        <v>131</v>
      </c>
      <c r="AO4" s="14" t="s">
        <v>3978</v>
      </c>
      <c r="AP4">
        <v>136</v>
      </c>
      <c r="AQ4" s="14" t="s">
        <v>1216</v>
      </c>
      <c r="AR4">
        <v>3</v>
      </c>
      <c r="AU4" s="14" t="s">
        <v>4191</v>
      </c>
      <c r="AV4">
        <v>6</v>
      </c>
      <c r="AW4" s="14" t="s">
        <v>3990</v>
      </c>
      <c r="AX4">
        <v>41</v>
      </c>
      <c r="BA4" s="14" t="s">
        <v>4192</v>
      </c>
      <c r="BB4">
        <v>-1</v>
      </c>
    </row>
    <row r="5" spans="3:54">
      <c r="C5" s="14" t="s">
        <v>2508</v>
      </c>
      <c r="D5">
        <v>10</v>
      </c>
      <c r="E5" s="14" t="s">
        <v>4128</v>
      </c>
      <c r="F5">
        <v>4</v>
      </c>
      <c r="G5" s="14" t="s">
        <v>1268</v>
      </c>
      <c r="H5">
        <v>200</v>
      </c>
      <c r="I5" s="14" t="s">
        <v>3929</v>
      </c>
      <c r="J5">
        <v>6</v>
      </c>
      <c r="K5" s="14" t="s">
        <v>2808</v>
      </c>
      <c r="L5">
        <v>8</v>
      </c>
      <c r="M5" s="14" t="s">
        <v>4193</v>
      </c>
      <c r="N5">
        <v>9</v>
      </c>
      <c r="O5" s="14" t="s">
        <v>4194</v>
      </c>
      <c r="P5">
        <v>8</v>
      </c>
      <c r="Q5" s="14" t="s">
        <v>3908</v>
      </c>
      <c r="R5">
        <v>12</v>
      </c>
      <c r="S5" s="14" t="s">
        <v>4195</v>
      </c>
      <c r="T5">
        <v>24</v>
      </c>
      <c r="Y5" s="14" t="s">
        <v>3974</v>
      </c>
      <c r="Z5">
        <v>99</v>
      </c>
      <c r="AC5" s="14" t="s">
        <v>2808</v>
      </c>
      <c r="AD5">
        <v>67</v>
      </c>
      <c r="AE5" s="14" t="s">
        <v>3960</v>
      </c>
      <c r="AF5">
        <v>85</v>
      </c>
      <c r="AG5" s="14" t="s">
        <v>3974</v>
      </c>
      <c r="AH5">
        <v>103</v>
      </c>
      <c r="AM5" s="14" t="s">
        <v>3957</v>
      </c>
      <c r="AN5">
        <v>132</v>
      </c>
      <c r="AO5" s="14" t="s">
        <v>3982</v>
      </c>
      <c r="AP5">
        <v>137</v>
      </c>
      <c r="AU5" s="14" t="s">
        <v>4196</v>
      </c>
      <c r="AV5">
        <v>7</v>
      </c>
      <c r="AW5" s="14" t="s">
        <v>3991</v>
      </c>
      <c r="AX5">
        <v>7</v>
      </c>
      <c r="BA5" s="14" t="s">
        <v>4197</v>
      </c>
      <c r="BB5">
        <v>7</v>
      </c>
    </row>
    <row r="6" spans="3:54">
      <c r="C6" s="14" t="s">
        <v>2509</v>
      </c>
      <c r="D6">
        <v>11</v>
      </c>
      <c r="E6" s="14" t="s">
        <v>4130</v>
      </c>
      <c r="F6">
        <v>5</v>
      </c>
      <c r="G6" s="14" t="s">
        <v>1269</v>
      </c>
      <c r="H6">
        <v>201</v>
      </c>
      <c r="K6" s="14" t="s">
        <v>327</v>
      </c>
      <c r="L6">
        <v>11</v>
      </c>
      <c r="M6" s="14" t="s">
        <v>4198</v>
      </c>
      <c r="N6">
        <v>10</v>
      </c>
      <c r="Q6" s="14" t="s">
        <v>4199</v>
      </c>
      <c r="R6">
        <v>13</v>
      </c>
      <c r="S6" s="14" t="s">
        <v>4200</v>
      </c>
      <c r="T6">
        <v>25</v>
      </c>
      <c r="Y6" s="14" t="s">
        <v>3976</v>
      </c>
      <c r="Z6">
        <v>54</v>
      </c>
      <c r="AC6" s="14" t="s">
        <v>3977</v>
      </c>
      <c r="AD6">
        <v>68</v>
      </c>
      <c r="AE6" s="14" t="s">
        <v>3961</v>
      </c>
      <c r="AF6">
        <v>86</v>
      </c>
      <c r="AG6" s="14" t="s">
        <v>3976</v>
      </c>
      <c r="AH6">
        <v>104</v>
      </c>
      <c r="AM6" s="14" t="s">
        <v>3959</v>
      </c>
      <c r="AN6">
        <v>133</v>
      </c>
      <c r="AO6" s="14" t="s">
        <v>3963</v>
      </c>
      <c r="AP6">
        <v>138</v>
      </c>
      <c r="AU6" s="14" t="s">
        <v>4201</v>
      </c>
      <c r="AV6">
        <v>8</v>
      </c>
      <c r="AW6" s="14" t="s">
        <v>3992</v>
      </c>
      <c r="AX6">
        <v>51</v>
      </c>
      <c r="BA6" s="14" t="s">
        <v>189</v>
      </c>
      <c r="BB6">
        <v>37</v>
      </c>
    </row>
    <row r="7" spans="3:54">
      <c r="C7" s="14" t="s">
        <v>2510</v>
      </c>
      <c r="D7">
        <v>12</v>
      </c>
      <c r="E7" s="14" t="s">
        <v>1668</v>
      </c>
      <c r="F7">
        <v>6</v>
      </c>
      <c r="G7" s="14" t="s">
        <v>1270</v>
      </c>
      <c r="H7">
        <v>202</v>
      </c>
      <c r="K7" s="14" t="s">
        <v>4202</v>
      </c>
      <c r="L7">
        <v>12</v>
      </c>
      <c r="Q7" s="14" t="s">
        <v>331</v>
      </c>
      <c r="R7">
        <v>14</v>
      </c>
      <c r="S7" s="14" t="s">
        <v>4203</v>
      </c>
      <c r="T7">
        <v>26</v>
      </c>
      <c r="Y7" s="14" t="s">
        <v>3980</v>
      </c>
      <c r="Z7">
        <v>56</v>
      </c>
      <c r="AC7" s="14" t="s">
        <v>3981</v>
      </c>
      <c r="AD7">
        <v>69</v>
      </c>
      <c r="AE7" s="14" t="s">
        <v>3964</v>
      </c>
      <c r="AF7">
        <v>87</v>
      </c>
      <c r="AG7" s="14" t="s">
        <v>3980</v>
      </c>
      <c r="AH7">
        <v>105</v>
      </c>
      <c r="AO7" s="14" t="s">
        <v>2808</v>
      </c>
      <c r="AP7">
        <v>139</v>
      </c>
      <c r="AU7" s="14" t="s">
        <v>4204</v>
      </c>
      <c r="AV7">
        <v>12</v>
      </c>
      <c r="AW7" s="14" t="s">
        <v>3993</v>
      </c>
      <c r="AX7">
        <v>42</v>
      </c>
      <c r="BA7" s="14" t="s">
        <v>4205</v>
      </c>
      <c r="BB7">
        <v>8</v>
      </c>
    </row>
    <row r="8" spans="3:54">
      <c r="C8" s="14" t="s">
        <v>2511</v>
      </c>
      <c r="D8">
        <v>13</v>
      </c>
      <c r="E8" s="14" t="s">
        <v>4131</v>
      </c>
      <c r="F8">
        <v>7</v>
      </c>
      <c r="G8" s="14" t="s">
        <v>1271</v>
      </c>
      <c r="H8">
        <v>203</v>
      </c>
      <c r="K8" s="14" t="s">
        <v>323</v>
      </c>
      <c r="L8">
        <v>13</v>
      </c>
      <c r="Q8" s="14" t="s">
        <v>4206</v>
      </c>
      <c r="R8">
        <v>15</v>
      </c>
      <c r="S8" s="14" t="s">
        <v>4207</v>
      </c>
      <c r="T8">
        <v>27</v>
      </c>
      <c r="Y8" s="14" t="s">
        <v>3984</v>
      </c>
      <c r="Z8">
        <v>58</v>
      </c>
      <c r="AE8" s="14" t="s">
        <v>3969</v>
      </c>
      <c r="AF8">
        <v>88</v>
      </c>
      <c r="AG8" s="14" t="s">
        <v>3984</v>
      </c>
      <c r="AH8">
        <v>106</v>
      </c>
      <c r="AU8" s="14" t="s">
        <v>4208</v>
      </c>
      <c r="AV8">
        <v>13</v>
      </c>
      <c r="AW8" s="14" t="s">
        <v>3994</v>
      </c>
      <c r="AX8">
        <v>12</v>
      </c>
      <c r="BA8" s="14" t="s">
        <v>187</v>
      </c>
      <c r="BB8">
        <v>36</v>
      </c>
    </row>
    <row r="9" spans="3:54">
      <c r="C9" s="14" t="s">
        <v>2512</v>
      </c>
      <c r="D9">
        <v>14</v>
      </c>
      <c r="E9" s="14" t="s">
        <v>4209</v>
      </c>
      <c r="F9">
        <v>8</v>
      </c>
      <c r="G9" s="14" t="s">
        <v>1272</v>
      </c>
      <c r="H9">
        <v>204</v>
      </c>
      <c r="K9" s="14" t="s">
        <v>922</v>
      </c>
      <c r="L9">
        <v>14</v>
      </c>
      <c r="Q9" s="14" t="s">
        <v>4210</v>
      </c>
      <c r="R9">
        <v>16</v>
      </c>
      <c r="S9" s="14" t="s">
        <v>4211</v>
      </c>
      <c r="T9">
        <v>28</v>
      </c>
      <c r="AE9" s="14" t="s">
        <v>3973</v>
      </c>
      <c r="AF9">
        <v>89</v>
      </c>
      <c r="AU9" s="14" t="s">
        <v>4212</v>
      </c>
      <c r="AV9">
        <v>9</v>
      </c>
      <c r="AW9" s="14" t="s">
        <v>3995</v>
      </c>
      <c r="AX9">
        <v>52</v>
      </c>
      <c r="BA9" s="14" t="s">
        <v>2290</v>
      </c>
      <c r="BB9">
        <v>27</v>
      </c>
    </row>
    <row r="10" spans="3:54">
      <c r="C10" s="14" t="s">
        <v>2513</v>
      </c>
      <c r="D10">
        <v>15</v>
      </c>
      <c r="E10" s="14" t="s">
        <v>4132</v>
      </c>
      <c r="F10">
        <v>9</v>
      </c>
      <c r="G10" s="14" t="s">
        <v>1273</v>
      </c>
      <c r="H10">
        <v>205</v>
      </c>
      <c r="K10" s="14" t="s">
        <v>328</v>
      </c>
      <c r="L10">
        <v>15</v>
      </c>
      <c r="Q10" s="14" t="s">
        <v>3909</v>
      </c>
      <c r="R10">
        <v>17</v>
      </c>
      <c r="S10" s="14" t="s">
        <v>4213</v>
      </c>
      <c r="T10">
        <v>29</v>
      </c>
      <c r="AE10" s="14" t="s">
        <v>3975</v>
      </c>
      <c r="AF10">
        <v>90</v>
      </c>
      <c r="AU10" s="14" t="s">
        <v>2735</v>
      </c>
      <c r="AV10">
        <v>10</v>
      </c>
      <c r="AW10" s="14" t="s">
        <v>3996</v>
      </c>
      <c r="AX10">
        <v>43</v>
      </c>
      <c r="BA10" s="14" t="s">
        <v>2299</v>
      </c>
      <c r="BB10">
        <v>28</v>
      </c>
    </row>
    <row r="11" spans="3:54">
      <c r="C11" s="14" t="s">
        <v>2514</v>
      </c>
      <c r="D11">
        <v>16</v>
      </c>
      <c r="E11" s="14" t="s">
        <v>4133</v>
      </c>
      <c r="F11">
        <v>10</v>
      </c>
      <c r="G11" s="14" t="s">
        <v>1274</v>
      </c>
      <c r="H11">
        <v>206</v>
      </c>
      <c r="K11" s="14" t="s">
        <v>324</v>
      </c>
      <c r="L11">
        <v>17</v>
      </c>
      <c r="Q11" s="14" t="s">
        <v>916</v>
      </c>
      <c r="R11">
        <v>18</v>
      </c>
      <c r="S11" s="14" t="s">
        <v>4214</v>
      </c>
      <c r="T11">
        <v>30</v>
      </c>
      <c r="AE11" s="14" t="s">
        <v>3979</v>
      </c>
      <c r="AF11">
        <v>91</v>
      </c>
      <c r="AW11" s="14" t="s">
        <v>3997</v>
      </c>
      <c r="AX11">
        <v>17</v>
      </c>
      <c r="BA11" s="14" t="s">
        <v>177</v>
      </c>
      <c r="BB11">
        <v>9</v>
      </c>
    </row>
    <row r="12" spans="3:54">
      <c r="C12" s="14" t="s">
        <v>4215</v>
      </c>
      <c r="D12">
        <v>18</v>
      </c>
      <c r="E12" s="14" t="s">
        <v>4134</v>
      </c>
      <c r="F12">
        <v>11</v>
      </c>
      <c r="G12" s="14" t="s">
        <v>1275</v>
      </c>
      <c r="H12">
        <v>207</v>
      </c>
      <c r="K12" s="14" t="s">
        <v>329</v>
      </c>
      <c r="L12">
        <v>18</v>
      </c>
      <c r="S12" s="14" t="s">
        <v>4216</v>
      </c>
      <c r="T12">
        <v>31</v>
      </c>
      <c r="AE12" s="14" t="s">
        <v>3983</v>
      </c>
      <c r="AF12">
        <v>92</v>
      </c>
      <c r="AW12" s="14" t="s">
        <v>3999</v>
      </c>
      <c r="AX12">
        <v>44</v>
      </c>
      <c r="BA12" s="14" t="s">
        <v>190</v>
      </c>
      <c r="BB12">
        <v>34</v>
      </c>
    </row>
    <row r="13" spans="3:54">
      <c r="C13" s="14" t="s">
        <v>4217</v>
      </c>
      <c r="D13">
        <v>17</v>
      </c>
      <c r="E13" s="14" t="s">
        <v>4135</v>
      </c>
      <c r="F13">
        <v>12</v>
      </c>
      <c r="G13" s="14" t="s">
        <v>1276</v>
      </c>
      <c r="H13">
        <v>208</v>
      </c>
      <c r="S13" s="14" t="s">
        <v>4218</v>
      </c>
      <c r="T13">
        <v>32</v>
      </c>
      <c r="AE13" s="14" t="s">
        <v>3985</v>
      </c>
      <c r="AF13">
        <v>93</v>
      </c>
      <c r="AW13" s="14" t="s">
        <v>3998</v>
      </c>
      <c r="AX13">
        <v>53</v>
      </c>
      <c r="BA13" s="14" t="s">
        <v>4219</v>
      </c>
      <c r="BB13">
        <v>24</v>
      </c>
    </row>
    <row r="14" spans="3:54">
      <c r="C14" s="14" t="s">
        <v>2515</v>
      </c>
      <c r="D14">
        <v>19</v>
      </c>
      <c r="E14" s="14" t="s">
        <v>4139</v>
      </c>
      <c r="F14">
        <v>13</v>
      </c>
      <c r="G14" s="14" t="s">
        <v>1277</v>
      </c>
      <c r="H14">
        <v>209</v>
      </c>
      <c r="S14" s="14" t="s">
        <v>4220</v>
      </c>
      <c r="T14">
        <v>33</v>
      </c>
      <c r="AE14" s="14" t="s">
        <v>3946</v>
      </c>
      <c r="AF14">
        <v>161</v>
      </c>
      <c r="AW14" s="14" t="s">
        <v>4000</v>
      </c>
      <c r="AX14">
        <v>20</v>
      </c>
      <c r="BA14" s="14" t="s">
        <v>4221</v>
      </c>
      <c r="BB14">
        <v>23</v>
      </c>
    </row>
    <row r="15" spans="3:54">
      <c r="E15" s="14" t="s">
        <v>4136</v>
      </c>
      <c r="F15">
        <v>14</v>
      </c>
      <c r="G15" s="14" t="s">
        <v>1278</v>
      </c>
      <c r="H15">
        <v>210</v>
      </c>
      <c r="S15" s="14" t="s">
        <v>4222</v>
      </c>
      <c r="T15">
        <v>34</v>
      </c>
      <c r="AE15" s="14" t="s">
        <v>3951</v>
      </c>
      <c r="AF15">
        <v>162</v>
      </c>
      <c r="AW15" s="14" t="s">
        <v>4001</v>
      </c>
      <c r="AX15">
        <v>54</v>
      </c>
      <c r="BA15" s="14" t="s">
        <v>2292</v>
      </c>
      <c r="BB15">
        <v>11</v>
      </c>
    </row>
    <row r="16" spans="3:54">
      <c r="E16" s="14" t="s">
        <v>4137</v>
      </c>
      <c r="F16">
        <v>15</v>
      </c>
      <c r="G16" s="14" t="s">
        <v>1279</v>
      </c>
      <c r="H16">
        <v>211</v>
      </c>
      <c r="S16" s="14" t="s">
        <v>4223</v>
      </c>
      <c r="T16">
        <v>35</v>
      </c>
      <c r="AE16" s="14" t="s">
        <v>2808</v>
      </c>
      <c r="AF16">
        <v>163</v>
      </c>
      <c r="AW16" s="14" t="s">
        <v>4002</v>
      </c>
      <c r="AX16">
        <v>45</v>
      </c>
      <c r="BA16" s="14" t="s">
        <v>4224</v>
      </c>
      <c r="BB16">
        <v>3</v>
      </c>
    </row>
    <row r="17" spans="5:54">
      <c r="E17" s="14" t="s">
        <v>4138</v>
      </c>
      <c r="F17">
        <v>16</v>
      </c>
      <c r="G17" s="14" t="s">
        <v>1280</v>
      </c>
      <c r="H17">
        <v>212</v>
      </c>
      <c r="S17" s="14" t="s">
        <v>2523</v>
      </c>
      <c r="T17">
        <v>36</v>
      </c>
      <c r="AW17" s="14" t="s">
        <v>4003</v>
      </c>
      <c r="AX17">
        <v>21</v>
      </c>
      <c r="BA17" s="14" t="s">
        <v>2808</v>
      </c>
      <c r="BB17">
        <v>15</v>
      </c>
    </row>
    <row r="18" spans="5:54">
      <c r="E18" s="14" t="s">
        <v>4140</v>
      </c>
      <c r="F18">
        <v>17</v>
      </c>
      <c r="G18" s="14" t="s">
        <v>3115</v>
      </c>
      <c r="H18">
        <v>213</v>
      </c>
      <c r="S18" s="14" t="s">
        <v>2526</v>
      </c>
      <c r="T18">
        <v>37</v>
      </c>
      <c r="AW18" s="14" t="s">
        <v>4004</v>
      </c>
      <c r="AX18">
        <v>55</v>
      </c>
      <c r="BA18" s="14" t="s">
        <v>4225</v>
      </c>
      <c r="BB18">
        <v>31</v>
      </c>
    </row>
    <row r="19" spans="5:54">
      <c r="E19" s="14" t="s">
        <v>4141</v>
      </c>
      <c r="F19">
        <v>18</v>
      </c>
      <c r="G19" s="14" t="s">
        <v>1282</v>
      </c>
      <c r="H19">
        <v>214</v>
      </c>
      <c r="S19" s="14" t="s">
        <v>2529</v>
      </c>
      <c r="T19">
        <v>38</v>
      </c>
      <c r="AW19" s="14" t="s">
        <v>4005</v>
      </c>
      <c r="AX19">
        <v>46</v>
      </c>
      <c r="BA19" s="14" t="s">
        <v>185</v>
      </c>
      <c r="BB19">
        <v>35</v>
      </c>
    </row>
    <row r="20" spans="5:54">
      <c r="E20" s="14" t="s">
        <v>4142</v>
      </c>
      <c r="F20">
        <v>19</v>
      </c>
      <c r="G20" s="14" t="s">
        <v>1283</v>
      </c>
      <c r="H20">
        <v>215</v>
      </c>
      <c r="S20" s="14" t="s">
        <v>2532</v>
      </c>
      <c r="T20">
        <v>39</v>
      </c>
      <c r="AW20" s="14" t="s">
        <v>4006</v>
      </c>
      <c r="AX20">
        <v>27</v>
      </c>
      <c r="BA20" s="14" t="s">
        <v>4226</v>
      </c>
      <c r="BB20">
        <v>32</v>
      </c>
    </row>
    <row r="21" spans="5:54">
      <c r="E21" s="14" t="s">
        <v>4145</v>
      </c>
      <c r="F21">
        <v>20</v>
      </c>
      <c r="G21" s="14" t="s">
        <v>1284</v>
      </c>
      <c r="H21">
        <v>216</v>
      </c>
      <c r="S21" s="14" t="s">
        <v>2535</v>
      </c>
      <c r="T21">
        <v>40</v>
      </c>
      <c r="AW21" s="14" t="s">
        <v>4007</v>
      </c>
      <c r="AX21">
        <v>56</v>
      </c>
      <c r="BA21" s="14" t="s">
        <v>150</v>
      </c>
      <c r="BB21">
        <v>30</v>
      </c>
    </row>
    <row r="22" spans="5:54">
      <c r="E22" s="14" t="s">
        <v>4144</v>
      </c>
      <c r="F22">
        <v>21</v>
      </c>
      <c r="G22" s="14" t="s">
        <v>1285</v>
      </c>
      <c r="H22">
        <v>217</v>
      </c>
      <c r="S22" s="14" t="s">
        <v>2538</v>
      </c>
      <c r="T22">
        <v>41</v>
      </c>
      <c r="AW22" s="14" t="s">
        <v>4008</v>
      </c>
      <c r="AX22">
        <v>47</v>
      </c>
      <c r="BA22" s="14" t="s">
        <v>2254</v>
      </c>
      <c r="BB22">
        <v>22</v>
      </c>
    </row>
    <row r="23" spans="5:54">
      <c r="E23" s="14" t="s">
        <v>4143</v>
      </c>
      <c r="F23">
        <v>22</v>
      </c>
      <c r="G23" s="14" t="s">
        <v>1286</v>
      </c>
      <c r="H23">
        <v>218</v>
      </c>
      <c r="AW23" s="14" t="s">
        <v>4009</v>
      </c>
      <c r="AX23">
        <v>48</v>
      </c>
      <c r="BA23" s="14" t="s">
        <v>4227</v>
      </c>
      <c r="BB23">
        <v>21</v>
      </c>
    </row>
    <row r="24" spans="5:54">
      <c r="E24" s="14" t="s">
        <v>4146</v>
      </c>
      <c r="F24">
        <v>23</v>
      </c>
      <c r="G24" s="14" t="s">
        <v>1287</v>
      </c>
      <c r="H24">
        <v>219</v>
      </c>
      <c r="AW24" s="14" t="s">
        <v>4011</v>
      </c>
      <c r="AX24">
        <v>49</v>
      </c>
      <c r="BA24" s="14" t="s">
        <v>2282</v>
      </c>
      <c r="BB24">
        <v>1</v>
      </c>
    </row>
    <row r="25" spans="5:54">
      <c r="E25" s="14" t="s">
        <v>4147</v>
      </c>
      <c r="F25">
        <v>24</v>
      </c>
      <c r="G25" s="14" t="s">
        <v>1288</v>
      </c>
      <c r="H25">
        <v>220</v>
      </c>
      <c r="AW25" s="14" t="s">
        <v>4010</v>
      </c>
      <c r="AX25">
        <v>57</v>
      </c>
      <c r="BA25" s="14" t="s">
        <v>2289</v>
      </c>
      <c r="BB25">
        <v>14</v>
      </c>
    </row>
    <row r="26" spans="5:54">
      <c r="E26" s="14" t="s">
        <v>4149</v>
      </c>
      <c r="F26">
        <v>25</v>
      </c>
      <c r="G26" s="14" t="s">
        <v>1289</v>
      </c>
      <c r="H26">
        <v>221</v>
      </c>
      <c r="BA26" s="14" t="s">
        <v>4228</v>
      </c>
      <c r="BB26">
        <v>16</v>
      </c>
    </row>
    <row r="27" spans="5:54">
      <c r="E27" s="14" t="s">
        <v>4148</v>
      </c>
      <c r="F27">
        <v>26</v>
      </c>
      <c r="G27" s="14" t="s">
        <v>1290</v>
      </c>
      <c r="H27">
        <v>222</v>
      </c>
      <c r="BA27" s="14" t="s">
        <v>2294</v>
      </c>
      <c r="BB27">
        <v>4</v>
      </c>
    </row>
    <row r="28" spans="5:54">
      <c r="E28" s="14" t="s">
        <v>4150</v>
      </c>
      <c r="F28">
        <v>27</v>
      </c>
      <c r="G28" s="14" t="s">
        <v>1291</v>
      </c>
      <c r="H28">
        <v>223</v>
      </c>
      <c r="BA28" s="14" t="s">
        <v>2296</v>
      </c>
      <c r="BB28">
        <v>5</v>
      </c>
    </row>
    <row r="29" spans="5:54">
      <c r="E29" s="14" t="s">
        <v>4157</v>
      </c>
      <c r="F29">
        <v>28</v>
      </c>
      <c r="G29" s="14" t="s">
        <v>1292</v>
      </c>
      <c r="H29">
        <v>224</v>
      </c>
      <c r="BA29" s="14" t="s">
        <v>1211</v>
      </c>
      <c r="BB29">
        <v>12</v>
      </c>
    </row>
    <row r="30" spans="5:54">
      <c r="E30" s="14" t="s">
        <v>4158</v>
      </c>
      <c r="F30">
        <v>29</v>
      </c>
      <c r="G30" s="14" t="s">
        <v>1293</v>
      </c>
      <c r="H30">
        <v>225</v>
      </c>
      <c r="BA30" s="14" t="s">
        <v>4229</v>
      </c>
      <c r="BB30">
        <v>13</v>
      </c>
    </row>
    <row r="31" spans="5:54">
      <c r="E31" s="14" t="s">
        <v>4151</v>
      </c>
      <c r="F31">
        <v>30</v>
      </c>
      <c r="G31" s="14" t="s">
        <v>1294</v>
      </c>
      <c r="H31">
        <v>226</v>
      </c>
      <c r="BA31" s="14" t="s">
        <v>4230</v>
      </c>
      <c r="BB31">
        <v>2</v>
      </c>
    </row>
    <row r="32" spans="5:54">
      <c r="E32" s="14" t="s">
        <v>4153</v>
      </c>
      <c r="F32">
        <v>31</v>
      </c>
      <c r="G32" s="14" t="s">
        <v>1295</v>
      </c>
      <c r="H32">
        <v>227</v>
      </c>
      <c r="BA32" s="14" t="s">
        <v>4231</v>
      </c>
      <c r="BB32">
        <v>18</v>
      </c>
    </row>
    <row r="33" spans="5:8">
      <c r="E33" s="14" t="s">
        <v>4154</v>
      </c>
      <c r="F33">
        <v>32</v>
      </c>
      <c r="G33" s="14" t="s">
        <v>1296</v>
      </c>
      <c r="H33">
        <v>228</v>
      </c>
    </row>
    <row r="34" spans="5:8">
      <c r="E34" s="14" t="s">
        <v>4155</v>
      </c>
      <c r="F34">
        <v>33</v>
      </c>
      <c r="G34" s="14" t="s">
        <v>1297</v>
      </c>
      <c r="H34">
        <v>229</v>
      </c>
    </row>
    <row r="35" spans="5:8">
      <c r="E35" s="14" t="s">
        <v>4152</v>
      </c>
      <c r="F35">
        <v>34</v>
      </c>
      <c r="G35" s="14" t="s">
        <v>1298</v>
      </c>
      <c r="H35">
        <v>230</v>
      </c>
    </row>
    <row r="36" spans="5:8">
      <c r="E36" s="14" t="s">
        <v>4156</v>
      </c>
      <c r="F36">
        <v>35</v>
      </c>
      <c r="G36" s="14" t="s">
        <v>1299</v>
      </c>
      <c r="H36">
        <v>231</v>
      </c>
    </row>
    <row r="37" spans="5:8">
      <c r="E37" s="14" t="s">
        <v>4159</v>
      </c>
      <c r="F37">
        <v>36</v>
      </c>
      <c r="G37" s="14" t="s">
        <v>1300</v>
      </c>
      <c r="H37">
        <v>232</v>
      </c>
    </row>
    <row r="38" spans="5:8">
      <c r="E38" s="14" t="s">
        <v>4160</v>
      </c>
      <c r="F38">
        <v>37</v>
      </c>
      <c r="G38" s="14" t="s">
        <v>1301</v>
      </c>
      <c r="H38">
        <v>233</v>
      </c>
    </row>
    <row r="39" spans="5:8">
      <c r="E39" s="14" t="s">
        <v>4161</v>
      </c>
      <c r="F39">
        <v>38</v>
      </c>
      <c r="G39" s="14" t="s">
        <v>1302</v>
      </c>
      <c r="H39">
        <v>234</v>
      </c>
    </row>
    <row r="40" spans="5:8">
      <c r="E40" s="14" t="s">
        <v>4162</v>
      </c>
      <c r="F40">
        <v>39</v>
      </c>
      <c r="G40" s="14" t="s">
        <v>1303</v>
      </c>
      <c r="H40">
        <v>235</v>
      </c>
    </row>
    <row r="41" spans="5:8">
      <c r="E41" s="14" t="s">
        <v>4163</v>
      </c>
      <c r="F41">
        <v>40</v>
      </c>
      <c r="G41" s="14" t="s">
        <v>1304</v>
      </c>
      <c r="H41">
        <v>236</v>
      </c>
    </row>
    <row r="42" spans="5:8">
      <c r="E42" s="14" t="s">
        <v>4164</v>
      </c>
      <c r="F42">
        <v>41</v>
      </c>
      <c r="G42" s="14" t="s">
        <v>1305</v>
      </c>
      <c r="H42">
        <v>237</v>
      </c>
    </row>
    <row r="43" spans="5:8">
      <c r="E43" s="14" t="s">
        <v>4165</v>
      </c>
      <c r="F43">
        <v>42</v>
      </c>
      <c r="G43" s="14" t="s">
        <v>1306</v>
      </c>
      <c r="H43">
        <v>238</v>
      </c>
    </row>
    <row r="44" spans="5:8">
      <c r="E44" s="14" t="s">
        <v>4166</v>
      </c>
      <c r="F44">
        <v>43</v>
      </c>
      <c r="G44" s="14" t="s">
        <v>1307</v>
      </c>
      <c r="H44">
        <v>239</v>
      </c>
    </row>
    <row r="45" spans="5:8">
      <c r="E45" s="14" t="s">
        <v>4167</v>
      </c>
      <c r="F45">
        <v>44</v>
      </c>
      <c r="G45" s="14" t="s">
        <v>1308</v>
      </c>
      <c r="H45">
        <v>240</v>
      </c>
    </row>
    <row r="46" spans="5:8">
      <c r="E46" s="14" t="s">
        <v>4168</v>
      </c>
      <c r="F46">
        <v>45</v>
      </c>
      <c r="G46" s="14" t="s">
        <v>1309</v>
      </c>
      <c r="H46">
        <v>241</v>
      </c>
    </row>
    <row r="47" spans="5:8">
      <c r="E47" s="14" t="s">
        <v>4170</v>
      </c>
      <c r="F47">
        <v>46</v>
      </c>
      <c r="G47" s="14" t="s">
        <v>1310</v>
      </c>
      <c r="H47">
        <v>242</v>
      </c>
    </row>
    <row r="48" spans="5:8">
      <c r="E48" s="14" t="s">
        <v>4169</v>
      </c>
      <c r="F48">
        <v>47</v>
      </c>
      <c r="G48" s="14" t="s">
        <v>1311</v>
      </c>
      <c r="H48">
        <v>243</v>
      </c>
    </row>
    <row r="49" spans="5:8">
      <c r="E49" s="14" t="s">
        <v>4171</v>
      </c>
      <c r="F49">
        <v>48</v>
      </c>
      <c r="G49" s="14" t="s">
        <v>1312</v>
      </c>
      <c r="H49">
        <v>244</v>
      </c>
    </row>
    <row r="50" spans="5:8">
      <c r="E50" s="14" t="s">
        <v>4173</v>
      </c>
      <c r="F50">
        <v>49</v>
      </c>
      <c r="G50" s="14" t="s">
        <v>1313</v>
      </c>
      <c r="H50">
        <v>245</v>
      </c>
    </row>
    <row r="51" spans="5:8">
      <c r="E51" s="14" t="s">
        <v>4172</v>
      </c>
      <c r="F51">
        <v>50</v>
      </c>
      <c r="G51" s="14" t="s">
        <v>1314</v>
      </c>
      <c r="H51">
        <v>246</v>
      </c>
    </row>
    <row r="52" spans="5:8">
      <c r="E52" s="14" t="s">
        <v>4174</v>
      </c>
      <c r="F52">
        <v>51</v>
      </c>
      <c r="G52" s="14" t="s">
        <v>1315</v>
      </c>
      <c r="H52">
        <v>247</v>
      </c>
    </row>
    <row r="53" spans="5:8">
      <c r="G53" s="14" t="s">
        <v>3116</v>
      </c>
      <c r="H53">
        <v>248</v>
      </c>
    </row>
    <row r="54" spans="5:8">
      <c r="G54" s="14" t="s">
        <v>1317</v>
      </c>
      <c r="H54">
        <v>249</v>
      </c>
    </row>
    <row r="55" spans="5:8">
      <c r="G55" s="14" t="s">
        <v>1318</v>
      </c>
      <c r="H55">
        <v>250</v>
      </c>
    </row>
    <row r="56" spans="5:8">
      <c r="G56" s="14" t="s">
        <v>1319</v>
      </c>
      <c r="H56">
        <v>251</v>
      </c>
    </row>
    <row r="57" spans="5:8">
      <c r="G57" s="14" t="s">
        <v>1320</v>
      </c>
      <c r="H57">
        <v>252</v>
      </c>
    </row>
    <row r="58" spans="5:8">
      <c r="G58" s="14" t="s">
        <v>1321</v>
      </c>
      <c r="H58">
        <v>253</v>
      </c>
    </row>
    <row r="59" spans="5:8">
      <c r="G59" s="14" t="s">
        <v>1322</v>
      </c>
      <c r="H59">
        <v>254</v>
      </c>
    </row>
    <row r="60" spans="5:8">
      <c r="G60" s="14" t="s">
        <v>4232</v>
      </c>
      <c r="H60">
        <v>255</v>
      </c>
    </row>
    <row r="61" spans="5:8">
      <c r="G61" s="14" t="s">
        <v>1324</v>
      </c>
      <c r="H61">
        <v>256</v>
      </c>
    </row>
    <row r="62" spans="5:8">
      <c r="G62" s="14" t="s">
        <v>1325</v>
      </c>
      <c r="H62">
        <v>257</v>
      </c>
    </row>
    <row r="63" spans="5:8">
      <c r="G63" s="14" t="s">
        <v>1326</v>
      </c>
      <c r="H63">
        <v>258</v>
      </c>
    </row>
    <row r="64" spans="5:8">
      <c r="G64" s="14" t="s">
        <v>1327</v>
      </c>
      <c r="H64">
        <v>259</v>
      </c>
    </row>
    <row r="65" spans="7:8">
      <c r="G65" s="14" t="s">
        <v>1328</v>
      </c>
      <c r="H65">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69"/>
  <sheetViews>
    <sheetView zoomScaleNormal="100" workbookViewId="0"/>
  </sheetViews>
  <sheetFormatPr defaultRowHeight="15"/>
  <cols>
    <col min="1" max="1" width="62.7109375" customWidth="1"/>
    <col min="2" max="2" width="75.28515625" customWidth="1"/>
    <col min="3" max="3" width="36.85546875" customWidth="1"/>
    <col min="4" max="4" width="21.42578125" customWidth="1"/>
    <col min="5" max="5" width="29.5703125" customWidth="1"/>
    <col min="6" max="6" width="21.42578125" customWidth="1"/>
  </cols>
  <sheetData>
    <row r="1" spans="1:54" ht="42">
      <c r="A1" s="4" t="s">
        <v>111</v>
      </c>
      <c r="B1" s="638" t="s">
        <v>112</v>
      </c>
      <c r="C1" s="537"/>
    </row>
    <row r="2" spans="1:54" ht="45" customHeight="1">
      <c r="A2" s="897" t="s">
        <v>16</v>
      </c>
      <c r="B2" s="897"/>
    </row>
    <row r="3" spans="1:54" s="534" customFormat="1" ht="15.95" customHeight="1">
      <c r="A3" s="898" t="s">
        <v>113</v>
      </c>
      <c r="B3" s="898"/>
      <c r="C3" s="541"/>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4">
      <c r="A4" s="1" t="s">
        <v>114</v>
      </c>
      <c r="B4" s="540"/>
      <c r="C4" s="18"/>
    </row>
    <row r="5" spans="1:54">
      <c r="A5" s="1" t="s">
        <v>115</v>
      </c>
      <c r="B5" s="540"/>
    </row>
    <row r="6" spans="1:54">
      <c r="A6" s="1" t="s">
        <v>116</v>
      </c>
      <c r="B6" s="540"/>
    </row>
    <row r="7" spans="1:54">
      <c r="A7" s="353" t="s">
        <v>117</v>
      </c>
      <c r="B7" s="540"/>
    </row>
    <row r="8" spans="1:54">
      <c r="A8" s="1" t="s">
        <v>118</v>
      </c>
      <c r="B8" s="690"/>
    </row>
    <row r="9" spans="1:54" ht="15" customHeight="1">
      <c r="A9" s="895"/>
      <c r="B9" s="895"/>
      <c r="C9" s="513"/>
    </row>
    <row r="10" spans="1:54" s="534" customFormat="1" ht="18.600000000000001" customHeight="1">
      <c r="A10" s="549" t="s">
        <v>119</v>
      </c>
      <c r="B10" s="549"/>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row>
    <row r="11" spans="1:54">
      <c r="A11" s="1" t="s">
        <v>114</v>
      </c>
      <c r="B11" s="540"/>
    </row>
    <row r="12" spans="1:54">
      <c r="A12" s="1" t="s">
        <v>120</v>
      </c>
      <c r="B12" s="540"/>
    </row>
    <row r="13" spans="1:54">
      <c r="A13" s="1" t="s">
        <v>121</v>
      </c>
      <c r="B13" s="540"/>
    </row>
    <row r="14" spans="1:54">
      <c r="A14" s="1" t="s">
        <v>122</v>
      </c>
      <c r="B14" s="540"/>
    </row>
    <row r="15" spans="1:54">
      <c r="A15" s="353" t="s">
        <v>123</v>
      </c>
      <c r="B15" s="540"/>
    </row>
    <row r="16" spans="1:54">
      <c r="A16" s="1" t="s">
        <v>115</v>
      </c>
      <c r="B16" s="540"/>
    </row>
    <row r="17" spans="1:3">
      <c r="A17" s="1" t="s">
        <v>116</v>
      </c>
      <c r="B17" s="540"/>
    </row>
    <row r="18" spans="1:3">
      <c r="A18" s="1" t="s">
        <v>124</v>
      </c>
      <c r="B18" s="540"/>
    </row>
    <row r="19" spans="1:3">
      <c r="A19" s="1" t="s">
        <v>118</v>
      </c>
      <c r="B19" s="540"/>
    </row>
    <row r="20" spans="1:3" ht="45">
      <c r="A20" s="513" t="s">
        <v>125</v>
      </c>
      <c r="B20" s="540"/>
    </row>
    <row r="21" spans="1:3" ht="45">
      <c r="A21" s="513" t="s">
        <v>126</v>
      </c>
      <c r="B21" s="540"/>
    </row>
    <row r="22" spans="1:3">
      <c r="A22" s="513"/>
      <c r="B22" s="850"/>
    </row>
    <row r="23" spans="1:3">
      <c r="A23" s="550" t="s">
        <v>127</v>
      </c>
      <c r="B23" s="550"/>
      <c r="C23" s="18"/>
    </row>
    <row r="24" spans="1:3">
      <c r="A24" s="513" t="s">
        <v>128</v>
      </c>
      <c r="B24" s="294"/>
    </row>
    <row r="25" spans="1:3" ht="30">
      <c r="A25" s="513" t="s">
        <v>129</v>
      </c>
      <c r="B25" s="287"/>
    </row>
    <row r="26" spans="1:3">
      <c r="A26" s="551" t="s">
        <v>130</v>
      </c>
      <c r="B26" s="287"/>
    </row>
    <row r="27" spans="1:3" ht="30">
      <c r="A27" s="563" t="s">
        <v>131</v>
      </c>
      <c r="B27" s="287"/>
    </row>
    <row r="28" spans="1:3">
      <c r="A28" s="551" t="s">
        <v>132</v>
      </c>
      <c r="B28" s="284"/>
      <c r="C28" s="123"/>
    </row>
    <row r="29" spans="1:3">
      <c r="A29" s="552" t="s">
        <v>133</v>
      </c>
      <c r="B29" s="287"/>
    </row>
    <row r="30" spans="1:3" ht="15" customHeight="1">
      <c r="A30" s="798" t="s">
        <v>134</v>
      </c>
      <c r="B30" s="798"/>
      <c r="C30" s="123"/>
    </row>
    <row r="31" spans="1:3">
      <c r="A31" s="550" t="s">
        <v>135</v>
      </c>
      <c r="B31" s="550" t="s">
        <v>136</v>
      </c>
      <c r="C31" s="123"/>
    </row>
    <row r="32" spans="1:3">
      <c r="A32" s="295"/>
      <c r="B32" s="295"/>
      <c r="C32" s="123"/>
    </row>
    <row r="33" spans="1:3">
      <c r="A33" s="295"/>
      <c r="B33" s="295"/>
      <c r="C33" s="123"/>
    </row>
    <row r="34" spans="1:3">
      <c r="A34" s="295"/>
      <c r="B34" s="295"/>
      <c r="C34" s="123"/>
    </row>
    <row r="35" spans="1:3">
      <c r="A35" s="295"/>
      <c r="B35" s="295"/>
      <c r="C35" s="123"/>
    </row>
    <row r="36" spans="1:3">
      <c r="A36" s="295"/>
      <c r="B36" s="295"/>
      <c r="C36" s="123"/>
    </row>
    <row r="37" spans="1:3" ht="42.95" customHeight="1">
      <c r="A37" s="513" t="s">
        <v>137</v>
      </c>
      <c r="B37" s="535"/>
    </row>
    <row r="38" spans="1:3" ht="15" customHeight="1">
      <c r="A38" s="550" t="s">
        <v>138</v>
      </c>
      <c r="B38" s="550"/>
      <c r="C38" s="550"/>
    </row>
    <row r="39" spans="1:3" ht="15" customHeight="1">
      <c r="A39" s="550" t="s">
        <v>139</v>
      </c>
      <c r="B39" s="550" t="s">
        <v>140</v>
      </c>
      <c r="C39" s="550" t="s">
        <v>141</v>
      </c>
    </row>
    <row r="40" spans="1:3" ht="15" customHeight="1">
      <c r="A40" s="287"/>
      <c r="B40" s="544"/>
      <c r="C40" s="296"/>
    </row>
    <row r="41" spans="1:3" ht="15" customHeight="1">
      <c r="A41" s="287"/>
      <c r="B41" s="544"/>
      <c r="C41" s="296"/>
    </row>
    <row r="42" spans="1:3" ht="15" customHeight="1">
      <c r="A42" s="287"/>
      <c r="B42" s="544"/>
      <c r="C42" s="296"/>
    </row>
    <row r="43" spans="1:3" ht="15" customHeight="1">
      <c r="A43" s="550" t="s">
        <v>142</v>
      </c>
      <c r="B43" s="550"/>
      <c r="C43" s="550"/>
    </row>
    <row r="44" spans="1:3" ht="30">
      <c r="A44" s="550" t="s">
        <v>143</v>
      </c>
      <c r="B44" s="550" t="s">
        <v>144</v>
      </c>
      <c r="C44" s="822" t="s">
        <v>145</v>
      </c>
    </row>
    <row r="45" spans="1:3">
      <c r="A45" s="287"/>
      <c r="B45" s="544"/>
      <c r="C45" s="867"/>
    </row>
    <row r="46" spans="1:3">
      <c r="A46" s="287"/>
      <c r="B46" s="544"/>
      <c r="C46" s="867"/>
    </row>
    <row r="47" spans="1:3">
      <c r="A47" s="287"/>
      <c r="B47" s="544"/>
      <c r="C47" s="867"/>
    </row>
    <row r="48" spans="1:3">
      <c r="A48" s="287"/>
      <c r="B48" s="544"/>
      <c r="C48" s="867"/>
    </row>
    <row r="49" spans="1:54" ht="15" customHeight="1">
      <c r="A49" s="895"/>
      <c r="B49" s="895"/>
      <c r="C49" s="513"/>
    </row>
    <row r="50" spans="1:54" s="534" customFormat="1" ht="18.75">
      <c r="A50" s="547" t="s">
        <v>146</v>
      </c>
      <c r="B50" s="553"/>
      <c r="C50" s="18"/>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row>
    <row r="51" spans="1:54">
      <c r="A51" s="1" t="s">
        <v>147</v>
      </c>
      <c r="B51" s="540"/>
    </row>
    <row r="52" spans="1:54">
      <c r="A52" s="1" t="s">
        <v>120</v>
      </c>
      <c r="B52" s="540"/>
    </row>
    <row r="53" spans="1:54">
      <c r="A53" s="1" t="s">
        <v>121</v>
      </c>
      <c r="B53" s="540"/>
    </row>
    <row r="54" spans="1:54">
      <c r="A54" s="1" t="s">
        <v>122</v>
      </c>
      <c r="B54" s="540"/>
    </row>
    <row r="55" spans="1:54">
      <c r="A55" s="353" t="s">
        <v>123</v>
      </c>
      <c r="B55" s="564"/>
    </row>
    <row r="56" spans="1:54">
      <c r="A56" s="1" t="s">
        <v>115</v>
      </c>
      <c r="B56" s="540"/>
    </row>
    <row r="57" spans="1:54">
      <c r="A57" s="1" t="s">
        <v>116</v>
      </c>
      <c r="B57" s="540"/>
    </row>
    <row r="58" spans="1:54">
      <c r="A58" s="1" t="s">
        <v>124</v>
      </c>
      <c r="B58" s="540"/>
    </row>
    <row r="59" spans="1:54">
      <c r="A59" s="1" t="s">
        <v>118</v>
      </c>
      <c r="B59" s="690"/>
    </row>
    <row r="60" spans="1:54">
      <c r="A60" s="513" t="s">
        <v>148</v>
      </c>
      <c r="B60" s="540"/>
    </row>
    <row r="61" spans="1:54" ht="45">
      <c r="A61" s="513" t="s">
        <v>125</v>
      </c>
      <c r="B61" s="540"/>
    </row>
    <row r="62" spans="1:54" ht="45">
      <c r="A62" s="513" t="s">
        <v>126</v>
      </c>
      <c r="B62" s="540"/>
    </row>
    <row r="63" spans="1:54">
      <c r="A63" s="895"/>
      <c r="B63" s="895"/>
    </row>
    <row r="64" spans="1:54" s="534" customFormat="1" ht="18.75">
      <c r="A64" s="547" t="s">
        <v>149</v>
      </c>
      <c r="B64" s="55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row>
    <row r="65" spans="1:54">
      <c r="A65" s="1" t="s">
        <v>114</v>
      </c>
      <c r="B65" s="540"/>
    </row>
    <row r="66" spans="1:54">
      <c r="A66" s="1" t="s">
        <v>120</v>
      </c>
      <c r="B66" s="540"/>
    </row>
    <row r="67" spans="1:54">
      <c r="A67" s="1" t="s">
        <v>121</v>
      </c>
      <c r="B67" s="540"/>
    </row>
    <row r="68" spans="1:54">
      <c r="A68" s="1" t="s">
        <v>122</v>
      </c>
      <c r="B68" s="540"/>
    </row>
    <row r="69" spans="1:54">
      <c r="A69" s="353" t="s">
        <v>123</v>
      </c>
      <c r="B69" s="564"/>
    </row>
    <row r="70" spans="1:54">
      <c r="A70" s="1" t="s">
        <v>115</v>
      </c>
      <c r="B70" s="540"/>
    </row>
    <row r="71" spans="1:54">
      <c r="A71" s="1" t="s">
        <v>116</v>
      </c>
      <c r="B71" s="540"/>
    </row>
    <row r="72" spans="1:54">
      <c r="A72" s="1" t="s">
        <v>124</v>
      </c>
      <c r="B72" s="540"/>
    </row>
    <row r="73" spans="1:54">
      <c r="A73" s="1" t="s">
        <v>118</v>
      </c>
      <c r="B73" s="540"/>
    </row>
    <row r="74" spans="1:54" ht="15.75" customHeight="1">
      <c r="A74" s="896"/>
      <c r="B74" s="896"/>
    </row>
    <row r="75" spans="1:54" s="534" customFormat="1" ht="18.75">
      <c r="A75" s="547" t="s">
        <v>150</v>
      </c>
      <c r="B75" s="55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row>
    <row r="76" spans="1:54">
      <c r="A76" s="1" t="s">
        <v>114</v>
      </c>
      <c r="B76" s="540"/>
    </row>
    <row r="77" spans="1:54">
      <c r="A77" s="1" t="s">
        <v>120</v>
      </c>
      <c r="B77" s="540"/>
    </row>
    <row r="78" spans="1:54">
      <c r="A78" s="1" t="s">
        <v>121</v>
      </c>
      <c r="B78" s="540"/>
    </row>
    <row r="79" spans="1:54">
      <c r="A79" s="1" t="s">
        <v>122</v>
      </c>
      <c r="B79" s="540"/>
    </row>
    <row r="80" spans="1:54">
      <c r="A80" s="353" t="s">
        <v>123</v>
      </c>
      <c r="B80" s="564"/>
    </row>
    <row r="81" spans="1:54">
      <c r="A81" s="1" t="s">
        <v>115</v>
      </c>
      <c r="B81" s="540"/>
    </row>
    <row r="82" spans="1:54">
      <c r="A82" s="1" t="s">
        <v>116</v>
      </c>
      <c r="B82" s="540"/>
    </row>
    <row r="83" spans="1:54">
      <c r="A83" s="1" t="s">
        <v>124</v>
      </c>
      <c r="B83" s="540"/>
    </row>
    <row r="84" spans="1:54">
      <c r="A84" s="1" t="s">
        <v>118</v>
      </c>
      <c r="B84" s="540"/>
    </row>
    <row r="85" spans="1:54">
      <c r="A85" s="896"/>
      <c r="B85" s="896"/>
    </row>
    <row r="86" spans="1:54" s="534" customFormat="1" ht="18.75">
      <c r="A86" s="547" t="s">
        <v>151</v>
      </c>
      <c r="B86" s="55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row>
    <row r="87" spans="1:54">
      <c r="A87" s="1" t="s">
        <v>114</v>
      </c>
      <c r="B87" s="540"/>
    </row>
    <row r="88" spans="1:54">
      <c r="A88" s="1" t="s">
        <v>120</v>
      </c>
      <c r="B88" s="540"/>
    </row>
    <row r="89" spans="1:54">
      <c r="A89" s="1" t="s">
        <v>121</v>
      </c>
      <c r="B89" s="540"/>
    </row>
    <row r="90" spans="1:54">
      <c r="A90" s="1" t="s">
        <v>122</v>
      </c>
      <c r="B90" s="540"/>
    </row>
    <row r="91" spans="1:54">
      <c r="A91" s="353" t="s">
        <v>123</v>
      </c>
      <c r="B91" s="564"/>
    </row>
    <row r="92" spans="1:54">
      <c r="A92" s="1" t="s">
        <v>115</v>
      </c>
      <c r="B92" s="540"/>
    </row>
    <row r="93" spans="1:54">
      <c r="A93" s="1" t="s">
        <v>116</v>
      </c>
      <c r="B93" s="540"/>
    </row>
    <row r="94" spans="1:54">
      <c r="A94" s="1" t="s">
        <v>124</v>
      </c>
      <c r="B94" s="540"/>
    </row>
    <row r="95" spans="1:54">
      <c r="A95" s="1" t="s">
        <v>118</v>
      </c>
      <c r="B95" s="540"/>
    </row>
    <row r="96" spans="1:54">
      <c r="A96" s="513" t="s">
        <v>148</v>
      </c>
      <c r="B96" s="540"/>
    </row>
    <row r="97" spans="1:54" ht="45">
      <c r="A97" s="513" t="s">
        <v>125</v>
      </c>
      <c r="B97" s="540"/>
    </row>
    <row r="98" spans="1:54" ht="45">
      <c r="A98" s="513" t="s">
        <v>126</v>
      </c>
      <c r="B98" s="540"/>
    </row>
    <row r="99" spans="1:54" ht="15.75" customHeight="1">
      <c r="A99" s="1" t="s">
        <v>152</v>
      </c>
      <c r="B99" s="540"/>
    </row>
    <row r="100" spans="1:54">
      <c r="A100" s="1" t="s">
        <v>153</v>
      </c>
      <c r="B100" s="540"/>
    </row>
    <row r="101" spans="1:54">
      <c r="A101" s="1" t="s">
        <v>154</v>
      </c>
      <c r="B101" s="540"/>
      <c r="C101" s="18"/>
    </row>
    <row r="102" spans="1:54">
      <c r="A102" s="895"/>
      <c r="B102" s="895"/>
      <c r="C102" s="18"/>
    </row>
    <row r="103" spans="1:54" s="534" customFormat="1" ht="18.75">
      <c r="A103" s="547" t="s">
        <v>155</v>
      </c>
      <c r="B103" s="553"/>
      <c r="C103" s="537"/>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row>
    <row r="104" spans="1:54">
      <c r="A104" s="1" t="s">
        <v>114</v>
      </c>
      <c r="B104" s="540"/>
      <c r="C104" t="s">
        <v>156</v>
      </c>
    </row>
    <row r="105" spans="1:54">
      <c r="A105" s="1" t="s">
        <v>120</v>
      </c>
      <c r="B105" s="540"/>
    </row>
    <row r="106" spans="1:54">
      <c r="A106" s="1" t="s">
        <v>121</v>
      </c>
      <c r="B106" s="540"/>
    </row>
    <row r="107" spans="1:54">
      <c r="A107" s="1" t="s">
        <v>122</v>
      </c>
      <c r="B107" s="540"/>
    </row>
    <row r="108" spans="1:54">
      <c r="A108" s="353" t="s">
        <v>123</v>
      </c>
      <c r="B108" s="564"/>
    </row>
    <row r="109" spans="1:54">
      <c r="A109" s="1" t="s">
        <v>115</v>
      </c>
      <c r="B109" s="540"/>
    </row>
    <row r="110" spans="1:54">
      <c r="A110" s="1" t="s">
        <v>116</v>
      </c>
      <c r="B110" s="540"/>
    </row>
    <row r="111" spans="1:54">
      <c r="A111" s="1" t="s">
        <v>124</v>
      </c>
      <c r="B111" s="540"/>
    </row>
    <row r="112" spans="1:54">
      <c r="A112" s="1" t="s">
        <v>118</v>
      </c>
      <c r="B112" s="540"/>
    </row>
    <row r="113" spans="1:3">
      <c r="A113" s="1" t="s">
        <v>152</v>
      </c>
      <c r="B113" s="540"/>
    </row>
    <row r="114" spans="1:3">
      <c r="A114" s="1" t="s">
        <v>157</v>
      </c>
      <c r="B114" s="540"/>
    </row>
    <row r="115" spans="1:3">
      <c r="A115" s="550" t="s">
        <v>158</v>
      </c>
      <c r="B115" s="550"/>
      <c r="C115" s="18"/>
    </row>
    <row r="116" spans="1:3" ht="75">
      <c r="A116" s="513" t="s">
        <v>159</v>
      </c>
      <c r="B116" s="287"/>
      <c r="C116" s="123"/>
    </row>
    <row r="117" spans="1:3" ht="30">
      <c r="A117" s="513" t="s">
        <v>160</v>
      </c>
      <c r="B117" s="287"/>
      <c r="C117" s="123"/>
    </row>
    <row r="118" spans="1:3" ht="19.5" customHeight="1">
      <c r="A118" s="1" t="s">
        <v>161</v>
      </c>
      <c r="B118" s="287"/>
    </row>
    <row r="119" spans="1:3" ht="27.95" customHeight="1">
      <c r="A119" s="513" t="s">
        <v>162</v>
      </c>
      <c r="B119" s="287"/>
    </row>
    <row r="120" spans="1:3" ht="44.45" customHeight="1">
      <c r="A120" s="513" t="s">
        <v>163</v>
      </c>
      <c r="B120" s="287"/>
      <c r="C120" s="513"/>
    </row>
    <row r="121" spans="1:3" ht="48.6" customHeight="1">
      <c r="A121" s="513" t="s">
        <v>164</v>
      </c>
      <c r="B121" s="287"/>
      <c r="C121" s="513"/>
    </row>
    <row r="122" spans="1:3">
      <c r="A122" s="551" t="s">
        <v>165</v>
      </c>
      <c r="B122" s="287"/>
      <c r="C122" s="538"/>
    </row>
    <row r="123" spans="1:3">
      <c r="A123" s="513" t="s">
        <v>166</v>
      </c>
      <c r="B123" s="284"/>
      <c r="C123" s="513"/>
    </row>
    <row r="124" spans="1:3" ht="30.95" customHeight="1">
      <c r="A124" s="868" t="s">
        <v>167</v>
      </c>
      <c r="B124" s="287"/>
      <c r="C124" s="513"/>
    </row>
    <row r="125" spans="1:3" ht="45">
      <c r="A125" s="513" t="s">
        <v>168</v>
      </c>
      <c r="B125" s="287"/>
      <c r="C125" s="513"/>
    </row>
    <row r="126" spans="1:3">
      <c r="A126" s="102" t="s">
        <v>169</v>
      </c>
      <c r="B126" s="287"/>
    </row>
    <row r="127" spans="1:3" ht="45">
      <c r="A127" s="513" t="s">
        <v>170</v>
      </c>
      <c r="B127" s="287"/>
      <c r="C127" s="513"/>
    </row>
    <row r="128" spans="1:3">
      <c r="A128" s="102" t="s">
        <v>169</v>
      </c>
      <c r="B128" s="287"/>
    </row>
    <row r="129" spans="1:54">
      <c r="A129" s="1" t="s">
        <v>171</v>
      </c>
      <c r="B129" s="545"/>
    </row>
    <row r="130" spans="1:54">
      <c r="A130" s="1" t="s">
        <v>172</v>
      </c>
      <c r="B130" s="287"/>
    </row>
    <row r="131" spans="1:54" ht="120">
      <c r="A131" s="513" t="s">
        <v>173</v>
      </c>
      <c r="B131" s="546"/>
      <c r="C131" s="513"/>
    </row>
    <row r="132" spans="1:54">
      <c r="A132" s="895"/>
      <c r="B132" s="895"/>
      <c r="C132" s="513"/>
    </row>
    <row r="133" spans="1:54" s="534" customFormat="1" ht="18.75">
      <c r="A133" s="547" t="s">
        <v>174</v>
      </c>
      <c r="B133" s="55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c r="A134" s="1" t="s">
        <v>114</v>
      </c>
      <c r="B134" s="540"/>
    </row>
    <row r="135" spans="1:54">
      <c r="A135" s="1" t="s">
        <v>120</v>
      </c>
      <c r="B135" s="540"/>
    </row>
    <row r="136" spans="1:54">
      <c r="A136" s="1" t="s">
        <v>121</v>
      </c>
      <c r="B136" s="540"/>
    </row>
    <row r="137" spans="1:54">
      <c r="A137" s="1" t="s">
        <v>122</v>
      </c>
      <c r="B137" s="540"/>
    </row>
    <row r="138" spans="1:54">
      <c r="A138" s="353" t="s">
        <v>123</v>
      </c>
      <c r="B138" s="564"/>
    </row>
    <row r="139" spans="1:54">
      <c r="A139" s="1" t="s">
        <v>115</v>
      </c>
      <c r="B139" s="540"/>
    </row>
    <row r="140" spans="1:54">
      <c r="A140" s="1" t="s">
        <v>116</v>
      </c>
      <c r="B140" s="540"/>
    </row>
    <row r="141" spans="1:54">
      <c r="A141" s="1" t="s">
        <v>124</v>
      </c>
      <c r="B141" s="539"/>
    </row>
    <row r="142" spans="1:54">
      <c r="A142" s="1" t="s">
        <v>118</v>
      </c>
      <c r="B142" s="540"/>
    </row>
    <row r="143" spans="1:54">
      <c r="A143" s="895"/>
      <c r="B143" s="895"/>
    </row>
    <row r="144" spans="1:54" s="534" customFormat="1" ht="18.75">
      <c r="A144" s="547" t="s">
        <v>175</v>
      </c>
      <c r="B144" s="55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row>
    <row r="145" spans="1:54">
      <c r="A145" s="1" t="s">
        <v>114</v>
      </c>
      <c r="B145" s="540"/>
    </row>
    <row r="146" spans="1:54">
      <c r="A146" s="1" t="s">
        <v>120</v>
      </c>
      <c r="B146" s="540"/>
    </row>
    <row r="147" spans="1:54">
      <c r="A147" s="1" t="s">
        <v>121</v>
      </c>
      <c r="B147" s="540"/>
    </row>
    <row r="148" spans="1:54">
      <c r="A148" s="1" t="s">
        <v>122</v>
      </c>
      <c r="B148" s="540"/>
    </row>
    <row r="149" spans="1:54">
      <c r="A149" s="1" t="s">
        <v>176</v>
      </c>
      <c r="B149" s="539"/>
    </row>
    <row r="150" spans="1:54">
      <c r="A150" s="1" t="s">
        <v>115</v>
      </c>
      <c r="B150" s="540"/>
    </row>
    <row r="151" spans="1:54">
      <c r="A151" s="1" t="s">
        <v>116</v>
      </c>
      <c r="B151" s="540"/>
    </row>
    <row r="152" spans="1:54">
      <c r="A152" s="1" t="s">
        <v>124</v>
      </c>
      <c r="B152" s="539"/>
    </row>
    <row r="153" spans="1:54">
      <c r="A153" s="1" t="s">
        <v>118</v>
      </c>
      <c r="B153" s="540"/>
    </row>
    <row r="154" spans="1:54">
      <c r="A154" s="1" t="s">
        <v>148</v>
      </c>
      <c r="B154" s="540"/>
    </row>
    <row r="155" spans="1:54" ht="45">
      <c r="A155" s="513" t="s">
        <v>125</v>
      </c>
      <c r="B155" s="540"/>
    </row>
    <row r="156" spans="1:54" ht="45">
      <c r="A156" s="513" t="s">
        <v>126</v>
      </c>
      <c r="B156" s="540"/>
    </row>
    <row r="157" spans="1:54">
      <c r="A157" s="895"/>
      <c r="B157" s="895"/>
    </row>
    <row r="158" spans="1:54" s="534" customFormat="1" ht="18.75">
      <c r="A158" s="547" t="s">
        <v>177</v>
      </c>
      <c r="B158" s="55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row>
    <row r="159" spans="1:54">
      <c r="A159" s="1" t="s">
        <v>114</v>
      </c>
      <c r="B159" s="540"/>
    </row>
    <row r="160" spans="1:54">
      <c r="A160" s="1" t="s">
        <v>120</v>
      </c>
      <c r="B160" s="540"/>
    </row>
    <row r="161" spans="1:54">
      <c r="A161" s="1" t="s">
        <v>121</v>
      </c>
      <c r="B161" s="540"/>
    </row>
    <row r="162" spans="1:54">
      <c r="A162" s="1" t="s">
        <v>122</v>
      </c>
      <c r="B162" s="540"/>
    </row>
    <row r="163" spans="1:54">
      <c r="A163" s="353" t="s">
        <v>123</v>
      </c>
      <c r="B163" s="564"/>
    </row>
    <row r="164" spans="1:54">
      <c r="A164" s="1" t="s">
        <v>115</v>
      </c>
      <c r="B164" s="540"/>
    </row>
    <row r="165" spans="1:54">
      <c r="A165" s="1" t="s">
        <v>116</v>
      </c>
      <c r="B165" s="540"/>
    </row>
    <row r="166" spans="1:54">
      <c r="A166" s="1" t="s">
        <v>124</v>
      </c>
      <c r="B166" s="539"/>
    </row>
    <row r="167" spans="1:54">
      <c r="A167" s="1" t="s">
        <v>118</v>
      </c>
      <c r="B167" s="540"/>
    </row>
    <row r="168" spans="1:54">
      <c r="A168" s="1" t="s">
        <v>148</v>
      </c>
      <c r="B168" s="540"/>
    </row>
    <row r="169" spans="1:54" ht="45">
      <c r="A169" s="513" t="s">
        <v>125</v>
      </c>
      <c r="B169" s="540"/>
    </row>
    <row r="170" spans="1:54" ht="45">
      <c r="A170" s="513" t="s">
        <v>126</v>
      </c>
      <c r="B170" s="540"/>
    </row>
    <row r="171" spans="1:54">
      <c r="A171" s="895"/>
      <c r="B171" s="895"/>
    </row>
    <row r="172" spans="1:54" s="534" customFormat="1" ht="18.75">
      <c r="A172" s="547" t="s">
        <v>178</v>
      </c>
      <c r="B172" s="55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row>
    <row r="173" spans="1:54">
      <c r="A173" s="1" t="s">
        <v>114</v>
      </c>
      <c r="B173" s="540"/>
    </row>
    <row r="174" spans="1:54">
      <c r="A174" s="1" t="s">
        <v>120</v>
      </c>
      <c r="B174" s="540"/>
    </row>
    <row r="175" spans="1:54">
      <c r="A175" s="1" t="s">
        <v>121</v>
      </c>
      <c r="B175" s="540"/>
    </row>
    <row r="176" spans="1:54">
      <c r="A176" s="1" t="s">
        <v>122</v>
      </c>
      <c r="B176" s="540"/>
    </row>
    <row r="177" spans="1:54">
      <c r="A177" s="353" t="s">
        <v>123</v>
      </c>
      <c r="B177" s="564"/>
    </row>
    <row r="178" spans="1:54">
      <c r="A178" s="1" t="s">
        <v>115</v>
      </c>
      <c r="B178" s="540"/>
    </row>
    <row r="179" spans="1:54">
      <c r="A179" s="1" t="s">
        <v>116</v>
      </c>
      <c r="B179" s="540"/>
    </row>
    <row r="180" spans="1:54">
      <c r="A180" s="1" t="s">
        <v>124</v>
      </c>
      <c r="B180" s="540"/>
    </row>
    <row r="181" spans="1:54">
      <c r="A181" s="1" t="s">
        <v>118</v>
      </c>
      <c r="B181" s="540"/>
    </row>
    <row r="182" spans="1:54">
      <c r="A182" s="1" t="s">
        <v>148</v>
      </c>
      <c r="B182" s="540"/>
    </row>
    <row r="183" spans="1:54" ht="45">
      <c r="A183" s="513" t="s">
        <v>125</v>
      </c>
      <c r="B183" s="540"/>
    </row>
    <row r="184" spans="1:54" ht="45">
      <c r="A184" s="513" t="s">
        <v>126</v>
      </c>
      <c r="B184" s="540"/>
    </row>
    <row r="185" spans="1:54" ht="15" customHeight="1">
      <c r="A185" s="895"/>
      <c r="B185" s="895"/>
    </row>
    <row r="186" spans="1:54" s="534" customFormat="1" ht="18.75">
      <c r="A186" s="547" t="s">
        <v>179</v>
      </c>
      <c r="B186" s="553"/>
      <c r="C186" s="18"/>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row>
    <row r="187" spans="1:54">
      <c r="A187" s="1" t="s">
        <v>114</v>
      </c>
      <c r="B187" s="540"/>
    </row>
    <row r="188" spans="1:54">
      <c r="A188" s="1" t="s">
        <v>120</v>
      </c>
      <c r="B188" s="540"/>
    </row>
    <row r="189" spans="1:54">
      <c r="A189" s="1" t="s">
        <v>121</v>
      </c>
      <c r="B189" s="540"/>
    </row>
    <row r="190" spans="1:54">
      <c r="A190" s="1" t="s">
        <v>122</v>
      </c>
      <c r="B190" s="540"/>
    </row>
    <row r="191" spans="1:54">
      <c r="A191" s="353" t="s">
        <v>123</v>
      </c>
      <c r="B191" s="564"/>
    </row>
    <row r="192" spans="1:54">
      <c r="A192" s="1" t="s">
        <v>115</v>
      </c>
      <c r="B192" s="540"/>
    </row>
    <row r="193" spans="1:2">
      <c r="A193" s="1" t="s">
        <v>116</v>
      </c>
      <c r="B193" s="540"/>
    </row>
    <row r="194" spans="1:2">
      <c r="A194" s="1" t="s">
        <v>124</v>
      </c>
      <c r="B194" s="539"/>
    </row>
    <row r="195" spans="1:2">
      <c r="A195" s="1" t="s">
        <v>118</v>
      </c>
      <c r="B195" s="540"/>
    </row>
    <row r="196" spans="1:2">
      <c r="A196" s="1" t="s">
        <v>148</v>
      </c>
      <c r="B196" s="540"/>
    </row>
    <row r="197" spans="1:2" ht="45">
      <c r="A197" s="513" t="s">
        <v>125</v>
      </c>
      <c r="B197" s="540"/>
    </row>
    <row r="198" spans="1:2" ht="45">
      <c r="A198" s="513" t="s">
        <v>126</v>
      </c>
      <c r="B198" s="540"/>
    </row>
    <row r="199" spans="1:2">
      <c r="A199" s="895"/>
      <c r="B199" s="895"/>
    </row>
    <row r="200" spans="1:2" ht="18.75">
      <c r="A200" s="547" t="s">
        <v>180</v>
      </c>
      <c r="B200" s="548"/>
    </row>
    <row r="201" spans="1:2">
      <c r="A201" s="1" t="s">
        <v>114</v>
      </c>
      <c r="B201" s="540"/>
    </row>
    <row r="202" spans="1:2">
      <c r="A202" s="1" t="s">
        <v>181</v>
      </c>
      <c r="B202" s="540"/>
    </row>
    <row r="203" spans="1:2">
      <c r="A203" s="1" t="s">
        <v>120</v>
      </c>
      <c r="B203" s="540"/>
    </row>
    <row r="204" spans="1:2">
      <c r="A204" s="1" t="s">
        <v>121</v>
      </c>
      <c r="B204" s="540"/>
    </row>
    <row r="205" spans="1:2">
      <c r="A205" s="1" t="s">
        <v>122</v>
      </c>
      <c r="B205" s="540"/>
    </row>
    <row r="206" spans="1:2">
      <c r="A206" s="353" t="s">
        <v>123</v>
      </c>
      <c r="B206" s="564"/>
    </row>
    <row r="207" spans="1:2">
      <c r="A207" s="1" t="s">
        <v>115</v>
      </c>
      <c r="B207" s="540"/>
    </row>
    <row r="208" spans="1:2">
      <c r="A208" s="1" t="s">
        <v>116</v>
      </c>
      <c r="B208" s="540"/>
    </row>
    <row r="209" spans="1:2">
      <c r="A209" s="1" t="s">
        <v>124</v>
      </c>
      <c r="B209" s="540"/>
    </row>
    <row r="210" spans="1:2">
      <c r="A210" s="1" t="s">
        <v>118</v>
      </c>
      <c r="B210" s="540"/>
    </row>
    <row r="211" spans="1:2">
      <c r="A211" s="895"/>
      <c r="B211" s="895"/>
    </row>
    <row r="212" spans="1:2" ht="18.75">
      <c r="A212" s="547" t="s">
        <v>180</v>
      </c>
      <c r="B212" s="548"/>
    </row>
    <row r="213" spans="1:2">
      <c r="A213" s="1" t="s">
        <v>114</v>
      </c>
      <c r="B213" s="540"/>
    </row>
    <row r="214" spans="1:2">
      <c r="A214" s="1" t="s">
        <v>181</v>
      </c>
      <c r="B214" s="540"/>
    </row>
    <row r="215" spans="1:2">
      <c r="A215" s="1" t="s">
        <v>120</v>
      </c>
      <c r="B215" s="540"/>
    </row>
    <row r="216" spans="1:2">
      <c r="A216" s="1" t="s">
        <v>121</v>
      </c>
      <c r="B216" s="540"/>
    </row>
    <row r="217" spans="1:2">
      <c r="A217" s="1" t="s">
        <v>122</v>
      </c>
      <c r="B217" s="540"/>
    </row>
    <row r="218" spans="1:2">
      <c r="A218" s="353" t="s">
        <v>123</v>
      </c>
      <c r="B218" s="564"/>
    </row>
    <row r="219" spans="1:2">
      <c r="A219" s="1" t="s">
        <v>115</v>
      </c>
      <c r="B219" s="540"/>
    </row>
    <row r="220" spans="1:2">
      <c r="A220" s="1" t="s">
        <v>116</v>
      </c>
      <c r="B220" s="540"/>
    </row>
    <row r="221" spans="1:2">
      <c r="A221" s="1" t="s">
        <v>124</v>
      </c>
      <c r="B221" s="540"/>
    </row>
    <row r="222" spans="1:2">
      <c r="A222" s="1" t="s">
        <v>118</v>
      </c>
      <c r="B222" s="540"/>
    </row>
    <row r="223" spans="1:2">
      <c r="A223" s="895"/>
      <c r="B223" s="895"/>
    </row>
    <row r="224" spans="1:2" ht="18.75">
      <c r="A224" s="547" t="s">
        <v>180</v>
      </c>
      <c r="B224" s="548"/>
    </row>
    <row r="225" spans="1:2">
      <c r="A225" s="1" t="s">
        <v>114</v>
      </c>
      <c r="B225" s="540"/>
    </row>
    <row r="226" spans="1:2">
      <c r="A226" s="1" t="s">
        <v>181</v>
      </c>
      <c r="B226" s="540"/>
    </row>
    <row r="227" spans="1:2">
      <c r="A227" s="1" t="s">
        <v>120</v>
      </c>
      <c r="B227" s="540"/>
    </row>
    <row r="228" spans="1:2">
      <c r="A228" s="1" t="s">
        <v>121</v>
      </c>
      <c r="B228" s="540"/>
    </row>
    <row r="229" spans="1:2">
      <c r="A229" s="1" t="s">
        <v>122</v>
      </c>
      <c r="B229" s="540"/>
    </row>
    <row r="230" spans="1:2">
      <c r="A230" s="353" t="s">
        <v>123</v>
      </c>
      <c r="B230" s="564"/>
    </row>
    <row r="231" spans="1:2">
      <c r="A231" s="1" t="s">
        <v>115</v>
      </c>
      <c r="B231" s="540"/>
    </row>
    <row r="232" spans="1:2">
      <c r="A232" s="1" t="s">
        <v>116</v>
      </c>
      <c r="B232" s="540"/>
    </row>
    <row r="233" spans="1:2">
      <c r="A233" s="1" t="s">
        <v>124</v>
      </c>
      <c r="B233" s="539"/>
    </row>
    <row r="234" spans="1:2">
      <c r="A234" s="1" t="s">
        <v>118</v>
      </c>
      <c r="B234" s="540"/>
    </row>
    <row r="235" spans="1:2">
      <c r="A235" s="895"/>
      <c r="B235" s="895"/>
    </row>
    <row r="236" spans="1:2" ht="18.75">
      <c r="A236" s="547" t="s">
        <v>182</v>
      </c>
      <c r="B236" s="548"/>
    </row>
    <row r="237" spans="1:2">
      <c r="A237" s="1" t="s">
        <v>114</v>
      </c>
      <c r="B237" s="540"/>
    </row>
    <row r="238" spans="1:2">
      <c r="A238" s="1" t="s">
        <v>120</v>
      </c>
      <c r="B238" s="540"/>
    </row>
    <row r="239" spans="1:2">
      <c r="A239" s="1" t="s">
        <v>121</v>
      </c>
      <c r="B239" s="540"/>
    </row>
    <row r="240" spans="1:2">
      <c r="A240" s="1" t="s">
        <v>122</v>
      </c>
      <c r="B240" s="540"/>
    </row>
    <row r="241" spans="1:2">
      <c r="A241" s="353" t="s">
        <v>123</v>
      </c>
      <c r="B241" s="564"/>
    </row>
    <row r="242" spans="1:2">
      <c r="A242" s="1" t="s">
        <v>115</v>
      </c>
      <c r="B242" s="540"/>
    </row>
    <row r="243" spans="1:2">
      <c r="A243" s="1" t="s">
        <v>116</v>
      </c>
      <c r="B243" s="540"/>
    </row>
    <row r="244" spans="1:2">
      <c r="A244" s="1" t="s">
        <v>124</v>
      </c>
      <c r="B244" s="539"/>
    </row>
    <row r="245" spans="1:2">
      <c r="A245" s="1" t="s">
        <v>118</v>
      </c>
      <c r="B245" s="540"/>
    </row>
    <row r="246" spans="1:2">
      <c r="A246" s="895"/>
      <c r="B246" s="895"/>
    </row>
    <row r="247" spans="1:2" ht="18.75">
      <c r="A247" s="547" t="s">
        <v>183</v>
      </c>
      <c r="B247" s="548"/>
    </row>
    <row r="248" spans="1:2">
      <c r="A248" s="1" t="s">
        <v>114</v>
      </c>
      <c r="B248" s="540"/>
    </row>
    <row r="249" spans="1:2">
      <c r="A249" s="1" t="s">
        <v>120</v>
      </c>
      <c r="B249" s="540"/>
    </row>
    <row r="250" spans="1:2">
      <c r="A250" s="1" t="s">
        <v>121</v>
      </c>
      <c r="B250" s="540"/>
    </row>
    <row r="251" spans="1:2">
      <c r="A251" s="1" t="s">
        <v>122</v>
      </c>
      <c r="B251" s="540"/>
    </row>
    <row r="252" spans="1:2">
      <c r="A252" s="353" t="s">
        <v>123</v>
      </c>
      <c r="B252" s="564"/>
    </row>
    <row r="253" spans="1:2">
      <c r="A253" s="1" t="s">
        <v>115</v>
      </c>
      <c r="B253" s="540"/>
    </row>
    <row r="254" spans="1:2">
      <c r="A254" s="1" t="s">
        <v>116</v>
      </c>
      <c r="B254" s="540"/>
    </row>
    <row r="255" spans="1:2">
      <c r="A255" s="1" t="s">
        <v>124</v>
      </c>
      <c r="B255" s="539"/>
    </row>
    <row r="256" spans="1:2">
      <c r="A256" s="1" t="s">
        <v>118</v>
      </c>
      <c r="B256" s="540"/>
    </row>
    <row r="257" spans="1:2">
      <c r="A257" s="895"/>
      <c r="B257" s="895"/>
    </row>
    <row r="258" spans="1:2" ht="18.75">
      <c r="A258" s="547" t="s">
        <v>184</v>
      </c>
      <c r="B258" s="548"/>
    </row>
    <row r="259" spans="1:2">
      <c r="A259" s="1" t="s">
        <v>114</v>
      </c>
      <c r="B259" s="540"/>
    </row>
    <row r="260" spans="1:2">
      <c r="A260" s="1" t="s">
        <v>120</v>
      </c>
      <c r="B260" s="540"/>
    </row>
    <row r="261" spans="1:2">
      <c r="A261" s="1" t="s">
        <v>121</v>
      </c>
      <c r="B261" s="540"/>
    </row>
    <row r="262" spans="1:2">
      <c r="A262" s="1" t="s">
        <v>122</v>
      </c>
      <c r="B262" s="540"/>
    </row>
    <row r="263" spans="1:2">
      <c r="A263" s="353" t="s">
        <v>123</v>
      </c>
      <c r="B263" s="564"/>
    </row>
    <row r="264" spans="1:2">
      <c r="A264" s="1" t="s">
        <v>115</v>
      </c>
      <c r="B264" s="540"/>
    </row>
    <row r="265" spans="1:2">
      <c r="A265" s="1" t="s">
        <v>116</v>
      </c>
      <c r="B265" s="540"/>
    </row>
    <row r="266" spans="1:2">
      <c r="A266" s="1" t="s">
        <v>124</v>
      </c>
      <c r="B266" s="540"/>
    </row>
    <row r="267" spans="1:2">
      <c r="A267" s="1" t="s">
        <v>118</v>
      </c>
      <c r="B267" s="540"/>
    </row>
    <row r="268" spans="1:2">
      <c r="A268" s="895"/>
      <c r="B268" s="895"/>
    </row>
    <row r="269" spans="1:2" ht="18.75">
      <c r="A269" s="547" t="s">
        <v>185</v>
      </c>
      <c r="B269" s="548"/>
    </row>
    <row r="270" spans="1:2">
      <c r="A270" s="1" t="s">
        <v>114</v>
      </c>
      <c r="B270" s="540"/>
    </row>
    <row r="271" spans="1:2">
      <c r="A271" s="1" t="s">
        <v>120</v>
      </c>
      <c r="B271" s="540"/>
    </row>
    <row r="272" spans="1:2">
      <c r="A272" s="1" t="s">
        <v>121</v>
      </c>
      <c r="B272" s="540"/>
    </row>
    <row r="273" spans="1:2">
      <c r="A273" s="1" t="s">
        <v>122</v>
      </c>
      <c r="B273" s="540"/>
    </row>
    <row r="274" spans="1:2">
      <c r="A274" s="353" t="s">
        <v>123</v>
      </c>
      <c r="B274" s="564"/>
    </row>
    <row r="275" spans="1:2">
      <c r="A275" s="1" t="s">
        <v>115</v>
      </c>
      <c r="B275" s="540"/>
    </row>
    <row r="276" spans="1:2">
      <c r="A276" s="1" t="s">
        <v>116</v>
      </c>
      <c r="B276" s="540"/>
    </row>
    <row r="277" spans="1:2">
      <c r="A277" s="1" t="s">
        <v>124</v>
      </c>
      <c r="B277" s="540"/>
    </row>
    <row r="278" spans="1:2">
      <c r="A278" s="1" t="s">
        <v>118</v>
      </c>
      <c r="B278" s="540"/>
    </row>
    <row r="279" spans="1:2">
      <c r="A279" s="895"/>
      <c r="B279" s="895"/>
    </row>
    <row r="280" spans="1:2" ht="18.75">
      <c r="A280" s="547" t="s">
        <v>186</v>
      </c>
      <c r="B280" s="548"/>
    </row>
    <row r="281" spans="1:2">
      <c r="A281" s="1" t="s">
        <v>114</v>
      </c>
      <c r="B281" s="540"/>
    </row>
    <row r="282" spans="1:2">
      <c r="A282" s="1" t="s">
        <v>120</v>
      </c>
      <c r="B282" s="540"/>
    </row>
    <row r="283" spans="1:2">
      <c r="A283" s="1" t="s">
        <v>121</v>
      </c>
      <c r="B283" s="540"/>
    </row>
    <row r="284" spans="1:2">
      <c r="A284" s="1" t="s">
        <v>122</v>
      </c>
      <c r="B284" s="540"/>
    </row>
    <row r="285" spans="1:2">
      <c r="A285" s="353" t="s">
        <v>123</v>
      </c>
      <c r="B285" s="564"/>
    </row>
    <row r="286" spans="1:2">
      <c r="A286" s="1" t="s">
        <v>115</v>
      </c>
      <c r="B286" s="540"/>
    </row>
    <row r="287" spans="1:2">
      <c r="A287" s="1" t="s">
        <v>116</v>
      </c>
      <c r="B287" s="540"/>
    </row>
    <row r="288" spans="1:2">
      <c r="A288" s="1" t="s">
        <v>124</v>
      </c>
      <c r="B288" s="540"/>
    </row>
    <row r="289" spans="1:2">
      <c r="A289" s="1" t="s">
        <v>118</v>
      </c>
      <c r="B289" s="540"/>
    </row>
    <row r="290" spans="1:2">
      <c r="A290" s="895"/>
      <c r="B290" s="895"/>
    </row>
    <row r="291" spans="1:2" ht="18.75">
      <c r="A291" s="547" t="s">
        <v>187</v>
      </c>
      <c r="B291" s="548"/>
    </row>
    <row r="292" spans="1:2">
      <c r="A292" s="1" t="s">
        <v>114</v>
      </c>
      <c r="B292" s="540"/>
    </row>
    <row r="293" spans="1:2">
      <c r="A293" s="1" t="s">
        <v>120</v>
      </c>
      <c r="B293" s="540"/>
    </row>
    <row r="294" spans="1:2">
      <c r="A294" s="1" t="s">
        <v>121</v>
      </c>
      <c r="B294" s="540"/>
    </row>
    <row r="295" spans="1:2">
      <c r="A295" s="1" t="s">
        <v>122</v>
      </c>
      <c r="B295" s="540"/>
    </row>
    <row r="296" spans="1:2">
      <c r="A296" s="1" t="s">
        <v>176</v>
      </c>
      <c r="B296" s="540"/>
    </row>
    <row r="297" spans="1:2">
      <c r="A297" s="1" t="s">
        <v>115</v>
      </c>
      <c r="B297" s="540"/>
    </row>
    <row r="298" spans="1:2">
      <c r="A298" s="1" t="s">
        <v>116</v>
      </c>
      <c r="B298" s="540"/>
    </row>
    <row r="299" spans="1:2">
      <c r="A299" s="1" t="s">
        <v>124</v>
      </c>
      <c r="B299" s="540"/>
    </row>
    <row r="300" spans="1:2">
      <c r="A300" s="1" t="s">
        <v>118</v>
      </c>
      <c r="B300" s="540"/>
    </row>
    <row r="301" spans="1:2">
      <c r="A301" s="895"/>
      <c r="B301" s="895"/>
    </row>
    <row r="302" spans="1:2" ht="18.75">
      <c r="A302" s="547" t="s">
        <v>188</v>
      </c>
      <c r="B302" s="548"/>
    </row>
    <row r="303" spans="1:2">
      <c r="A303" s="1" t="s">
        <v>114</v>
      </c>
      <c r="B303" s="540"/>
    </row>
    <row r="304" spans="1:2">
      <c r="A304" s="1" t="s">
        <v>120</v>
      </c>
      <c r="B304" s="540"/>
    </row>
    <row r="305" spans="1:2">
      <c r="A305" s="1" t="s">
        <v>121</v>
      </c>
      <c r="B305" s="540"/>
    </row>
    <row r="306" spans="1:2">
      <c r="A306" s="1" t="s">
        <v>122</v>
      </c>
      <c r="B306" s="540"/>
    </row>
    <row r="307" spans="1:2">
      <c r="A307" s="353" t="s">
        <v>123</v>
      </c>
      <c r="B307" s="564"/>
    </row>
    <row r="308" spans="1:2">
      <c r="A308" s="1" t="s">
        <v>115</v>
      </c>
      <c r="B308" s="540"/>
    </row>
    <row r="309" spans="1:2">
      <c r="A309" s="1" t="s">
        <v>116</v>
      </c>
      <c r="B309" s="540"/>
    </row>
    <row r="310" spans="1:2">
      <c r="A310" s="1" t="s">
        <v>124</v>
      </c>
      <c r="B310" s="540"/>
    </row>
    <row r="311" spans="1:2">
      <c r="A311" s="1" t="s">
        <v>118</v>
      </c>
      <c r="B311" s="540"/>
    </row>
    <row r="312" spans="1:2">
      <c r="A312" s="895"/>
      <c r="B312" s="895"/>
    </row>
    <row r="313" spans="1:2" ht="18.75">
      <c r="A313" s="547" t="s">
        <v>189</v>
      </c>
      <c r="B313" s="548"/>
    </row>
    <row r="314" spans="1:2">
      <c r="A314" s="1" t="s">
        <v>114</v>
      </c>
      <c r="B314" s="540"/>
    </row>
    <row r="315" spans="1:2">
      <c r="A315" s="1" t="s">
        <v>120</v>
      </c>
      <c r="B315" s="540"/>
    </row>
    <row r="316" spans="1:2">
      <c r="A316" s="1" t="s">
        <v>121</v>
      </c>
      <c r="B316" s="540"/>
    </row>
    <row r="317" spans="1:2">
      <c r="A317" s="1" t="s">
        <v>122</v>
      </c>
      <c r="B317" s="540"/>
    </row>
    <row r="318" spans="1:2">
      <c r="A318" s="353" t="s">
        <v>123</v>
      </c>
      <c r="B318" s="564"/>
    </row>
    <row r="319" spans="1:2">
      <c r="A319" s="1" t="s">
        <v>115</v>
      </c>
      <c r="B319" s="540"/>
    </row>
    <row r="320" spans="1:2">
      <c r="A320" s="1" t="s">
        <v>116</v>
      </c>
      <c r="B320" s="540"/>
    </row>
    <row r="321" spans="1:2">
      <c r="A321" s="1" t="s">
        <v>124</v>
      </c>
      <c r="B321" s="540"/>
    </row>
    <row r="322" spans="1:2">
      <c r="A322" s="1" t="s">
        <v>118</v>
      </c>
      <c r="B322" s="540"/>
    </row>
    <row r="323" spans="1:2">
      <c r="A323" s="895"/>
      <c r="B323" s="895"/>
    </row>
    <row r="324" spans="1:2" ht="18.75">
      <c r="A324" s="547" t="s">
        <v>190</v>
      </c>
      <c r="B324" s="548"/>
    </row>
    <row r="325" spans="1:2">
      <c r="A325" s="1" t="s">
        <v>114</v>
      </c>
      <c r="B325" s="540"/>
    </row>
    <row r="326" spans="1:2">
      <c r="A326" s="1" t="s">
        <v>120</v>
      </c>
      <c r="B326" s="540"/>
    </row>
    <row r="327" spans="1:2">
      <c r="A327" s="1" t="s">
        <v>121</v>
      </c>
      <c r="B327" s="540"/>
    </row>
    <row r="328" spans="1:2">
      <c r="A328" s="1" t="s">
        <v>122</v>
      </c>
      <c r="B328" s="540"/>
    </row>
    <row r="329" spans="1:2">
      <c r="A329" s="353" t="s">
        <v>123</v>
      </c>
      <c r="B329" s="564"/>
    </row>
    <row r="330" spans="1:2">
      <c r="A330" s="1" t="s">
        <v>115</v>
      </c>
      <c r="B330" s="540"/>
    </row>
    <row r="331" spans="1:2">
      <c r="A331" s="1" t="s">
        <v>116</v>
      </c>
      <c r="B331" s="540"/>
    </row>
    <row r="332" spans="1:2">
      <c r="A332" s="1" t="s">
        <v>124</v>
      </c>
      <c r="B332" s="540"/>
    </row>
    <row r="333" spans="1:2">
      <c r="A333" s="1" t="s">
        <v>118</v>
      </c>
      <c r="B333" s="690"/>
    </row>
    <row r="334" spans="1:2">
      <c r="A334" s="895"/>
      <c r="B334" s="895"/>
    </row>
    <row r="335" spans="1:2" ht="18.75">
      <c r="A335" s="547" t="s">
        <v>191</v>
      </c>
      <c r="B335" s="548"/>
    </row>
    <row r="336" spans="1:2">
      <c r="A336" s="1" t="s">
        <v>114</v>
      </c>
      <c r="B336" s="540"/>
    </row>
    <row r="337" spans="1:2">
      <c r="A337" s="1" t="s">
        <v>120</v>
      </c>
      <c r="B337" s="540"/>
    </row>
    <row r="338" spans="1:2">
      <c r="A338" s="1" t="s">
        <v>121</v>
      </c>
      <c r="B338" s="540"/>
    </row>
    <row r="339" spans="1:2">
      <c r="A339" s="1" t="s">
        <v>122</v>
      </c>
      <c r="B339" s="540"/>
    </row>
    <row r="340" spans="1:2">
      <c r="A340" s="353" t="s">
        <v>123</v>
      </c>
      <c r="B340" s="564"/>
    </row>
    <row r="341" spans="1:2">
      <c r="A341" s="1" t="s">
        <v>115</v>
      </c>
      <c r="B341" s="540"/>
    </row>
    <row r="342" spans="1:2">
      <c r="A342" s="1" t="s">
        <v>116</v>
      </c>
      <c r="B342" s="540"/>
    </row>
    <row r="343" spans="1:2">
      <c r="A343" s="1" t="s">
        <v>124</v>
      </c>
      <c r="B343" s="540"/>
    </row>
    <row r="344" spans="1:2">
      <c r="A344" s="1" t="s">
        <v>118</v>
      </c>
      <c r="B344" s="540"/>
    </row>
    <row r="345" spans="1:2">
      <c r="A345" s="1" t="s">
        <v>192</v>
      </c>
      <c r="B345" s="787"/>
    </row>
    <row r="346" spans="1:2">
      <c r="A346" s="895"/>
      <c r="B346" s="895"/>
    </row>
    <row r="347" spans="1:2" ht="18.75">
      <c r="A347" s="547" t="s">
        <v>193</v>
      </c>
      <c r="B347" s="548"/>
    </row>
    <row r="348" spans="1:2">
      <c r="A348" s="1" t="s">
        <v>114</v>
      </c>
      <c r="B348" s="540"/>
    </row>
    <row r="349" spans="1:2">
      <c r="A349" s="1" t="s">
        <v>120</v>
      </c>
      <c r="B349" s="540"/>
    </row>
    <row r="350" spans="1:2">
      <c r="A350" s="1" t="s">
        <v>121</v>
      </c>
      <c r="B350" s="540"/>
    </row>
    <row r="351" spans="1:2">
      <c r="A351" s="1" t="s">
        <v>122</v>
      </c>
      <c r="B351" s="540"/>
    </row>
    <row r="352" spans="1:2">
      <c r="A352" s="353" t="s">
        <v>123</v>
      </c>
      <c r="B352" s="564"/>
    </row>
    <row r="353" spans="1:2">
      <c r="A353" s="1" t="s">
        <v>115</v>
      </c>
      <c r="B353" s="540"/>
    </row>
    <row r="354" spans="1:2">
      <c r="A354" s="1" t="s">
        <v>116</v>
      </c>
      <c r="B354" s="540"/>
    </row>
    <row r="355" spans="1:2">
      <c r="A355" s="1" t="s">
        <v>124</v>
      </c>
      <c r="B355" s="540"/>
    </row>
    <row r="356" spans="1:2">
      <c r="A356" s="1" t="s">
        <v>118</v>
      </c>
      <c r="B356" s="540"/>
    </row>
    <row r="357" spans="1:2">
      <c r="A357" s="895"/>
      <c r="B357" s="895"/>
    </row>
    <row r="358" spans="1:2" ht="18.75">
      <c r="A358" s="547" t="s">
        <v>194</v>
      </c>
      <c r="B358" s="548"/>
    </row>
    <row r="359" spans="1:2">
      <c r="A359" s="1" t="s">
        <v>114</v>
      </c>
      <c r="B359" s="540"/>
    </row>
    <row r="360" spans="1:2">
      <c r="A360" s="1" t="s">
        <v>120</v>
      </c>
      <c r="B360" s="540"/>
    </row>
    <row r="361" spans="1:2">
      <c r="A361" s="1" t="s">
        <v>121</v>
      </c>
      <c r="B361" s="540"/>
    </row>
    <row r="362" spans="1:2">
      <c r="A362" s="1" t="s">
        <v>122</v>
      </c>
      <c r="B362" s="540"/>
    </row>
    <row r="363" spans="1:2">
      <c r="A363" s="353" t="s">
        <v>123</v>
      </c>
      <c r="B363" s="564"/>
    </row>
    <row r="364" spans="1:2">
      <c r="A364" s="1" t="s">
        <v>115</v>
      </c>
      <c r="B364" s="540"/>
    </row>
    <row r="365" spans="1:2">
      <c r="A365" s="1" t="s">
        <v>116</v>
      </c>
      <c r="B365" s="540"/>
    </row>
    <row r="366" spans="1:2">
      <c r="A366" s="1" t="s">
        <v>124</v>
      </c>
      <c r="B366" s="540"/>
    </row>
    <row r="367" spans="1:2">
      <c r="A367" s="1" t="s">
        <v>118</v>
      </c>
      <c r="B367" s="540"/>
    </row>
    <row r="368" spans="1:2">
      <c r="A368" s="895"/>
      <c r="B368" s="895"/>
    </row>
    <row r="369" spans="1:2" ht="18.75">
      <c r="A369" s="547" t="s">
        <v>195</v>
      </c>
      <c r="B369" s="548"/>
    </row>
    <row r="370" spans="1:2" ht="14.25" customHeight="1">
      <c r="A370" s="1" t="s">
        <v>196</v>
      </c>
      <c r="B370" s="540"/>
    </row>
    <row r="371" spans="1:2" ht="14.25" customHeight="1">
      <c r="A371" s="1" t="s">
        <v>197</v>
      </c>
      <c r="B371" s="540"/>
    </row>
    <row r="372" spans="1:2">
      <c r="A372" s="1" t="s">
        <v>120</v>
      </c>
      <c r="B372" s="540"/>
    </row>
    <row r="373" spans="1:2">
      <c r="A373" s="1" t="s">
        <v>121</v>
      </c>
      <c r="B373" s="540"/>
    </row>
    <row r="374" spans="1:2">
      <c r="A374" s="1" t="s">
        <v>122</v>
      </c>
      <c r="B374" s="540"/>
    </row>
    <row r="375" spans="1:2">
      <c r="A375" s="353" t="s">
        <v>123</v>
      </c>
      <c r="B375" s="564"/>
    </row>
    <row r="376" spans="1:2">
      <c r="A376" s="1" t="s">
        <v>115</v>
      </c>
      <c r="B376" s="540"/>
    </row>
    <row r="377" spans="1:2">
      <c r="A377" s="1" t="s">
        <v>116</v>
      </c>
      <c r="B377" s="540"/>
    </row>
    <row r="378" spans="1:2">
      <c r="A378" s="1" t="s">
        <v>124</v>
      </c>
      <c r="B378" s="540"/>
    </row>
    <row r="379" spans="1:2">
      <c r="A379" s="1" t="s">
        <v>118</v>
      </c>
      <c r="B379" s="540"/>
    </row>
    <row r="380" spans="1:2">
      <c r="A380" s="895"/>
      <c r="B380" s="895"/>
    </row>
    <row r="381" spans="1:2" ht="18.75">
      <c r="A381" s="547" t="s">
        <v>198</v>
      </c>
      <c r="B381" s="548"/>
    </row>
    <row r="382" spans="1:2">
      <c r="A382" s="1" t="s">
        <v>199</v>
      </c>
      <c r="B382" s="540"/>
    </row>
    <row r="383" spans="1:2">
      <c r="A383" s="1" t="s">
        <v>197</v>
      </c>
      <c r="B383" s="540"/>
    </row>
    <row r="384" spans="1:2">
      <c r="A384" s="1" t="s">
        <v>120</v>
      </c>
      <c r="B384" s="540"/>
    </row>
    <row r="385" spans="1:2">
      <c r="A385" s="1" t="s">
        <v>121</v>
      </c>
      <c r="B385" s="540"/>
    </row>
    <row r="386" spans="1:2">
      <c r="A386" s="1" t="s">
        <v>122</v>
      </c>
      <c r="B386" s="540"/>
    </row>
    <row r="387" spans="1:2">
      <c r="A387" s="353" t="s">
        <v>123</v>
      </c>
      <c r="B387" s="564"/>
    </row>
    <row r="388" spans="1:2">
      <c r="A388" s="1" t="s">
        <v>115</v>
      </c>
      <c r="B388" s="540"/>
    </row>
    <row r="389" spans="1:2">
      <c r="A389" s="1" t="s">
        <v>116</v>
      </c>
      <c r="B389" s="540"/>
    </row>
    <row r="390" spans="1:2">
      <c r="A390" s="1" t="s">
        <v>124</v>
      </c>
      <c r="B390" s="540"/>
    </row>
    <row r="391" spans="1:2">
      <c r="A391" s="1" t="s">
        <v>118</v>
      </c>
      <c r="B391" s="540"/>
    </row>
    <row r="392" spans="1:2">
      <c r="A392" s="895"/>
      <c r="B392" s="895"/>
    </row>
    <row r="393" spans="1:2" ht="18.75">
      <c r="A393" s="547" t="s">
        <v>200</v>
      </c>
      <c r="B393" s="548"/>
    </row>
    <row r="394" spans="1:2">
      <c r="A394" s="1" t="s">
        <v>199</v>
      </c>
      <c r="B394" s="540"/>
    </row>
    <row r="395" spans="1:2">
      <c r="A395" s="1" t="s">
        <v>120</v>
      </c>
      <c r="B395" s="540"/>
    </row>
    <row r="396" spans="1:2">
      <c r="A396" s="1" t="s">
        <v>121</v>
      </c>
      <c r="B396" s="540"/>
    </row>
    <row r="397" spans="1:2">
      <c r="A397" s="1" t="s">
        <v>122</v>
      </c>
      <c r="B397" s="540"/>
    </row>
    <row r="398" spans="1:2">
      <c r="A398" s="353" t="s">
        <v>123</v>
      </c>
      <c r="B398" s="564"/>
    </row>
    <row r="399" spans="1:2">
      <c r="A399" s="1" t="s">
        <v>115</v>
      </c>
      <c r="B399" s="540"/>
    </row>
    <row r="400" spans="1:2">
      <c r="A400" s="1" t="s">
        <v>116</v>
      </c>
      <c r="B400" s="540"/>
    </row>
    <row r="401" spans="1:2">
      <c r="A401" s="1" t="s">
        <v>124</v>
      </c>
      <c r="B401" s="540"/>
    </row>
    <row r="402" spans="1:2">
      <c r="A402" s="1" t="s">
        <v>118</v>
      </c>
      <c r="B402" s="690"/>
    </row>
    <row r="403" spans="1:2">
      <c r="A403" s="1"/>
      <c r="B403" s="863"/>
    </row>
    <row r="404" spans="1:2" ht="18.75">
      <c r="A404" s="547" t="s">
        <v>201</v>
      </c>
      <c r="B404" s="548"/>
    </row>
    <row r="405" spans="1:2">
      <c r="A405" s="1" t="s">
        <v>199</v>
      </c>
      <c r="B405" s="540"/>
    </row>
    <row r="406" spans="1:2">
      <c r="A406" s="1" t="s">
        <v>120</v>
      </c>
      <c r="B406" s="540"/>
    </row>
    <row r="407" spans="1:2">
      <c r="A407" s="1" t="s">
        <v>121</v>
      </c>
      <c r="B407" s="540"/>
    </row>
    <row r="408" spans="1:2">
      <c r="A408" s="1" t="s">
        <v>122</v>
      </c>
      <c r="B408" s="540"/>
    </row>
    <row r="409" spans="1:2">
      <c r="A409" s="353" t="s">
        <v>123</v>
      </c>
      <c r="B409" s="564"/>
    </row>
    <row r="410" spans="1:2">
      <c r="A410" s="1" t="s">
        <v>115</v>
      </c>
      <c r="B410" s="540"/>
    </row>
    <row r="411" spans="1:2">
      <c r="A411" s="1" t="s">
        <v>116</v>
      </c>
      <c r="B411" s="540"/>
    </row>
    <row r="412" spans="1:2">
      <c r="A412" s="1" t="s">
        <v>124</v>
      </c>
      <c r="B412" s="540"/>
    </row>
    <row r="413" spans="1:2">
      <c r="A413" s="1" t="s">
        <v>118</v>
      </c>
      <c r="B413" s="540"/>
    </row>
    <row r="414" spans="1:2">
      <c r="A414" s="895"/>
      <c r="B414" s="895"/>
    </row>
    <row r="415" spans="1:2" ht="18.75">
      <c r="A415" s="547" t="s">
        <v>202</v>
      </c>
      <c r="B415" s="548"/>
    </row>
    <row r="416" spans="1:2">
      <c r="A416" s="1" t="s">
        <v>114</v>
      </c>
      <c r="B416" s="540"/>
    </row>
    <row r="417" spans="1:24">
      <c r="A417" s="1" t="s">
        <v>120</v>
      </c>
      <c r="B417" s="540"/>
    </row>
    <row r="418" spans="1:24">
      <c r="A418" s="1" t="s">
        <v>121</v>
      </c>
      <c r="B418" s="540"/>
    </row>
    <row r="419" spans="1:24">
      <c r="A419" s="1" t="s">
        <v>122</v>
      </c>
      <c r="B419" s="540"/>
    </row>
    <row r="420" spans="1:24">
      <c r="A420" s="353" t="s">
        <v>123</v>
      </c>
      <c r="B420" s="564"/>
    </row>
    <row r="421" spans="1:24">
      <c r="A421" s="1" t="s">
        <v>203</v>
      </c>
      <c r="B421" s="540"/>
    </row>
    <row r="422" spans="1:24">
      <c r="A422" s="1" t="s">
        <v>204</v>
      </c>
      <c r="B422" s="540"/>
    </row>
    <row r="423" spans="1:24">
      <c r="A423" s="1" t="s">
        <v>124</v>
      </c>
      <c r="B423" s="540"/>
    </row>
    <row r="424" spans="1:24">
      <c r="A424" s="1" t="s">
        <v>118</v>
      </c>
      <c r="B424" s="540"/>
    </row>
    <row r="425" spans="1:24">
      <c r="A425" s="895"/>
      <c r="B425" s="895"/>
    </row>
    <row r="426" spans="1:24" s="533" customFormat="1" ht="18.75">
      <c r="A426" s="554" t="s">
        <v>205</v>
      </c>
      <c r="B426" s="555"/>
      <c r="C426"/>
      <c r="D426"/>
      <c r="E426"/>
      <c r="F426"/>
      <c r="G426"/>
      <c r="H426"/>
      <c r="I426"/>
      <c r="J426"/>
      <c r="K426"/>
      <c r="L426"/>
      <c r="M426"/>
      <c r="N426"/>
      <c r="O426"/>
      <c r="P426"/>
      <c r="Q426"/>
      <c r="R426"/>
      <c r="S426"/>
      <c r="T426"/>
      <c r="U426"/>
      <c r="V426"/>
      <c r="W426"/>
      <c r="X426"/>
    </row>
    <row r="427" spans="1:24" ht="18.75">
      <c r="A427" s="547" t="s">
        <v>206</v>
      </c>
      <c r="B427" s="548"/>
    </row>
    <row r="428" spans="1:24">
      <c r="A428" s="1" t="s">
        <v>114</v>
      </c>
      <c r="B428" s="540"/>
    </row>
    <row r="429" spans="1:24">
      <c r="A429" s="1" t="s">
        <v>120</v>
      </c>
      <c r="B429" s="540"/>
    </row>
    <row r="430" spans="1:24">
      <c r="A430" s="1" t="s">
        <v>121</v>
      </c>
      <c r="B430" s="540"/>
    </row>
    <row r="431" spans="1:24">
      <c r="A431" s="1" t="s">
        <v>122</v>
      </c>
      <c r="B431" s="540"/>
    </row>
    <row r="432" spans="1:24">
      <c r="A432" s="353" t="s">
        <v>123</v>
      </c>
      <c r="B432" s="564"/>
    </row>
    <row r="433" spans="1:2">
      <c r="A433" s="1" t="s">
        <v>115</v>
      </c>
      <c r="B433" s="540"/>
    </row>
    <row r="434" spans="1:2">
      <c r="A434" s="1" t="s">
        <v>116</v>
      </c>
      <c r="B434" s="540"/>
    </row>
    <row r="435" spans="1:2">
      <c r="A435" s="1" t="s">
        <v>124</v>
      </c>
      <c r="B435" s="540"/>
    </row>
    <row r="436" spans="1:2">
      <c r="A436" s="1" t="s">
        <v>118</v>
      </c>
      <c r="B436" s="540"/>
    </row>
    <row r="437" spans="1:2">
      <c r="A437" s="895"/>
      <c r="B437" s="895"/>
    </row>
    <row r="438" spans="1:2" ht="18.75">
      <c r="A438" s="547" t="s">
        <v>207</v>
      </c>
      <c r="B438" s="548"/>
    </row>
    <row r="439" spans="1:2">
      <c r="A439" s="1" t="s">
        <v>114</v>
      </c>
      <c r="B439" s="540"/>
    </row>
    <row r="440" spans="1:2">
      <c r="A440" s="1" t="s">
        <v>120</v>
      </c>
      <c r="B440" s="540"/>
    </row>
    <row r="441" spans="1:2">
      <c r="A441" s="1" t="s">
        <v>121</v>
      </c>
      <c r="B441" s="540"/>
    </row>
    <row r="442" spans="1:2">
      <c r="A442" s="1" t="s">
        <v>122</v>
      </c>
      <c r="B442" s="540"/>
    </row>
    <row r="443" spans="1:2">
      <c r="A443" s="353" t="s">
        <v>123</v>
      </c>
      <c r="B443" s="564"/>
    </row>
    <row r="444" spans="1:2">
      <c r="A444" s="1" t="s">
        <v>115</v>
      </c>
      <c r="B444" s="540"/>
    </row>
    <row r="445" spans="1:2">
      <c r="A445" s="1" t="s">
        <v>116</v>
      </c>
      <c r="B445" s="540"/>
    </row>
    <row r="446" spans="1:2">
      <c r="A446" s="1" t="s">
        <v>124</v>
      </c>
      <c r="B446" s="540"/>
    </row>
    <row r="447" spans="1:2">
      <c r="A447" s="1" t="s">
        <v>118</v>
      </c>
      <c r="B447" s="540"/>
    </row>
    <row r="448" spans="1:2">
      <c r="A448" s="895"/>
      <c r="B448" s="895"/>
    </row>
    <row r="449" spans="1:2" ht="18.75">
      <c r="A449" s="547" t="s">
        <v>208</v>
      </c>
      <c r="B449" s="548"/>
    </row>
    <row r="450" spans="1:2">
      <c r="A450" s="1" t="s">
        <v>114</v>
      </c>
      <c r="B450" s="540"/>
    </row>
    <row r="451" spans="1:2">
      <c r="A451" s="1" t="s">
        <v>120</v>
      </c>
      <c r="B451" s="540"/>
    </row>
    <row r="452" spans="1:2">
      <c r="A452" s="1" t="s">
        <v>121</v>
      </c>
      <c r="B452" s="540"/>
    </row>
    <row r="453" spans="1:2">
      <c r="A453" s="1" t="s">
        <v>122</v>
      </c>
      <c r="B453" s="540"/>
    </row>
    <row r="454" spans="1:2">
      <c r="A454" s="353" t="s">
        <v>123</v>
      </c>
      <c r="B454" s="564"/>
    </row>
    <row r="455" spans="1:2">
      <c r="A455" s="1" t="s">
        <v>115</v>
      </c>
      <c r="B455" s="540"/>
    </row>
    <row r="456" spans="1:2">
      <c r="A456" s="1" t="s">
        <v>116</v>
      </c>
      <c r="B456" s="540"/>
    </row>
    <row r="457" spans="1:2">
      <c r="A457" s="1" t="s">
        <v>124</v>
      </c>
      <c r="B457" s="540"/>
    </row>
    <row r="458" spans="1:2">
      <c r="A458" s="1" t="s">
        <v>118</v>
      </c>
      <c r="B458" s="540"/>
    </row>
    <row r="459" spans="1:2">
      <c r="A459" s="895"/>
      <c r="B459" s="895"/>
    </row>
    <row r="460" spans="1:2" ht="18.75">
      <c r="A460" s="547" t="s">
        <v>209</v>
      </c>
      <c r="B460" s="548"/>
    </row>
    <row r="461" spans="1:2">
      <c r="A461" s="1" t="s">
        <v>114</v>
      </c>
      <c r="B461" s="540"/>
    </row>
    <row r="462" spans="1:2">
      <c r="A462" s="1" t="s">
        <v>120</v>
      </c>
      <c r="B462" s="540"/>
    </row>
    <row r="463" spans="1:2">
      <c r="A463" s="1" t="s">
        <v>121</v>
      </c>
      <c r="B463" s="540"/>
    </row>
    <row r="464" spans="1:2">
      <c r="A464" s="1" t="s">
        <v>122</v>
      </c>
      <c r="B464" s="540"/>
    </row>
    <row r="465" spans="1:2">
      <c r="A465" s="353" t="s">
        <v>123</v>
      </c>
      <c r="B465" s="564"/>
    </row>
    <row r="466" spans="1:2" ht="12.6" customHeight="1">
      <c r="A466" s="1" t="s">
        <v>115</v>
      </c>
      <c r="B466" s="540"/>
    </row>
    <row r="467" spans="1:2">
      <c r="A467" s="1" t="s">
        <v>116</v>
      </c>
      <c r="B467" s="540"/>
    </row>
    <row r="468" spans="1:2">
      <c r="A468" s="1" t="s">
        <v>124</v>
      </c>
      <c r="B468" s="540"/>
    </row>
    <row r="469" spans="1:2">
      <c r="A469" s="1" t="s">
        <v>118</v>
      </c>
      <c r="B469" s="540"/>
    </row>
  </sheetData>
  <sheetProtection algorithmName="SHA-512" hashValue="tf+ditcRr1QVVUlROQYgTAOzU25/y+TNDCpRGW+kQn5/Fe1138o+aOV3g6pzJNxAm+PIB2KBeiNP1S+8x7sZdA==" saltValue="WHXUt4XpqP3aHVV6oQI/tA==" spinCount="100000" sheet="1" objects="1" scenarios="1"/>
  <dataConsolidate/>
  <mergeCells count="36">
    <mergeCell ref="A2:B2"/>
    <mergeCell ref="A63:B63"/>
    <mergeCell ref="A49:B49"/>
    <mergeCell ref="A9:B9"/>
    <mergeCell ref="A3:B3"/>
    <mergeCell ref="A157:B157"/>
    <mergeCell ref="A143:B143"/>
    <mergeCell ref="A132:B132"/>
    <mergeCell ref="A102:B102"/>
    <mergeCell ref="A74:B74"/>
    <mergeCell ref="A85:B85"/>
    <mergeCell ref="A235:B235"/>
    <mergeCell ref="A223:B223"/>
    <mergeCell ref="A211:B211"/>
    <mergeCell ref="A199:B199"/>
    <mergeCell ref="A171:B171"/>
    <mergeCell ref="A185:B185"/>
    <mergeCell ref="A290:B290"/>
    <mergeCell ref="A279:B279"/>
    <mergeCell ref="A268:B268"/>
    <mergeCell ref="A257:B257"/>
    <mergeCell ref="A246:B246"/>
    <mergeCell ref="A459:B459"/>
    <mergeCell ref="A448:B448"/>
    <mergeCell ref="A437:B437"/>
    <mergeCell ref="A425:B425"/>
    <mergeCell ref="A414:B414"/>
    <mergeCell ref="A334:B334"/>
    <mergeCell ref="A323:B323"/>
    <mergeCell ref="A312:B312"/>
    <mergeCell ref="A301:B301"/>
    <mergeCell ref="A392:B392"/>
    <mergeCell ref="A380:B380"/>
    <mergeCell ref="A368:B368"/>
    <mergeCell ref="A357:B357"/>
    <mergeCell ref="A346:B346"/>
  </mergeCells>
  <dataValidations count="17">
    <dataValidation type="list" allowBlank="1" showInputMessage="1" showErrorMessage="1" errorTitle="Owning an Interest " error="Please select a valid value for NP/PHA owning an interest." sqref="B117" xr:uid="{9F065954-6442-4197-A5B6-7007D24CDE2F}">
      <formula1>Yes_No_List</formula1>
    </dataValidation>
    <dataValidation type="list" allowBlank="1" showInputMessage="1" showErrorMessage="1" errorTitle="Tax Credits in Other States" error="Please select a valid value for previous tax credits in other states." sqref="B27" xr:uid="{F46957E4-2F9E-4EEF-87C0-F1F39BE0FAD5}">
      <formula1>Yes_No_List</formula1>
    </dataValidation>
    <dataValidation type="list" allowBlank="1" showInputMessage="1" showErrorMessage="1" errorTitle="Previous Tax Credits in Colorado" error="Please select a valid value for previous tax credits in Colorado." sqref="B25" xr:uid="{3FA395FC-0098-4B0D-B41C-5E863E1A2F49}">
      <formula1>Yes_No_List</formula1>
    </dataValidation>
    <dataValidation type="list" allowBlank="1" showInputMessage="1" showErrorMessage="1" errorTitle="Entity Type" error="Please supply a valid value for Entity Type." sqref="B24"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26" xr:uid="{FC912CA2-71DF-4139-A918-711C2F4C99AF}">
      <formula1>ROUND(MOD(10000*B426,1), 3)= 0</formula1>
    </dataValidation>
    <dataValidation allowBlank="1" showInputMessage="1" showErrorMessage="1" errorTitle="State Equity Factor" error="Please enter a number for State Equity Factor and ensure that the number does not exceed 4 deimals." sqref="B16:B17 B56:B57" xr:uid="{C5D87039-8F2F-474B-B546-955AE8D7EB51}"/>
    <dataValidation type="custom" allowBlank="1" showInputMessage="1" showErrorMessage="1" errorTitle="Numbers Only" error="Please enter a ten digit number" sqref="B7 B18" xr:uid="{6D8C4B87-1BA1-4E09-8986-81619D3BED5C}">
      <formula1>AND(B7&gt;1111111111,B7&lt;9999999999)</formula1>
    </dataValidation>
    <dataValidation type="custom" allowBlank="1" showInputMessage="1" showErrorMessage="1" sqref="B465 B91 B138 B163 B191 B206 B218 B307 B241 B230 B177 B149 B108 B80 B296 B285 B274 B252 B263 B55 B69 B318 B329 B340 B352 B363 B375 B387 B409 B420 B432 B443 B454 B15 B398" xr:uid="{B5510F6D-3E58-4D82-935E-FA4E3CE82378}">
      <formula1>AND(B15&gt;11111,B15&lt;99999)</formula1>
    </dataValidation>
    <dataValidation type="custom" allowBlank="1" showInputMessage="1" showErrorMessage="1" errorTitle="Enter numbers only" error="Please eneter a ten digit number" sqref="B58" xr:uid="{3FDB2673-47C9-44F4-BD0A-43865A86DFC2}">
      <formula1>AND(B58&gt;1111111111,B58&lt;9999999999)</formula1>
    </dataValidation>
    <dataValidation allowBlank="1" showInputMessage="1" errorTitle="State Equity Factor" error="Please enter a number for State Equity Factor and ensure that the number does not exceed 4 deimals." sqref="B73 B70:B71 B66:B67 B20:B22 B197:B198 B61:B62 B155:B156 B97:B98 B169:B170 B183:B184" xr:uid="{6F7FFBA1-4B66-461B-8E79-0A8B36FB0EE4}"/>
    <dataValidation type="custom" allowBlank="1" showInputMessage="1" showErrorMessage="1" sqref="B72 B111 B141 B166 B180 B194 B209 B221 B233 B244 B83 B255 B152 B468 B299 B266 B277 B288 B310 B321 B332 B343 B355 B366 B378 B390 B412 B423 B435 B446 B457 B94 B401" xr:uid="{64650D1E-0A99-45A5-8FC5-72F6C4EAA2E6}">
      <formula1>AND(B72&gt;1111111111,B72&lt;9999999999)</formula1>
    </dataValidation>
    <dataValidation type="list" allowBlank="1" showInputMessage="1" showErrorMessage="1" sqref="B113" xr:uid="{41D0AB3A-EAEA-4324-99AA-DA7CF710978C}">
      <formula1>Legal_Status_List</formula1>
    </dataValidation>
    <dataValidation type="date" allowBlank="1" showInputMessage="1" showErrorMessage="1" sqref="B129" xr:uid="{D21985E2-6DD1-4D8A-A183-839B42B94878}">
      <formula1>1</formula1>
      <formula2>56980</formula2>
    </dataValidation>
    <dataValidation type="textLength" operator="lessThanOrEqual" allowBlank="1" showInputMessage="1" showErrorMessage="1" errorTitle="50 Character Limit" error="Must be less than 50 characters" sqref="B4 B11 B51 B65 B76 B87 B104 B134 B145 B173 B187 B201 B213 B225 B237 B248 B259 B270 B281 B292 B303 B314 B325 B336 B348 B359 B370:B371 B382:B383 B405 B416 B428 B439 B450 B461 B394" xr:uid="{0CA7A7B9-1843-4BE3-9900-BDD3BFFDB318}">
      <formula1>50</formula1>
    </dataValidation>
    <dataValidation type="list" allowBlank="1" showInputMessage="1" showErrorMessage="1" errorTitle="Developments in Service" error="Please select a valid value for developments in service." sqref="B29" xr:uid="{B4AC0444-696E-4376-8160-84217076D0C2}">
      <formula1>Yes_No_List</formula1>
    </dataValidation>
    <dataValidation type="whole" allowBlank="1" showInputMessage="1" showErrorMessage="1" sqref="B100" xr:uid="{DA86EF3D-BB91-4BE5-A5F2-2124F1E0CAA9}">
      <formula1>0</formula1>
      <formula2>999999999</formula2>
    </dataValidation>
    <dataValidation type="list" allowBlank="1" showInputMessage="1" showErrorMessage="1" errorTitle="Legal Status" error="Select value from Legal Status dropdown" sqref="B99"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Lookup!$A$211:$A$260</xm:f>
          </x14:formula1>
          <xm:sqref>B229 B240</xm:sqref>
        </x14:dataValidation>
        <x14:dataValidation type="list" allowBlank="1" showInputMessage="1" showErrorMessage="1" errorTitle="Status of Entity" error="Please select from the Status of Entity dropdown." xr:uid="{F5F264EB-BA68-4162-82F7-26816E394A10}">
          <x14:formula1>
            <xm:f>Lookup!$B$201:$B$202</xm:f>
          </x14:formula1>
          <xm:sqref>B101</xm:sqref>
        </x14:dataValidation>
        <x14:dataValidation type="list" allowBlank="1" showInputMessage="1" showErrorMessage="1" xr:uid="{3D0E1EF3-D7EA-4D26-84EA-6FF4AA9E177F}">
          <x14:formula1>
            <xm:f>Lookup!$A$211:$A$260</xm:f>
          </x14:formula1>
          <xm:sqref>B14 B464 B453 B442 B431 B419 B408 B386 B374 B362 B351 B339 B328 B317 B306 B284 B295 B273 B262 B251 B217 B205 B190 B176 B162 B137 B148 B107 B90 B79 B68 B54 B397</xm:sqref>
        </x14:dataValidation>
        <x14:dataValidation type="list" allowBlank="1" showInputMessage="1" showErrorMessage="1" xr:uid="{E472F258-F38F-423C-B57F-5061B6B9F3BD}">
          <x14:formula1>
            <xm:f>Lookup!$A$4:$A$5</xm:f>
          </x14:formula1>
          <xm:sqref>B116 B121 B125 B127</xm:sqref>
        </x14:dataValidation>
        <x14:dataValidation type="list" allowBlank="1" showInputMessage="1" showErrorMessage="1" xr:uid="{A687B62C-43D4-48B5-9660-1740E581009B}">
          <x14:formula1>
            <xm:f>Lookup!$F$139:$F$140</xm:f>
          </x14:formula1>
          <xm:sqref>B345</xm:sqref>
        </x14:dataValidation>
        <x14:dataValidation type="list" allowBlank="1" showInputMessage="1" showErrorMessage="1" xr:uid="{D3060AAA-3346-4176-940C-68699D29796B}">
          <x14:formula1>
            <xm:f>Lookup!$D$145:$D$150</xm:f>
          </x14:formula1>
          <xm:sqref>E40:E42 E45:E48</xm:sqref>
        </x14:dataValidation>
        <x14:dataValidation type="list" allowBlank="1" showInputMessage="1" showErrorMessage="1" xr:uid="{2C3A6B11-5FFA-4726-851D-36AD7D038867}">
          <x14:formula1>
            <xm:f>Lookup!$E$145:$E$147</xm:f>
          </x14:formula1>
          <xm:sqref>F40:F42 F45:F48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6"/>
  <sheetViews>
    <sheetView showGridLines="0" zoomScale="120" zoomScaleNormal="120" workbookViewId="0"/>
  </sheetViews>
  <sheetFormatPr defaultColWidth="9" defaultRowHeight="15"/>
  <cols>
    <col min="1" max="1" width="58.140625" style="59" customWidth="1"/>
    <col min="2" max="2" width="38.7109375" style="59" customWidth="1"/>
    <col min="3" max="3" width="170.140625" style="59" customWidth="1"/>
    <col min="4" max="16384" width="9" style="59"/>
  </cols>
  <sheetData>
    <row r="1" spans="1:4" ht="21">
      <c r="A1" s="4" t="s">
        <v>210</v>
      </c>
      <c r="B1" s="2"/>
      <c r="C1" s="451"/>
      <c r="D1" s="88"/>
    </row>
    <row r="2" spans="1:4" ht="14.25" customHeight="1">
      <c r="A2" s="88" t="s">
        <v>211</v>
      </c>
      <c r="B2" s="311" t="s">
        <v>212</v>
      </c>
      <c r="C2" s="88"/>
      <c r="D2" s="88"/>
    </row>
    <row r="4" spans="1:4">
      <c r="A4" s="1" t="s">
        <v>213</v>
      </c>
      <c r="B4" s="452"/>
      <c r="C4" s="10"/>
      <c r="D4" s="184"/>
    </row>
    <row r="5" spans="1:4">
      <c r="A5" s="1" t="s">
        <v>214</v>
      </c>
      <c r="B5" s="453"/>
      <c r="C5" s="10" t="s">
        <v>215</v>
      </c>
      <c r="D5" s="184"/>
    </row>
    <row r="6" spans="1:4">
      <c r="A6" s="1" t="s">
        <v>216</v>
      </c>
      <c r="B6" s="284"/>
      <c r="C6"/>
      <c r="D6" s="184"/>
    </row>
    <row r="7" spans="1:4">
      <c r="A7" s="1" t="s">
        <v>217</v>
      </c>
      <c r="B7" s="454"/>
      <c r="C7" s="10" t="s">
        <v>218</v>
      </c>
      <c r="D7" s="184"/>
    </row>
    <row r="8" spans="1:4">
      <c r="A8" s="513" t="s">
        <v>219</v>
      </c>
      <c r="B8" s="454"/>
      <c r="C8" s="267" t="s">
        <v>220</v>
      </c>
      <c r="D8" s="184"/>
    </row>
    <row r="9" spans="1:4">
      <c r="A9" s="334" t="s">
        <v>221</v>
      </c>
      <c r="B9" s="454"/>
      <c r="C9" s="267"/>
      <c r="D9" s="184"/>
    </row>
    <row r="10" spans="1:4">
      <c r="A10" s="60" t="s">
        <v>222</v>
      </c>
      <c r="B10" s="454"/>
      <c r="C10" s="10"/>
      <c r="D10" s="184"/>
    </row>
    <row r="11" spans="1:4">
      <c r="A11" s="424" t="s">
        <v>223</v>
      </c>
      <c r="B11" s="892" t="str">
        <f>Calculations!B11</f>
        <v/>
      </c>
      <c r="C11" s="10"/>
      <c r="D11" s="184"/>
    </row>
    <row r="12" spans="1:4">
      <c r="A12" s="60" t="s">
        <v>224</v>
      </c>
      <c r="B12" s="454"/>
      <c r="C12" s="10"/>
      <c r="D12" s="88"/>
    </row>
    <row r="13" spans="1:4">
      <c r="A13" s="424" t="s">
        <v>225</v>
      </c>
      <c r="B13" s="454"/>
      <c r="C13" s="10"/>
      <c r="D13" s="88"/>
    </row>
    <row r="14" spans="1:4">
      <c r="A14" s="1" t="s">
        <v>226</v>
      </c>
      <c r="B14" s="454"/>
      <c r="C14" s="10" t="s">
        <v>227</v>
      </c>
      <c r="D14" s="184"/>
    </row>
    <row r="15" spans="1:4">
      <c r="A15" s="60" t="s">
        <v>228</v>
      </c>
      <c r="B15" s="455">
        <v>0</v>
      </c>
      <c r="C15" s="10"/>
      <c r="D15" s="184"/>
    </row>
    <row r="16" spans="1:4" ht="14.1" customHeight="1">
      <c r="A16" s="60" t="s">
        <v>229</v>
      </c>
      <c r="B16" s="455">
        <v>0</v>
      </c>
      <c r="C16" s="10"/>
      <c r="D16" s="184"/>
    </row>
    <row r="17" spans="1:213">
      <c r="A17" s="1" t="s">
        <v>230</v>
      </c>
      <c r="B17" s="456">
        <v>0.09</v>
      </c>
      <c r="C17" s="10"/>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ht="14.25" customHeight="1">
      <c r="A18" s="513" t="s">
        <v>231</v>
      </c>
      <c r="B18" s="891">
        <v>0.04</v>
      </c>
      <c r="C18" s="530"/>
      <c r="D18" s="184"/>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 r="A19" s="513" t="s">
        <v>232</v>
      </c>
      <c r="B19" s="456">
        <v>0.04</v>
      </c>
      <c r="C19" s="899"/>
      <c r="D19" s="61"/>
      <c r="E19" s="61"/>
      <c r="F19" s="61"/>
      <c r="G19" s="61"/>
      <c r="H19" s="61"/>
      <c r="I19" s="61"/>
      <c r="J19" s="61"/>
      <c r="K19" s="61"/>
      <c r="L19" s="61"/>
      <c r="M19" s="61"/>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row>
    <row r="20" spans="1:213" customFormat="1">
      <c r="C20" s="899"/>
    </row>
    <row r="21" spans="1:213" ht="14.25" customHeight="1">
      <c r="A21" s="1"/>
      <c r="B21" s="527"/>
      <c r="C21" s="449"/>
      <c r="D21" s="62"/>
      <c r="E21" s="62"/>
      <c r="F21" s="62"/>
      <c r="G21" s="62"/>
      <c r="H21" s="62"/>
      <c r="I21" s="62"/>
      <c r="J21" s="62"/>
      <c r="K21" s="62"/>
      <c r="L21" s="62"/>
      <c r="M21" s="62"/>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 r="A22" s="1" t="s">
        <v>233</v>
      </c>
      <c r="B22" s="284"/>
      <c r="C22" s="10" t="s">
        <v>227</v>
      </c>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88"/>
      <c r="FO22" s="88"/>
      <c r="FP22" s="88"/>
      <c r="FQ22" s="88"/>
      <c r="FR22" s="88"/>
      <c r="FS22" s="88"/>
      <c r="FT22" s="88"/>
      <c r="FU22" s="88"/>
      <c r="FV22" s="88"/>
      <c r="FW22" s="88"/>
      <c r="FX22" s="88"/>
      <c r="FY22" s="88"/>
      <c r="FZ22" s="88"/>
      <c r="GA22" s="88"/>
      <c r="GB22" s="88"/>
      <c r="GC22" s="88"/>
      <c r="GD22" s="88"/>
      <c r="GE22" s="88"/>
      <c r="GF22" s="88"/>
      <c r="GG22" s="88"/>
      <c r="GH22" s="88"/>
      <c r="GI22" s="88"/>
      <c r="GJ22" s="88"/>
      <c r="GK22" s="88"/>
      <c r="GL22" s="88"/>
      <c r="GM22" s="88"/>
      <c r="GN22" s="88"/>
      <c r="GO22" s="88"/>
      <c r="GP22" s="88"/>
      <c r="GQ22" s="88"/>
      <c r="GR22" s="88"/>
      <c r="GS22" s="88"/>
      <c r="GT22" s="88"/>
      <c r="GU22" s="88"/>
      <c r="GV22" s="88"/>
      <c r="GW22" s="88"/>
      <c r="GX22" s="88"/>
      <c r="GY22" s="88"/>
      <c r="GZ22" s="88"/>
      <c r="HA22" s="88"/>
      <c r="HB22" s="88"/>
      <c r="HC22" s="88"/>
      <c r="HD22" s="88"/>
      <c r="HE22" s="88"/>
    </row>
    <row r="23" spans="1:213">
      <c r="A23" s="17" t="s">
        <v>234</v>
      </c>
      <c r="B23" s="284"/>
      <c r="C23" s="10"/>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1" t="s">
        <v>235</v>
      </c>
      <c r="B24" s="319"/>
      <c r="C24" s="10" t="s">
        <v>236</v>
      </c>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3" t="s">
        <v>237</v>
      </c>
      <c r="B26" s="3"/>
      <c r="C26" s="3"/>
      <c r="D26" s="457"/>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1" t="s">
        <v>135</v>
      </c>
      <c r="B27" s="284"/>
      <c r="C27" s="62"/>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1" t="s">
        <v>120</v>
      </c>
      <c r="B28" s="284"/>
      <c r="C28" s="10"/>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60" t="s">
        <v>238</v>
      </c>
      <c r="B29" s="284"/>
      <c r="C29" s="10"/>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60" t="s">
        <v>176</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239</v>
      </c>
      <c r="B31" s="284"/>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60" t="s">
        <v>240</v>
      </c>
      <c r="B32" s="454"/>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129" t="s">
        <v>241</v>
      </c>
      <c r="B33" s="454"/>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458" t="s">
        <v>242</v>
      </c>
      <c r="B34" s="454"/>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458" t="s">
        <v>243</v>
      </c>
      <c r="B35" s="454"/>
      <c r="C35" s="10"/>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1" t="s">
        <v>244</v>
      </c>
      <c r="B36" s="454"/>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528" t="s">
        <v>245</v>
      </c>
      <c r="B37" s="284"/>
      <c r="C37" s="255"/>
      <c r="D37"/>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528" t="s">
        <v>246</v>
      </c>
      <c r="B38" s="454"/>
      <c r="C38" s="255"/>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c r="A39" s="528" t="s">
        <v>247</v>
      </c>
      <c r="B39" s="284"/>
      <c r="C39" s="255"/>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ht="24.75">
      <c r="A40" s="1" t="s">
        <v>248</v>
      </c>
      <c r="B40" s="454"/>
      <c r="C40" s="255" t="s">
        <v>249</v>
      </c>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28" t="s">
        <v>250</v>
      </c>
      <c r="B41" s="454"/>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c r="A42" s="528" t="s">
        <v>251</v>
      </c>
      <c r="B42" s="454"/>
      <c r="C42" s="255"/>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1" t="s">
        <v>252</v>
      </c>
      <c r="B43" s="454"/>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353" t="s">
        <v>253</v>
      </c>
      <c r="B44" s="284"/>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353" t="s">
        <v>254</v>
      </c>
      <c r="B45" s="284"/>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53" t="s">
        <v>255</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53" t="s">
        <v>256</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53" t="s">
        <v>257</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53" t="s">
        <v>258</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c r="A50" s="353" t="s">
        <v>259</v>
      </c>
      <c r="B50" s="284"/>
      <c r="C50" s="255"/>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row>
    <row r="51" spans="1:213" s="18" customFormat="1">
      <c r="A51" s="353" t="s">
        <v>260</v>
      </c>
      <c r="B51" s="542"/>
      <c r="C51" s="543"/>
    </row>
    <row r="52" spans="1:213">
      <c r="A52" s="1" t="s">
        <v>261</v>
      </c>
      <c r="B52" s="454"/>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c r="A53" s="1" t="s">
        <v>262</v>
      </c>
      <c r="B53" s="285"/>
      <c r="C53" s="255"/>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row>
    <row r="54" spans="1:213" customFormat="1">
      <c r="A54" s="1" t="s">
        <v>263</v>
      </c>
      <c r="B54" s="792"/>
      <c r="C54" s="255"/>
    </row>
    <row r="55" spans="1:213">
      <c r="A55" s="1" t="s">
        <v>264</v>
      </c>
      <c r="B55" s="454"/>
      <c r="C55" s="6"/>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 r="A56" s="1" t="s">
        <v>265</v>
      </c>
      <c r="B56" s="454"/>
      <c r="C56" s="6"/>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row>
    <row r="57" spans="1:213" customFormat="1">
      <c r="A57" s="1" t="s">
        <v>266</v>
      </c>
      <c r="B57" s="285"/>
      <c r="C57" s="6" t="s">
        <v>267</v>
      </c>
    </row>
    <row r="58" spans="1:213" customFormat="1">
      <c r="A58" s="1" t="s">
        <v>268</v>
      </c>
      <c r="B58" s="285"/>
      <c r="C58" s="6" t="s">
        <v>267</v>
      </c>
    </row>
    <row r="59" spans="1:213">
      <c r="A59" s="1" t="s">
        <v>269</v>
      </c>
      <c r="B59" s="454"/>
      <c r="C59"/>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row>
    <row r="60" spans="1:213">
      <c r="A60" s="1" t="s">
        <v>270</v>
      </c>
      <c r="B60" s="284"/>
      <c r="C60" s="6"/>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row>
    <row r="61" spans="1:213">
      <c r="A61" s="1" t="s">
        <v>271</v>
      </c>
      <c r="B61" s="507"/>
      <c r="C61" s="6" t="s">
        <v>267</v>
      </c>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272</v>
      </c>
      <c r="B62" s="480"/>
      <c r="C62" s="6" t="s">
        <v>267</v>
      </c>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273</v>
      </c>
      <c r="B63" s="480"/>
      <c r="C63" s="6" t="s">
        <v>267</v>
      </c>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c r="A64" s="1" t="s">
        <v>274</v>
      </c>
      <c r="B64" s="454"/>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row>
    <row r="65" spans="1:213" s="688" customFormat="1">
      <c r="A65" s="687"/>
      <c r="B65" s="687"/>
      <c r="C65" s="687"/>
      <c r="D65" s="687"/>
      <c r="E65" s="687"/>
      <c r="F65" s="687"/>
      <c r="G65" s="687"/>
      <c r="H65" s="687"/>
      <c r="I65" s="687"/>
      <c r="J65" s="687"/>
      <c r="K65" s="687"/>
      <c r="L65" s="687"/>
      <c r="M65" s="687"/>
      <c r="N65" s="687"/>
      <c r="O65" s="687"/>
      <c r="P65" s="687"/>
      <c r="Q65" s="687"/>
      <c r="R65" s="687"/>
      <c r="S65" s="687"/>
      <c r="T65" s="687"/>
      <c r="U65" s="687"/>
      <c r="V65" s="687"/>
      <c r="W65" s="687"/>
      <c r="X65" s="687"/>
      <c r="Y65" s="687"/>
      <c r="Z65" s="687"/>
      <c r="AA65" s="687"/>
      <c r="AB65" s="687"/>
      <c r="AC65" s="687"/>
      <c r="AD65" s="687"/>
      <c r="AE65" s="687"/>
      <c r="AF65" s="687"/>
      <c r="AG65" s="687"/>
      <c r="AH65" s="687"/>
      <c r="AI65" s="687"/>
      <c r="AJ65" s="687"/>
      <c r="AK65" s="687"/>
      <c r="AL65" s="687"/>
      <c r="AM65" s="687"/>
      <c r="AN65" s="687"/>
      <c r="AO65" s="687"/>
      <c r="AP65" s="687"/>
      <c r="AQ65" s="687"/>
      <c r="AR65" s="687"/>
      <c r="AS65" s="687"/>
      <c r="AT65" s="687"/>
      <c r="AU65" s="687"/>
      <c r="AV65" s="687"/>
      <c r="AW65" s="687"/>
      <c r="AX65" s="687"/>
      <c r="AY65" s="687"/>
      <c r="AZ65" s="687"/>
      <c r="BA65" s="687"/>
      <c r="BB65" s="687"/>
      <c r="BC65" s="687"/>
      <c r="BD65" s="687"/>
      <c r="BE65" s="687"/>
      <c r="BF65" s="687"/>
      <c r="BG65" s="687"/>
      <c r="BH65" s="687"/>
      <c r="BI65" s="687"/>
      <c r="BJ65" s="687"/>
      <c r="BK65" s="687"/>
      <c r="BL65" s="687"/>
      <c r="BM65" s="687"/>
      <c r="BN65" s="687"/>
      <c r="BO65" s="687"/>
      <c r="BP65" s="687"/>
      <c r="BQ65" s="687"/>
      <c r="BR65" s="687"/>
      <c r="BS65" s="687"/>
      <c r="BT65" s="687"/>
      <c r="BU65" s="687"/>
      <c r="BV65" s="687"/>
      <c r="BW65" s="687"/>
      <c r="BX65" s="687"/>
      <c r="BY65" s="687"/>
      <c r="BZ65" s="687"/>
      <c r="CA65" s="687"/>
      <c r="CB65" s="687"/>
      <c r="CC65" s="687"/>
      <c r="CD65" s="687"/>
      <c r="CE65" s="687"/>
      <c r="CF65" s="687"/>
      <c r="CG65" s="687"/>
      <c r="CH65" s="687"/>
      <c r="CI65" s="687"/>
      <c r="CJ65" s="687"/>
      <c r="CK65" s="687"/>
      <c r="CL65" s="687"/>
      <c r="CM65" s="687"/>
      <c r="CN65" s="687"/>
      <c r="CO65" s="687"/>
      <c r="CP65" s="687"/>
      <c r="CQ65" s="687"/>
      <c r="CR65" s="687"/>
      <c r="CS65" s="687"/>
      <c r="CT65" s="687"/>
      <c r="CU65" s="687"/>
      <c r="CV65" s="687"/>
      <c r="CW65" s="687"/>
      <c r="CX65" s="687"/>
      <c r="CY65" s="687"/>
      <c r="CZ65" s="687"/>
      <c r="DA65" s="687"/>
      <c r="DB65" s="687"/>
      <c r="DC65" s="687"/>
      <c r="DD65" s="687"/>
      <c r="DE65" s="687"/>
      <c r="DF65" s="687"/>
      <c r="DG65" s="687"/>
      <c r="DH65" s="687"/>
      <c r="DI65" s="687"/>
      <c r="DJ65" s="687"/>
      <c r="DK65" s="687"/>
      <c r="DL65" s="687"/>
      <c r="DM65" s="687"/>
      <c r="DN65" s="687"/>
      <c r="DO65" s="687"/>
      <c r="DP65" s="687"/>
      <c r="DQ65" s="687"/>
      <c r="DR65" s="687"/>
      <c r="DS65" s="687"/>
      <c r="DT65" s="687"/>
      <c r="DU65" s="687"/>
      <c r="DV65" s="687"/>
      <c r="DW65" s="687"/>
      <c r="DX65" s="687"/>
      <c r="DY65" s="687"/>
      <c r="DZ65" s="687"/>
      <c r="EA65" s="687"/>
      <c r="EB65" s="687"/>
      <c r="EC65" s="687"/>
      <c r="ED65" s="687"/>
      <c r="EE65" s="687"/>
      <c r="EF65" s="687"/>
      <c r="EG65" s="687"/>
      <c r="EH65" s="687"/>
      <c r="EI65" s="687"/>
      <c r="EJ65" s="687"/>
      <c r="EK65" s="687"/>
      <c r="EL65" s="687"/>
      <c r="EM65" s="687"/>
      <c r="EN65" s="687"/>
      <c r="EO65" s="687"/>
      <c r="EP65" s="687"/>
      <c r="EQ65" s="687"/>
      <c r="ER65" s="687"/>
      <c r="ES65" s="687"/>
      <c r="ET65" s="687"/>
      <c r="EU65" s="687"/>
      <c r="EV65" s="687"/>
      <c r="EW65" s="687"/>
      <c r="EX65" s="687"/>
      <c r="EY65" s="687"/>
      <c r="EZ65" s="687"/>
      <c r="FA65" s="687"/>
      <c r="FB65" s="687"/>
      <c r="FC65" s="687"/>
      <c r="FD65" s="687"/>
      <c r="FE65" s="687"/>
      <c r="FF65" s="687"/>
      <c r="FG65" s="687"/>
      <c r="FH65" s="687"/>
      <c r="FI65" s="687"/>
      <c r="FJ65" s="687"/>
      <c r="FK65" s="687"/>
      <c r="FL65" s="687"/>
      <c r="FM65" s="687"/>
      <c r="FN65" s="687"/>
      <c r="FO65" s="687"/>
      <c r="FP65" s="687"/>
      <c r="FQ65" s="687"/>
      <c r="FR65" s="687"/>
      <c r="FS65" s="687"/>
      <c r="FT65" s="687"/>
      <c r="FU65" s="687"/>
      <c r="FV65" s="687"/>
      <c r="FW65" s="687"/>
      <c r="FX65" s="687"/>
      <c r="FY65" s="687"/>
      <c r="FZ65" s="687"/>
      <c r="GA65" s="687"/>
      <c r="GB65" s="687"/>
      <c r="GC65" s="687"/>
      <c r="GD65" s="687"/>
      <c r="GE65" s="687"/>
      <c r="GF65" s="687"/>
      <c r="GG65" s="687"/>
      <c r="GH65" s="687"/>
      <c r="GI65" s="687"/>
      <c r="GJ65" s="687"/>
      <c r="GK65" s="687"/>
      <c r="GL65" s="687"/>
      <c r="GM65" s="687"/>
      <c r="GN65" s="687"/>
      <c r="GO65" s="687"/>
      <c r="GP65" s="687"/>
      <c r="GQ65" s="687"/>
      <c r="GR65" s="687"/>
      <c r="GS65" s="687"/>
      <c r="GT65" s="687"/>
      <c r="GU65" s="687"/>
      <c r="GV65" s="687"/>
      <c r="GW65" s="687"/>
      <c r="GX65" s="687"/>
      <c r="GY65" s="687"/>
      <c r="GZ65" s="687"/>
      <c r="HA65" s="687"/>
      <c r="HB65" s="687"/>
      <c r="HC65" s="687"/>
      <c r="HD65" s="687"/>
      <c r="HE65" s="687"/>
    </row>
    <row r="66" spans="1:213">
      <c r="A66" s="1" t="s">
        <v>275</v>
      </c>
      <c r="B66" s="284"/>
      <c r="C66" s="255" t="s">
        <v>276</v>
      </c>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c r="A67" s="1" t="s">
        <v>277</v>
      </c>
      <c r="B67" s="454"/>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row>
    <row r="68" spans="1:213">
      <c r="A68" s="1" t="s">
        <v>278</v>
      </c>
      <c r="B68" s="454"/>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279</v>
      </c>
      <c r="B69" s="454"/>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280</v>
      </c>
      <c r="B70" s="454"/>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1" t="s">
        <v>281</v>
      </c>
      <c r="B71" s="454"/>
      <c r="C71" s="321"/>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60" t="s">
        <v>282</v>
      </c>
      <c r="B72" s="454"/>
      <c r="C72"/>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7" t="s">
        <v>283</v>
      </c>
      <c r="B73" s="284"/>
      <c r="C73" s="255"/>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17" t="s">
        <v>284</v>
      </c>
      <c r="B74" s="459"/>
      <c r="C74" s="6" t="s">
        <v>285</v>
      </c>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286</v>
      </c>
      <c r="B75" s="459">
        <v>0</v>
      </c>
      <c r="C75" s="6" t="s">
        <v>285</v>
      </c>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287</v>
      </c>
      <c r="B76" s="459">
        <v>0</v>
      </c>
      <c r="C76" s="6" t="s">
        <v>285</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288</v>
      </c>
      <c r="B77" s="459">
        <v>0</v>
      </c>
      <c r="C77" s="6" t="s">
        <v>285</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289</v>
      </c>
      <c r="B78" s="284"/>
      <c r="C78" s="255" t="s">
        <v>290</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17" t="s">
        <v>291</v>
      </c>
      <c r="B79" s="459">
        <v>0</v>
      </c>
      <c r="C79" s="255" t="s">
        <v>290</v>
      </c>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60" t="s">
        <v>292</v>
      </c>
      <c r="B80" s="454"/>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7" t="s">
        <v>293</v>
      </c>
      <c r="B81" s="459"/>
      <c r="C81" s="6" t="s">
        <v>285</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1" t="s">
        <v>294</v>
      </c>
      <c r="B82" s="454"/>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7" t="s">
        <v>295</v>
      </c>
      <c r="B83" s="459">
        <v>0</v>
      </c>
      <c r="C83" s="6" t="s">
        <v>285</v>
      </c>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 t="s">
        <v>296</v>
      </c>
      <c r="B84" s="454"/>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7" t="s">
        <v>297</v>
      </c>
      <c r="B85" s="459">
        <v>0</v>
      </c>
      <c r="C85" s="6" t="s">
        <v>285</v>
      </c>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1" t="s">
        <v>298</v>
      </c>
      <c r="B86" s="454"/>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460" t="s">
        <v>299</v>
      </c>
      <c r="B87" s="459">
        <v>0</v>
      </c>
      <c r="C87" s="6" t="s">
        <v>285</v>
      </c>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1" t="s">
        <v>300</v>
      </c>
      <c r="B88" s="454"/>
      <c r="C88" s="6"/>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460" t="s">
        <v>301</v>
      </c>
      <c r="B89" s="459">
        <v>0</v>
      </c>
      <c r="C89" s="6" t="s">
        <v>285</v>
      </c>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1" t="s">
        <v>302</v>
      </c>
      <c r="B90" s="454"/>
      <c r="C90" s="6"/>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460" t="s">
        <v>303</v>
      </c>
      <c r="B91" s="459">
        <v>0</v>
      </c>
      <c r="C91" s="6" t="s">
        <v>285</v>
      </c>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63" t="s">
        <v>304</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305</v>
      </c>
      <c r="B93" s="284"/>
      <c r="C93" s="6"/>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1" t="s">
        <v>306</v>
      </c>
      <c r="B94" s="454"/>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63" t="s">
        <v>307</v>
      </c>
      <c r="B95" s="454"/>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1" t="s">
        <v>308</v>
      </c>
      <c r="B96" s="454"/>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461" t="s">
        <v>309</v>
      </c>
      <c r="B97" s="454"/>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 t="s">
        <v>310</v>
      </c>
      <c r="B98" s="454"/>
      <c r="C98" s="255" t="s">
        <v>311</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7" t="s">
        <v>312</v>
      </c>
      <c r="B99" s="454">
        <v>0</v>
      </c>
      <c r="C99" s="6" t="s">
        <v>285</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313</v>
      </c>
      <c r="B100" s="454"/>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 r="A101" s="1" t="s">
        <v>314</v>
      </c>
      <c r="B101" s="284"/>
      <c r="C101"/>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 t="s">
        <v>315</v>
      </c>
      <c r="B102" s="454"/>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316</v>
      </c>
      <c r="B103" s="284"/>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317</v>
      </c>
      <c r="B104" s="454">
        <v>0</v>
      </c>
      <c r="C104" s="6" t="s">
        <v>285</v>
      </c>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7" t="s">
        <v>318</v>
      </c>
      <c r="B105" s="284"/>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1" t="s">
        <v>319</v>
      </c>
      <c r="B106" s="454"/>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ustomFormat="1">
      <c r="A107" s="60" t="s">
        <v>320</v>
      </c>
      <c r="B107" s="284"/>
      <c r="C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3" t="s">
        <v>321</v>
      </c>
      <c r="B108" s="805" t="s">
        <v>322</v>
      </c>
      <c r="C108" s="3"/>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323</v>
      </c>
      <c r="B109" s="454">
        <v>0</v>
      </c>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row>
    <row r="110" spans="1:213">
      <c r="A110" s="1" t="s">
        <v>324</v>
      </c>
      <c r="B110" s="284">
        <v>0</v>
      </c>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row>
    <row r="111" spans="1:213">
      <c r="A111" s="1" t="s">
        <v>325</v>
      </c>
      <c r="B111" s="454">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353" t="s">
        <v>326</v>
      </c>
      <c r="B112" s="454">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327</v>
      </c>
      <c r="B113" s="454">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328</v>
      </c>
      <c r="B114" s="454">
        <v>0</v>
      </c>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1" t="s">
        <v>329</v>
      </c>
      <c r="B115" s="454">
        <v>0</v>
      </c>
      <c r="C115"/>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c r="A116" s="3" t="s">
        <v>330</v>
      </c>
      <c r="B116" s="805" t="s">
        <v>322</v>
      </c>
      <c r="C116" s="3"/>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1" t="s">
        <v>331</v>
      </c>
      <c r="B117" s="454">
        <v>0</v>
      </c>
      <c r="C117"/>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1" t="s">
        <v>332</v>
      </c>
      <c r="B118" s="454">
        <v>0</v>
      </c>
      <c r="C11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c r="A119" s="88"/>
      <c r="B119" s="88"/>
      <c r="C119"/>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ht="21">
      <c r="A120" s="7" t="s">
        <v>333</v>
      </c>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c r="A121" s="3" t="s">
        <v>334</v>
      </c>
      <c r="B121" s="3"/>
      <c r="C121" s="3"/>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335</v>
      </c>
      <c r="B122" s="452"/>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336</v>
      </c>
      <c r="B123" s="452"/>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c r="A124" s="1" t="s">
        <v>337</v>
      </c>
      <c r="B124" s="452"/>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ht="15" customHeight="1">
      <c r="A125" s="3" t="s">
        <v>338</v>
      </c>
      <c r="B125" s="3"/>
      <c r="C125" s="3"/>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339</v>
      </c>
      <c r="B126" s="452"/>
      <c r="C126" t="s">
        <v>340</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341</v>
      </c>
      <c r="B127" s="452"/>
      <c r="C127" t="s">
        <v>340</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c r="A128" s="1" t="s">
        <v>342</v>
      </c>
      <c r="B128" s="452"/>
      <c r="C128" t="s">
        <v>340</v>
      </c>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ht="15" customHeight="1">
      <c r="A129" s="1" t="s">
        <v>343</v>
      </c>
      <c r="B129" s="452"/>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1" t="s">
        <v>344</v>
      </c>
      <c r="B130" s="452"/>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c r="A131" s="1" t="s">
        <v>345</v>
      </c>
      <c r="B131" s="452"/>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346</v>
      </c>
      <c r="B132" s="452"/>
      <c r="C132" t="s">
        <v>347</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1" t="s">
        <v>348</v>
      </c>
      <c r="B133" s="452"/>
      <c r="C133" t="s">
        <v>349</v>
      </c>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c r="A134" s="3" t="s">
        <v>350</v>
      </c>
      <c r="B134" s="3"/>
      <c r="C134" s="3"/>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ht="30">
      <c r="A135" s="513" t="s">
        <v>351</v>
      </c>
      <c r="B135" s="452"/>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352</v>
      </c>
      <c r="B136" s="452"/>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1" t="s">
        <v>353</v>
      </c>
      <c r="B137" s="452"/>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c r="A138" s="1" t="s">
        <v>354</v>
      </c>
      <c r="B138" s="452"/>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ht="30">
      <c r="A139" s="513" t="s">
        <v>355</v>
      </c>
      <c r="B139" s="444"/>
      <c r="C139"/>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1" t="s">
        <v>356</v>
      </c>
      <c r="B140" s="453"/>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c r="A141" s="3" t="s">
        <v>357</v>
      </c>
      <c r="B141" s="3"/>
      <c r="C141" s="3"/>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ht="30">
      <c r="A142" s="513" t="s">
        <v>358</v>
      </c>
      <c r="B142" s="452"/>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row r="143" spans="1:213">
      <c r="A143" s="513" t="s">
        <v>359</v>
      </c>
      <c r="B143" s="452"/>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row>
    <row r="144" spans="1:213">
      <c r="A144" s="1" t="s">
        <v>360</v>
      </c>
      <c r="B144" s="452"/>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row>
    <row r="145" spans="1:213">
      <c r="A145" s="1" t="s">
        <v>361</v>
      </c>
      <c r="B145" s="452"/>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row>
    <row r="146" spans="1:213">
      <c r="A146" s="1" t="s">
        <v>362</v>
      </c>
      <c r="B146" s="452"/>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row>
  </sheetData>
  <sheetProtection algorithmName="SHA-512" hashValue="ncqWWkiLHdEFGpznHtlMq6lDZ6lnt+YoSYTRqP15GduYomlUdzw1mKzaHE0s4xjkJqS99cIhUvv8KdQx37UiCQ==" saltValue="4FoExI/fQHgf1+k/ajodQA==" spinCount="100000" sheet="1" objects="1" scenarios="1"/>
  <mergeCells count="1">
    <mergeCell ref="C19:C20"/>
  </mergeCells>
  <dataValidations count="34">
    <dataValidation type="decimal" allowBlank="1" showInputMessage="1" showErrorMessage="1" errorTitle="Applicable Percentage Rate" error="Value entered for Applicable Percentage Rate must be between 0 and 4%" sqref="B18:B20"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2" xr:uid="{00000000-0002-0000-0300-000007000000}">
      <formula1>Project_Type_List</formula1>
    </dataValidation>
    <dataValidation type="list" allowBlank="1" showInputMessage="1" showErrorMessage="1" errorTitle="Site Control" error="Please select a valid value for Site Control." sqref="B36" xr:uid="{00000000-0002-0000-0300-000008000000}">
      <formula1>Site_Control_List</formula1>
    </dataValidation>
    <dataValidation type="list" allowBlank="1" showInputMessage="1" showErrorMessage="1" errorTitle="Type of Units/Housing" error="Please select a valid value for Type of Units/Housing." sqref="B64" xr:uid="{00000000-0002-0000-0300-000009000000}">
      <formula1>Type_of_Units_Housing_List</formula1>
    </dataValidation>
    <dataValidation type="list" allowBlank="1" showInputMessage="1" showErrorMessage="1" errorTitle="Building Construction" error="Please select a valid value for Building Construction." sqref="B59" xr:uid="{00000000-0002-0000-0300-00000A000000}">
      <formula1>Building_Construction_List</formula1>
    </dataValidation>
    <dataValidation type="list" allowBlank="1" showInputMessage="1" showErrorMessage="1" errorTitle="Building Type" error="Please select a valid value for Building Type." sqref="B60" xr:uid="{00000000-0002-0000-0300-00000B000000}">
      <formula1>Building_Type_List</formula1>
    </dataValidation>
    <dataValidation type="list" allowBlank="1" showInputMessage="1" showErrorMessage="1" errorTitle="Locking Aplicable Percentage" error="Please select a valid value for Locking Aplicable Percentage." sqref="B14" xr:uid="{00000000-0002-0000-0300-00000C000000}">
      <formula1>Yes_No_NA_List</formula1>
    </dataValidation>
    <dataValidation type="list" allowBlank="1" showInputMessage="1" showErrorMessage="1" errorTitle="Site Properly Zoned" error="Please select a valid value for Site Properly Zoned." sqref="B40"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2"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5" xr:uid="{00000000-0002-0000-0300-00001D000000}">
      <formula1>INT(10000*B15) = (10000*B15)</formula1>
    </dataValidation>
    <dataValidation type="custom" allowBlank="1" showInputMessage="1" showErrorMessage="1" errorTitle="State Equity Factor" error="Please enter a number for State Equity Factor and ensure that the number does not exceed 4 deimals." sqref="B17" xr:uid="{00000000-0002-0000-0300-00001E000000}">
      <formula1>MOD(10000*B17,1)=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3" xr:uid="{00000000-0002-0000-0300-000023000000}">
      <formula1>0</formula1>
      <formula2>100</formula2>
    </dataValidation>
    <dataValidation type="whole" allowBlank="1" showInputMessage="1" showErrorMessage="1" errorTitle="State House District" error="Please enter a valid value for State House Districtt (whole number)" sqref="B34" xr:uid="{00000000-0002-0000-0300-000024000000}">
      <formula1>0</formula1>
      <formula2>100</formula2>
    </dataValidation>
    <dataValidation type="whole" allowBlank="1" showInputMessage="1" showErrorMessage="1" errorTitle="Congressional District" error="Please enter a valid value for Congressional District (whole number)" sqref="B35"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6" xr:uid="{00000000-0002-0000-0300-000026000000}">
      <formula1>INT(10000*B16) = (10000*B16)</formula1>
    </dataValidation>
    <dataValidation type="whole" allowBlank="1" showInputMessage="1" showErrorMessage="1" sqref="B57:B58" xr:uid="{00000000-0002-0000-0300-000027000000}">
      <formula1>0</formula1>
      <formula2>50</formula2>
    </dataValidation>
    <dataValidation type="date" allowBlank="1" showInputMessage="1" showErrorMessage="1" sqref="B24" xr:uid="{00000000-0002-0000-0300-000028000000}">
      <formula1>32874</formula1>
      <formula2>47484</formula2>
    </dataValidation>
    <dataValidation type="list" allowBlank="1" showInputMessage="1" showErrorMessage="1" errorTitle="Type of Heating In-Unit" error="Please select a valid value for Type of Heating In-Unit" sqref="B44" xr:uid="{00000000-0002-0000-0300-000029000000}">
      <formula1>Type_of_Heating_List</formula1>
    </dataValidation>
    <dataValidation type="whole" allowBlank="1" showInputMessage="1" showErrorMessage="1" sqref="B74:B77 B81 B83 B85 B87 B89 B91" xr:uid="{4475B323-617B-4756-B964-957616185E11}">
      <formula1>0</formula1>
      <formula2>111111111111111</formula2>
    </dataValidation>
    <dataValidation type="whole" allowBlank="1" showInputMessage="1" showErrorMessage="1" sqref="B30" xr:uid="{72402B3E-5393-4193-BA8A-6652ABD5B3F6}">
      <formula1>0</formula1>
      <formula2>1111111</formula2>
    </dataValidation>
    <dataValidation type="date" allowBlank="1" showInputMessage="1" showErrorMessage="1" sqref="B122:B124 B135:B139 B142:B146 B126:B132" xr:uid="{B5527987-EC13-4E01-BDC4-1059FD3081E9}">
      <formula1>36161</formula1>
      <formula2>47484</formula2>
    </dataValidation>
    <dataValidation type="whole" allowBlank="1" showInputMessage="1" showErrorMessage="1" sqref="B140" xr:uid="{6BB0F7D2-147E-4A24-9C37-661ACAB4DE70}">
      <formula1>1</formula1>
      <formula2>48</formula2>
    </dataValidation>
    <dataValidation type="whole" allowBlank="1" showInputMessage="1" showErrorMessage="1" sqref="B99 B104" xr:uid="{E9523A0E-E3CA-4FBF-BE1A-92B6CDDBF970}">
      <formula1>0</formula1>
      <formula2>5000</formula2>
    </dataValidation>
    <dataValidation type="whole" allowBlank="1" showInputMessage="1" showErrorMessage="1" sqref="B62:B63" xr:uid="{FAE21AB3-2323-461B-9EDE-4B786614A378}">
      <formula1>0</formula1>
      <formula2>90000000</formula2>
    </dataValidation>
    <dataValidation type="list" allowBlank="1" showInputMessage="1" showErrorMessage="1" errorTitle="Related Party" error="Please select a valid value for Related Party._x000a_" sqref="B38" xr:uid="{CD9E5C2C-381F-44D2-B8FA-82F731255C6B}">
      <formula1>Yes_No_List</formula1>
    </dataValidation>
    <dataValidation type="list" allowBlank="1" showInputMessage="1" showErrorMessage="1" errorTitle="Zoning meets parking ratio req?" error="Zoning meets parking ratio req?" sqref="B41" xr:uid="{1E078509-75DF-4327-B3D4-9E26AE334013}">
      <formula1>Yes_No_List</formula1>
    </dataValidation>
    <dataValidation type="list" allowBlank="1" showInputMessage="1" showErrorMessage="1" errorTitle="Utilites avaiable " error="Please select a valid value for Utilites Avaiable. " sqref="B43" xr:uid="{6DF88094-9B5D-4407-9A25-75970CD7E5B5}">
      <formula1>Yes_No_List</formula1>
    </dataValidation>
    <dataValidation type="list" allowBlank="1" showInputMessage="1" showErrorMessage="1" errorTitle="Type of Cooling" error="Please select a valid value for Type of Cooling." sqref="B51:B52" xr:uid="{AB58CDB7-4124-4FF6-8700-4932707A4E56}">
      <formula1>Yes_No_List</formula1>
    </dataValidation>
    <dataValidation type="date" showInputMessage="1" showErrorMessage="1" sqref="B133" xr:uid="{D4818FBC-ECCC-4D98-84CC-02C0C95C3065}">
      <formula1>36161</formula1>
      <formula2>47484</formula2>
    </dataValidation>
    <dataValidation type="whole" allowBlank="1" showInputMessage="1" showErrorMessage="1" sqref="B109:B115 B117:B118"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Lookup!$I$45:$I$49</xm:f>
          </x14:formula1>
          <xm:sqref>B50</xm:sqref>
        </x14:dataValidation>
        <x14:dataValidation type="list" allowBlank="1" showInputMessage="1" showErrorMessage="1" errorTitle="County" error="Please select a valid value for County." xr:uid="{00000000-0002-0000-0300-00002B000000}">
          <x14:formula1>
            <xm:f>Admin!$A$107:$A$170</xm:f>
          </x14:formula1>
          <xm:sqref>B31</xm:sqref>
        </x14:dataValidation>
        <x14:dataValidation type="list" allowBlank="1" showInputMessage="1" showErrorMessage="1" errorTitle="CHFA DDA Basis Boost" error="Please select a valid value for Did Project receive a CHFA DDA Basis Boost." xr:uid="{00000000-0002-0000-0300-00002C000000}">
          <x14:formula1>
            <xm:f>Lookup!$A$133:$A$134</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Lookup!$G$45:$G$59</xm:f>
          </x14:formula1>
          <xm:sqref>B54</xm:sqref>
        </x14:dataValidation>
        <x14:dataValidation type="list" allowBlank="1" showInputMessage="1" showErrorMessage="1" errorTitle="Project Type" error="Please select a valid value for Project Type." xr:uid="{00000000-0002-0000-0300-00002F000000}">
          <x14:formula1>
            <xm:f>Lookup!$A$4:$A$5</xm:f>
          </x14:formula1>
          <xm:sqref>B13</xm:sqref>
        </x14:dataValidation>
        <x14:dataValidation type="list" allowBlank="1" showInputMessage="1" showErrorMessage="1" xr:uid="{115E908D-0B13-45EC-B5E7-528B064EAD68}">
          <x14:formula1>
            <xm:f>Lookup!$A$4:$A$5</xm:f>
          </x14:formula1>
          <xm:sqref>B84 B86 B66:B72 B80 B82 B107 B100:B102 B88 B90 B92:B98</xm:sqref>
        </x14:dataValidation>
        <x14:dataValidation type="list" allowBlank="1" showInputMessage="1" showErrorMessage="1" errorTitle="Radon Mitigation" error="Please select a valid value for Radon Mitigation. " xr:uid="{A646E240-4DB9-41F0-ACD5-FB3A837BC681}">
          <x14:formula1>
            <xm:f>Lookup!$E$11:$E$13</xm:f>
          </x14:formula1>
          <xm:sqref>B55</xm:sqref>
        </x14:dataValidation>
        <x14:dataValidation type="list" allowBlank="1" showInputMessage="1" showErrorMessage="1" errorTitle="Green Systems" error="Please select a valid value for Green Systems." xr:uid="{00000000-0002-0000-0300-00002D000000}">
          <x14:formula1>
            <xm:f>Lookup!$E$52:$E$57</xm:f>
          </x14:formula1>
          <xm:sqref>B53</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B56</xm:sqref>
        </x14:dataValidation>
        <x14:dataValidation type="list" allowBlank="1" showInputMessage="1" showErrorMessage="1" errorTitle="Type of Heating Common Area" error="Please select a valid value for Type of Heating Common Area" xr:uid="{04887282-86DB-448E-A401-48297B84BEAC}">
          <x14:formula1>
            <xm:f>Lookup!$B$52:$B$58</xm:f>
          </x14:formula1>
          <xm:sqref>B45</xm:sqref>
        </x14:dataValidation>
        <x14:dataValidation type="list" allowBlank="1" showInputMessage="1" showErrorMessage="1" errorTitle="Type of Cooling In-Unit" error="Please select a valid value for Type of Cooling In-Unit" xr:uid="{8D1EC081-25CA-4A12-ADBF-04BE653F17E6}">
          <x14:formula1>
            <xm:f>Lookup!$C$52:$C$54</xm:f>
          </x14:formula1>
          <xm:sqref>B46</xm:sqref>
        </x14:dataValidation>
        <x14:dataValidation type="list" allowBlank="1" showInputMessage="1" showErrorMessage="1" errorTitle="Type of HVAC System In-Unit" error="Please select a valid value for Type of HVAC System In-Unit" xr:uid="{988893E8-876D-483E-91AC-87FC25969456}">
          <x14:formula1>
            <xm:f>Lookup!$F$52:$F$57</xm:f>
          </x14:formula1>
          <xm:sqref>B48</xm:sqref>
        </x14:dataValidation>
        <x14:dataValidation type="list" allowBlank="1" showInputMessage="1" showErrorMessage="1" errorTitle="Type of Hot Water Heating " error="Please select a valid value for Type of Hot Water Heating " xr:uid="{94A4DDC1-65FA-4D00-951E-ED536737D6FA}">
          <x14:formula1>
            <xm:f>Lookup!$H$45:$H$47</xm:f>
          </x14:formula1>
          <xm:sqref>B49</xm:sqref>
        </x14:dataValidation>
        <x14:dataValidation type="list" allowBlank="1" showInputMessage="1" showErrorMessage="1" errorTitle="Type of Cooling Common Area" error="Please select a valid value for Type of Cooling Common Area" xr:uid="{54251FF4-17B3-4392-984F-2246191DB54E}">
          <x14:formula1>
            <xm:f>Lookup!$D$52:$D$54</xm:f>
          </x14:formula1>
          <xm:sqref>B47</xm:sqref>
        </x14:dataValidation>
        <x14:dataValidation type="list" allowBlank="1" showInputMessage="1" showErrorMessage="1" errorTitle="Application Stage" error="Please select a valid value for Application Stage." xr:uid="{00000000-0002-0000-0300-000005000000}">
          <x14:formula1>
            <xm:f>Lookup!$A$31:$A$34</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5"/>
  <cols>
    <col min="1" max="1" width="23.140625" customWidth="1"/>
    <col min="2" max="2" width="20" customWidth="1"/>
    <col min="3" max="3" width="16.5703125" customWidth="1"/>
    <col min="4" max="4" width="14" customWidth="1"/>
    <col min="5" max="5" width="19" bestFit="1" customWidth="1"/>
    <col min="6" max="6" width="38.5703125" customWidth="1"/>
  </cols>
  <sheetData>
    <row r="1" spans="1:6" ht="21">
      <c r="A1" s="4" t="s">
        <v>19</v>
      </c>
      <c r="B1" s="4"/>
      <c r="C1" s="4"/>
      <c r="D1" s="4"/>
      <c r="E1" s="4"/>
    </row>
    <row r="3" spans="1:6">
      <c r="A3" s="1" t="s">
        <v>363</v>
      </c>
      <c r="B3" s="285"/>
    </row>
    <row r="4" spans="1:6">
      <c r="A4" s="1" t="s">
        <v>364</v>
      </c>
      <c r="B4" s="287"/>
    </row>
    <row r="5" spans="1:6">
      <c r="A5" s="1"/>
    </row>
    <row r="6" spans="1:6">
      <c r="A6" s="3" t="s">
        <v>365</v>
      </c>
      <c r="B6" s="3"/>
      <c r="C6" s="3"/>
      <c r="D6" s="3"/>
      <c r="E6" s="3"/>
    </row>
    <row r="7" spans="1:6">
      <c r="A7" s="1" t="s">
        <v>366</v>
      </c>
      <c r="B7" s="286">
        <v>0</v>
      </c>
    </row>
    <row r="8" spans="1:6">
      <c r="A8" s="1" t="s">
        <v>367</v>
      </c>
      <c r="B8" s="286">
        <v>0</v>
      </c>
    </row>
    <row r="9" spans="1:6">
      <c r="A9" s="1" t="s">
        <v>368</v>
      </c>
      <c r="B9" s="286">
        <v>0</v>
      </c>
    </row>
    <row r="10" spans="1:6">
      <c r="A10" s="1" t="s">
        <v>369</v>
      </c>
      <c r="B10" s="286">
        <v>0</v>
      </c>
    </row>
    <row r="11" spans="1:6">
      <c r="A11" s="1" t="s">
        <v>370</v>
      </c>
      <c r="B11" s="286">
        <v>0</v>
      </c>
    </row>
    <row r="12" spans="1:6">
      <c r="A12" s="1" t="s">
        <v>371</v>
      </c>
      <c r="B12" s="286">
        <v>0</v>
      </c>
    </row>
    <row r="14" spans="1:6" ht="39.75" customHeight="1">
      <c r="A14" s="900" t="s">
        <v>372</v>
      </c>
      <c r="B14" s="901"/>
      <c r="C14" s="901"/>
      <c r="D14" s="901"/>
      <c r="E14" s="902"/>
    </row>
    <row r="16" spans="1:6">
      <c r="A16" s="3" t="s">
        <v>373</v>
      </c>
      <c r="B16" s="3" t="s">
        <v>374</v>
      </c>
      <c r="C16" s="3" t="s">
        <v>375</v>
      </c>
      <c r="D16" s="3" t="s">
        <v>376</v>
      </c>
      <c r="E16" s="3" t="s">
        <v>377</v>
      </c>
      <c r="F16" s="306" t="s">
        <v>378</v>
      </c>
    </row>
    <row r="17" spans="1:5">
      <c r="A17" s="288"/>
      <c r="B17" s="287"/>
      <c r="C17" s="289"/>
      <c r="D17" s="289"/>
      <c r="E17" s="291"/>
    </row>
    <row r="18" spans="1:5">
      <c r="A18" s="288"/>
      <c r="B18" s="287"/>
      <c r="C18" s="289"/>
      <c r="D18" s="289"/>
      <c r="E18" s="291"/>
    </row>
    <row r="19" spans="1:5">
      <c r="A19" s="288"/>
      <c r="B19" s="287"/>
      <c r="C19" s="289"/>
      <c r="D19" s="289"/>
      <c r="E19" s="291"/>
    </row>
    <row r="20" spans="1:5">
      <c r="A20" s="288"/>
      <c r="B20" s="287"/>
      <c r="C20" s="289"/>
      <c r="D20" s="289"/>
      <c r="E20" s="291"/>
    </row>
    <row r="21" spans="1:5">
      <c r="A21" s="288"/>
      <c r="B21" s="287"/>
      <c r="C21" s="289"/>
      <c r="D21" s="289"/>
      <c r="E21" s="291"/>
    </row>
    <row r="22" spans="1:5">
      <c r="A22" s="288"/>
      <c r="B22" s="287"/>
      <c r="C22" s="289"/>
      <c r="D22" s="289"/>
      <c r="E22" s="291"/>
    </row>
    <row r="23" spans="1:5">
      <c r="A23" s="288"/>
      <c r="B23" s="287"/>
      <c r="C23" s="289"/>
      <c r="D23" s="289"/>
      <c r="E23" s="291"/>
    </row>
    <row r="24" spans="1:5">
      <c r="A24" s="288"/>
      <c r="B24" s="287"/>
      <c r="C24" s="289"/>
      <c r="D24" s="289"/>
      <c r="E24" s="291"/>
    </row>
    <row r="25" spans="1:5">
      <c r="A25" s="288"/>
      <c r="B25" s="287"/>
      <c r="C25" s="289"/>
      <c r="D25" s="289"/>
      <c r="E25" s="291"/>
    </row>
    <row r="26" spans="1:5">
      <c r="A26" s="288"/>
      <c r="B26" s="287"/>
      <c r="C26" s="289"/>
      <c r="D26" s="289"/>
      <c r="E26" s="291"/>
    </row>
    <row r="27" spans="1:5">
      <c r="A27" s="288"/>
      <c r="B27" s="287"/>
      <c r="C27" s="289"/>
      <c r="D27" s="289"/>
      <c r="E27" s="291"/>
    </row>
    <row r="28" spans="1:5">
      <c r="A28" s="288"/>
      <c r="B28" s="287"/>
      <c r="C28" s="289"/>
      <c r="D28" s="289"/>
      <c r="E28" s="291"/>
    </row>
    <row r="29" spans="1:5">
      <c r="A29" s="288"/>
      <c r="B29" s="287"/>
      <c r="C29" s="289"/>
      <c r="D29" s="289"/>
      <c r="E29" s="291"/>
    </row>
    <row r="30" spans="1:5">
      <c r="A30" s="288"/>
      <c r="B30" s="287"/>
      <c r="C30" s="289"/>
      <c r="D30" s="289"/>
      <c r="E30" s="291"/>
    </row>
    <row r="31" spans="1:5">
      <c r="A31" s="288"/>
      <c r="B31" s="287"/>
      <c r="C31" s="289"/>
      <c r="D31" s="289"/>
      <c r="E31" s="291"/>
    </row>
    <row r="32" spans="1:5">
      <c r="A32" s="288"/>
      <c r="B32" s="287"/>
      <c r="C32" s="289"/>
      <c r="D32" s="289"/>
      <c r="E32" s="291"/>
    </row>
    <row r="33" spans="1:5">
      <c r="A33" s="288"/>
      <c r="B33" s="287"/>
      <c r="C33" s="289"/>
      <c r="D33" s="289"/>
      <c r="E33" s="291"/>
    </row>
    <row r="34" spans="1:5">
      <c r="A34" s="288"/>
      <c r="B34" s="287"/>
      <c r="C34" s="289"/>
      <c r="D34" s="289"/>
      <c r="E34" s="291"/>
    </row>
    <row r="35" spans="1:5">
      <c r="A35" s="288"/>
      <c r="B35" s="287"/>
      <c r="C35" s="289"/>
      <c r="D35" s="289"/>
      <c r="E35" s="291"/>
    </row>
    <row r="36" spans="1:5">
      <c r="A36" s="288"/>
      <c r="B36" s="287"/>
      <c r="C36" s="289"/>
      <c r="D36" s="289"/>
      <c r="E36" s="291"/>
    </row>
    <row r="37" spans="1:5">
      <c r="A37" s="288"/>
      <c r="B37" s="287"/>
      <c r="C37" s="289"/>
      <c r="D37" s="289"/>
      <c r="E37" s="291"/>
    </row>
    <row r="38" spans="1:5">
      <c r="A38" s="288"/>
      <c r="B38" s="287"/>
      <c r="C38" s="289"/>
      <c r="D38" s="289"/>
      <c r="E38" s="291"/>
    </row>
    <row r="39" spans="1:5">
      <c r="A39" s="288"/>
      <c r="B39" s="287"/>
      <c r="C39" s="289"/>
      <c r="D39" s="289"/>
      <c r="E39" s="291"/>
    </row>
    <row r="40" spans="1:5">
      <c r="A40" s="288"/>
      <c r="B40" s="287"/>
      <c r="C40" s="289"/>
      <c r="D40" s="289"/>
      <c r="E40" s="291"/>
    </row>
    <row r="41" spans="1:5">
      <c r="A41" s="288"/>
      <c r="B41" s="287"/>
      <c r="C41" s="289"/>
      <c r="D41" s="289"/>
      <c r="E41" s="291"/>
    </row>
    <row r="42" spans="1:5">
      <c r="A42" s="288"/>
      <c r="B42" s="287"/>
      <c r="C42" s="289"/>
      <c r="D42" s="289"/>
      <c r="E42" s="291"/>
    </row>
    <row r="43" spans="1:5">
      <c r="A43" s="288"/>
      <c r="B43" s="287"/>
      <c r="C43" s="289"/>
      <c r="D43" s="289"/>
      <c r="E43" s="291"/>
    </row>
    <row r="44" spans="1:5">
      <c r="A44" s="288"/>
      <c r="B44" s="287"/>
      <c r="C44" s="289"/>
      <c r="D44" s="289"/>
      <c r="E44" s="291"/>
    </row>
    <row r="45" spans="1:5">
      <c r="A45" s="288"/>
      <c r="B45" s="287"/>
      <c r="C45" s="289"/>
      <c r="D45" s="289"/>
      <c r="E45" s="291"/>
    </row>
    <row r="46" spans="1:5">
      <c r="A46" s="288"/>
      <c r="B46" s="287"/>
      <c r="C46" s="289"/>
      <c r="D46" s="289"/>
      <c r="E46" s="291"/>
    </row>
    <row r="47" spans="1:5">
      <c r="A47" s="288"/>
      <c r="B47" s="287"/>
      <c r="C47" s="289"/>
      <c r="D47" s="289"/>
      <c r="E47" s="291"/>
    </row>
    <row r="48" spans="1:5">
      <c r="A48" s="288"/>
      <c r="B48" s="287"/>
      <c r="C48" s="289"/>
      <c r="D48" s="289"/>
      <c r="E48" s="291"/>
    </row>
    <row r="49" spans="1:5">
      <c r="A49" s="288"/>
      <c r="B49" s="287"/>
      <c r="C49" s="289"/>
      <c r="D49" s="289"/>
      <c r="E49" s="291"/>
    </row>
    <row r="50" spans="1:5">
      <c r="A50" s="288"/>
      <c r="B50" s="287"/>
      <c r="C50" s="289"/>
      <c r="D50" s="289"/>
      <c r="E50" s="291"/>
    </row>
    <row r="51" spans="1:5">
      <c r="A51" s="288"/>
      <c r="B51" s="287"/>
      <c r="C51" s="289"/>
      <c r="D51" s="289"/>
      <c r="E51" s="291"/>
    </row>
    <row r="52" spans="1:5">
      <c r="A52" s="288"/>
      <c r="B52" s="287"/>
      <c r="C52" s="289"/>
      <c r="D52" s="289"/>
      <c r="E52" s="291"/>
    </row>
    <row r="53" spans="1:5">
      <c r="A53" s="288"/>
      <c r="B53" s="287"/>
      <c r="C53" s="289"/>
      <c r="D53" s="289"/>
      <c r="E53" s="291"/>
    </row>
    <row r="54" spans="1:5">
      <c r="A54" s="288"/>
      <c r="B54" s="287"/>
      <c r="C54" s="289"/>
      <c r="D54" s="289"/>
      <c r="E54" s="291"/>
    </row>
    <row r="55" spans="1:5">
      <c r="A55" s="288"/>
      <c r="B55" s="287"/>
      <c r="C55" s="289"/>
      <c r="D55" s="289"/>
      <c r="E55" s="291"/>
    </row>
    <row r="56" spans="1:5">
      <c r="A56" s="288"/>
      <c r="B56" s="287"/>
      <c r="C56" s="289"/>
      <c r="D56" s="289"/>
      <c r="E56" s="291"/>
    </row>
    <row r="57" spans="1:5">
      <c r="A57" s="288"/>
      <c r="B57" s="287"/>
      <c r="C57" s="289"/>
      <c r="D57" s="289"/>
      <c r="E57" s="291"/>
    </row>
    <row r="58" spans="1:5">
      <c r="A58" s="288"/>
      <c r="B58" s="287"/>
      <c r="C58" s="289"/>
      <c r="D58" s="289"/>
      <c r="E58" s="291"/>
    </row>
    <row r="59" spans="1:5">
      <c r="A59" s="288"/>
      <c r="B59" s="287"/>
      <c r="C59" s="289"/>
      <c r="D59" s="289"/>
      <c r="E59" s="291"/>
    </row>
    <row r="60" spans="1:5">
      <c r="A60" s="288"/>
      <c r="B60" s="287"/>
      <c r="C60" s="289"/>
      <c r="D60" s="289"/>
      <c r="E60" s="291"/>
    </row>
    <row r="61" spans="1:5">
      <c r="A61" s="288"/>
      <c r="B61" s="287"/>
      <c r="C61" s="289"/>
      <c r="D61" s="289"/>
      <c r="E61" s="291"/>
    </row>
    <row r="62" spans="1:5">
      <c r="A62" s="288"/>
      <c r="B62" s="287"/>
      <c r="C62" s="289"/>
      <c r="D62" s="289"/>
      <c r="E62" s="291"/>
    </row>
    <row r="63" spans="1:5">
      <c r="A63" s="288"/>
      <c r="B63" s="287"/>
      <c r="C63" s="289"/>
      <c r="D63" s="289"/>
      <c r="E63" s="291"/>
    </row>
    <row r="64" spans="1:5">
      <c r="A64" s="288"/>
      <c r="B64" s="287"/>
      <c r="C64" s="289"/>
      <c r="D64" s="289"/>
      <c r="E64" s="291"/>
    </row>
    <row r="65" spans="1:5">
      <c r="A65" s="288"/>
      <c r="B65" s="287"/>
      <c r="C65" s="289"/>
      <c r="D65" s="289"/>
      <c r="E65" s="291"/>
    </row>
    <row r="66" spans="1:5">
      <c r="A66" s="288"/>
      <c r="B66" s="287"/>
      <c r="C66" s="289"/>
      <c r="D66" s="289"/>
      <c r="E66" s="291"/>
    </row>
    <row r="67" spans="1:5">
      <c r="A67" s="288"/>
      <c r="B67" s="287"/>
      <c r="C67" s="289"/>
      <c r="D67" s="289"/>
      <c r="E67" s="291"/>
    </row>
    <row r="68" spans="1:5">
      <c r="A68" s="288"/>
      <c r="B68" s="287"/>
      <c r="C68" s="289"/>
      <c r="D68" s="289"/>
      <c r="E68" s="291"/>
    </row>
    <row r="69" spans="1:5">
      <c r="A69" s="288"/>
      <c r="B69" s="287"/>
      <c r="C69" s="289"/>
      <c r="D69" s="289"/>
      <c r="E69" s="291"/>
    </row>
    <row r="70" spans="1:5">
      <c r="A70" s="288"/>
      <c r="B70" s="287"/>
      <c r="C70" s="289"/>
      <c r="D70" s="289"/>
      <c r="E70" s="291"/>
    </row>
    <row r="71" spans="1:5">
      <c r="A71" s="288"/>
      <c r="B71" s="287"/>
      <c r="C71" s="289"/>
      <c r="D71" s="289"/>
      <c r="E71" s="291"/>
    </row>
    <row r="72" spans="1:5">
      <c r="A72" s="288"/>
      <c r="B72" s="287"/>
      <c r="C72" s="289"/>
      <c r="D72" s="289"/>
      <c r="E72" s="291"/>
    </row>
    <row r="73" spans="1:5">
      <c r="A73" s="288"/>
      <c r="B73" s="287"/>
      <c r="C73" s="289"/>
      <c r="D73" s="289"/>
      <c r="E73" s="291"/>
    </row>
    <row r="74" spans="1:5">
      <c r="A74" s="288"/>
      <c r="B74" s="287"/>
      <c r="C74" s="289"/>
      <c r="D74" s="289"/>
      <c r="E74" s="291"/>
    </row>
    <row r="75" spans="1:5">
      <c r="A75" s="288"/>
      <c r="B75" s="287"/>
      <c r="C75" s="289"/>
      <c r="D75" s="289"/>
      <c r="E75" s="291"/>
    </row>
    <row r="76" spans="1:5">
      <c r="A76" s="288"/>
      <c r="B76" s="287"/>
      <c r="C76" s="289"/>
      <c r="D76" s="289"/>
      <c r="E76" s="291"/>
    </row>
  </sheetData>
  <sheetProtection algorithmName="SHA-512" hashValue="RuLUhPifjQx6AYDaVGb6lzxXnsX7CvFMQXqsWYPazk6Ubofy+W3HcJ0TK+u1TMwVxK/1q02wtdT0gW6mndhiLQ==" saltValue="m8ZWxp53GAZ0iHcgSyqIDQ=="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B206"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5"/>
  <cols>
    <col min="1" max="1" width="29.5703125" customWidth="1"/>
    <col min="2" max="2" width="36.5703125" customWidth="1"/>
    <col min="3" max="3" width="19.140625" customWidth="1"/>
    <col min="4" max="4" width="14.140625" customWidth="1"/>
    <col min="5" max="6" width="19.5703125" bestFit="1" customWidth="1"/>
    <col min="7" max="7" width="16.5703125" customWidth="1"/>
    <col min="8" max="8" width="12.5703125" customWidth="1"/>
  </cols>
  <sheetData>
    <row r="1" spans="1:8" ht="21">
      <c r="A1" s="4" t="s">
        <v>379</v>
      </c>
      <c r="B1" s="4"/>
      <c r="C1" s="4"/>
      <c r="D1" s="4"/>
      <c r="E1" s="4"/>
      <c r="F1" s="4"/>
      <c r="G1" s="4"/>
      <c r="H1" s="4"/>
    </row>
    <row r="3" spans="1:8">
      <c r="A3" s="1" t="s">
        <v>380</v>
      </c>
      <c r="B3" s="291"/>
    </row>
    <row r="4" spans="1:8">
      <c r="A4" s="1" t="s">
        <v>381</v>
      </c>
      <c r="B4" s="427"/>
    </row>
    <row r="5" spans="1:8">
      <c r="A5" s="368" t="s">
        <v>382</v>
      </c>
      <c r="B5" s="454"/>
    </row>
    <row r="7" spans="1:8" ht="18.75">
      <c r="A7" s="5" t="s">
        <v>383</v>
      </c>
    </row>
    <row r="8" spans="1:8">
      <c r="A8" s="3" t="s">
        <v>384</v>
      </c>
      <c r="B8" s="3" t="s">
        <v>385</v>
      </c>
      <c r="C8" s="3" t="s">
        <v>386</v>
      </c>
      <c r="D8" s="3" t="s">
        <v>387</v>
      </c>
      <c r="E8" s="3" t="s">
        <v>388</v>
      </c>
      <c r="F8" s="3" t="s">
        <v>389</v>
      </c>
    </row>
    <row r="9" spans="1:8">
      <c r="A9" s="287"/>
      <c r="B9" s="291"/>
      <c r="C9" s="290"/>
      <c r="D9" s="287"/>
      <c r="E9" s="287"/>
      <c r="F9" s="287"/>
      <c r="G9" s="306" t="s">
        <v>390</v>
      </c>
    </row>
    <row r="10" spans="1:8">
      <c r="A10" s="287"/>
      <c r="B10" s="291"/>
      <c r="C10" s="290"/>
      <c r="D10" s="287"/>
      <c r="E10" s="287"/>
      <c r="F10" s="287"/>
    </row>
    <row r="11" spans="1:8">
      <c r="A11" s="287"/>
      <c r="B11" s="291"/>
      <c r="C11" s="290"/>
      <c r="D11" s="287"/>
      <c r="E11" s="287"/>
      <c r="F11" s="287"/>
    </row>
    <row r="12" spans="1:8">
      <c r="A12" s="68" t="s">
        <v>391</v>
      </c>
      <c r="B12" s="66">
        <f>SUM(B9:B11)</f>
        <v>0</v>
      </c>
    </row>
    <row r="14" spans="1:8" ht="18.75">
      <c r="A14" s="5" t="s">
        <v>392</v>
      </c>
    </row>
    <row r="15" spans="1:8">
      <c r="A15" s="3" t="s">
        <v>384</v>
      </c>
      <c r="B15" s="3" t="s">
        <v>385</v>
      </c>
      <c r="C15" s="3" t="s">
        <v>386</v>
      </c>
      <c r="D15" s="3" t="s">
        <v>387</v>
      </c>
      <c r="E15" s="3" t="s">
        <v>389</v>
      </c>
    </row>
    <row r="16" spans="1:8">
      <c r="A16" s="287"/>
      <c r="B16" s="291"/>
      <c r="C16" s="290"/>
      <c r="D16" s="287"/>
      <c r="E16" s="287"/>
    </row>
    <row r="17" spans="1:5">
      <c r="A17" s="287"/>
      <c r="B17" s="291"/>
      <c r="C17" s="290"/>
      <c r="D17" s="287"/>
      <c r="E17" s="287"/>
    </row>
    <row r="18" spans="1:5">
      <c r="A18" s="287"/>
      <c r="B18" s="291"/>
      <c r="C18" s="290"/>
      <c r="D18" s="287"/>
      <c r="E18" s="287"/>
    </row>
    <row r="19" spans="1:5">
      <c r="A19" s="287"/>
      <c r="B19" s="291"/>
      <c r="C19" s="290"/>
      <c r="D19" s="287"/>
      <c r="E19" s="287"/>
    </row>
    <row r="20" spans="1:5">
      <c r="A20" s="287"/>
      <c r="B20" s="291"/>
      <c r="C20" s="290"/>
      <c r="D20" s="287"/>
      <c r="E20" s="287"/>
    </row>
    <row r="21" spans="1:5">
      <c r="A21" s="287"/>
      <c r="B21" s="291"/>
      <c r="C21" s="290"/>
      <c r="D21" s="287"/>
      <c r="E21" s="287"/>
    </row>
    <row r="22" spans="1:5">
      <c r="A22" s="68" t="s">
        <v>391</v>
      </c>
      <c r="B22" s="66">
        <f>SUM(B16:B21)</f>
        <v>0</v>
      </c>
    </row>
    <row r="24" spans="1:5" ht="18.75">
      <c r="A24" s="5" t="s">
        <v>393</v>
      </c>
    </row>
    <row r="25" spans="1:5">
      <c r="A25" s="3" t="s">
        <v>394</v>
      </c>
      <c r="B25" s="3" t="s">
        <v>385</v>
      </c>
    </row>
    <row r="26" spans="1:5">
      <c r="A26" s="287"/>
      <c r="B26" s="291"/>
    </row>
    <row r="27" spans="1:5">
      <c r="A27" s="287"/>
      <c r="B27" s="291"/>
    </row>
    <row r="28" spans="1:5">
      <c r="A28" s="287"/>
      <c r="B28" s="291"/>
    </row>
    <row r="29" spans="1:5">
      <c r="A29" s="287"/>
      <c r="B29" s="291"/>
    </row>
    <row r="30" spans="1:5">
      <c r="A30" s="287"/>
      <c r="B30" s="291"/>
    </row>
    <row r="31" spans="1:5">
      <c r="A31" s="287"/>
      <c r="B31" s="291"/>
    </row>
    <row r="32" spans="1:5">
      <c r="A32" s="287"/>
      <c r="B32" s="291"/>
    </row>
    <row r="33" spans="1:6">
      <c r="A33" s="287"/>
      <c r="B33" s="291"/>
    </row>
    <row r="34" spans="1:6">
      <c r="A34" s="68" t="s">
        <v>391</v>
      </c>
      <c r="B34" s="66">
        <f>SUM(B26:B33)</f>
        <v>0</v>
      </c>
    </row>
    <row r="36" spans="1:6" ht="18.75">
      <c r="A36" s="5" t="s">
        <v>395</v>
      </c>
    </row>
    <row r="37" spans="1:6">
      <c r="A37" s="3" t="s">
        <v>396</v>
      </c>
      <c r="B37" s="3" t="s">
        <v>385</v>
      </c>
    </row>
    <row r="38" spans="1:6">
      <c r="A38" s="1" t="s">
        <v>397</v>
      </c>
      <c r="B38" s="291">
        <v>0</v>
      </c>
    </row>
    <row r="39" spans="1:6">
      <c r="A39" s="1" t="s">
        <v>398</v>
      </c>
      <c r="B39" s="291">
        <v>0</v>
      </c>
    </row>
    <row r="40" spans="1:6">
      <c r="A40" s="1" t="s">
        <v>399</v>
      </c>
      <c r="B40" s="291">
        <v>0</v>
      </c>
      <c r="C40" s="10" t="s">
        <v>400</v>
      </c>
    </row>
    <row r="41" spans="1:6">
      <c r="A41" s="68" t="s">
        <v>391</v>
      </c>
      <c r="B41" s="66">
        <f>SUM(B38:B40)</f>
        <v>0</v>
      </c>
    </row>
    <row r="42" spans="1:6">
      <c r="A42" s="68" t="s">
        <v>401</v>
      </c>
      <c r="B42" s="66">
        <f>SUM(B12,B22,B34,B41)</f>
        <v>0</v>
      </c>
    </row>
    <row r="44" spans="1:6" ht="18.75">
      <c r="A44" s="5" t="s">
        <v>402</v>
      </c>
    </row>
    <row r="45" spans="1:6">
      <c r="A45" s="3" t="s">
        <v>384</v>
      </c>
      <c r="B45" s="3" t="s">
        <v>385</v>
      </c>
      <c r="C45" s="3" t="s">
        <v>386</v>
      </c>
      <c r="D45" s="3" t="s">
        <v>387</v>
      </c>
      <c r="E45" s="3" t="s">
        <v>388</v>
      </c>
      <c r="F45" s="10"/>
    </row>
    <row r="46" spans="1:6">
      <c r="A46" s="287"/>
      <c r="B46" s="291"/>
      <c r="C46" s="290"/>
      <c r="D46" s="287"/>
      <c r="E46" s="287"/>
    </row>
    <row r="47" spans="1:6">
      <c r="A47" s="287"/>
      <c r="B47" s="291"/>
      <c r="C47" s="290"/>
      <c r="D47" s="287"/>
      <c r="E47" s="287"/>
    </row>
    <row r="48" spans="1:6">
      <c r="A48" s="287"/>
      <c r="B48" s="291"/>
      <c r="C48" s="290"/>
      <c r="D48" s="287"/>
      <c r="E48" s="287"/>
    </row>
    <row r="49" spans="1:4">
      <c r="A49" s="68" t="s">
        <v>391</v>
      </c>
      <c r="B49" s="66">
        <f>SUM(B46:B48)</f>
        <v>0</v>
      </c>
    </row>
    <row r="51" spans="1:4" ht="18.75">
      <c r="A51" s="5" t="s">
        <v>403</v>
      </c>
    </row>
    <row r="52" spans="1:4">
      <c r="A52" s="3" t="s">
        <v>384</v>
      </c>
      <c r="B52" s="3" t="s">
        <v>385</v>
      </c>
      <c r="C52" s="3" t="s">
        <v>386</v>
      </c>
      <c r="D52" s="3" t="s">
        <v>387</v>
      </c>
    </row>
    <row r="53" spans="1:4">
      <c r="A53" s="287"/>
      <c r="B53" s="291"/>
      <c r="C53" s="290"/>
      <c r="D53" s="287"/>
    </row>
    <row r="54" spans="1:4">
      <c r="A54" s="287"/>
      <c r="B54" s="291"/>
      <c r="C54" s="290"/>
      <c r="D54" s="287"/>
    </row>
    <row r="55" spans="1:4">
      <c r="A55" s="287"/>
      <c r="B55" s="291"/>
      <c r="C55" s="290"/>
      <c r="D55" s="287"/>
    </row>
    <row r="56" spans="1:4">
      <c r="A56" s="287"/>
      <c r="B56" s="291"/>
      <c r="C56" s="290"/>
      <c r="D56" s="287"/>
    </row>
    <row r="57" spans="1:4">
      <c r="A57" s="287"/>
      <c r="B57" s="291"/>
      <c r="C57" s="290"/>
      <c r="D57" s="287"/>
    </row>
    <row r="58" spans="1:4">
      <c r="A58" s="287"/>
      <c r="B58" s="291"/>
      <c r="C58" s="290"/>
      <c r="D58" s="287"/>
    </row>
    <row r="59" spans="1:4">
      <c r="A59" s="68" t="s">
        <v>391</v>
      </c>
      <c r="B59" s="65">
        <f>SUM(B50:B58)</f>
        <v>0</v>
      </c>
    </row>
    <row r="61" spans="1:4" ht="18.75">
      <c r="A61" s="5" t="s">
        <v>404</v>
      </c>
    </row>
    <row r="62" spans="1:4">
      <c r="A62" s="3" t="s">
        <v>394</v>
      </c>
      <c r="B62" s="3" t="s">
        <v>385</v>
      </c>
    </row>
    <row r="63" spans="1:4">
      <c r="A63" s="287"/>
      <c r="B63" s="291"/>
    </row>
    <row r="64" spans="1:4">
      <c r="A64" s="287"/>
      <c r="B64" s="291"/>
    </row>
    <row r="65" spans="1:2">
      <c r="A65" s="287"/>
      <c r="B65" s="291"/>
    </row>
    <row r="66" spans="1:2">
      <c r="A66" s="287"/>
      <c r="B66" s="291"/>
    </row>
    <row r="67" spans="1:2">
      <c r="A67" s="287"/>
      <c r="B67" s="291"/>
    </row>
    <row r="68" spans="1:2">
      <c r="A68" s="287"/>
      <c r="B68" s="291"/>
    </row>
    <row r="69" spans="1:2">
      <c r="A69" s="287"/>
      <c r="B69" s="291"/>
    </row>
    <row r="70" spans="1:2">
      <c r="A70" s="287"/>
      <c r="B70" s="291"/>
    </row>
    <row r="71" spans="1:2">
      <c r="A71" s="68" t="s">
        <v>391</v>
      </c>
      <c r="B71" s="65">
        <f>SUM(B63:B70)</f>
        <v>0</v>
      </c>
    </row>
    <row r="73" spans="1:2" ht="18.75">
      <c r="A73" s="5" t="s">
        <v>405</v>
      </c>
    </row>
    <row r="74" spans="1:2">
      <c r="A74" s="3" t="s">
        <v>396</v>
      </c>
      <c r="B74" s="3" t="s">
        <v>406</v>
      </c>
    </row>
    <row r="75" spans="1:2">
      <c r="A75" s="1" t="s">
        <v>397</v>
      </c>
      <c r="B75" s="291">
        <v>0</v>
      </c>
    </row>
    <row r="76" spans="1:2">
      <c r="A76" s="1" t="s">
        <v>398</v>
      </c>
      <c r="B76" s="291">
        <v>0</v>
      </c>
    </row>
    <row r="77" spans="1:2">
      <c r="A77" s="68" t="s">
        <v>391</v>
      </c>
      <c r="B77" s="65">
        <f>SUM(B75:B76)</f>
        <v>0</v>
      </c>
    </row>
    <row r="78" spans="1:2">
      <c r="A78" s="68" t="s">
        <v>407</v>
      </c>
      <c r="B78" s="66">
        <f>SUM(B77,B71,B59,B49)</f>
        <v>0</v>
      </c>
    </row>
    <row r="79" spans="1:2">
      <c r="A79" s="6" t="s">
        <v>408</v>
      </c>
    </row>
  </sheetData>
  <sheetProtection algorithmName="SHA-512" hashValue="pIMoZGVziAd9/CtxQQ4ia0vrzK0f1oeY0QtOJqU6Rpa81rRHATmCUgFY+vDkvuawb5/VfsoKksWnXsO4ROtaGw==" saltValue="bEybjMRG/J/Gtcc6m0bgRQ=="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6"/>
  <sheetViews>
    <sheetView showGridLines="0" zoomScale="85" zoomScaleNormal="85" workbookViewId="0"/>
  </sheetViews>
  <sheetFormatPr defaultRowHeight="15"/>
  <cols>
    <col min="1" max="1" width="54.5703125" customWidth="1"/>
    <col min="2" max="6" width="23.5703125" customWidth="1"/>
    <col min="7" max="7" width="103.5703125" customWidth="1"/>
  </cols>
  <sheetData>
    <row r="1" spans="1:8" ht="21">
      <c r="A1" s="4" t="s">
        <v>409</v>
      </c>
      <c r="B1" s="4"/>
      <c r="C1" s="4"/>
      <c r="D1" s="4"/>
      <c r="E1" s="4"/>
      <c r="F1" s="4"/>
      <c r="G1" s="4"/>
    </row>
    <row r="2" spans="1:8">
      <c r="B2" s="1" t="s">
        <v>410</v>
      </c>
    </row>
    <row r="3" spans="1:8" ht="30">
      <c r="A3" s="3" t="s">
        <v>411</v>
      </c>
      <c r="B3" s="3" t="s">
        <v>412</v>
      </c>
      <c r="C3" s="3" t="s">
        <v>413</v>
      </c>
      <c r="D3" s="3" t="s">
        <v>414</v>
      </c>
      <c r="E3" s="514" t="s">
        <v>415</v>
      </c>
      <c r="F3" s="514" t="s">
        <v>416</v>
      </c>
      <c r="G3" s="514" t="s">
        <v>417</v>
      </c>
    </row>
    <row r="4" spans="1:8">
      <c r="A4" s="1" t="s">
        <v>418</v>
      </c>
      <c r="B4" s="291">
        <v>0</v>
      </c>
      <c r="E4" s="291">
        <v>0</v>
      </c>
      <c r="F4" s="291">
        <v>0</v>
      </c>
      <c r="G4" s="287"/>
    </row>
    <row r="5" spans="1:8">
      <c r="A5" s="1" t="s">
        <v>419</v>
      </c>
      <c r="B5" s="291">
        <v>0</v>
      </c>
      <c r="C5" s="291">
        <v>0</v>
      </c>
      <c r="E5" s="291">
        <v>0</v>
      </c>
      <c r="F5" s="291">
        <v>0</v>
      </c>
      <c r="G5" s="287"/>
    </row>
    <row r="6" spans="1:8">
      <c r="A6" s="1" t="s">
        <v>420</v>
      </c>
      <c r="B6" s="291">
        <v>0</v>
      </c>
      <c r="E6" s="291">
        <v>0</v>
      </c>
      <c r="F6" s="291">
        <v>0</v>
      </c>
      <c r="G6" s="287"/>
    </row>
    <row r="7" spans="1:8">
      <c r="A7" s="67"/>
      <c r="B7" s="66">
        <f>SUM(B4:B6)</f>
        <v>0</v>
      </c>
      <c r="C7" s="66">
        <f t="shared" ref="C7:F7" si="0">SUM(C4:C6)</f>
        <v>0</v>
      </c>
      <c r="D7" s="66">
        <f t="shared" si="0"/>
        <v>0</v>
      </c>
      <c r="E7" s="66">
        <f t="shared" si="0"/>
        <v>0</v>
      </c>
      <c r="F7" s="66">
        <f t="shared" si="0"/>
        <v>0</v>
      </c>
      <c r="G7" s="66"/>
    </row>
    <row r="8" spans="1:8">
      <c r="A8" s="3" t="s">
        <v>421</v>
      </c>
      <c r="B8" s="3"/>
      <c r="C8" s="3"/>
      <c r="D8" s="3"/>
      <c r="E8" s="3"/>
      <c r="F8" s="3"/>
      <c r="G8" s="3"/>
    </row>
    <row r="9" spans="1:8">
      <c r="A9" s="1" t="s">
        <v>422</v>
      </c>
      <c r="B9" s="291">
        <v>0</v>
      </c>
      <c r="C9" s="291">
        <v>0</v>
      </c>
      <c r="D9" s="291">
        <v>0</v>
      </c>
      <c r="E9" s="291">
        <v>0</v>
      </c>
      <c r="F9" s="291">
        <v>0</v>
      </c>
      <c r="G9" s="287"/>
      <c r="H9" s="49"/>
    </row>
    <row r="10" spans="1:8">
      <c r="A10" s="1" t="s">
        <v>423</v>
      </c>
      <c r="B10" s="291">
        <v>0</v>
      </c>
      <c r="E10" s="291">
        <v>0</v>
      </c>
      <c r="F10" s="367"/>
      <c r="G10" s="287"/>
    </row>
    <row r="11" spans="1:8">
      <c r="B11" s="66">
        <f>SUM(B9:B10)</f>
        <v>0</v>
      </c>
      <c r="C11" s="66">
        <f t="shared" ref="C11:E11" si="1">SUM(C9:C10)</f>
        <v>0</v>
      </c>
      <c r="D11" s="66">
        <f t="shared" si="1"/>
        <v>0</v>
      </c>
      <c r="E11" s="66">
        <f t="shared" si="1"/>
        <v>0</v>
      </c>
      <c r="F11" s="66">
        <f>SUM(F9:F10)</f>
        <v>0</v>
      </c>
    </row>
    <row r="12" spans="1:8">
      <c r="A12" s="3" t="s">
        <v>424</v>
      </c>
      <c r="B12" s="3"/>
      <c r="C12" s="3"/>
      <c r="D12" s="3"/>
      <c r="E12" s="3"/>
      <c r="F12" s="3"/>
      <c r="G12" s="3"/>
    </row>
    <row r="13" spans="1:8">
      <c r="A13" s="1" t="s">
        <v>425</v>
      </c>
      <c r="B13" s="291">
        <v>0</v>
      </c>
      <c r="C13" s="291">
        <v>0</v>
      </c>
      <c r="D13" s="291">
        <v>0</v>
      </c>
      <c r="E13" s="291">
        <v>0</v>
      </c>
      <c r="F13" s="291">
        <v>0</v>
      </c>
      <c r="G13" s="287"/>
    </row>
    <row r="14" spans="1:8">
      <c r="A14" s="1" t="s">
        <v>426</v>
      </c>
      <c r="B14" s="291">
        <v>0</v>
      </c>
      <c r="C14" s="291">
        <v>0</v>
      </c>
      <c r="D14" s="291">
        <v>0</v>
      </c>
      <c r="E14" s="291">
        <v>0</v>
      </c>
      <c r="F14" s="291">
        <v>0</v>
      </c>
      <c r="G14" s="287"/>
    </row>
    <row r="15" spans="1:8">
      <c r="A15" s="1" t="s">
        <v>427</v>
      </c>
      <c r="B15" s="291">
        <v>0</v>
      </c>
      <c r="C15" s="291">
        <v>0</v>
      </c>
      <c r="D15" s="291">
        <v>0</v>
      </c>
      <c r="E15" s="291">
        <v>0</v>
      </c>
      <c r="F15" s="291">
        <v>0</v>
      </c>
      <c r="G15" s="287"/>
    </row>
    <row r="16" spans="1:8">
      <c r="A16" s="1" t="s">
        <v>428</v>
      </c>
      <c r="B16" s="291">
        <v>0</v>
      </c>
      <c r="C16" s="291">
        <v>0</v>
      </c>
      <c r="D16" s="291">
        <v>0</v>
      </c>
      <c r="E16" s="291">
        <v>0</v>
      </c>
      <c r="F16" s="291">
        <v>0</v>
      </c>
      <c r="G16" s="287"/>
    </row>
    <row r="17" spans="1:7">
      <c r="A17" s="1" t="s">
        <v>429</v>
      </c>
      <c r="B17" s="291">
        <v>0</v>
      </c>
      <c r="C17" s="291">
        <v>0</v>
      </c>
      <c r="D17" s="291">
        <v>0</v>
      </c>
      <c r="E17" s="291">
        <v>0</v>
      </c>
      <c r="F17" s="291">
        <v>0</v>
      </c>
      <c r="G17" s="287"/>
    </row>
    <row r="18" spans="1:7">
      <c r="A18" s="1" t="s">
        <v>430</v>
      </c>
      <c r="B18" s="291">
        <v>0</v>
      </c>
      <c r="C18" s="291">
        <v>0</v>
      </c>
      <c r="D18" s="291">
        <v>0</v>
      </c>
      <c r="E18" s="291">
        <v>0</v>
      </c>
      <c r="F18" s="291">
        <v>0</v>
      </c>
      <c r="G18" s="287"/>
    </row>
    <row r="19" spans="1:7">
      <c r="A19" s="1" t="s">
        <v>431</v>
      </c>
      <c r="B19" s="291">
        <v>0</v>
      </c>
      <c r="C19" s="291">
        <v>0</v>
      </c>
      <c r="D19" s="291">
        <v>0</v>
      </c>
      <c r="E19" s="291">
        <v>0</v>
      </c>
      <c r="F19" s="291">
        <v>0</v>
      </c>
      <c r="G19" s="287"/>
    </row>
    <row r="20" spans="1:7">
      <c r="A20" s="1" t="s">
        <v>432</v>
      </c>
      <c r="B20" s="291">
        <v>0</v>
      </c>
      <c r="C20" s="291">
        <v>0</v>
      </c>
      <c r="D20" s="291">
        <v>0</v>
      </c>
      <c r="E20" s="291">
        <v>0</v>
      </c>
      <c r="F20" s="291">
        <v>0</v>
      </c>
      <c r="G20" s="287"/>
    </row>
    <row r="21" spans="1:7">
      <c r="A21" s="1" t="s">
        <v>433</v>
      </c>
      <c r="B21" s="291">
        <v>0</v>
      </c>
      <c r="C21" s="291">
        <v>0</v>
      </c>
      <c r="D21" s="291">
        <v>0</v>
      </c>
      <c r="E21" s="291">
        <v>0</v>
      </c>
      <c r="F21" s="291">
        <v>0</v>
      </c>
      <c r="G21" s="287"/>
    </row>
    <row r="22" spans="1:7">
      <c r="A22" s="1" t="s">
        <v>434</v>
      </c>
      <c r="B22" s="291">
        <v>0</v>
      </c>
      <c r="C22" s="291">
        <v>0</v>
      </c>
      <c r="D22" s="291">
        <v>0</v>
      </c>
      <c r="E22" s="291">
        <v>0</v>
      </c>
      <c r="F22" s="291">
        <v>0</v>
      </c>
      <c r="G22" s="287"/>
    </row>
    <row r="23" spans="1:7">
      <c r="A23" s="1" t="s">
        <v>435</v>
      </c>
      <c r="B23" s="291">
        <v>0</v>
      </c>
      <c r="C23" s="291">
        <v>0</v>
      </c>
      <c r="D23" s="291">
        <v>0</v>
      </c>
      <c r="E23" s="291">
        <v>0</v>
      </c>
      <c r="F23" s="291">
        <v>0</v>
      </c>
      <c r="G23" s="287"/>
    </row>
    <row r="24" spans="1:7">
      <c r="A24" s="292" t="str">
        <f>"Other (Specify)"</f>
        <v>Other (Specify)</v>
      </c>
      <c r="B24" s="291">
        <v>0</v>
      </c>
      <c r="C24" s="291">
        <v>0</v>
      </c>
      <c r="D24" s="291">
        <v>0</v>
      </c>
      <c r="E24" s="291">
        <v>0</v>
      </c>
      <c r="F24" s="291">
        <v>0</v>
      </c>
      <c r="G24" s="287"/>
    </row>
    <row r="25" spans="1:7">
      <c r="A25" s="292" t="str">
        <f t="shared" ref="A25:A26" si="2">"Other (Specify)"</f>
        <v>Other (Specify)</v>
      </c>
      <c r="B25" s="291">
        <v>0</v>
      </c>
      <c r="C25" s="291">
        <v>0</v>
      </c>
      <c r="D25" s="291">
        <v>0</v>
      </c>
      <c r="E25" s="291">
        <v>0</v>
      </c>
      <c r="F25" s="291">
        <v>0</v>
      </c>
      <c r="G25" s="287"/>
    </row>
    <row r="26" spans="1:7">
      <c r="A26" s="292" t="str">
        <f t="shared" si="2"/>
        <v>Other (Specify)</v>
      </c>
      <c r="B26" s="291">
        <v>0</v>
      </c>
      <c r="C26" s="291">
        <v>0</v>
      </c>
      <c r="D26" s="291">
        <v>0</v>
      </c>
      <c r="E26" s="291">
        <v>0</v>
      </c>
      <c r="F26" s="291">
        <v>0</v>
      </c>
      <c r="G26" s="287"/>
    </row>
    <row r="27" spans="1:7">
      <c r="B27" s="66">
        <f>SUM(B13:B26)</f>
        <v>0</v>
      </c>
      <c r="C27" s="66">
        <f t="shared" ref="C27:F27" si="3">SUM(C13:C26)</f>
        <v>0</v>
      </c>
      <c r="D27" s="66">
        <f t="shared" si="3"/>
        <v>0</v>
      </c>
      <c r="E27" s="66">
        <f t="shared" si="3"/>
        <v>0</v>
      </c>
      <c r="F27" s="66">
        <f t="shared" si="3"/>
        <v>0</v>
      </c>
    </row>
    <row r="28" spans="1:7">
      <c r="A28" s="3" t="s">
        <v>436</v>
      </c>
      <c r="B28" s="3"/>
      <c r="C28" s="3"/>
      <c r="D28" s="3"/>
      <c r="E28" s="3"/>
      <c r="F28" s="3"/>
      <c r="G28" s="3"/>
    </row>
    <row r="29" spans="1:7">
      <c r="A29" s="1" t="s">
        <v>437</v>
      </c>
      <c r="B29" s="291">
        <v>0</v>
      </c>
      <c r="C29" s="291">
        <v>0</v>
      </c>
      <c r="D29" s="291">
        <v>0</v>
      </c>
      <c r="E29" s="291">
        <v>0</v>
      </c>
      <c r="F29" s="291">
        <v>0</v>
      </c>
      <c r="G29" s="287"/>
    </row>
    <row r="30" spans="1:7">
      <c r="A30" s="1" t="s">
        <v>438</v>
      </c>
      <c r="B30" s="291">
        <v>0</v>
      </c>
      <c r="C30" s="291">
        <v>0</v>
      </c>
      <c r="D30" s="291">
        <v>0</v>
      </c>
      <c r="E30" s="291">
        <v>0</v>
      </c>
      <c r="F30" s="291">
        <v>0</v>
      </c>
      <c r="G30" s="287"/>
    </row>
    <row r="31" spans="1:7">
      <c r="A31" s="1" t="s">
        <v>439</v>
      </c>
      <c r="B31" s="291">
        <v>0</v>
      </c>
      <c r="C31" s="291">
        <v>0</v>
      </c>
      <c r="D31" s="291">
        <v>0</v>
      </c>
      <c r="E31" s="291">
        <v>0</v>
      </c>
      <c r="F31" s="291">
        <v>0</v>
      </c>
      <c r="G31" s="287"/>
    </row>
    <row r="32" spans="1:7">
      <c r="A32" s="1" t="s">
        <v>440</v>
      </c>
      <c r="B32" s="291">
        <v>0</v>
      </c>
      <c r="C32" s="291">
        <v>0</v>
      </c>
      <c r="D32" s="291">
        <v>0</v>
      </c>
      <c r="E32" s="291">
        <v>0</v>
      </c>
      <c r="F32" s="291">
        <v>0</v>
      </c>
      <c r="G32" s="287"/>
    </row>
    <row r="33" spans="1:7">
      <c r="A33" s="1" t="s">
        <v>441</v>
      </c>
      <c r="B33" s="291">
        <v>0</v>
      </c>
      <c r="C33" s="291">
        <v>0</v>
      </c>
      <c r="D33" s="291">
        <v>0</v>
      </c>
      <c r="E33" s="291">
        <v>0</v>
      </c>
      <c r="F33" s="291">
        <v>0</v>
      </c>
      <c r="G33" s="287"/>
    </row>
    <row r="34" spans="1:7">
      <c r="A34" s="1" t="s">
        <v>442</v>
      </c>
      <c r="B34" s="291">
        <v>0</v>
      </c>
      <c r="C34" s="291">
        <v>0</v>
      </c>
      <c r="D34" s="291">
        <v>0</v>
      </c>
      <c r="E34" s="291">
        <v>0</v>
      </c>
      <c r="F34" s="291">
        <v>0</v>
      </c>
      <c r="G34" s="287"/>
    </row>
    <row r="35" spans="1:7">
      <c r="A35" s="1" t="s">
        <v>443</v>
      </c>
      <c r="B35" s="291">
        <v>0</v>
      </c>
      <c r="C35" s="291">
        <v>0</v>
      </c>
      <c r="D35" s="291">
        <v>0</v>
      </c>
      <c r="E35" s="291">
        <v>0</v>
      </c>
      <c r="F35" s="291">
        <v>0</v>
      </c>
      <c r="G35" s="287"/>
    </row>
    <row r="36" spans="1:7">
      <c r="A36" s="1" t="s">
        <v>444</v>
      </c>
      <c r="B36" s="291">
        <v>0</v>
      </c>
      <c r="C36" s="291">
        <v>0</v>
      </c>
      <c r="D36" s="291">
        <v>0</v>
      </c>
      <c r="E36" s="291">
        <v>0</v>
      </c>
      <c r="F36" s="291">
        <v>0</v>
      </c>
      <c r="G36" s="287"/>
    </row>
    <row r="37" spans="1:7">
      <c r="A37" s="1" t="s">
        <v>190</v>
      </c>
      <c r="B37" s="291">
        <v>0</v>
      </c>
      <c r="C37" s="291">
        <v>0</v>
      </c>
      <c r="D37" s="291">
        <v>0</v>
      </c>
      <c r="E37" s="291">
        <v>0</v>
      </c>
      <c r="F37" s="291">
        <v>0</v>
      </c>
      <c r="G37" s="287"/>
    </row>
    <row r="38" spans="1:7">
      <c r="A38" s="1" t="s">
        <v>445</v>
      </c>
      <c r="B38" s="291">
        <v>0</v>
      </c>
      <c r="C38" s="291">
        <v>0</v>
      </c>
      <c r="D38" s="291">
        <v>0</v>
      </c>
      <c r="E38" s="291">
        <v>0</v>
      </c>
      <c r="F38" s="291">
        <v>0</v>
      </c>
      <c r="G38" s="287"/>
    </row>
    <row r="39" spans="1:7">
      <c r="A39" s="1" t="s">
        <v>446</v>
      </c>
      <c r="B39" s="291">
        <v>0</v>
      </c>
      <c r="C39" s="291">
        <v>0</v>
      </c>
      <c r="D39" s="291">
        <v>0</v>
      </c>
      <c r="E39" s="291">
        <v>0</v>
      </c>
      <c r="F39" s="291">
        <v>0</v>
      </c>
      <c r="G39" s="287"/>
    </row>
    <row r="40" spans="1:7">
      <c r="A40" s="292" t="str">
        <f t="shared" ref="A40:A42" si="4">"Other (Specify)"</f>
        <v>Other (Specify)</v>
      </c>
      <c r="B40" s="291">
        <v>0</v>
      </c>
      <c r="C40" s="291">
        <v>0</v>
      </c>
      <c r="D40" s="291">
        <v>0</v>
      </c>
      <c r="E40" s="291">
        <v>0</v>
      </c>
      <c r="F40" s="291">
        <v>0</v>
      </c>
      <c r="G40" s="287"/>
    </row>
    <row r="41" spans="1:7">
      <c r="A41" s="292" t="str">
        <f t="shared" si="4"/>
        <v>Other (Specify)</v>
      </c>
      <c r="B41" s="291">
        <v>0</v>
      </c>
      <c r="C41" s="291">
        <v>0</v>
      </c>
      <c r="D41" s="291">
        <v>0</v>
      </c>
      <c r="E41" s="291">
        <v>0</v>
      </c>
      <c r="F41" s="291">
        <v>0</v>
      </c>
      <c r="G41" s="287"/>
    </row>
    <row r="42" spans="1:7">
      <c r="A42" s="292" t="str">
        <f t="shared" si="4"/>
        <v>Other (Specify)</v>
      </c>
      <c r="B42" s="291">
        <v>0</v>
      </c>
      <c r="C42" s="291">
        <v>0</v>
      </c>
      <c r="D42" s="291">
        <v>0</v>
      </c>
      <c r="E42" s="291">
        <v>0</v>
      </c>
      <c r="F42" s="291">
        <v>0</v>
      </c>
      <c r="G42" s="287"/>
    </row>
    <row r="43" spans="1:7">
      <c r="B43" s="66">
        <f>SUM(B29:B42)</f>
        <v>0</v>
      </c>
      <c r="C43" s="66">
        <f t="shared" ref="C43:F43" si="5">SUM(C29:C42)</f>
        <v>0</v>
      </c>
      <c r="D43" s="66">
        <f t="shared" si="5"/>
        <v>0</v>
      </c>
      <c r="E43" s="66">
        <f t="shared" si="5"/>
        <v>0</v>
      </c>
      <c r="F43" s="66">
        <f t="shared" si="5"/>
        <v>0</v>
      </c>
    </row>
    <row r="44" spans="1:7">
      <c r="A44" s="3" t="s">
        <v>447</v>
      </c>
      <c r="B44" s="3"/>
      <c r="C44" s="3"/>
      <c r="D44" s="3"/>
      <c r="E44" s="3"/>
      <c r="F44" s="3"/>
      <c r="G44" s="3"/>
    </row>
    <row r="45" spans="1:7">
      <c r="A45" s="1" t="s">
        <v>448</v>
      </c>
      <c r="B45" s="291">
        <v>0</v>
      </c>
      <c r="C45" s="291">
        <v>0</v>
      </c>
      <c r="D45" s="291">
        <v>0</v>
      </c>
      <c r="E45" s="291">
        <v>0</v>
      </c>
      <c r="F45" s="291">
        <v>0</v>
      </c>
      <c r="G45" s="287"/>
    </row>
    <row r="46" spans="1:7">
      <c r="A46" s="1" t="s">
        <v>449</v>
      </c>
      <c r="B46" s="291">
        <v>0</v>
      </c>
      <c r="C46" s="291">
        <v>0</v>
      </c>
      <c r="D46" s="291">
        <v>0</v>
      </c>
      <c r="E46" s="291">
        <v>0</v>
      </c>
      <c r="F46" s="291">
        <v>0</v>
      </c>
      <c r="G46" s="287"/>
    </row>
    <row r="47" spans="1:7">
      <c r="A47" s="1" t="s">
        <v>450</v>
      </c>
      <c r="B47" s="291">
        <v>0</v>
      </c>
      <c r="C47" s="291">
        <v>0</v>
      </c>
      <c r="D47" s="291">
        <v>0</v>
      </c>
      <c r="E47" s="291">
        <v>0</v>
      </c>
      <c r="F47" s="291">
        <v>0</v>
      </c>
      <c r="G47" s="287"/>
    </row>
    <row r="48" spans="1:7">
      <c r="A48" s="1" t="s">
        <v>451</v>
      </c>
      <c r="B48" s="291">
        <v>0</v>
      </c>
      <c r="C48" s="291">
        <v>0</v>
      </c>
      <c r="D48" s="291">
        <v>0</v>
      </c>
      <c r="E48" s="291">
        <v>0</v>
      </c>
      <c r="F48" s="291">
        <v>0</v>
      </c>
      <c r="G48" s="287"/>
    </row>
    <row r="49" spans="1:7">
      <c r="A49" s="1" t="s">
        <v>452</v>
      </c>
      <c r="B49" s="291">
        <v>0</v>
      </c>
      <c r="C49" s="291">
        <v>0</v>
      </c>
      <c r="D49" s="291">
        <v>0</v>
      </c>
      <c r="E49" s="291">
        <v>0</v>
      </c>
      <c r="F49" s="291">
        <v>0</v>
      </c>
      <c r="G49" s="287"/>
    </row>
    <row r="50" spans="1:7">
      <c r="A50" s="1" t="s">
        <v>453</v>
      </c>
      <c r="B50" s="291">
        <v>0</v>
      </c>
      <c r="C50" s="291">
        <v>0</v>
      </c>
      <c r="D50" s="291">
        <v>0</v>
      </c>
      <c r="E50" s="291">
        <v>0</v>
      </c>
      <c r="F50" s="291">
        <v>0</v>
      </c>
      <c r="G50" s="287"/>
    </row>
    <row r="51" spans="1:7">
      <c r="A51" s="1" t="s">
        <v>454</v>
      </c>
      <c r="B51" s="291">
        <v>0</v>
      </c>
      <c r="C51" s="291">
        <v>0</v>
      </c>
      <c r="D51" s="291">
        <v>0</v>
      </c>
      <c r="E51" s="291">
        <v>0</v>
      </c>
      <c r="F51" s="291">
        <v>0</v>
      </c>
      <c r="G51" s="287"/>
    </row>
    <row r="52" spans="1:7">
      <c r="A52" s="1" t="s">
        <v>455</v>
      </c>
      <c r="B52" s="291">
        <v>0</v>
      </c>
      <c r="C52" s="291">
        <v>0</v>
      </c>
      <c r="D52" s="291">
        <v>0</v>
      </c>
      <c r="E52" s="291">
        <v>0</v>
      </c>
      <c r="F52" s="291">
        <v>0</v>
      </c>
      <c r="G52" s="287"/>
    </row>
    <row r="53" spans="1:7">
      <c r="A53" s="1" t="s">
        <v>456</v>
      </c>
      <c r="B53" s="291">
        <v>0</v>
      </c>
      <c r="C53" s="291">
        <v>0</v>
      </c>
      <c r="D53" s="291">
        <v>0</v>
      </c>
      <c r="E53" s="291">
        <v>0</v>
      </c>
      <c r="F53" s="291">
        <v>0</v>
      </c>
      <c r="G53" s="287"/>
    </row>
    <row r="54" spans="1:7">
      <c r="A54" s="1" t="s">
        <v>457</v>
      </c>
      <c r="B54" s="291">
        <v>0</v>
      </c>
      <c r="C54" s="291">
        <v>0</v>
      </c>
      <c r="D54" s="291">
        <v>0</v>
      </c>
      <c r="E54" s="291">
        <v>0</v>
      </c>
      <c r="F54" s="291">
        <v>0</v>
      </c>
      <c r="G54" s="287"/>
    </row>
    <row r="55" spans="1:7">
      <c r="A55" s="1" t="s">
        <v>458</v>
      </c>
      <c r="B55" s="291">
        <v>0</v>
      </c>
      <c r="C55" s="291">
        <v>0</v>
      </c>
      <c r="D55" s="291">
        <v>0</v>
      </c>
      <c r="E55" s="291">
        <v>0</v>
      </c>
      <c r="F55" s="291">
        <v>0</v>
      </c>
      <c r="G55" s="287"/>
    </row>
    <row r="56" spans="1:7">
      <c r="A56" s="1" t="s">
        <v>459</v>
      </c>
      <c r="B56" s="291">
        <v>0</v>
      </c>
      <c r="C56" s="291">
        <v>0</v>
      </c>
      <c r="D56" s="291">
        <v>0</v>
      </c>
      <c r="E56" s="291">
        <v>0</v>
      </c>
      <c r="F56" s="291">
        <v>0</v>
      </c>
      <c r="G56" s="287"/>
    </row>
    <row r="57" spans="1:7">
      <c r="A57" s="1" t="s">
        <v>460</v>
      </c>
      <c r="B57" s="291">
        <v>0</v>
      </c>
      <c r="C57" s="291">
        <v>0</v>
      </c>
      <c r="D57" s="291">
        <v>0</v>
      </c>
      <c r="E57" s="291">
        <v>0</v>
      </c>
      <c r="F57" s="291">
        <v>0</v>
      </c>
      <c r="G57" s="287"/>
    </row>
    <row r="58" spans="1:7">
      <c r="A58" s="1" t="s">
        <v>461</v>
      </c>
      <c r="B58" s="291">
        <v>0</v>
      </c>
      <c r="C58" s="291">
        <v>0</v>
      </c>
      <c r="D58" s="291">
        <v>0</v>
      </c>
      <c r="E58" s="291">
        <v>0</v>
      </c>
      <c r="F58" s="291">
        <v>0</v>
      </c>
      <c r="G58" s="287"/>
    </row>
    <row r="59" spans="1:7">
      <c r="A59" s="1" t="s">
        <v>462</v>
      </c>
      <c r="B59" s="291">
        <v>0</v>
      </c>
      <c r="C59" s="291">
        <v>0</v>
      </c>
      <c r="D59" s="291">
        <v>0</v>
      </c>
      <c r="E59" s="291">
        <v>0</v>
      </c>
      <c r="F59" s="291">
        <v>0</v>
      </c>
      <c r="G59" s="287"/>
    </row>
    <row r="60" spans="1:7">
      <c r="A60" s="292" t="str">
        <f t="shared" ref="A60" si="6">"Other (Specify)"</f>
        <v>Other (Specify)</v>
      </c>
      <c r="B60" s="291">
        <v>0</v>
      </c>
      <c r="C60" s="291">
        <v>0</v>
      </c>
      <c r="D60" s="291">
        <v>0</v>
      </c>
      <c r="E60" s="291">
        <v>0</v>
      </c>
      <c r="F60" s="291">
        <v>0</v>
      </c>
      <c r="G60" s="287"/>
    </row>
    <row r="61" spans="1:7">
      <c r="A61" s="292" t="str">
        <f t="shared" ref="A61:A62" si="7">"Other (Specify)"</f>
        <v>Other (Specify)</v>
      </c>
      <c r="B61" s="291">
        <v>0</v>
      </c>
      <c r="C61" s="291">
        <v>0</v>
      </c>
      <c r="D61" s="291">
        <v>0</v>
      </c>
      <c r="E61" s="291">
        <v>0</v>
      </c>
      <c r="F61" s="291">
        <v>0</v>
      </c>
      <c r="G61" s="287"/>
    </row>
    <row r="62" spans="1:7">
      <c r="A62" s="292" t="str">
        <f t="shared" si="7"/>
        <v>Other (Specify)</v>
      </c>
      <c r="B62" s="291">
        <v>0</v>
      </c>
      <c r="C62" s="291">
        <v>0</v>
      </c>
      <c r="D62" s="291">
        <v>0</v>
      </c>
      <c r="E62" s="291">
        <v>0</v>
      </c>
      <c r="F62" s="291">
        <v>0</v>
      </c>
      <c r="G62" s="287"/>
    </row>
    <row r="63" spans="1:7">
      <c r="B63" s="66">
        <f>SUM(B45:B62)</f>
        <v>0</v>
      </c>
      <c r="C63" s="66">
        <f t="shared" ref="C63:F63" si="8">SUM(C45:C62)</f>
        <v>0</v>
      </c>
      <c r="D63" s="66">
        <f t="shared" si="8"/>
        <v>0</v>
      </c>
      <c r="E63" s="66">
        <f t="shared" si="8"/>
        <v>0</v>
      </c>
      <c r="F63" s="66">
        <f t="shared" si="8"/>
        <v>0</v>
      </c>
    </row>
    <row r="64" spans="1:7">
      <c r="A64" s="3" t="s">
        <v>463</v>
      </c>
      <c r="B64" s="3"/>
      <c r="C64" s="3"/>
      <c r="D64" s="3"/>
      <c r="E64" s="3"/>
      <c r="F64" s="3"/>
      <c r="G64" s="3"/>
    </row>
    <row r="65" spans="1:7">
      <c r="A65" s="1" t="s">
        <v>464</v>
      </c>
      <c r="B65" s="291">
        <v>0</v>
      </c>
      <c r="E65" s="291">
        <v>0</v>
      </c>
      <c r="F65" s="367"/>
      <c r="G65" s="287"/>
    </row>
    <row r="66" spans="1:7">
      <c r="A66" s="1" t="s">
        <v>465</v>
      </c>
      <c r="B66" s="291">
        <v>0</v>
      </c>
      <c r="E66" s="291">
        <v>0</v>
      </c>
      <c r="F66" s="367"/>
      <c r="G66" s="287"/>
    </row>
    <row r="67" spans="1:7">
      <c r="A67" s="1" t="s">
        <v>466</v>
      </c>
      <c r="B67" s="291">
        <v>0</v>
      </c>
      <c r="E67" s="291">
        <v>0</v>
      </c>
      <c r="F67" s="367"/>
      <c r="G67" s="287"/>
    </row>
    <row r="68" spans="1:7">
      <c r="A68" s="1" t="s">
        <v>467</v>
      </c>
      <c r="B68" s="291">
        <v>0</v>
      </c>
      <c r="E68" s="291">
        <v>0</v>
      </c>
      <c r="F68" s="367"/>
      <c r="G68" s="287"/>
    </row>
    <row r="69" spans="1:7">
      <c r="A69" s="1" t="s">
        <v>468</v>
      </c>
      <c r="B69" s="291">
        <v>0</v>
      </c>
      <c r="E69" s="291">
        <v>0</v>
      </c>
      <c r="F69" s="367"/>
      <c r="G69" s="287"/>
    </row>
    <row r="70" spans="1:7">
      <c r="A70" s="1" t="s">
        <v>469</v>
      </c>
      <c r="B70" s="291">
        <v>0</v>
      </c>
      <c r="E70" s="291">
        <v>0</v>
      </c>
      <c r="F70" s="367"/>
      <c r="G70" s="287"/>
    </row>
    <row r="71" spans="1:7">
      <c r="A71" s="1" t="s">
        <v>458</v>
      </c>
      <c r="B71" s="291">
        <v>0</v>
      </c>
      <c r="E71" s="291">
        <v>0</v>
      </c>
      <c r="F71" s="367"/>
      <c r="G71" s="287"/>
    </row>
    <row r="72" spans="1:7">
      <c r="A72" s="1" t="s">
        <v>470</v>
      </c>
      <c r="B72" s="291">
        <v>0</v>
      </c>
      <c r="E72" s="291">
        <v>0</v>
      </c>
      <c r="F72" s="367"/>
      <c r="G72" s="287"/>
    </row>
    <row r="73" spans="1:7">
      <c r="A73" s="1" t="s">
        <v>471</v>
      </c>
      <c r="B73" s="291">
        <v>0</v>
      </c>
      <c r="E73" s="291">
        <v>0</v>
      </c>
      <c r="F73" s="367"/>
      <c r="G73" s="287"/>
    </row>
    <row r="74" spans="1:7">
      <c r="A74" s="1" t="s">
        <v>472</v>
      </c>
      <c r="B74" s="291">
        <v>0</v>
      </c>
      <c r="E74" s="291">
        <v>0</v>
      </c>
      <c r="F74" s="367"/>
      <c r="G74" s="287"/>
    </row>
    <row r="75" spans="1:7">
      <c r="A75" s="1" t="s">
        <v>473</v>
      </c>
      <c r="B75" s="291">
        <v>0</v>
      </c>
      <c r="E75" s="291">
        <v>0</v>
      </c>
      <c r="F75" s="367"/>
      <c r="G75" s="287"/>
    </row>
    <row r="76" spans="1:7">
      <c r="A76" s="292" t="str">
        <f t="shared" ref="A76:A78" si="9">"Other (Specify)"</f>
        <v>Other (Specify)</v>
      </c>
      <c r="B76" s="291">
        <v>0</v>
      </c>
      <c r="E76" s="291">
        <v>0</v>
      </c>
      <c r="F76" s="367"/>
      <c r="G76" s="287"/>
    </row>
    <row r="77" spans="1:7">
      <c r="A77" s="292" t="str">
        <f t="shared" si="9"/>
        <v>Other (Specify)</v>
      </c>
      <c r="B77" s="291">
        <v>0</v>
      </c>
      <c r="E77" s="291">
        <v>0</v>
      </c>
      <c r="F77" s="367"/>
      <c r="G77" s="287"/>
    </row>
    <row r="78" spans="1:7">
      <c r="A78" s="292" t="str">
        <f t="shared" si="9"/>
        <v>Other (Specify)</v>
      </c>
      <c r="B78" s="291">
        <v>0</v>
      </c>
      <c r="E78" s="291">
        <v>0</v>
      </c>
      <c r="F78" s="367"/>
      <c r="G78" s="287"/>
    </row>
    <row r="79" spans="1:7">
      <c r="B79" s="66">
        <f>SUM(B65:B78)</f>
        <v>0</v>
      </c>
      <c r="E79" s="66">
        <f t="shared" ref="E79" si="10">SUM(E65:E78)</f>
        <v>0</v>
      </c>
      <c r="F79" s="367"/>
      <c r="G79" s="321"/>
    </row>
    <row r="80" spans="1:7">
      <c r="A80" s="3" t="s">
        <v>474</v>
      </c>
      <c r="B80" s="3"/>
      <c r="C80" s="3"/>
      <c r="D80" s="3"/>
      <c r="E80" s="3"/>
      <c r="F80" s="3"/>
      <c r="G80" s="3"/>
    </row>
    <row r="81" spans="1:7">
      <c r="A81" s="1" t="s">
        <v>475</v>
      </c>
      <c r="B81" s="291">
        <v>0</v>
      </c>
      <c r="C81" t="s">
        <v>476</v>
      </c>
      <c r="D81" t="s">
        <v>476</v>
      </c>
      <c r="E81" s="291">
        <v>0</v>
      </c>
      <c r="F81" s="367"/>
      <c r="G81" s="287"/>
    </row>
    <row r="82" spans="1:7">
      <c r="A82" s="1" t="s">
        <v>477</v>
      </c>
      <c r="B82" s="291">
        <v>0</v>
      </c>
      <c r="C82" s="291">
        <v>0</v>
      </c>
      <c r="D82" s="291">
        <v>0</v>
      </c>
      <c r="E82" s="291">
        <v>0</v>
      </c>
      <c r="F82" s="291">
        <v>0</v>
      </c>
      <c r="G82" s="287"/>
    </row>
    <row r="83" spans="1:7">
      <c r="A83" s="1" t="s">
        <v>478</v>
      </c>
      <c r="B83" s="291">
        <v>0</v>
      </c>
      <c r="C83" s="291">
        <v>0</v>
      </c>
      <c r="D83" s="291">
        <v>0</v>
      </c>
      <c r="E83" s="291">
        <v>0</v>
      </c>
      <c r="F83" s="291">
        <v>0</v>
      </c>
      <c r="G83" s="287"/>
    </row>
    <row r="84" spans="1:7">
      <c r="A84" s="1" t="s">
        <v>479</v>
      </c>
      <c r="B84" s="291">
        <v>0</v>
      </c>
      <c r="C84" s="291">
        <v>0</v>
      </c>
      <c r="D84" s="291">
        <v>0</v>
      </c>
      <c r="E84" s="291">
        <v>0</v>
      </c>
      <c r="F84" s="291">
        <v>0</v>
      </c>
      <c r="G84" s="287"/>
    </row>
    <row r="85" spans="1:7">
      <c r="A85" s="1" t="s">
        <v>480</v>
      </c>
      <c r="B85" s="291">
        <v>0</v>
      </c>
      <c r="C85" s="291">
        <v>0</v>
      </c>
      <c r="D85" s="291">
        <v>0</v>
      </c>
      <c r="E85" s="291">
        <v>0</v>
      </c>
      <c r="F85" s="291">
        <v>0</v>
      </c>
      <c r="G85" s="287"/>
    </row>
    <row r="86" spans="1:7">
      <c r="A86" s="1" t="s">
        <v>481</v>
      </c>
      <c r="B86" s="291">
        <v>0</v>
      </c>
      <c r="C86" s="291">
        <v>0</v>
      </c>
      <c r="D86" s="291">
        <v>0</v>
      </c>
      <c r="E86" s="291">
        <v>0</v>
      </c>
      <c r="F86" s="291">
        <v>0</v>
      </c>
      <c r="G86" s="287"/>
    </row>
    <row r="87" spans="1:7">
      <c r="A87" s="1" t="s">
        <v>482</v>
      </c>
      <c r="B87" s="291">
        <v>0</v>
      </c>
      <c r="C87" s="291">
        <v>0</v>
      </c>
      <c r="D87" s="291">
        <v>0</v>
      </c>
      <c r="E87" s="291">
        <v>0</v>
      </c>
      <c r="F87" s="291">
        <v>0</v>
      </c>
      <c r="G87" s="287"/>
    </row>
    <row r="88" spans="1:7">
      <c r="A88" s="1" t="s">
        <v>483</v>
      </c>
      <c r="B88" s="291">
        <v>0</v>
      </c>
      <c r="C88" t="s">
        <v>476</v>
      </c>
      <c r="D88" t="s">
        <v>476</v>
      </c>
      <c r="E88" s="291">
        <v>0</v>
      </c>
      <c r="F88" s="291">
        <v>0</v>
      </c>
      <c r="G88" s="287"/>
    </row>
    <row r="89" spans="1:7">
      <c r="A89" s="1" t="s">
        <v>484</v>
      </c>
      <c r="B89" s="291">
        <v>0</v>
      </c>
      <c r="C89" t="s">
        <v>476</v>
      </c>
      <c r="D89" t="s">
        <v>476</v>
      </c>
      <c r="E89" s="291">
        <v>0</v>
      </c>
      <c r="F89" s="291">
        <v>0</v>
      </c>
      <c r="G89" s="287"/>
    </row>
    <row r="90" spans="1:7">
      <c r="A90" s="1" t="s">
        <v>485</v>
      </c>
      <c r="B90" s="291">
        <v>0</v>
      </c>
      <c r="C90" s="291">
        <v>0</v>
      </c>
      <c r="D90" s="291">
        <v>0</v>
      </c>
      <c r="E90" s="291">
        <v>0</v>
      </c>
      <c r="F90" s="291">
        <v>0</v>
      </c>
      <c r="G90" s="287"/>
    </row>
    <row r="91" spans="1:7">
      <c r="A91" s="1" t="s">
        <v>486</v>
      </c>
      <c r="B91" s="291">
        <v>0</v>
      </c>
      <c r="C91" s="291">
        <v>0</v>
      </c>
      <c r="D91" s="291">
        <v>0</v>
      </c>
      <c r="E91" s="291">
        <v>0</v>
      </c>
      <c r="F91" s="291">
        <v>0</v>
      </c>
      <c r="G91" s="287"/>
    </row>
    <row r="92" spans="1:7">
      <c r="A92" s="1" t="s">
        <v>487</v>
      </c>
      <c r="B92" s="291">
        <v>0</v>
      </c>
      <c r="C92" s="291">
        <v>0</v>
      </c>
      <c r="D92" s="291">
        <v>0</v>
      </c>
      <c r="E92" s="291">
        <v>0</v>
      </c>
      <c r="F92" s="291">
        <v>0</v>
      </c>
      <c r="G92" s="287"/>
    </row>
    <row r="93" spans="1:7">
      <c r="A93" s="1" t="s">
        <v>488</v>
      </c>
      <c r="B93" s="291">
        <v>0</v>
      </c>
      <c r="C93" s="291">
        <v>0</v>
      </c>
      <c r="D93" s="291">
        <v>0</v>
      </c>
      <c r="E93" s="291">
        <v>0</v>
      </c>
      <c r="F93" s="291">
        <v>0</v>
      </c>
      <c r="G93" s="287"/>
    </row>
    <row r="94" spans="1:7">
      <c r="A94" s="1" t="s">
        <v>489</v>
      </c>
      <c r="B94" s="291">
        <v>0</v>
      </c>
      <c r="C94" s="291">
        <v>0</v>
      </c>
      <c r="D94" s="291">
        <v>0</v>
      </c>
      <c r="E94" s="291">
        <v>0</v>
      </c>
      <c r="F94" s="291">
        <v>0</v>
      </c>
      <c r="G94" s="287"/>
    </row>
    <row r="95" spans="1:7">
      <c r="A95" s="292" t="str">
        <f t="shared" ref="A95:A96" si="11">"Other (Specify)"</f>
        <v>Other (Specify)</v>
      </c>
      <c r="B95" s="291">
        <v>0</v>
      </c>
      <c r="C95" s="291">
        <v>0</v>
      </c>
      <c r="D95" s="291">
        <v>0</v>
      </c>
      <c r="E95" s="291">
        <v>0</v>
      </c>
      <c r="F95" s="291">
        <v>0</v>
      </c>
      <c r="G95" s="287"/>
    </row>
    <row r="96" spans="1:7">
      <c r="A96" s="292" t="str">
        <f t="shared" si="11"/>
        <v>Other (Specify)</v>
      </c>
      <c r="B96" s="291">
        <v>0</v>
      </c>
      <c r="C96" s="291">
        <v>0</v>
      </c>
      <c r="D96" s="291">
        <v>0</v>
      </c>
      <c r="E96" s="291">
        <v>0</v>
      </c>
      <c r="F96" s="291">
        <v>0</v>
      </c>
      <c r="G96" s="287"/>
    </row>
    <row r="97" spans="1:68">
      <c r="A97" s="292" t="str">
        <f t="shared" ref="A97" si="12">"Other (Specify)"</f>
        <v>Other (Specify)</v>
      </c>
      <c r="B97" s="291">
        <v>0</v>
      </c>
      <c r="C97" s="291">
        <v>0</v>
      </c>
      <c r="D97" s="291">
        <v>0</v>
      </c>
      <c r="E97" s="291">
        <v>0</v>
      </c>
      <c r="F97" s="291">
        <v>0</v>
      </c>
      <c r="G97" s="287"/>
    </row>
    <row r="98" spans="1:68">
      <c r="B98" s="66">
        <f>SUM(B81:B97)</f>
        <v>0</v>
      </c>
      <c r="C98" s="66">
        <f t="shared" ref="C98:F98" si="13">SUM(C81:C97)</f>
        <v>0</v>
      </c>
      <c r="D98" s="66">
        <f t="shared" si="13"/>
        <v>0</v>
      </c>
      <c r="E98" s="66">
        <f t="shared" si="13"/>
        <v>0</v>
      </c>
      <c r="F98" s="66">
        <f t="shared" si="13"/>
        <v>0</v>
      </c>
    </row>
    <row r="99" spans="1:68">
      <c r="A99" s="3" t="s">
        <v>490</v>
      </c>
      <c r="B99" s="3"/>
      <c r="C99" s="3"/>
      <c r="D99" s="3"/>
      <c r="E99" s="3"/>
      <c r="F99" s="3"/>
      <c r="G99" s="3"/>
    </row>
    <row r="100" spans="1:68">
      <c r="A100" s="1" t="s">
        <v>491</v>
      </c>
      <c r="B100" s="291">
        <v>0</v>
      </c>
      <c r="E100" s="291"/>
      <c r="F100" s="367"/>
      <c r="G100" s="287"/>
    </row>
    <row r="101" spans="1:68">
      <c r="A101" s="1" t="s">
        <v>492</v>
      </c>
      <c r="B101" s="291">
        <v>0</v>
      </c>
      <c r="E101" s="291">
        <v>0</v>
      </c>
      <c r="F101" s="367"/>
      <c r="G101" s="287"/>
    </row>
    <row r="102" spans="1:68">
      <c r="A102" s="1" t="s">
        <v>493</v>
      </c>
      <c r="B102" s="291">
        <v>0</v>
      </c>
      <c r="E102" s="291">
        <v>0</v>
      </c>
      <c r="F102" s="367"/>
      <c r="G102" s="287"/>
    </row>
    <row r="103" spans="1:68">
      <c r="A103" s="292" t="str">
        <f t="shared" ref="A103:A105" si="14">"Other (Specify)"</f>
        <v>Other (Specify)</v>
      </c>
      <c r="B103" s="291">
        <v>0</v>
      </c>
      <c r="E103" s="291">
        <v>0</v>
      </c>
      <c r="F103" s="367"/>
      <c r="G103" s="287"/>
    </row>
    <row r="104" spans="1:68">
      <c r="A104" s="292" t="str">
        <f t="shared" si="14"/>
        <v>Other (Specify)</v>
      </c>
      <c r="B104" s="291">
        <v>0</v>
      </c>
      <c r="E104" s="291">
        <v>0</v>
      </c>
      <c r="F104" s="367"/>
      <c r="G104" s="287"/>
    </row>
    <row r="105" spans="1:68">
      <c r="A105" s="292" t="str">
        <f t="shared" si="14"/>
        <v>Other (Specify)</v>
      </c>
      <c r="B105" s="291">
        <v>0</v>
      </c>
      <c r="E105" s="291">
        <v>0</v>
      </c>
      <c r="F105" s="367"/>
      <c r="G105" s="287"/>
    </row>
    <row r="106" spans="1:68">
      <c r="B106" s="66">
        <f>SUM(B100:B105)</f>
        <v>0</v>
      </c>
      <c r="E106" s="66">
        <f t="shared" ref="E106" si="15">SUM(E100:E105)</f>
        <v>0</v>
      </c>
      <c r="F106" s="66"/>
    </row>
    <row r="107" spans="1:68">
      <c r="A107" s="3" t="s">
        <v>494</v>
      </c>
      <c r="B107" s="3"/>
      <c r="C107" s="3"/>
      <c r="D107" s="3"/>
      <c r="E107" s="3"/>
      <c r="F107" s="3"/>
      <c r="G107" s="3"/>
    </row>
    <row r="108" spans="1:68">
      <c r="A108" s="1" t="s">
        <v>495</v>
      </c>
      <c r="B108" s="291">
        <v>0</v>
      </c>
      <c r="C108" s="291">
        <v>0</v>
      </c>
      <c r="D108" s="291">
        <v>0</v>
      </c>
      <c r="E108" s="291">
        <v>0</v>
      </c>
      <c r="F108" s="291">
        <v>0</v>
      </c>
      <c r="G108" s="287"/>
    </row>
    <row r="109" spans="1:68">
      <c r="A109" s="1" t="s">
        <v>496</v>
      </c>
      <c r="B109" s="291">
        <v>0</v>
      </c>
      <c r="C109" s="291">
        <v>0</v>
      </c>
      <c r="D109" s="291">
        <v>0</v>
      </c>
      <c r="E109" s="291">
        <v>0</v>
      </c>
      <c r="F109" s="291">
        <v>0</v>
      </c>
      <c r="G109" s="287"/>
    </row>
    <row r="110" spans="1:68">
      <c r="A110" s="1" t="s">
        <v>497</v>
      </c>
      <c r="B110" s="291">
        <v>0</v>
      </c>
      <c r="C110" s="291">
        <v>0</v>
      </c>
      <c r="D110" s="291">
        <v>0</v>
      </c>
      <c r="E110" s="291">
        <v>0</v>
      </c>
      <c r="F110" s="291">
        <v>0</v>
      </c>
      <c r="G110" s="287"/>
    </row>
    <row r="111" spans="1:68" s="16" customFormat="1">
      <c r="A111" s="1" t="s">
        <v>498</v>
      </c>
      <c r="B111" s="291">
        <v>0</v>
      </c>
      <c r="C111" s="291">
        <v>0</v>
      </c>
      <c r="D111" s="291">
        <v>0</v>
      </c>
      <c r="E111" s="291">
        <v>0</v>
      </c>
      <c r="F111" s="291">
        <v>0</v>
      </c>
      <c r="G111" s="287"/>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row>
    <row r="112" spans="1:68">
      <c r="A112" s="1" t="s">
        <v>499</v>
      </c>
      <c r="B112" s="291">
        <v>0</v>
      </c>
      <c r="C112" s="291">
        <v>0</v>
      </c>
      <c r="D112" s="291">
        <v>0</v>
      </c>
      <c r="E112" s="291">
        <v>0</v>
      </c>
      <c r="F112" s="291">
        <v>0</v>
      </c>
      <c r="G112" s="287"/>
    </row>
    <row r="113" spans="1:7">
      <c r="A113" s="1" t="s">
        <v>500</v>
      </c>
      <c r="B113" s="291">
        <v>0</v>
      </c>
      <c r="C113" s="291">
        <v>0</v>
      </c>
      <c r="D113" s="291">
        <v>0</v>
      </c>
      <c r="E113" s="291">
        <v>0</v>
      </c>
      <c r="F113" s="291">
        <v>0</v>
      </c>
      <c r="G113" s="287"/>
    </row>
    <row r="114" spans="1:7">
      <c r="A114" s="1" t="s">
        <v>501</v>
      </c>
      <c r="B114" s="291">
        <v>0</v>
      </c>
      <c r="C114" s="291">
        <v>0</v>
      </c>
      <c r="D114" s="291">
        <v>0</v>
      </c>
      <c r="E114" s="291">
        <v>0</v>
      </c>
      <c r="F114" s="291">
        <v>0</v>
      </c>
      <c r="G114" s="287"/>
    </row>
    <row r="115" spans="1:7">
      <c r="B115" s="66">
        <f>SUM(B108:B114)</f>
        <v>0</v>
      </c>
      <c r="C115" s="66">
        <f t="shared" ref="C115:F115" si="16">SUM(C108:C114)</f>
        <v>0</v>
      </c>
      <c r="D115" s="66">
        <f t="shared" si="16"/>
        <v>0</v>
      </c>
      <c r="E115" s="66">
        <f t="shared" si="16"/>
        <v>0</v>
      </c>
      <c r="F115" s="66">
        <f t="shared" si="16"/>
        <v>0</v>
      </c>
    </row>
    <row r="116" spans="1:7">
      <c r="A116" s="3" t="s">
        <v>502</v>
      </c>
      <c r="B116" s="3"/>
      <c r="C116" s="3"/>
      <c r="D116" s="3"/>
      <c r="E116" s="3"/>
      <c r="F116" s="3"/>
      <c r="G116" s="3"/>
    </row>
    <row r="117" spans="1:7">
      <c r="A117" s="1" t="s">
        <v>503</v>
      </c>
      <c r="B117" s="291">
        <v>0</v>
      </c>
      <c r="E117" s="291">
        <v>0</v>
      </c>
      <c r="F117" s="367"/>
      <c r="G117" s="287"/>
    </row>
    <row r="118" spans="1:7">
      <c r="A118" s="1" t="s">
        <v>504</v>
      </c>
      <c r="B118" s="291">
        <v>0</v>
      </c>
      <c r="E118" s="291">
        <v>0</v>
      </c>
      <c r="F118" s="367"/>
      <c r="G118" s="287"/>
    </row>
    <row r="119" spans="1:7">
      <c r="A119" s="1" t="s">
        <v>505</v>
      </c>
      <c r="B119" s="291">
        <v>0</v>
      </c>
      <c r="E119" s="291">
        <v>0</v>
      </c>
      <c r="F119" s="367"/>
      <c r="G119" s="287"/>
    </row>
    <row r="120" spans="1:7">
      <c r="A120" s="1" t="s">
        <v>506</v>
      </c>
      <c r="B120" s="291">
        <v>0</v>
      </c>
      <c r="E120" s="291">
        <v>0</v>
      </c>
      <c r="F120" s="367"/>
      <c r="G120" s="287"/>
    </row>
    <row r="121" spans="1:7">
      <c r="A121" s="292" t="str">
        <f t="shared" ref="A121:A122" si="17">"Other (Specify)"</f>
        <v>Other (Specify)</v>
      </c>
      <c r="B121" s="291">
        <v>0</v>
      </c>
      <c r="E121" s="291">
        <v>0</v>
      </c>
      <c r="F121" s="367"/>
      <c r="G121" s="287"/>
    </row>
    <row r="122" spans="1:7">
      <c r="A122" s="292" t="str">
        <f t="shared" si="17"/>
        <v>Other (Specify)</v>
      </c>
      <c r="B122" s="291">
        <v>0</v>
      </c>
      <c r="E122" s="291">
        <v>0</v>
      </c>
      <c r="F122" s="367"/>
      <c r="G122" s="287"/>
    </row>
    <row r="123" spans="1:7" ht="15.75" thickBot="1">
      <c r="B123" s="66">
        <f>SUM(B117:B122)</f>
        <v>0</v>
      </c>
      <c r="E123" s="66">
        <f t="shared" ref="E123" si="18">SUM(E117:E122)</f>
        <v>0</v>
      </c>
      <c r="F123" s="367"/>
      <c r="G123" s="321"/>
    </row>
    <row r="124" spans="1:7" ht="15.75" thickTop="1">
      <c r="A124" s="68" t="s">
        <v>391</v>
      </c>
      <c r="B124" s="450">
        <f>SUM(B4:B6,B9:B10,B13:B26,B29:B42,B45:B62,B65:B78,B81:B97,B100:B105,B108:B114,B117:B122)</f>
        <v>0</v>
      </c>
      <c r="C124" s="450">
        <f t="shared" ref="C124:E124" si="19">SUM(C4:C6,C9:C10,C13:C26,C29:C42,C45:C62,C65:C78,C81:C97,C100:C105,C108:C114,C117:C122)</f>
        <v>0</v>
      </c>
      <c r="D124" s="450">
        <f t="shared" si="19"/>
        <v>0</v>
      </c>
      <c r="E124" s="450">
        <f t="shared" si="19"/>
        <v>0</v>
      </c>
      <c r="F124" s="450">
        <f>SUM(F4:F6,F9,F13:F26,F29:F42,F45:F62,F82:F97,F108:F114)</f>
        <v>0</v>
      </c>
      <c r="G124" s="450"/>
    </row>
    <row r="126" spans="1:7">
      <c r="A126" t="s">
        <v>507</v>
      </c>
    </row>
  </sheetData>
  <sheetProtection algorithmName="SHA-512" hashValue="q565h+3FvSIMts0G61aMbiDQh+g0lAqNcvYwhUiLcJTCCslT/PiZlL+ldso1AcuX90BisbPgvhQvf6QUbdW1ng==" saltValue="gGBigotYB5NCnP5XUOPtoQ==" spinCount="100000" sheet="1" objects="1" scenarios="1"/>
  <dataValidations count="1">
    <dataValidation type="whole" allowBlank="1" showInputMessage="1" showErrorMessage="1" errorTitle="Whole Numbers Only" error="All numbers on development budget must be entered as a whole number." sqref="C5 B4:B6 B45:F62 B9:F10 E4:F6 B29:F42 B117:B122 B65:B78 E65:F78 B81:B97 C82:D87 C90:D97 E81:F97 B100:B105 E100:F105 B108:F114 E117:F122 B13:F26"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5"/>
  <cols>
    <col min="1" max="1" width="47.5703125" customWidth="1"/>
    <col min="2" max="2" width="18" customWidth="1"/>
    <col min="3" max="3" width="19.140625" customWidth="1"/>
  </cols>
  <sheetData>
    <row r="1" spans="1:4" ht="21">
      <c r="A1" s="4" t="s">
        <v>508</v>
      </c>
      <c r="B1" s="4"/>
      <c r="C1" s="4"/>
    </row>
    <row r="2" spans="1:4">
      <c r="B2" s="1" t="s">
        <v>410</v>
      </c>
    </row>
    <row r="3" spans="1:4" ht="30">
      <c r="A3" s="3" t="s">
        <v>411</v>
      </c>
      <c r="B3" s="3" t="s">
        <v>412</v>
      </c>
      <c r="C3" s="514" t="s">
        <v>415</v>
      </c>
      <c r="D3" s="10" t="s">
        <v>509</v>
      </c>
    </row>
    <row r="4" spans="1:4">
      <c r="A4" s="1" t="s">
        <v>418</v>
      </c>
      <c r="B4" s="291">
        <v>0</v>
      </c>
      <c r="C4" s="291">
        <v>0</v>
      </c>
    </row>
    <row r="5" spans="1:4">
      <c r="A5" s="1" t="s">
        <v>419</v>
      </c>
      <c r="B5" s="291">
        <v>0</v>
      </c>
      <c r="C5" s="291">
        <v>0</v>
      </c>
    </row>
    <row r="6" spans="1:4">
      <c r="A6" s="1" t="s">
        <v>420</v>
      </c>
      <c r="B6" s="291">
        <v>0</v>
      </c>
      <c r="C6" s="291">
        <v>0</v>
      </c>
    </row>
    <row r="7" spans="1:4">
      <c r="B7" s="66">
        <f>SUM(B4:B6)</f>
        <v>0</v>
      </c>
      <c r="C7" s="66">
        <f>SUM(C4:C6)</f>
        <v>0</v>
      </c>
    </row>
    <row r="8" spans="1:4">
      <c r="A8" s="3" t="s">
        <v>421</v>
      </c>
      <c r="B8" s="3"/>
      <c r="C8" s="3"/>
    </row>
    <row r="9" spans="1:4">
      <c r="A9" s="1" t="s">
        <v>422</v>
      </c>
      <c r="B9" s="291">
        <v>0</v>
      </c>
      <c r="C9" s="291">
        <v>0</v>
      </c>
    </row>
    <row r="10" spans="1:4">
      <c r="A10" s="1" t="s">
        <v>423</v>
      </c>
      <c r="B10" s="291">
        <v>0</v>
      </c>
      <c r="C10" s="291">
        <v>0</v>
      </c>
    </row>
    <row r="11" spans="1:4">
      <c r="B11" s="66">
        <f>SUM(B9:B10)</f>
        <v>0</v>
      </c>
      <c r="C11" s="66">
        <f>SUM(C9:C10)</f>
        <v>0</v>
      </c>
    </row>
    <row r="12" spans="1:4">
      <c r="A12" s="3" t="s">
        <v>424</v>
      </c>
      <c r="B12" s="3"/>
      <c r="C12" s="3"/>
    </row>
    <row r="13" spans="1:4">
      <c r="A13" s="1" t="s">
        <v>425</v>
      </c>
      <c r="B13" s="291">
        <v>0</v>
      </c>
      <c r="C13" s="291">
        <v>0</v>
      </c>
    </row>
    <row r="14" spans="1:4">
      <c r="A14" s="1" t="s">
        <v>426</v>
      </c>
      <c r="B14" s="291">
        <v>0</v>
      </c>
      <c r="C14" s="291">
        <v>0</v>
      </c>
    </row>
    <row r="15" spans="1:4">
      <c r="A15" s="1" t="s">
        <v>510</v>
      </c>
      <c r="B15" s="291">
        <v>0</v>
      </c>
      <c r="C15" s="291">
        <v>0</v>
      </c>
    </row>
    <row r="16" spans="1:4">
      <c r="A16" s="1" t="s">
        <v>429</v>
      </c>
      <c r="B16" s="291">
        <v>0</v>
      </c>
      <c r="C16" s="291">
        <v>0</v>
      </c>
    </row>
    <row r="17" spans="1:3">
      <c r="A17" s="1" t="s">
        <v>430</v>
      </c>
      <c r="B17" s="291">
        <v>0</v>
      </c>
      <c r="C17" s="291">
        <v>0</v>
      </c>
    </row>
    <row r="18" spans="1:3">
      <c r="A18" s="1" t="s">
        <v>431</v>
      </c>
      <c r="B18" s="291">
        <v>0</v>
      </c>
      <c r="C18" s="291">
        <v>0</v>
      </c>
    </row>
    <row r="19" spans="1:3">
      <c r="A19" s="1" t="s">
        <v>511</v>
      </c>
      <c r="B19" s="291">
        <v>0</v>
      </c>
      <c r="C19" s="291">
        <v>0</v>
      </c>
    </row>
    <row r="20" spans="1:3">
      <c r="A20" s="1" t="s">
        <v>435</v>
      </c>
      <c r="B20" s="291">
        <v>0</v>
      </c>
      <c r="C20" s="291">
        <v>0</v>
      </c>
    </row>
    <row r="21" spans="1:3">
      <c r="A21" s="292" t="str">
        <f>"Other (Specify)"</f>
        <v>Other (Specify)</v>
      </c>
      <c r="B21" s="291">
        <v>0</v>
      </c>
      <c r="C21" s="291">
        <v>0</v>
      </c>
    </row>
    <row r="22" spans="1:3">
      <c r="A22" s="292" t="str">
        <f>"Other (Specify)"</f>
        <v>Other (Specify)</v>
      </c>
      <c r="B22" s="291">
        <v>0</v>
      </c>
      <c r="C22" s="291">
        <v>0</v>
      </c>
    </row>
    <row r="23" spans="1:3">
      <c r="A23" s="292" t="str">
        <f>"Other (Specify)"</f>
        <v>Other (Specify)</v>
      </c>
      <c r="B23" s="291">
        <v>0</v>
      </c>
      <c r="C23" s="291">
        <v>0</v>
      </c>
    </row>
    <row r="24" spans="1:3">
      <c r="B24" s="66">
        <f>SUM(B13:B23)</f>
        <v>0</v>
      </c>
      <c r="C24" s="66">
        <f>SUM(C13:C23)</f>
        <v>0</v>
      </c>
    </row>
    <row r="25" spans="1:3">
      <c r="A25" s="3" t="s">
        <v>436</v>
      </c>
      <c r="B25" s="3"/>
      <c r="C25" s="3"/>
    </row>
    <row r="26" spans="1:3">
      <c r="A26" s="1" t="s">
        <v>437</v>
      </c>
      <c r="B26" s="291">
        <v>0</v>
      </c>
      <c r="C26" s="291">
        <v>0</v>
      </c>
    </row>
    <row r="27" spans="1:3">
      <c r="A27" s="1" t="s">
        <v>512</v>
      </c>
      <c r="B27" s="291">
        <v>0</v>
      </c>
      <c r="C27" s="291">
        <v>0</v>
      </c>
    </row>
    <row r="28" spans="1:3">
      <c r="A28" s="1" t="s">
        <v>444</v>
      </c>
      <c r="B28" s="291">
        <v>0</v>
      </c>
      <c r="C28" s="291">
        <v>0</v>
      </c>
    </row>
    <row r="29" spans="1:3">
      <c r="A29" s="1" t="s">
        <v>513</v>
      </c>
      <c r="B29" s="291">
        <v>0</v>
      </c>
      <c r="C29" s="291">
        <v>0</v>
      </c>
    </row>
    <row r="30" spans="1:3">
      <c r="A30" s="1" t="s">
        <v>514</v>
      </c>
      <c r="B30" s="291">
        <v>0</v>
      </c>
      <c r="C30" s="291">
        <v>0</v>
      </c>
    </row>
    <row r="31" spans="1:3">
      <c r="A31" s="292" t="str">
        <f>"Other (Specify)"</f>
        <v>Other (Specify)</v>
      </c>
      <c r="B31" s="291">
        <v>0</v>
      </c>
      <c r="C31" s="291">
        <v>0</v>
      </c>
    </row>
    <row r="32" spans="1:3">
      <c r="A32" s="292" t="str">
        <f>"Other (Specify)"</f>
        <v>Other (Specify)</v>
      </c>
      <c r="B32" s="291">
        <v>0</v>
      </c>
      <c r="C32" s="291">
        <v>0</v>
      </c>
    </row>
    <row r="33" spans="1:3">
      <c r="A33" s="1" t="s">
        <v>515</v>
      </c>
      <c r="B33" s="291">
        <v>0</v>
      </c>
      <c r="C33" s="291">
        <v>0</v>
      </c>
    </row>
    <row r="34" spans="1:3">
      <c r="B34" s="66">
        <f>SUM(B26:B33)</f>
        <v>0</v>
      </c>
      <c r="C34" s="66">
        <f>SUM(C26:C33)</f>
        <v>0</v>
      </c>
    </row>
    <row r="35" spans="1:3">
      <c r="A35" s="3" t="s">
        <v>447</v>
      </c>
      <c r="B35" s="3"/>
      <c r="C35" s="3"/>
    </row>
    <row r="36" spans="1:3">
      <c r="A36" s="1" t="s">
        <v>448</v>
      </c>
      <c r="B36" s="291">
        <v>0</v>
      </c>
      <c r="C36" s="291">
        <v>0</v>
      </c>
    </row>
    <row r="37" spans="1:3">
      <c r="A37" s="1" t="s">
        <v>449</v>
      </c>
      <c r="B37" s="291">
        <v>0</v>
      </c>
      <c r="C37" s="291">
        <v>0</v>
      </c>
    </row>
    <row r="38" spans="1:3">
      <c r="A38" s="1" t="s">
        <v>450</v>
      </c>
      <c r="B38" s="291">
        <v>0</v>
      </c>
      <c r="C38" s="291">
        <v>0</v>
      </c>
    </row>
    <row r="39" spans="1:3">
      <c r="A39" s="1" t="s">
        <v>516</v>
      </c>
      <c r="B39" s="291">
        <v>0</v>
      </c>
      <c r="C39" s="291">
        <v>0</v>
      </c>
    </row>
    <row r="40" spans="1:3">
      <c r="A40" s="1" t="s">
        <v>451</v>
      </c>
      <c r="B40" s="291">
        <v>0</v>
      </c>
      <c r="C40" s="291">
        <v>0</v>
      </c>
    </row>
    <row r="41" spans="1:3">
      <c r="A41" s="1" t="s">
        <v>452</v>
      </c>
      <c r="B41" s="291">
        <v>0</v>
      </c>
      <c r="C41" s="291">
        <v>0</v>
      </c>
    </row>
    <row r="42" spans="1:3">
      <c r="A42" s="1" t="s">
        <v>453</v>
      </c>
      <c r="B42" s="291">
        <v>0</v>
      </c>
      <c r="C42" s="291">
        <v>0</v>
      </c>
    </row>
    <row r="43" spans="1:3">
      <c r="A43" s="1" t="s">
        <v>466</v>
      </c>
      <c r="B43" s="291">
        <v>0</v>
      </c>
      <c r="C43" s="291">
        <v>0</v>
      </c>
    </row>
    <row r="44" spans="1:3">
      <c r="A44" s="1" t="s">
        <v>517</v>
      </c>
      <c r="B44" s="291">
        <v>0</v>
      </c>
      <c r="C44" s="291">
        <v>0</v>
      </c>
    </row>
    <row r="45" spans="1:3">
      <c r="A45" s="1" t="s">
        <v>458</v>
      </c>
      <c r="B45" s="291">
        <v>0</v>
      </c>
      <c r="C45" s="291">
        <v>0</v>
      </c>
    </row>
    <row r="46" spans="1:3">
      <c r="A46" s="1" t="s">
        <v>470</v>
      </c>
      <c r="B46" s="291">
        <v>0</v>
      </c>
      <c r="C46" s="291">
        <v>0</v>
      </c>
    </row>
    <row r="47" spans="1:3">
      <c r="A47" s="1" t="s">
        <v>518</v>
      </c>
      <c r="B47" s="291">
        <v>0</v>
      </c>
      <c r="C47" s="291">
        <v>0</v>
      </c>
    </row>
    <row r="48" spans="1:3">
      <c r="A48" s="292" t="str">
        <f>"Other (Specify)"</f>
        <v>Other (Specify)</v>
      </c>
      <c r="B48" s="291">
        <v>0</v>
      </c>
      <c r="C48" s="291">
        <v>0</v>
      </c>
    </row>
    <row r="49" spans="1:3">
      <c r="A49" s="292" t="str">
        <f>"Other (Specify)"</f>
        <v>Other (Specify)</v>
      </c>
      <c r="B49" s="291">
        <v>0</v>
      </c>
      <c r="C49" s="291">
        <v>0</v>
      </c>
    </row>
    <row r="50" spans="1:3">
      <c r="A50" s="292" t="str">
        <f>"Other (Specify)"</f>
        <v>Other (Specify)</v>
      </c>
      <c r="B50" s="291">
        <v>0</v>
      </c>
      <c r="C50" s="291">
        <v>0</v>
      </c>
    </row>
    <row r="51" spans="1:3">
      <c r="B51" s="66">
        <f>SUM(B36:B50)</f>
        <v>0</v>
      </c>
      <c r="C51" s="66">
        <f>SUM(C36:C50)</f>
        <v>0</v>
      </c>
    </row>
    <row r="52" spans="1:3">
      <c r="A52" s="3" t="s">
        <v>463</v>
      </c>
      <c r="B52" s="3"/>
      <c r="C52" s="3"/>
    </row>
    <row r="53" spans="1:3">
      <c r="A53" s="1" t="s">
        <v>464</v>
      </c>
      <c r="B53" s="291">
        <v>0</v>
      </c>
      <c r="C53" s="291">
        <v>0</v>
      </c>
    </row>
    <row r="54" spans="1:3">
      <c r="A54" s="1" t="s">
        <v>465</v>
      </c>
      <c r="B54" s="291">
        <v>0</v>
      </c>
      <c r="C54" s="291">
        <v>0</v>
      </c>
    </row>
    <row r="55" spans="1:3">
      <c r="A55" s="1" t="s">
        <v>467</v>
      </c>
      <c r="B55" s="291">
        <v>0</v>
      </c>
      <c r="C55" s="291">
        <v>0</v>
      </c>
    </row>
    <row r="56" spans="1:3">
      <c r="A56" s="1" t="s">
        <v>468</v>
      </c>
      <c r="B56" s="291">
        <v>0</v>
      </c>
      <c r="C56" s="291">
        <v>0</v>
      </c>
    </row>
    <row r="57" spans="1:3">
      <c r="A57" s="1" t="s">
        <v>469</v>
      </c>
      <c r="B57" s="291">
        <v>0</v>
      </c>
      <c r="C57" s="291">
        <v>0</v>
      </c>
    </row>
    <row r="58" spans="1:3">
      <c r="A58" s="1" t="s">
        <v>458</v>
      </c>
      <c r="B58" s="291">
        <v>0</v>
      </c>
      <c r="C58" s="291">
        <v>0</v>
      </c>
    </row>
    <row r="59" spans="1:3">
      <c r="A59" s="1" t="s">
        <v>470</v>
      </c>
      <c r="B59" s="291">
        <v>0</v>
      </c>
      <c r="C59" s="291">
        <v>0</v>
      </c>
    </row>
    <row r="60" spans="1:3">
      <c r="A60" s="1" t="s">
        <v>471</v>
      </c>
      <c r="B60" s="291">
        <v>0</v>
      </c>
      <c r="C60" s="291">
        <v>0</v>
      </c>
    </row>
    <row r="61" spans="1:3">
      <c r="A61" s="292" t="str">
        <f>"Other (Specify)"</f>
        <v>Other (Specify)</v>
      </c>
      <c r="B61" s="291">
        <v>0</v>
      </c>
      <c r="C61" s="291">
        <v>0</v>
      </c>
    </row>
    <row r="62" spans="1:3">
      <c r="A62" s="292" t="str">
        <f>"Other (Specify)"</f>
        <v>Other (Specify)</v>
      </c>
      <c r="B62" s="291">
        <v>0</v>
      </c>
      <c r="C62" s="291">
        <v>0</v>
      </c>
    </row>
    <row r="63" spans="1:3">
      <c r="A63" s="292" t="str">
        <f>"Other (Specify)"</f>
        <v>Other (Specify)</v>
      </c>
      <c r="B63" s="291">
        <v>0</v>
      </c>
      <c r="C63" s="291">
        <v>0</v>
      </c>
    </row>
    <row r="64" spans="1:3">
      <c r="B64" s="66">
        <f>SUM(B53:B63)</f>
        <v>0</v>
      </c>
      <c r="C64" s="66">
        <f>SUM(C53:C63)</f>
        <v>0</v>
      </c>
    </row>
    <row r="65" spans="1:3">
      <c r="A65" s="3" t="s">
        <v>474</v>
      </c>
      <c r="B65" s="3"/>
      <c r="C65" s="3"/>
    </row>
    <row r="66" spans="1:3">
      <c r="A66" s="1" t="s">
        <v>519</v>
      </c>
      <c r="B66" s="291">
        <v>0</v>
      </c>
      <c r="C66" s="291">
        <v>0</v>
      </c>
    </row>
    <row r="67" spans="1:3">
      <c r="A67" s="1" t="s">
        <v>480</v>
      </c>
      <c r="B67" s="291">
        <v>0</v>
      </c>
      <c r="C67" s="291">
        <v>0</v>
      </c>
    </row>
    <row r="68" spans="1:3">
      <c r="A68" s="1" t="s">
        <v>520</v>
      </c>
      <c r="B68" s="291">
        <v>0</v>
      </c>
      <c r="C68" s="291">
        <v>0</v>
      </c>
    </row>
    <row r="69" spans="1:3">
      <c r="A69" s="1" t="s">
        <v>483</v>
      </c>
      <c r="B69" s="291">
        <v>0</v>
      </c>
      <c r="C69" s="291">
        <v>0</v>
      </c>
    </row>
    <row r="70" spans="1:3">
      <c r="A70" s="1" t="s">
        <v>484</v>
      </c>
      <c r="B70" s="291">
        <v>0</v>
      </c>
      <c r="C70" s="291">
        <v>0</v>
      </c>
    </row>
    <row r="71" spans="1:3">
      <c r="A71" s="1" t="s">
        <v>479</v>
      </c>
      <c r="B71" s="291">
        <v>0</v>
      </c>
      <c r="C71" s="291">
        <v>0</v>
      </c>
    </row>
    <row r="72" spans="1:3">
      <c r="A72" s="1" t="s">
        <v>485</v>
      </c>
      <c r="B72" s="291">
        <v>0</v>
      </c>
      <c r="C72" s="291">
        <v>0</v>
      </c>
    </row>
    <row r="73" spans="1:3">
      <c r="A73" s="292" t="str">
        <f>"Other (Specify)"</f>
        <v>Other (Specify)</v>
      </c>
      <c r="B73" s="291">
        <v>0</v>
      </c>
      <c r="C73" s="291">
        <v>0</v>
      </c>
    </row>
    <row r="74" spans="1:3">
      <c r="A74" s="292" t="str">
        <f>"Other (Specify)"</f>
        <v>Other (Specify)</v>
      </c>
      <c r="B74" s="291">
        <v>0</v>
      </c>
      <c r="C74" s="291">
        <v>0</v>
      </c>
    </row>
    <row r="75" spans="1:3">
      <c r="A75" s="292" t="str">
        <f>"Other (Specify)"</f>
        <v>Other (Specify)</v>
      </c>
      <c r="B75" s="291">
        <v>0</v>
      </c>
      <c r="C75" s="291">
        <v>0</v>
      </c>
    </row>
    <row r="76" spans="1:3">
      <c r="B76" s="66">
        <f>SUM(B66:B75)</f>
        <v>0</v>
      </c>
      <c r="C76" s="66">
        <f>SUM(C66:C75)</f>
        <v>0</v>
      </c>
    </row>
    <row r="77" spans="1:3">
      <c r="A77" s="3" t="s">
        <v>490</v>
      </c>
      <c r="B77" s="3"/>
      <c r="C77" s="3"/>
    </row>
    <row r="78" spans="1:3">
      <c r="A78" s="1" t="s">
        <v>491</v>
      </c>
      <c r="B78" s="291">
        <v>0</v>
      </c>
      <c r="C78" s="291">
        <v>0</v>
      </c>
    </row>
    <row r="79" spans="1:3">
      <c r="A79" s="1" t="s">
        <v>461</v>
      </c>
      <c r="B79" s="291">
        <v>0</v>
      </c>
      <c r="C79" s="291">
        <v>0</v>
      </c>
    </row>
    <row r="80" spans="1:3">
      <c r="A80" s="1" t="s">
        <v>492</v>
      </c>
      <c r="B80" s="291">
        <v>0</v>
      </c>
      <c r="C80" s="291">
        <v>0</v>
      </c>
    </row>
    <row r="81" spans="1:3">
      <c r="A81" s="292" t="str">
        <f>"Other (Specify)"</f>
        <v>Other (Specify)</v>
      </c>
      <c r="B81" s="291">
        <v>0</v>
      </c>
      <c r="C81" s="291">
        <v>0</v>
      </c>
    </row>
    <row r="82" spans="1:3">
      <c r="A82" s="292" t="str">
        <f>"Other (Specify)"</f>
        <v>Other (Specify)</v>
      </c>
      <c r="B82" s="291">
        <v>0</v>
      </c>
      <c r="C82" s="291">
        <v>0</v>
      </c>
    </row>
    <row r="83" spans="1:3">
      <c r="A83" s="1" t="s">
        <v>521</v>
      </c>
      <c r="B83" s="291">
        <v>0</v>
      </c>
      <c r="C83" s="291">
        <v>0</v>
      </c>
    </row>
    <row r="84" spans="1:3">
      <c r="B84" s="66">
        <f>SUM(B78:B83)</f>
        <v>0</v>
      </c>
      <c r="C84" s="66">
        <f>SUM(C78:C83)</f>
        <v>0</v>
      </c>
    </row>
    <row r="85" spans="1:3">
      <c r="A85" s="3" t="s">
        <v>494</v>
      </c>
      <c r="B85" s="3"/>
      <c r="C85" s="3"/>
    </row>
    <row r="86" spans="1:3">
      <c r="A86" s="1" t="s">
        <v>495</v>
      </c>
      <c r="B86" s="291">
        <v>0</v>
      </c>
      <c r="C86" s="291">
        <v>0</v>
      </c>
    </row>
    <row r="87" spans="1:3">
      <c r="A87" s="1" t="s">
        <v>496</v>
      </c>
      <c r="B87" s="291">
        <v>0</v>
      </c>
      <c r="C87" s="291">
        <v>0</v>
      </c>
    </row>
    <row r="88" spans="1:3">
      <c r="A88" s="1" t="s">
        <v>497</v>
      </c>
      <c r="B88" s="291">
        <v>0</v>
      </c>
      <c r="C88" s="291">
        <v>0</v>
      </c>
    </row>
    <row r="89" spans="1:3">
      <c r="A89" s="292" t="str">
        <f>"Other (Specify)"</f>
        <v>Other (Specify)</v>
      </c>
      <c r="B89" s="291">
        <v>0</v>
      </c>
      <c r="C89" s="291">
        <v>0</v>
      </c>
    </row>
    <row r="90" spans="1:3">
      <c r="B90" s="66">
        <f>SUM(B86:B89)</f>
        <v>0</v>
      </c>
      <c r="C90" s="66">
        <f>SUM(C86:C89)</f>
        <v>0</v>
      </c>
    </row>
    <row r="91" spans="1:3">
      <c r="A91" s="3" t="s">
        <v>502</v>
      </c>
      <c r="B91" s="3"/>
      <c r="C91" s="3"/>
    </row>
    <row r="92" spans="1:3">
      <c r="A92" s="1" t="s">
        <v>503</v>
      </c>
      <c r="B92" s="291">
        <v>0</v>
      </c>
      <c r="C92" s="291">
        <v>0</v>
      </c>
    </row>
    <row r="93" spans="1:3">
      <c r="A93" s="1" t="s">
        <v>504</v>
      </c>
      <c r="B93" s="291">
        <v>0</v>
      </c>
      <c r="C93" s="291">
        <v>0</v>
      </c>
    </row>
    <row r="94" spans="1:3">
      <c r="A94" s="1" t="s">
        <v>505</v>
      </c>
      <c r="B94" s="291">
        <v>0</v>
      </c>
      <c r="C94" s="291">
        <v>0</v>
      </c>
    </row>
    <row r="95" spans="1:3">
      <c r="A95" s="1" t="s">
        <v>522</v>
      </c>
      <c r="B95" s="291">
        <v>0</v>
      </c>
      <c r="C95" s="291">
        <v>0</v>
      </c>
    </row>
    <row r="96" spans="1:3">
      <c r="A96" s="292" t="str">
        <f>"Other (Specify)"</f>
        <v>Other (Specify)</v>
      </c>
      <c r="B96" s="291">
        <v>0</v>
      </c>
      <c r="C96" s="291">
        <v>0</v>
      </c>
    </row>
    <row r="97" spans="1:3" ht="15.75" thickBot="1">
      <c r="B97" s="66">
        <f>SUM(B92:B96)</f>
        <v>0</v>
      </c>
      <c r="C97" s="66">
        <f>SUM(C92:C96)</f>
        <v>0</v>
      </c>
    </row>
    <row r="98" spans="1:3" ht="15.75" thickTop="1">
      <c r="A98" s="68" t="s">
        <v>391</v>
      </c>
      <c r="B98" s="450">
        <f>SUM(B4:B6,B9:B10,B13:B23,B26:B33,B36:B50,B53:B63,B66:B75,B78:B83, B86:B89, B92:B96)</f>
        <v>0</v>
      </c>
      <c r="C98" s="450">
        <f>SUM(C4:C6,C9:C10,C13:C23,C26:C33,C36:C50,C53:C63,C66:C75,C78:C83, C86:C89, C92:C96)</f>
        <v>0</v>
      </c>
    </row>
  </sheetData>
  <sheetProtection algorithmName="SHA-512" hashValue="wZmqiKLCCI705VJ8dLKyXVWaWlSwDmq4l4Rzdz+YeZWNQJN5sa/qkUwiV+ZUoycCh9kU0oA5NLPj0UxYQi94EQ==" saltValue="bKXnxBojhL7Iyn0v78Y9qg=="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3"/>
  <sheetViews>
    <sheetView showGridLines="0" zoomScale="93" zoomScaleNormal="93" workbookViewId="0"/>
  </sheetViews>
  <sheetFormatPr defaultRowHeight="15"/>
  <cols>
    <col min="1" max="1" width="88.5703125" customWidth="1"/>
    <col min="2" max="2" width="72" customWidth="1"/>
  </cols>
  <sheetData>
    <row r="1" spans="1:3" ht="21">
      <c r="A1" s="4" t="s">
        <v>66</v>
      </c>
      <c r="B1" s="2"/>
    </row>
    <row r="2" spans="1:3" ht="21">
      <c r="A2" s="903"/>
      <c r="B2" s="903"/>
    </row>
    <row r="3" spans="1:3" ht="21">
      <c r="A3" s="7" t="s">
        <v>523</v>
      </c>
    </row>
    <row r="4" spans="1:3">
      <c r="A4" s="3" t="s">
        <v>524</v>
      </c>
      <c r="B4" s="3"/>
    </row>
    <row r="5" spans="1:3">
      <c r="A5" s="1" t="s">
        <v>525</v>
      </c>
      <c r="B5" s="287"/>
      <c r="C5" s="10" t="s">
        <v>526</v>
      </c>
    </row>
    <row r="6" spans="1:3">
      <c r="C6" s="10" t="s">
        <v>527</v>
      </c>
    </row>
    <row r="7" spans="1:3">
      <c r="A7" s="3" t="s">
        <v>528</v>
      </c>
      <c r="B7" s="3"/>
    </row>
    <row r="8" spans="1:3">
      <c r="A8" s="1" t="s">
        <v>529</v>
      </c>
      <c r="B8" s="287"/>
      <c r="C8" s="10" t="s">
        <v>530</v>
      </c>
    </row>
    <row r="10" spans="1:3">
      <c r="A10" s="3" t="s">
        <v>531</v>
      </c>
      <c r="B10" s="3"/>
      <c r="C10" t="s">
        <v>476</v>
      </c>
    </row>
    <row r="11" spans="1:3">
      <c r="A11" s="1" t="s">
        <v>531</v>
      </c>
      <c r="B11" s="287"/>
      <c r="C11" s="10" t="s">
        <v>532</v>
      </c>
    </row>
    <row r="13" spans="1:3">
      <c r="A13" s="3" t="s">
        <v>533</v>
      </c>
      <c r="B13" s="3"/>
    </row>
    <row r="14" spans="1:3" ht="45">
      <c r="A14" s="513" t="s">
        <v>534</v>
      </c>
      <c r="B14" s="293"/>
      <c r="C14" s="10" t="s">
        <v>535</v>
      </c>
    </row>
    <row r="16" spans="1:3">
      <c r="A16" s="10" t="s">
        <v>536</v>
      </c>
    </row>
    <row r="18" spans="1:7" ht="21">
      <c r="A18" s="7" t="s">
        <v>537</v>
      </c>
    </row>
    <row r="19" spans="1:7">
      <c r="A19" s="3" t="s">
        <v>538</v>
      </c>
      <c r="B19" s="3"/>
    </row>
    <row r="20" spans="1:7" ht="120">
      <c r="A20" s="513" t="s">
        <v>539</v>
      </c>
      <c r="B20" s="293"/>
      <c r="C20" s="10" t="s">
        <v>540</v>
      </c>
    </row>
    <row r="21" spans="1:7" ht="15" customHeight="1">
      <c r="A21" s="9"/>
      <c r="B21" s="9"/>
    </row>
    <row r="22" spans="1:7">
      <c r="A22" s="3" t="s">
        <v>541</v>
      </c>
      <c r="B22" s="3"/>
    </row>
    <row r="23" spans="1:7" ht="30">
      <c r="A23" s="513" t="s">
        <v>542</v>
      </c>
      <c r="B23" s="293"/>
      <c r="C23" s="10" t="s">
        <v>543</v>
      </c>
    </row>
    <row r="24" spans="1:7">
      <c r="A24" s="513" t="s">
        <v>544</v>
      </c>
      <c r="B24" s="293"/>
      <c r="C24" s="10" t="s">
        <v>543</v>
      </c>
    </row>
    <row r="25" spans="1:7" ht="30">
      <c r="A25" s="513" t="s">
        <v>545</v>
      </c>
      <c r="B25" s="293"/>
      <c r="C25" s="10" t="s">
        <v>543</v>
      </c>
      <c r="G25" t="s">
        <v>476</v>
      </c>
    </row>
    <row r="26" spans="1:7" ht="30">
      <c r="A26" s="513" t="s">
        <v>546</v>
      </c>
      <c r="B26" s="293"/>
      <c r="C26" s="10" t="s">
        <v>547</v>
      </c>
      <c r="G26" t="s">
        <v>476</v>
      </c>
    </row>
    <row r="27" spans="1:7" ht="45">
      <c r="A27" s="513" t="s">
        <v>548</v>
      </c>
      <c r="B27" s="293"/>
      <c r="C27" s="10" t="s">
        <v>535</v>
      </c>
    </row>
    <row r="28" spans="1:7" ht="30">
      <c r="A28" s="513" t="s">
        <v>549</v>
      </c>
      <c r="B28" s="293"/>
      <c r="C28" s="10" t="s">
        <v>543</v>
      </c>
    </row>
    <row r="29" spans="1:7">
      <c r="A29" s="9"/>
      <c r="B29" s="9"/>
    </row>
    <row r="30" spans="1:7">
      <c r="A30" s="3" t="s">
        <v>550</v>
      </c>
      <c r="B30" s="3"/>
      <c r="G30" t="s">
        <v>476</v>
      </c>
    </row>
    <row r="31" spans="1:7" ht="105">
      <c r="A31" s="513" t="s">
        <v>551</v>
      </c>
      <c r="B31" s="293"/>
      <c r="C31" s="10" t="s">
        <v>543</v>
      </c>
    </row>
    <row r="32" spans="1:7" ht="15" customHeight="1">
      <c r="A32" s="9"/>
      <c r="B32" s="9"/>
    </row>
    <row r="33" spans="1:6">
      <c r="A33" s="3" t="s">
        <v>552</v>
      </c>
      <c r="B33" s="3"/>
    </row>
    <row r="34" spans="1:6" ht="30">
      <c r="A34" s="513" t="s">
        <v>553</v>
      </c>
      <c r="B34" s="293"/>
      <c r="C34" s="10" t="s">
        <v>547</v>
      </c>
    </row>
    <row r="36" spans="1:6">
      <c r="A36" s="3" t="s">
        <v>554</v>
      </c>
      <c r="B36" s="3"/>
    </row>
    <row r="37" spans="1:6">
      <c r="A37" s="1" t="s">
        <v>554</v>
      </c>
      <c r="B37" s="293"/>
      <c r="C37" s="10" t="s">
        <v>555</v>
      </c>
    </row>
    <row r="40" spans="1:6">
      <c r="A40" s="306" t="s">
        <v>556</v>
      </c>
    </row>
    <row r="43" spans="1:6">
      <c r="F43" t="s">
        <v>476</v>
      </c>
    </row>
  </sheetData>
  <sheetProtection algorithmName="SHA-512" hashValue="fX3TZOY3kqwau5h5N9zvi8TUG176vDrvtu6blYgOj8mrlq5IGB4cqfyuX+l1BzsH3l4RIJ6OxNPdo8Z4FVx0UQ==" saltValue="luXJayQ+EPcN5dsut480TQ==" spinCount="100000" sheet="1" objects="1" scenarios="1"/>
  <mergeCells count="1">
    <mergeCell ref="A2:B2"/>
  </mergeCells>
  <dataValidations count="9">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Development Location" error="Please select a valid value for Development Location." sqref="B20" xr:uid="{00000000-0002-0000-0C00-000003000000}">
      <formula1>Scoring_Development_Location_List</formula1>
    </dataValidation>
    <dataValidation type="list" allowBlank="1" showInputMessage="1" showErrorMessage="1" errorTitle="Tenant Population" error="Please select a valid value for Tenant Population with Special Housing Needs." sqref="B34"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37" xr:uid="{00000000-0002-0000-0C00-000006000000}">
      <formula1>Yes_No_List</formula1>
    </dataValidation>
    <dataValidation type="list" allowBlank="1" showInputMessage="1" showErrorMessage="1" errorTitle="Applicant Characteristics" error="Please select a valid value for Applicant Characteristics." sqref="B31" xr:uid="{00000000-0002-0000-0C00-000007000000}">
      <formula1>Yes_No_List</formula1>
    </dataValidation>
    <dataValidation type="list" allowBlank="1" showInputMessage="1" showErrorMessage="1" errorTitle="Development Characteristics" error="Please select a valid value for Development Characteristics - Income Mix." sqref="B23:B28" xr:uid="{00000000-0002-0000-0C00-000008000000}">
      <formula1>Yes_No_List</formula1>
    </dataValidation>
  </dataValidations>
  <hyperlinks>
    <hyperlink ref="A40" location="'Tax Credit Details'!B40" tooltip="Show me the Scoring Details" display="Show me the Scoring Details" xr:uid="{00000000-0004-0000-0C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ed5640a0c9f2c7640ec612485b45eb06">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4edfc17f0942f0a95f34cf1270a01294"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UserInfo>
        <DisplayName>Megan Herrera</DisplayName>
        <AccountId>237</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Props1.xml><?xml version="1.0" encoding="utf-8"?>
<ds:datastoreItem xmlns:ds="http://schemas.openxmlformats.org/officeDocument/2006/customXml" ds:itemID="{3DD00824-1F7A-4FDD-99F9-A373A50A2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810C07-6853-4A8A-855E-DE09CBDC2220}">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6a127908-9e32-4e62-ae59-2487f976f7a6"/>
    <ds:schemaRef ds:uri="9478f293-2795-44b5-9bde-ea8184e0b4d4"/>
    <ds:schemaRef ds:uri="http://www.w3.org/XML/1998/namespace"/>
  </ds:schemaRefs>
</ds:datastoreItem>
</file>

<file path=customXml/itemProps3.xml><?xml version="1.0" encoding="utf-8"?>
<ds:datastoreItem xmlns:ds="http://schemas.openxmlformats.org/officeDocument/2006/customXml" ds:itemID="{E07FF757-1722-4EB6-968E-9A8AF3DDAD9B}">
  <ds:schemaRefs>
    <ds:schemaRef ds:uri="http://schemas.microsoft.com/sharepoint/v3/contenttype/forms"/>
  </ds:schemaRefs>
</ds:datastoreItem>
</file>

<file path=customXml/itemProps4.xml><?xml version="1.0" encoding="utf-8"?>
<ds:datastoreItem xmlns:ds="http://schemas.openxmlformats.org/officeDocument/2006/customXml" ds:itemID="{DB1988D4-5F60-464B-871C-FF1797F508F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50</vt:i4>
      </vt:variant>
    </vt:vector>
  </HeadingPairs>
  <TitlesOfParts>
    <vt:vector size="78" baseType="lpstr">
      <vt:lpstr>Application Instructions</vt:lpstr>
      <vt:lpstr>Data Issues</vt:lpstr>
      <vt:lpstr>Contact Information</vt:lpstr>
      <vt:lpstr>Application</vt:lpstr>
      <vt:lpstr>Unit Mix &amp; Rents</vt:lpstr>
      <vt:lpstr>Financing</vt:lpstr>
      <vt:lpstr>Development Budget</vt:lpstr>
      <vt:lpstr>Commercial Budget</vt:lpstr>
      <vt:lpstr>Scoring</vt:lpstr>
      <vt:lpstr>Proforma, Income &amp; Expense</vt:lpstr>
      <vt:lpstr>Amenities</vt:lpstr>
      <vt:lpstr>Cost Summary</vt:lpstr>
      <vt:lpstr>Final Building Profile</vt:lpstr>
      <vt:lpstr>Contact Summary</vt:lpstr>
      <vt:lpstr>Tax Credit Details</vt:lpstr>
      <vt:lpstr>Tax Credit Summary</vt:lpstr>
      <vt:lpstr>Budget Output</vt:lpstr>
      <vt:lpstr>Development_Budget</vt:lpstr>
      <vt:lpstr>Income+Expense</vt:lpstr>
      <vt:lpstr>Financing DOH</vt:lpstr>
      <vt:lpstr>Rent &amp; Income Limits</vt:lpstr>
      <vt:lpstr>Final Totals</vt:lpstr>
      <vt:lpstr> Stress Test &amp; Attachments</vt:lpstr>
      <vt:lpstr>Prolink</vt:lpstr>
      <vt:lpstr>Calculations</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 Stress Test &amp; Attachments'!Print_Area</vt:lpstr>
      <vt:lpstr>'Budget Output'!Print_Area</vt:lpstr>
      <vt:lpstr>Development_Budget!Print_Area</vt:lpstr>
      <vt:lpstr>'Financing DOH'!Print_Area</vt:lpstr>
      <vt:lpstr>'Income+Expense'!Print_Area</vt:lpstr>
      <vt:lpstr>'Tax Credit Details'!Print_Area</vt:lpstr>
      <vt:lpstr>'Tax Credit Summary'!Print_Area</vt:lpstr>
      <vt:lpstr>' Stress Test &amp; Attachments'!Print_Titles</vt:lpstr>
      <vt:lpstr>'Budget Output'!Print_Titles</vt:lpstr>
      <vt:lpstr>'Tax Credit Details'!Print_Titles</vt:lpstr>
      <vt:lpstr>'Tax Credit Summary'!Print_Titles</vt:lpstr>
      <vt:lpstr>Project_Type_List</vt:lpstr>
      <vt:lpstr>Residential_Loan_Type_List</vt:lpstr>
      <vt:lpstr>Scoring_Details_Range</vt:lpstr>
      <vt:lpstr>Scoring_Development_Location_List</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2024-06-04T22:14:59Z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